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30" windowHeight="11760" tabRatio="842" activeTab="10"/>
  </bookViews>
  <sheets>
    <sheet name="MEMORIA BM 01" sheetId="33" r:id="rId1"/>
    <sheet name="BM01" sheetId="32" r:id="rId2"/>
    <sheet name="MEMORIA BM 02" sheetId="34" r:id="rId3"/>
    <sheet name="BM02" sheetId="35" r:id="rId4"/>
    <sheet name="MEMORIA BM 03" sheetId="37" r:id="rId5"/>
    <sheet name="BM03" sheetId="36" r:id="rId6"/>
    <sheet name="MEMORIA BM 04" sheetId="39" r:id="rId7"/>
    <sheet name="BM04" sheetId="38" r:id="rId8"/>
    <sheet name="MEMORIA BM 05" sheetId="41" r:id="rId9"/>
    <sheet name="BM05" sheetId="40" r:id="rId10"/>
    <sheet name="MEMORIA BM 06" sheetId="42" r:id="rId11"/>
    <sheet name="BM06" sheetId="43" r:id="rId12"/>
  </sheets>
  <externalReferences>
    <externalReference r:id="rId13"/>
  </externalReferences>
  <definedNames>
    <definedName name="_xlnm.Print_Area" localSheetId="1">'BM01'!$A$1:$J$256</definedName>
    <definedName name="_xlnm.Print_Area" localSheetId="3">'BM02'!$A$1:$L$256</definedName>
    <definedName name="_xlnm.Print_Area" localSheetId="5">'BM03'!$A$1:$L$257</definedName>
    <definedName name="_xlnm.Print_Area" localSheetId="7">'BM04'!$A$1:$L$291</definedName>
    <definedName name="_xlnm.Print_Area" localSheetId="9">'BM05'!$A$1:$L$291</definedName>
    <definedName name="_xlnm.Print_Area" localSheetId="11">'BM06'!$A$1:$L$291</definedName>
    <definedName name="_xlnm.Print_Area" localSheetId="0">'MEMORIA BM 01'!$A$1:$M$407</definedName>
    <definedName name="_xlnm.Print_Area" localSheetId="2">'MEMORIA BM 02'!$A$1:$M$630</definedName>
    <definedName name="_xlnm.Print_Area" localSheetId="4">'MEMORIA BM 03'!$A$1:$M$587</definedName>
    <definedName name="_xlnm.Print_Area" localSheetId="6">'MEMORIA BM 04'!$A$1:$M$724</definedName>
    <definedName name="_xlnm.Print_Area" localSheetId="8">'MEMORIA BM 05'!$A$1:$M$719</definedName>
    <definedName name="_xlnm.Print_Area" localSheetId="10">'MEMORIA BM 06'!$A$1:$M$660</definedName>
    <definedName name="_xlnm.Print_Titles" localSheetId="1">'BM01'!$28:$28</definedName>
    <definedName name="_xlnm.Print_Titles" localSheetId="3">'BM02'!$28:$28</definedName>
    <definedName name="_xlnm.Print_Titles" localSheetId="5">'BM03'!$28:$29</definedName>
    <definedName name="_xlnm.Print_Titles" localSheetId="7">'BM04'!$28:$29</definedName>
    <definedName name="_xlnm.Print_Titles" localSheetId="9">'BM05'!$28:$29</definedName>
    <definedName name="_xlnm.Print_Titles" localSheetId="11">'BM06'!$28:$29</definedName>
    <definedName name="_xlnm.Print_Titles" localSheetId="0">'MEMORIA BM 01'!$12:$12</definedName>
    <definedName name="_xlnm.Print_Titles" localSheetId="2">'MEMORIA BM 02'!$7:$9</definedName>
    <definedName name="_xlnm.Print_Titles" localSheetId="4">'MEMORIA BM 03'!$7:$9</definedName>
    <definedName name="_xlnm.Print_Titles" localSheetId="6">'MEMORIA BM 04'!$7:$9</definedName>
    <definedName name="_xlnm.Print_Titles" localSheetId="8">'MEMORIA BM 05'!$7:$9</definedName>
    <definedName name="_xlnm.Print_Titles" localSheetId="10">'MEMORIA BM 06'!$7:$8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9" i="43" l="1"/>
  <c r="H218" i="43"/>
  <c r="L536" i="42"/>
  <c r="L533" i="42"/>
  <c r="H163" i="43"/>
  <c r="L389" i="42"/>
  <c r="H154" i="43"/>
  <c r="H153" i="43"/>
  <c r="H152" i="43"/>
  <c r="H150" i="43"/>
  <c r="L361" i="42"/>
  <c r="L356" i="42" s="1"/>
  <c r="L360" i="42"/>
  <c r="L359" i="42"/>
  <c r="L358" i="42"/>
  <c r="L357" i="42"/>
  <c r="L354" i="42"/>
  <c r="L353" i="42"/>
  <c r="L352" i="42"/>
  <c r="L351" i="42"/>
  <c r="L350" i="42"/>
  <c r="L349" i="42" s="1"/>
  <c r="L344" i="42"/>
  <c r="L345" i="42"/>
  <c r="L346" i="42"/>
  <c r="L347" i="42"/>
  <c r="L343" i="42"/>
  <c r="L336" i="42"/>
  <c r="L337" i="42"/>
  <c r="L335" i="42"/>
  <c r="L311" i="42"/>
  <c r="L310" i="42"/>
  <c r="L147" i="42"/>
  <c r="L146" i="42"/>
  <c r="L145" i="42" s="1"/>
  <c r="H87" i="43" s="1"/>
  <c r="L342" i="42" l="1"/>
  <c r="L309" i="42"/>
  <c r="H142" i="43" s="1"/>
  <c r="D544" i="42" l="1"/>
  <c r="L544" i="42" s="1"/>
  <c r="D541" i="42"/>
  <c r="L541" i="42" s="1"/>
  <c r="D302" i="42" l="1"/>
  <c r="L302" i="42" s="1"/>
  <c r="D264" i="42"/>
  <c r="L264" i="42" s="1"/>
  <c r="N279" i="43"/>
  <c r="N135" i="43"/>
  <c r="D659" i="42"/>
  <c r="L659" i="42" s="1"/>
  <c r="D656" i="42"/>
  <c r="L656" i="42" s="1"/>
  <c r="D653" i="42"/>
  <c r="L653" i="42" s="1"/>
  <c r="K628" i="42"/>
  <c r="D527" i="42"/>
  <c r="L527" i="42" s="1"/>
  <c r="D524" i="42"/>
  <c r="L524" i="42" s="1"/>
  <c r="D474" i="42" l="1"/>
  <c r="D471" i="42"/>
  <c r="D468" i="42"/>
  <c r="L395" i="42"/>
  <c r="L394" i="42" s="1"/>
  <c r="H165" i="43" s="1"/>
  <c r="M394" i="42"/>
  <c r="B394" i="42"/>
  <c r="A394" i="42"/>
  <c r="K380" i="42"/>
  <c r="L380" i="42" s="1"/>
  <c r="K379" i="42"/>
  <c r="L379" i="42" s="1"/>
  <c r="K373" i="42"/>
  <c r="L373" i="42" s="1"/>
  <c r="D326" i="42"/>
  <c r="L326" i="42" s="1"/>
  <c r="D261" i="42"/>
  <c r="L261" i="42" s="1"/>
  <c r="D273" i="42"/>
  <c r="L273" i="42" s="1"/>
  <c r="D255" i="42"/>
  <c r="D254" i="42"/>
  <c r="K255" i="42"/>
  <c r="K254" i="42"/>
  <c r="D250" i="42"/>
  <c r="L250" i="42" s="1"/>
  <c r="D249" i="42"/>
  <c r="L249" i="42" s="1"/>
  <c r="D251" i="42"/>
  <c r="L251" i="42" s="1"/>
  <c r="D248" i="42"/>
  <c r="L248" i="42" s="1"/>
  <c r="D247" i="42"/>
  <c r="L247" i="42" s="1"/>
  <c r="D246" i="42"/>
  <c r="L246" i="42" s="1"/>
  <c r="D245" i="42"/>
  <c r="L245" i="42" s="1"/>
  <c r="D244" i="42"/>
  <c r="L244" i="42" s="1"/>
  <c r="D241" i="42"/>
  <c r="L241" i="42" s="1"/>
  <c r="D240" i="42"/>
  <c r="L378" i="42" l="1"/>
  <c r="H160" i="43" s="1"/>
  <c r="L243" i="42"/>
  <c r="H119" i="43" s="1"/>
  <c r="L254" i="42"/>
  <c r="L255" i="42"/>
  <c r="D239" i="42"/>
  <c r="D156" i="42"/>
  <c r="L156" i="42" s="1"/>
  <c r="D153" i="42"/>
  <c r="D150" i="42"/>
  <c r="L150" i="42" s="1"/>
  <c r="D128" i="42"/>
  <c r="L128" i="42" s="1"/>
  <c r="D125" i="42"/>
  <c r="L125" i="42" s="1"/>
  <c r="L253" i="42" l="1"/>
  <c r="H120" i="43" s="1"/>
  <c r="E88" i="42" l="1"/>
  <c r="K88" i="42" s="1"/>
  <c r="L88" i="42" s="1"/>
  <c r="E87" i="42"/>
  <c r="K87" i="42" s="1"/>
  <c r="L87" i="42" s="1"/>
  <c r="K85" i="42"/>
  <c r="L85" i="42" s="1"/>
  <c r="K86" i="42"/>
  <c r="L86" i="42" s="1"/>
  <c r="K84" i="42"/>
  <c r="L84" i="42" s="1"/>
  <c r="L83" i="42" l="1"/>
  <c r="H63" i="43" s="1"/>
  <c r="F307" i="43" l="1"/>
  <c r="M288" i="43"/>
  <c r="J287" i="43"/>
  <c r="F287" i="43"/>
  <c r="J286" i="43"/>
  <c r="F286" i="43"/>
  <c r="J285" i="43"/>
  <c r="F285" i="43"/>
  <c r="M284" i="43"/>
  <c r="J283" i="43"/>
  <c r="F283" i="43"/>
  <c r="M282" i="43"/>
  <c r="J281" i="43"/>
  <c r="I281" i="43"/>
  <c r="K281" i="43"/>
  <c r="F281" i="43"/>
  <c r="F275" i="43" s="1"/>
  <c r="J280" i="43"/>
  <c r="K280" i="43"/>
  <c r="F280" i="43"/>
  <c r="K279" i="43"/>
  <c r="L279" i="43" s="1"/>
  <c r="M279" i="43" s="1"/>
  <c r="J279" i="43"/>
  <c r="I279" i="43"/>
  <c r="F279" i="43"/>
  <c r="K278" i="43"/>
  <c r="J278" i="43"/>
  <c r="I278" i="43"/>
  <c r="F278" i="43"/>
  <c r="K277" i="43"/>
  <c r="J277" i="43"/>
  <c r="I277" i="43"/>
  <c r="F277" i="43"/>
  <c r="M276" i="43"/>
  <c r="M274" i="43"/>
  <c r="K273" i="43"/>
  <c r="J273" i="43"/>
  <c r="I273" i="43"/>
  <c r="F273" i="43"/>
  <c r="J272" i="43"/>
  <c r="F272" i="43"/>
  <c r="J271" i="43"/>
  <c r="K271" i="43"/>
  <c r="L271" i="43" s="1"/>
  <c r="M271" i="43" s="1"/>
  <c r="F271" i="43"/>
  <c r="J270" i="43"/>
  <c r="J268" i="43" s="1"/>
  <c r="K270" i="43"/>
  <c r="F270" i="43"/>
  <c r="F268" i="43" s="1"/>
  <c r="M269" i="43"/>
  <c r="M267" i="43"/>
  <c r="L266" i="43"/>
  <c r="M266" i="43" s="1"/>
  <c r="K266" i="43"/>
  <c r="J266" i="43"/>
  <c r="I266" i="43"/>
  <c r="F266" i="43"/>
  <c r="K265" i="43"/>
  <c r="J265" i="43"/>
  <c r="L265" i="43" s="1"/>
  <c r="M265" i="43" s="1"/>
  <c r="I265" i="43"/>
  <c r="F265" i="43"/>
  <c r="K264" i="43"/>
  <c r="K261" i="43" s="1"/>
  <c r="J264" i="43"/>
  <c r="I264" i="43"/>
  <c r="F264" i="43"/>
  <c r="K263" i="43"/>
  <c r="L263" i="43" s="1"/>
  <c r="J263" i="43"/>
  <c r="I263" i="43"/>
  <c r="F263" i="43"/>
  <c r="F261" i="43" s="1"/>
  <c r="M262" i="43"/>
  <c r="M260" i="43"/>
  <c r="L259" i="43"/>
  <c r="M259" i="43" s="1"/>
  <c r="K259" i="43"/>
  <c r="J259" i="43"/>
  <c r="I259" i="43"/>
  <c r="F259" i="43"/>
  <c r="K258" i="43"/>
  <c r="J258" i="43"/>
  <c r="L258" i="43" s="1"/>
  <c r="M258" i="43" s="1"/>
  <c r="I258" i="43"/>
  <c r="F258" i="43"/>
  <c r="K257" i="43"/>
  <c r="J257" i="43"/>
  <c r="L257" i="43" s="1"/>
  <c r="I257" i="43"/>
  <c r="F257" i="43"/>
  <c r="F252" i="43" s="1"/>
  <c r="L256" i="43"/>
  <c r="M256" i="43" s="1"/>
  <c r="K256" i="43"/>
  <c r="J256" i="43"/>
  <c r="I256" i="43"/>
  <c r="F256" i="43"/>
  <c r="L255" i="43"/>
  <c r="M255" i="43" s="1"/>
  <c r="K255" i="43"/>
  <c r="J255" i="43"/>
  <c r="I255" i="43"/>
  <c r="F255" i="43"/>
  <c r="K254" i="43"/>
  <c r="J254" i="43"/>
  <c r="I254" i="43"/>
  <c r="F254" i="43"/>
  <c r="M253" i="43"/>
  <c r="K252" i="43"/>
  <c r="M251" i="43"/>
  <c r="K250" i="43"/>
  <c r="J250" i="43"/>
  <c r="L250" i="43" s="1"/>
  <c r="I250" i="43"/>
  <c r="F250" i="43"/>
  <c r="M249" i="43"/>
  <c r="K248" i="43"/>
  <c r="F248" i="43"/>
  <c r="M247" i="43"/>
  <c r="L246" i="43"/>
  <c r="K246" i="43"/>
  <c r="J246" i="43"/>
  <c r="I246" i="43"/>
  <c r="F246" i="43"/>
  <c r="M245" i="43"/>
  <c r="K244" i="43"/>
  <c r="J244" i="43"/>
  <c r="F244" i="43"/>
  <c r="M243" i="43"/>
  <c r="K242" i="43"/>
  <c r="L242" i="43" s="1"/>
  <c r="M242" i="43" s="1"/>
  <c r="J242" i="43"/>
  <c r="I242" i="43"/>
  <c r="F242" i="43"/>
  <c r="K241" i="43"/>
  <c r="J241" i="43"/>
  <c r="L241" i="43" s="1"/>
  <c r="M241" i="43" s="1"/>
  <c r="I241" i="43"/>
  <c r="F241" i="43"/>
  <c r="K240" i="43"/>
  <c r="J240" i="43"/>
  <c r="L240" i="43" s="1"/>
  <c r="M240" i="43" s="1"/>
  <c r="I240" i="43"/>
  <c r="F240" i="43"/>
  <c r="K239" i="43"/>
  <c r="K237" i="43" s="1"/>
  <c r="J239" i="43"/>
  <c r="I239" i="43"/>
  <c r="F239" i="43"/>
  <c r="M238" i="43"/>
  <c r="J237" i="43"/>
  <c r="F237" i="43"/>
  <c r="M236" i="43"/>
  <c r="K235" i="43"/>
  <c r="J235" i="43"/>
  <c r="J232" i="43" s="1"/>
  <c r="I235" i="43"/>
  <c r="F235" i="43"/>
  <c r="L234" i="43"/>
  <c r="M234" i="43" s="1"/>
  <c r="K234" i="43"/>
  <c r="J234" i="43"/>
  <c r="I234" i="43"/>
  <c r="F234" i="43"/>
  <c r="F232" i="43" s="1"/>
  <c r="M233" i="43"/>
  <c r="K232" i="43"/>
  <c r="M231" i="43"/>
  <c r="K230" i="43"/>
  <c r="K228" i="43" s="1"/>
  <c r="J230" i="43"/>
  <c r="L230" i="43" s="1"/>
  <c r="I230" i="43"/>
  <c r="F230" i="43"/>
  <c r="M229" i="43"/>
  <c r="J228" i="43"/>
  <c r="F228" i="43"/>
  <c r="M227" i="43"/>
  <c r="M226" i="43"/>
  <c r="M225" i="43"/>
  <c r="J224" i="43"/>
  <c r="F224" i="43"/>
  <c r="J223" i="43"/>
  <c r="F223" i="43"/>
  <c r="M222" i="43"/>
  <c r="J221" i="43"/>
  <c r="F221" i="43"/>
  <c r="M220" i="43"/>
  <c r="K219" i="43"/>
  <c r="J219" i="43"/>
  <c r="I219" i="43"/>
  <c r="F219" i="43"/>
  <c r="K218" i="43"/>
  <c r="J218" i="43"/>
  <c r="I218" i="43"/>
  <c r="F218" i="43"/>
  <c r="K217" i="43"/>
  <c r="J217" i="43"/>
  <c r="I217" i="43"/>
  <c r="F217" i="43"/>
  <c r="J216" i="43"/>
  <c r="F216" i="43"/>
  <c r="J215" i="43"/>
  <c r="F215" i="43"/>
  <c r="K214" i="43"/>
  <c r="J214" i="43"/>
  <c r="I214" i="43"/>
  <c r="F214" i="43"/>
  <c r="K213" i="43"/>
  <c r="J213" i="43"/>
  <c r="J211" i="43" s="1"/>
  <c r="I213" i="43"/>
  <c r="F213" i="43"/>
  <c r="M212" i="43"/>
  <c r="F211" i="43"/>
  <c r="M210" i="43"/>
  <c r="K209" i="43"/>
  <c r="J209" i="43"/>
  <c r="I209" i="43"/>
  <c r="F209" i="43"/>
  <c r="K208" i="43"/>
  <c r="J208" i="43"/>
  <c r="I208" i="43"/>
  <c r="F208" i="43"/>
  <c r="J207" i="43"/>
  <c r="F207" i="43"/>
  <c r="K206" i="43"/>
  <c r="J206" i="43"/>
  <c r="I206" i="43"/>
  <c r="F206" i="43"/>
  <c r="K205" i="43"/>
  <c r="J205" i="43"/>
  <c r="I205" i="43"/>
  <c r="F205" i="43"/>
  <c r="K204" i="43"/>
  <c r="J204" i="43"/>
  <c r="I204" i="43"/>
  <c r="F204" i="43"/>
  <c r="J203" i="43"/>
  <c r="I203" i="43"/>
  <c r="K203" i="43"/>
  <c r="F203" i="43"/>
  <c r="J202" i="43"/>
  <c r="F202" i="43"/>
  <c r="J201" i="43"/>
  <c r="K201" i="43"/>
  <c r="F201" i="43"/>
  <c r="F183" i="43" s="1"/>
  <c r="J200" i="43"/>
  <c r="K200" i="43"/>
  <c r="F200" i="43"/>
  <c r="K199" i="43"/>
  <c r="J199" i="43"/>
  <c r="I199" i="43"/>
  <c r="F199" i="43"/>
  <c r="J198" i="43"/>
  <c r="L198" i="43" s="1"/>
  <c r="M198" i="43" s="1"/>
  <c r="I198" i="43"/>
  <c r="K198" i="43"/>
  <c r="F198" i="43"/>
  <c r="K197" i="43"/>
  <c r="L197" i="43" s="1"/>
  <c r="M197" i="43" s="1"/>
  <c r="J197" i="43"/>
  <c r="I197" i="43"/>
  <c r="F197" i="43"/>
  <c r="J196" i="43"/>
  <c r="F196" i="43"/>
  <c r="J195" i="43"/>
  <c r="F195" i="43"/>
  <c r="J194" i="43"/>
  <c r="F194" i="43"/>
  <c r="J193" i="43"/>
  <c r="I193" i="43"/>
  <c r="K193" i="43"/>
  <c r="F193" i="43"/>
  <c r="K192" i="43"/>
  <c r="J192" i="43"/>
  <c r="I192" i="43"/>
  <c r="F192" i="43"/>
  <c r="J191" i="43"/>
  <c r="F191" i="43"/>
  <c r="K190" i="43"/>
  <c r="J190" i="43"/>
  <c r="I190" i="43"/>
  <c r="F190" i="43"/>
  <c r="K189" i="43"/>
  <c r="J189" i="43"/>
  <c r="I189" i="43"/>
  <c r="F189" i="43"/>
  <c r="K188" i="43"/>
  <c r="J188" i="43"/>
  <c r="I188" i="43"/>
  <c r="F188" i="43"/>
  <c r="J187" i="43"/>
  <c r="I187" i="43"/>
  <c r="K187" i="43"/>
  <c r="F187" i="43"/>
  <c r="K186" i="43"/>
  <c r="J186" i="43"/>
  <c r="I186" i="43"/>
  <c r="F186" i="43"/>
  <c r="K185" i="43"/>
  <c r="J185" i="43"/>
  <c r="I185" i="43"/>
  <c r="F185" i="43"/>
  <c r="M184" i="43"/>
  <c r="M182" i="43"/>
  <c r="J181" i="43"/>
  <c r="K181" i="43"/>
  <c r="F181" i="43"/>
  <c r="K180" i="43"/>
  <c r="J180" i="43"/>
  <c r="L180" i="43" s="1"/>
  <c r="M180" i="43" s="1"/>
  <c r="I180" i="43"/>
  <c r="F180" i="43"/>
  <c r="K179" i="43"/>
  <c r="J179" i="43"/>
  <c r="L179" i="43" s="1"/>
  <c r="M179" i="43" s="1"/>
  <c r="I179" i="43"/>
  <c r="F179" i="43"/>
  <c r="K178" i="43"/>
  <c r="J178" i="43"/>
  <c r="L178" i="43" s="1"/>
  <c r="M178" i="43" s="1"/>
  <c r="I178" i="43"/>
  <c r="F178" i="43"/>
  <c r="K177" i="43"/>
  <c r="J177" i="43"/>
  <c r="L177" i="43" s="1"/>
  <c r="I177" i="43"/>
  <c r="F177" i="43"/>
  <c r="F169" i="43" s="1"/>
  <c r="K176" i="43"/>
  <c r="J176" i="43"/>
  <c r="L176" i="43" s="1"/>
  <c r="M176" i="43" s="1"/>
  <c r="I176" i="43"/>
  <c r="F176" i="43"/>
  <c r="K175" i="43"/>
  <c r="J175" i="43"/>
  <c r="L175" i="43" s="1"/>
  <c r="M175" i="43" s="1"/>
  <c r="I175" i="43"/>
  <c r="F175" i="43"/>
  <c r="K174" i="43"/>
  <c r="J174" i="43"/>
  <c r="L174" i="43" s="1"/>
  <c r="I174" i="43"/>
  <c r="F174" i="43"/>
  <c r="K173" i="43"/>
  <c r="J173" i="43"/>
  <c r="L173" i="43" s="1"/>
  <c r="M173" i="43" s="1"/>
  <c r="I173" i="43"/>
  <c r="F173" i="43"/>
  <c r="K172" i="43"/>
  <c r="L172" i="43" s="1"/>
  <c r="M172" i="43" s="1"/>
  <c r="J172" i="43"/>
  <c r="I172" i="43"/>
  <c r="F172" i="43"/>
  <c r="K171" i="43"/>
  <c r="K169" i="43" s="1"/>
  <c r="J171" i="43"/>
  <c r="I171" i="43"/>
  <c r="F171" i="43"/>
  <c r="M170" i="43"/>
  <c r="M168" i="43"/>
  <c r="K167" i="43"/>
  <c r="J167" i="43"/>
  <c r="L167" i="43" s="1"/>
  <c r="M167" i="43" s="1"/>
  <c r="I167" i="43"/>
  <c r="F167" i="43"/>
  <c r="K166" i="43"/>
  <c r="J166" i="43"/>
  <c r="L166" i="43" s="1"/>
  <c r="M166" i="43" s="1"/>
  <c r="I166" i="43"/>
  <c r="F166" i="43"/>
  <c r="K165" i="43"/>
  <c r="J165" i="43"/>
  <c r="I165" i="43"/>
  <c r="F165" i="43"/>
  <c r="K164" i="43"/>
  <c r="J164" i="43"/>
  <c r="I164" i="43"/>
  <c r="F164" i="43"/>
  <c r="K163" i="43"/>
  <c r="J163" i="43"/>
  <c r="I163" i="43"/>
  <c r="F163" i="43"/>
  <c r="K162" i="43"/>
  <c r="J162" i="43"/>
  <c r="L162" i="43" s="1"/>
  <c r="M162" i="43" s="1"/>
  <c r="I162" i="43"/>
  <c r="F162" i="43"/>
  <c r="K161" i="43"/>
  <c r="L161" i="43" s="1"/>
  <c r="M161" i="43" s="1"/>
  <c r="J161" i="43"/>
  <c r="I161" i="43"/>
  <c r="F161" i="43"/>
  <c r="K160" i="43"/>
  <c r="J160" i="43"/>
  <c r="I160" i="43"/>
  <c r="F160" i="43"/>
  <c r="K159" i="43"/>
  <c r="J159" i="43"/>
  <c r="I159" i="43"/>
  <c r="F159" i="43"/>
  <c r="J158" i="43"/>
  <c r="F158" i="43"/>
  <c r="K157" i="43"/>
  <c r="J157" i="43"/>
  <c r="I157" i="43"/>
  <c r="F157" i="43"/>
  <c r="K156" i="43"/>
  <c r="J156" i="43"/>
  <c r="I156" i="43"/>
  <c r="F156" i="43"/>
  <c r="K155" i="43"/>
  <c r="J155" i="43"/>
  <c r="I155" i="43"/>
  <c r="F155" i="43"/>
  <c r="K154" i="43"/>
  <c r="J154" i="43"/>
  <c r="I154" i="43"/>
  <c r="F154" i="43"/>
  <c r="K153" i="43"/>
  <c r="J153" i="43"/>
  <c r="I153" i="43"/>
  <c r="F153" i="43"/>
  <c r="K152" i="43"/>
  <c r="J152" i="43"/>
  <c r="I152" i="43"/>
  <c r="F152" i="43"/>
  <c r="J151" i="43"/>
  <c r="L151" i="43" s="1"/>
  <c r="M151" i="43" s="1"/>
  <c r="I151" i="43"/>
  <c r="K151" i="43"/>
  <c r="F151" i="43"/>
  <c r="K150" i="43"/>
  <c r="J150" i="43"/>
  <c r="I150" i="43"/>
  <c r="F150" i="43"/>
  <c r="J149" i="43"/>
  <c r="I149" i="43"/>
  <c r="K149" i="43"/>
  <c r="F149" i="43"/>
  <c r="J148" i="43"/>
  <c r="F148" i="43"/>
  <c r="J147" i="43"/>
  <c r="F147" i="43"/>
  <c r="K146" i="43"/>
  <c r="J146" i="43"/>
  <c r="I146" i="43"/>
  <c r="F146" i="43"/>
  <c r="J145" i="43"/>
  <c r="I145" i="43"/>
  <c r="K145" i="43"/>
  <c r="F145" i="43"/>
  <c r="K144" i="43"/>
  <c r="J144" i="43"/>
  <c r="I144" i="43"/>
  <c r="F144" i="43"/>
  <c r="J143" i="43"/>
  <c r="I143" i="43"/>
  <c r="K143" i="43"/>
  <c r="F143" i="43"/>
  <c r="K142" i="43"/>
  <c r="J142" i="43"/>
  <c r="I142" i="43"/>
  <c r="F142" i="43"/>
  <c r="K141" i="43"/>
  <c r="J141" i="43"/>
  <c r="I141" i="43"/>
  <c r="F141" i="43"/>
  <c r="M140" i="43"/>
  <c r="M138" i="43"/>
  <c r="J137" i="43"/>
  <c r="F137" i="43"/>
  <c r="K136" i="43"/>
  <c r="J136" i="43"/>
  <c r="I136" i="43"/>
  <c r="F136" i="43"/>
  <c r="K135" i="43"/>
  <c r="J135" i="43"/>
  <c r="I135" i="43"/>
  <c r="F135" i="43"/>
  <c r="K134" i="43"/>
  <c r="J134" i="43"/>
  <c r="I134" i="43"/>
  <c r="F134" i="43"/>
  <c r="K133" i="43"/>
  <c r="J133" i="43"/>
  <c r="I133" i="43"/>
  <c r="F133" i="43"/>
  <c r="J132" i="43"/>
  <c r="F132" i="43"/>
  <c r="K131" i="43"/>
  <c r="J131" i="43"/>
  <c r="I131" i="43"/>
  <c r="F131" i="43"/>
  <c r="K130" i="43"/>
  <c r="J130" i="43"/>
  <c r="I130" i="43"/>
  <c r="F130" i="43"/>
  <c r="M129" i="43"/>
  <c r="M127" i="43"/>
  <c r="J126" i="43"/>
  <c r="F126" i="43"/>
  <c r="J125" i="43"/>
  <c r="I125" i="43"/>
  <c r="K125" i="43"/>
  <c r="F125" i="43"/>
  <c r="K124" i="43"/>
  <c r="J124" i="43"/>
  <c r="I124" i="43"/>
  <c r="F124" i="43"/>
  <c r="J123" i="43"/>
  <c r="F123" i="43"/>
  <c r="J122" i="43"/>
  <c r="F122" i="43"/>
  <c r="J121" i="43"/>
  <c r="K121" i="43"/>
  <c r="F121" i="43"/>
  <c r="K120" i="43"/>
  <c r="L120" i="43" s="1"/>
  <c r="M120" i="43" s="1"/>
  <c r="J120" i="43"/>
  <c r="I120" i="43"/>
  <c r="F120" i="43"/>
  <c r="K119" i="43"/>
  <c r="J119" i="43"/>
  <c r="I119" i="43"/>
  <c r="F119" i="43"/>
  <c r="J118" i="43"/>
  <c r="F118" i="43"/>
  <c r="J117" i="43"/>
  <c r="I117" i="43"/>
  <c r="K117" i="43"/>
  <c r="F117" i="43"/>
  <c r="F114" i="43" s="1"/>
  <c r="J116" i="43"/>
  <c r="F116" i="43"/>
  <c r="M115" i="43"/>
  <c r="M113" i="43"/>
  <c r="J112" i="43"/>
  <c r="F112" i="43"/>
  <c r="F107" i="43" s="1"/>
  <c r="L111" i="43"/>
  <c r="M111" i="43" s="1"/>
  <c r="K111" i="43"/>
  <c r="J111" i="43"/>
  <c r="I111" i="43"/>
  <c r="F111" i="43"/>
  <c r="K110" i="43"/>
  <c r="J110" i="43"/>
  <c r="L110" i="43" s="1"/>
  <c r="M110" i="43" s="1"/>
  <c r="I110" i="43"/>
  <c r="F110" i="43"/>
  <c r="K109" i="43"/>
  <c r="J109" i="43"/>
  <c r="I109" i="43"/>
  <c r="F109" i="43"/>
  <c r="M108" i="43"/>
  <c r="M106" i="43"/>
  <c r="K105" i="43"/>
  <c r="J105" i="43"/>
  <c r="I105" i="43"/>
  <c r="F105" i="43"/>
  <c r="J104" i="43"/>
  <c r="F104" i="43"/>
  <c r="K103" i="43"/>
  <c r="J103" i="43"/>
  <c r="I103" i="43"/>
  <c r="F103" i="43"/>
  <c r="K102" i="43"/>
  <c r="J102" i="43"/>
  <c r="I102" i="43"/>
  <c r="F102" i="43"/>
  <c r="K101" i="43"/>
  <c r="J101" i="43"/>
  <c r="I101" i="43"/>
  <c r="F101" i="43"/>
  <c r="K100" i="43"/>
  <c r="J100" i="43"/>
  <c r="I100" i="43"/>
  <c r="F100" i="43"/>
  <c r="N100" i="43" s="1"/>
  <c r="K99" i="43"/>
  <c r="J99" i="43"/>
  <c r="I99" i="43"/>
  <c r="F99" i="43"/>
  <c r="L98" i="43"/>
  <c r="M98" i="43" s="1"/>
  <c r="K98" i="43"/>
  <c r="J98" i="43"/>
  <c r="I98" i="43"/>
  <c r="F98" i="43"/>
  <c r="K97" i="43"/>
  <c r="J97" i="43"/>
  <c r="L97" i="43" s="1"/>
  <c r="M97" i="43" s="1"/>
  <c r="I97" i="43"/>
  <c r="F97" i="43"/>
  <c r="K96" i="43"/>
  <c r="J96" i="43"/>
  <c r="I96" i="43"/>
  <c r="F96" i="43"/>
  <c r="F94" i="43" s="1"/>
  <c r="M95" i="43"/>
  <c r="M93" i="43"/>
  <c r="J92" i="43"/>
  <c r="K92" i="43"/>
  <c r="F92" i="43"/>
  <c r="K91" i="43"/>
  <c r="L91" i="43" s="1"/>
  <c r="M91" i="43" s="1"/>
  <c r="J91" i="43"/>
  <c r="I91" i="43"/>
  <c r="F91" i="43"/>
  <c r="J90" i="43"/>
  <c r="F90" i="43"/>
  <c r="J89" i="43"/>
  <c r="F89" i="43"/>
  <c r="J88" i="43"/>
  <c r="F88" i="43"/>
  <c r="K87" i="43"/>
  <c r="J87" i="43"/>
  <c r="I87" i="43"/>
  <c r="F87" i="43"/>
  <c r="N87" i="43" s="1"/>
  <c r="K86" i="43"/>
  <c r="J86" i="43"/>
  <c r="L86" i="43" s="1"/>
  <c r="M86" i="43" s="1"/>
  <c r="I86" i="43"/>
  <c r="F86" i="43"/>
  <c r="K85" i="43"/>
  <c r="J85" i="43"/>
  <c r="L85" i="43" s="1"/>
  <c r="M85" i="43" s="1"/>
  <c r="I85" i="43"/>
  <c r="F85" i="43"/>
  <c r="K84" i="43"/>
  <c r="J84" i="43"/>
  <c r="I84" i="43"/>
  <c r="F84" i="43"/>
  <c r="N84" i="43" s="1"/>
  <c r="K83" i="43"/>
  <c r="J83" i="43"/>
  <c r="I83" i="43"/>
  <c r="F83" i="43"/>
  <c r="K82" i="43"/>
  <c r="J82" i="43"/>
  <c r="L82" i="43" s="1"/>
  <c r="M82" i="43" s="1"/>
  <c r="I82" i="43"/>
  <c r="F82" i="43"/>
  <c r="J81" i="43"/>
  <c r="F81" i="43"/>
  <c r="F78" i="43" s="1"/>
  <c r="J80" i="43"/>
  <c r="F80" i="43"/>
  <c r="M79" i="43"/>
  <c r="M77" i="43"/>
  <c r="K76" i="43"/>
  <c r="J76" i="43"/>
  <c r="I76" i="43"/>
  <c r="F76" i="43"/>
  <c r="K75" i="43"/>
  <c r="J75" i="43"/>
  <c r="L75" i="43" s="1"/>
  <c r="I75" i="43"/>
  <c r="F75" i="43"/>
  <c r="K74" i="43"/>
  <c r="J74" i="43"/>
  <c r="I74" i="43"/>
  <c r="F74" i="43"/>
  <c r="K73" i="43"/>
  <c r="J73" i="43"/>
  <c r="L73" i="43" s="1"/>
  <c r="M73" i="43" s="1"/>
  <c r="I73" i="43"/>
  <c r="F73" i="43"/>
  <c r="L72" i="43"/>
  <c r="M72" i="43" s="1"/>
  <c r="K72" i="43"/>
  <c r="J72" i="43"/>
  <c r="I72" i="43"/>
  <c r="F72" i="43"/>
  <c r="K71" i="43"/>
  <c r="J71" i="43"/>
  <c r="L71" i="43" s="1"/>
  <c r="I71" i="43"/>
  <c r="F71" i="43"/>
  <c r="K70" i="43"/>
  <c r="J70" i="43"/>
  <c r="L70" i="43" s="1"/>
  <c r="I70" i="43"/>
  <c r="F70" i="43"/>
  <c r="K69" i="43"/>
  <c r="L69" i="43" s="1"/>
  <c r="M69" i="43" s="1"/>
  <c r="J69" i="43"/>
  <c r="I69" i="43"/>
  <c r="F69" i="43"/>
  <c r="K68" i="43"/>
  <c r="J68" i="43"/>
  <c r="I68" i="43"/>
  <c r="F68" i="43"/>
  <c r="N68" i="43" s="1"/>
  <c r="M67" i="43"/>
  <c r="M65" i="43"/>
  <c r="K64" i="43"/>
  <c r="J64" i="43"/>
  <c r="I64" i="43"/>
  <c r="F64" i="43"/>
  <c r="F59" i="43" s="1"/>
  <c r="K63" i="43"/>
  <c r="J63" i="43"/>
  <c r="I63" i="43"/>
  <c r="F63" i="43"/>
  <c r="L62" i="43"/>
  <c r="M62" i="43" s="1"/>
  <c r="K62" i="43"/>
  <c r="J62" i="43"/>
  <c r="I62" i="43"/>
  <c r="F62" i="43"/>
  <c r="K61" i="43"/>
  <c r="J61" i="43"/>
  <c r="L61" i="43" s="1"/>
  <c r="M61" i="43" s="1"/>
  <c r="I61" i="43"/>
  <c r="F61" i="43"/>
  <c r="M60" i="43"/>
  <c r="M58" i="43"/>
  <c r="K57" i="43"/>
  <c r="J57" i="43"/>
  <c r="I57" i="43"/>
  <c r="F57" i="43"/>
  <c r="K56" i="43"/>
  <c r="J56" i="43"/>
  <c r="I56" i="43"/>
  <c r="F56" i="43"/>
  <c r="K55" i="43"/>
  <c r="J55" i="43"/>
  <c r="I55" i="43"/>
  <c r="F55" i="43"/>
  <c r="K54" i="43"/>
  <c r="J54" i="43"/>
  <c r="I54" i="43"/>
  <c r="F54" i="43"/>
  <c r="K53" i="43"/>
  <c r="J53" i="43"/>
  <c r="I53" i="43"/>
  <c r="F53" i="43"/>
  <c r="K52" i="43"/>
  <c r="J52" i="43"/>
  <c r="I52" i="43"/>
  <c r="F52" i="43"/>
  <c r="M51" i="43"/>
  <c r="M49" i="43"/>
  <c r="K48" i="43"/>
  <c r="L48" i="43" s="1"/>
  <c r="M48" i="43" s="1"/>
  <c r="J48" i="43"/>
  <c r="I48" i="43"/>
  <c r="F48" i="43"/>
  <c r="K47" i="43"/>
  <c r="J47" i="43"/>
  <c r="J43" i="43" s="1"/>
  <c r="I47" i="43"/>
  <c r="F47" i="43"/>
  <c r="K46" i="43"/>
  <c r="J46" i="43"/>
  <c r="I46" i="43"/>
  <c r="F46" i="43"/>
  <c r="F43" i="43" s="1"/>
  <c r="L45" i="43"/>
  <c r="M45" i="43" s="1"/>
  <c r="K45" i="43"/>
  <c r="J45" i="43"/>
  <c r="I45" i="43"/>
  <c r="F45" i="43"/>
  <c r="M44" i="43"/>
  <c r="M42" i="43"/>
  <c r="K41" i="43"/>
  <c r="J41" i="43"/>
  <c r="L41" i="43" s="1"/>
  <c r="M41" i="43" s="1"/>
  <c r="I41" i="43"/>
  <c r="F41" i="43"/>
  <c r="K40" i="43"/>
  <c r="J40" i="43"/>
  <c r="L40" i="43" s="1"/>
  <c r="I40" i="43"/>
  <c r="F40" i="43"/>
  <c r="K39" i="43"/>
  <c r="J39" i="43"/>
  <c r="L39" i="43" s="1"/>
  <c r="M39" i="43" s="1"/>
  <c r="I39" i="43"/>
  <c r="F39" i="43"/>
  <c r="K38" i="43"/>
  <c r="J38" i="43"/>
  <c r="L38" i="43" s="1"/>
  <c r="M38" i="43" s="1"/>
  <c r="I38" i="43"/>
  <c r="F38" i="43"/>
  <c r="K37" i="43"/>
  <c r="L37" i="43" s="1"/>
  <c r="M37" i="43" s="1"/>
  <c r="J37" i="43"/>
  <c r="I37" i="43"/>
  <c r="F37" i="43"/>
  <c r="K36" i="43"/>
  <c r="J36" i="43"/>
  <c r="I36" i="43"/>
  <c r="F36" i="43"/>
  <c r="K35" i="43"/>
  <c r="J35" i="43"/>
  <c r="I35" i="43"/>
  <c r="F35" i="43"/>
  <c r="F31" i="43" s="1"/>
  <c r="L34" i="43"/>
  <c r="M34" i="43" s="1"/>
  <c r="K34" i="43"/>
  <c r="J34" i="43"/>
  <c r="I34" i="43"/>
  <c r="F34" i="43"/>
  <c r="K33" i="43"/>
  <c r="J33" i="43"/>
  <c r="I33" i="43"/>
  <c r="F33" i="43"/>
  <c r="M32" i="43"/>
  <c r="AN26" i="43"/>
  <c r="N22" i="43"/>
  <c r="L658" i="42"/>
  <c r="H287" i="43" s="1"/>
  <c r="K287" i="43" s="1"/>
  <c r="L287" i="43" s="1"/>
  <c r="M287" i="43" s="1"/>
  <c r="M658" i="42"/>
  <c r="B658" i="42"/>
  <c r="A658" i="42"/>
  <c r="L655" i="42"/>
  <c r="H286" i="43" s="1"/>
  <c r="I286" i="43" s="1"/>
  <c r="M655" i="42"/>
  <c r="B655" i="42"/>
  <c r="A655" i="42"/>
  <c r="L652" i="42"/>
  <c r="H285" i="43" s="1"/>
  <c r="K285" i="43" s="1"/>
  <c r="M652" i="42"/>
  <c r="B652" i="42"/>
  <c r="A652" i="42"/>
  <c r="B650" i="42"/>
  <c r="A650" i="42"/>
  <c r="L648" i="42"/>
  <c r="L647" i="42" s="1"/>
  <c r="M647" i="42"/>
  <c r="B647" i="42"/>
  <c r="A647" i="42"/>
  <c r="L645" i="42"/>
  <c r="L644" i="42" s="1"/>
  <c r="M644" i="42"/>
  <c r="B644" i="42"/>
  <c r="A644" i="42"/>
  <c r="L642" i="42"/>
  <c r="L641" i="42" s="1"/>
  <c r="M641" i="42"/>
  <c r="B641" i="42"/>
  <c r="A641" i="42"/>
  <c r="L639" i="42"/>
  <c r="L638" i="42" s="1"/>
  <c r="M638" i="42"/>
  <c r="B638" i="42"/>
  <c r="A638" i="42"/>
  <c r="L636" i="42"/>
  <c r="L635" i="42" s="1"/>
  <c r="M635" i="42"/>
  <c r="B635" i="42"/>
  <c r="A635" i="42"/>
  <c r="B633" i="42"/>
  <c r="A633" i="42"/>
  <c r="L631" i="42"/>
  <c r="M630" i="42"/>
  <c r="B630" i="42"/>
  <c r="A630" i="42"/>
  <c r="L628" i="42"/>
  <c r="L627" i="42" s="1"/>
  <c r="H272" i="43" s="1"/>
  <c r="K272" i="43" s="1"/>
  <c r="M627" i="42"/>
  <c r="B627" i="42"/>
  <c r="A627" i="42"/>
  <c r="L625" i="42"/>
  <c r="L624" i="42" s="1"/>
  <c r="M624" i="42"/>
  <c r="B624" i="42"/>
  <c r="A624" i="42"/>
  <c r="L622" i="42"/>
  <c r="L621" i="42" s="1"/>
  <c r="M621" i="42"/>
  <c r="B621" i="42"/>
  <c r="A621" i="42"/>
  <c r="B619" i="42"/>
  <c r="A619" i="42"/>
  <c r="L617" i="42"/>
  <c r="L616" i="42" s="1"/>
  <c r="M616" i="42"/>
  <c r="B616" i="42"/>
  <c r="A616" i="42"/>
  <c r="L614" i="42"/>
  <c r="L613" i="42" s="1"/>
  <c r="M613" i="42"/>
  <c r="B613" i="42"/>
  <c r="A613" i="42"/>
  <c r="L611" i="42"/>
  <c r="L610" i="42" s="1"/>
  <c r="M610" i="42"/>
  <c r="B610" i="42"/>
  <c r="A610" i="42"/>
  <c r="L608" i="42"/>
  <c r="L607" i="42" s="1"/>
  <c r="M607" i="42"/>
  <c r="B607" i="42"/>
  <c r="A607" i="42"/>
  <c r="B605" i="42"/>
  <c r="A605" i="42"/>
  <c r="L603" i="42"/>
  <c r="L602" i="42" s="1"/>
  <c r="M602" i="42"/>
  <c r="B602" i="42"/>
  <c r="A602" i="42"/>
  <c r="L600" i="42"/>
  <c r="L599" i="42" s="1"/>
  <c r="M599" i="42"/>
  <c r="B599" i="42"/>
  <c r="A599" i="42"/>
  <c r="L597" i="42"/>
  <c r="L596" i="42" s="1"/>
  <c r="M596" i="42"/>
  <c r="B596" i="42"/>
  <c r="A596" i="42"/>
  <c r="L594" i="42"/>
  <c r="L593" i="42" s="1"/>
  <c r="M593" i="42"/>
  <c r="B593" i="42"/>
  <c r="A593" i="42"/>
  <c r="L591" i="42"/>
  <c r="L590" i="42" s="1"/>
  <c r="M590" i="42"/>
  <c r="B590" i="42"/>
  <c r="A590" i="42"/>
  <c r="L588" i="42"/>
  <c r="L587" i="42" s="1"/>
  <c r="M587" i="42"/>
  <c r="B587" i="42"/>
  <c r="A587" i="42"/>
  <c r="B585" i="42"/>
  <c r="A585" i="42"/>
  <c r="L583" i="42"/>
  <c r="L582" i="42" s="1"/>
  <c r="M582" i="42"/>
  <c r="B582" i="42"/>
  <c r="A582" i="42"/>
  <c r="B580" i="42"/>
  <c r="A580" i="42"/>
  <c r="L578" i="42"/>
  <c r="L577" i="42" s="1"/>
  <c r="M577" i="42"/>
  <c r="B577" i="42"/>
  <c r="A577" i="42"/>
  <c r="B576" i="42"/>
  <c r="B575" i="42"/>
  <c r="A575" i="42"/>
  <c r="L573" i="42"/>
  <c r="L572" i="42" s="1"/>
  <c r="M572" i="42"/>
  <c r="B572" i="42"/>
  <c r="A572" i="42"/>
  <c r="L570" i="42"/>
  <c r="L569" i="42" s="1"/>
  <c r="M569" i="42"/>
  <c r="B569" i="42"/>
  <c r="A569" i="42"/>
  <c r="M566" i="42"/>
  <c r="L566" i="42"/>
  <c r="B566" i="42"/>
  <c r="A566" i="42"/>
  <c r="M563" i="42"/>
  <c r="L563" i="42"/>
  <c r="B563" i="42"/>
  <c r="A563" i="42"/>
  <c r="B561" i="42"/>
  <c r="A561" i="42"/>
  <c r="M558" i="42"/>
  <c r="L558" i="42"/>
  <c r="B558" i="42"/>
  <c r="A558" i="42"/>
  <c r="M555" i="42"/>
  <c r="L555" i="42"/>
  <c r="B555" i="42"/>
  <c r="A555" i="42"/>
  <c r="B553" i="42"/>
  <c r="A553" i="42"/>
  <c r="M550" i="42"/>
  <c r="L550" i="42"/>
  <c r="B550" i="42"/>
  <c r="A550" i="42"/>
  <c r="B548" i="42"/>
  <c r="A548" i="42"/>
  <c r="A546" i="42"/>
  <c r="L543" i="42"/>
  <c r="H224" i="43" s="1"/>
  <c r="K224" i="43" s="1"/>
  <c r="M543" i="42"/>
  <c r="B543" i="42"/>
  <c r="A543" i="42"/>
  <c r="L540" i="42"/>
  <c r="H223" i="43" s="1"/>
  <c r="K223" i="43" s="1"/>
  <c r="L223" i="43" s="1"/>
  <c r="M540" i="42"/>
  <c r="B540" i="42"/>
  <c r="A540" i="42"/>
  <c r="B538" i="42"/>
  <c r="A538" i="42"/>
  <c r="L535" i="42"/>
  <c r="M535" i="42"/>
  <c r="B535" i="42"/>
  <c r="A535" i="42"/>
  <c r="L532" i="42"/>
  <c r="M532" i="42"/>
  <c r="B532" i="42"/>
  <c r="A532" i="42"/>
  <c r="L530" i="42"/>
  <c r="L529" i="42" s="1"/>
  <c r="M529" i="42"/>
  <c r="B529" i="42"/>
  <c r="A529" i="42"/>
  <c r="L526" i="42"/>
  <c r="H216" i="43" s="1"/>
  <c r="I216" i="43" s="1"/>
  <c r="M526" i="42"/>
  <c r="B526" i="42"/>
  <c r="A526" i="42"/>
  <c r="L523" i="42"/>
  <c r="H215" i="43" s="1"/>
  <c r="K215" i="43" s="1"/>
  <c r="M523" i="42"/>
  <c r="B523" i="42"/>
  <c r="A523" i="42"/>
  <c r="L521" i="42"/>
  <c r="L520" i="42" s="1"/>
  <c r="M520" i="42"/>
  <c r="B520" i="42"/>
  <c r="A520" i="42"/>
  <c r="L518" i="42"/>
  <c r="L517" i="42" s="1"/>
  <c r="M517" i="42"/>
  <c r="B517" i="42"/>
  <c r="A517" i="42"/>
  <c r="B515" i="42"/>
  <c r="A515" i="42"/>
  <c r="L513" i="42"/>
  <c r="L512" i="42" s="1"/>
  <c r="M512" i="42"/>
  <c r="B512" i="42"/>
  <c r="A512" i="42"/>
  <c r="L510" i="42"/>
  <c r="L509" i="42" s="1"/>
  <c r="M509" i="42"/>
  <c r="B509" i="42"/>
  <c r="A509" i="42"/>
  <c r="L507" i="42"/>
  <c r="L506" i="42" s="1"/>
  <c r="M506" i="42"/>
  <c r="B506" i="42"/>
  <c r="A506" i="42"/>
  <c r="L504" i="42"/>
  <c r="L503" i="42" s="1"/>
  <c r="M503" i="42"/>
  <c r="B503" i="42"/>
  <c r="A503" i="42"/>
  <c r="L501" i="42"/>
  <c r="L500" i="42" s="1"/>
  <c r="M500" i="42"/>
  <c r="B500" i="42"/>
  <c r="A500" i="42"/>
  <c r="L498" i="42"/>
  <c r="L497" i="42" s="1"/>
  <c r="M497" i="42"/>
  <c r="B497" i="42"/>
  <c r="A497" i="42"/>
  <c r="L495" i="42"/>
  <c r="L494" i="42" s="1"/>
  <c r="M494" i="42"/>
  <c r="B494" i="42"/>
  <c r="A494" i="42"/>
  <c r="L492" i="42"/>
  <c r="L491" i="42" s="1"/>
  <c r="M491" i="42"/>
  <c r="B491" i="42"/>
  <c r="A491" i="42"/>
  <c r="L489" i="42"/>
  <c r="L488" i="42" s="1"/>
  <c r="M488" i="42"/>
  <c r="B488" i="42"/>
  <c r="A488" i="42"/>
  <c r="L486" i="42"/>
  <c r="L485" i="42" s="1"/>
  <c r="M485" i="42"/>
  <c r="B485" i="42"/>
  <c r="A485" i="42"/>
  <c r="L483" i="42"/>
  <c r="L482" i="42" s="1"/>
  <c r="M482" i="42"/>
  <c r="B482" i="42"/>
  <c r="A482" i="42"/>
  <c r="L480" i="42"/>
  <c r="L479" i="42" s="1"/>
  <c r="M479" i="42"/>
  <c r="B479" i="42"/>
  <c r="A479" i="42"/>
  <c r="L477" i="42"/>
  <c r="L476" i="42" s="1"/>
  <c r="M476" i="42"/>
  <c r="B476" i="42"/>
  <c r="A476" i="42"/>
  <c r="L474" i="42"/>
  <c r="L473" i="42" s="1"/>
  <c r="H196" i="43" s="1"/>
  <c r="I196" i="43" s="1"/>
  <c r="M473" i="42"/>
  <c r="B473" i="42"/>
  <c r="A473" i="42"/>
  <c r="L471" i="42"/>
  <c r="L470" i="42" s="1"/>
  <c r="H195" i="43" s="1"/>
  <c r="K195" i="43" s="1"/>
  <c r="M470" i="42"/>
  <c r="B470" i="42"/>
  <c r="A470" i="42"/>
  <c r="L468" i="42"/>
  <c r="L467" i="42" s="1"/>
  <c r="H194" i="43" s="1"/>
  <c r="I194" i="43" s="1"/>
  <c r="M467" i="42"/>
  <c r="B467" i="42"/>
  <c r="A467" i="42"/>
  <c r="L465" i="42"/>
  <c r="L464" i="42" s="1"/>
  <c r="M464" i="42"/>
  <c r="B464" i="42"/>
  <c r="A464" i="42"/>
  <c r="L462" i="42"/>
  <c r="L461" i="42" s="1"/>
  <c r="M461" i="42"/>
  <c r="B461" i="42"/>
  <c r="A461" i="42"/>
  <c r="L459" i="42"/>
  <c r="L458" i="42" s="1"/>
  <c r="M458" i="42"/>
  <c r="B458" i="42"/>
  <c r="A458" i="42"/>
  <c r="L456" i="42"/>
  <c r="L455" i="42" s="1"/>
  <c r="M455" i="42"/>
  <c r="B455" i="42"/>
  <c r="A455" i="42"/>
  <c r="L453" i="42"/>
  <c r="L452" i="42" s="1"/>
  <c r="M452" i="42"/>
  <c r="B452" i="42"/>
  <c r="A452" i="42"/>
  <c r="L450" i="42"/>
  <c r="L449" i="42" s="1"/>
  <c r="M449" i="42"/>
  <c r="B449" i="42"/>
  <c r="A449" i="42"/>
  <c r="L447" i="42"/>
  <c r="L446" i="42" s="1"/>
  <c r="M446" i="42"/>
  <c r="B446" i="42"/>
  <c r="A446" i="42"/>
  <c r="L444" i="42"/>
  <c r="L443" i="42" s="1"/>
  <c r="M443" i="42"/>
  <c r="B443" i="42"/>
  <c r="A443" i="42"/>
  <c r="L441" i="42"/>
  <c r="L440" i="42" s="1"/>
  <c r="M440" i="42"/>
  <c r="B440" i="42"/>
  <c r="A440" i="42"/>
  <c r="B438" i="42"/>
  <c r="A438" i="42"/>
  <c r="L436" i="42"/>
  <c r="L435" i="42" s="1"/>
  <c r="M435" i="42"/>
  <c r="B435" i="42"/>
  <c r="A435" i="42"/>
  <c r="L433" i="42"/>
  <c r="L432" i="42" s="1"/>
  <c r="M432" i="42"/>
  <c r="B432" i="42"/>
  <c r="A432" i="42"/>
  <c r="L430" i="42"/>
  <c r="L429" i="42" s="1"/>
  <c r="M429" i="42"/>
  <c r="B429" i="42"/>
  <c r="A429" i="42"/>
  <c r="L427" i="42"/>
  <c r="L426" i="42" s="1"/>
  <c r="M426" i="42"/>
  <c r="B426" i="42"/>
  <c r="A426" i="42"/>
  <c r="L424" i="42"/>
  <c r="L423" i="42" s="1"/>
  <c r="M423" i="42"/>
  <c r="B423" i="42"/>
  <c r="A423" i="42"/>
  <c r="L421" i="42"/>
  <c r="L420" i="42" s="1"/>
  <c r="M420" i="42"/>
  <c r="B420" i="42"/>
  <c r="A420" i="42"/>
  <c r="L418" i="42"/>
  <c r="L417" i="42" s="1"/>
  <c r="M417" i="42"/>
  <c r="B417" i="42"/>
  <c r="A417" i="42"/>
  <c r="L415" i="42"/>
  <c r="L414" i="42" s="1"/>
  <c r="M414" i="42"/>
  <c r="B414" i="42"/>
  <c r="A414" i="42"/>
  <c r="L412" i="42"/>
  <c r="L411" i="42" s="1"/>
  <c r="M411" i="42"/>
  <c r="B411" i="42"/>
  <c r="A411" i="42"/>
  <c r="L409" i="42"/>
  <c r="L408" i="42" s="1"/>
  <c r="M408" i="42"/>
  <c r="B408" i="42"/>
  <c r="A408" i="42"/>
  <c r="L406" i="42"/>
  <c r="L405" i="42" s="1"/>
  <c r="M405" i="42"/>
  <c r="B405" i="42"/>
  <c r="A405" i="42"/>
  <c r="B403" i="42"/>
  <c r="A403" i="42"/>
  <c r="L401" i="42"/>
  <c r="L400" i="42" s="1"/>
  <c r="M400" i="42"/>
  <c r="B400" i="42"/>
  <c r="A400" i="42"/>
  <c r="L398" i="42"/>
  <c r="L397" i="42" s="1"/>
  <c r="M397" i="42"/>
  <c r="B397" i="42"/>
  <c r="A397" i="42"/>
  <c r="L392" i="42"/>
  <c r="L391" i="42" s="1"/>
  <c r="M391" i="42"/>
  <c r="B391" i="42"/>
  <c r="A391" i="42"/>
  <c r="L388" i="42"/>
  <c r="M388" i="42"/>
  <c r="A388" i="42"/>
  <c r="L386" i="42"/>
  <c r="L385" i="42" s="1"/>
  <c r="M385" i="42"/>
  <c r="B385" i="42"/>
  <c r="A385" i="42"/>
  <c r="M382" i="42"/>
  <c r="L382" i="42"/>
  <c r="B382" i="42"/>
  <c r="A382" i="42"/>
  <c r="M378" i="42"/>
  <c r="B378" i="42"/>
  <c r="A378" i="42"/>
  <c r="L376" i="42"/>
  <c r="L375" i="42" s="1"/>
  <c r="M375" i="42"/>
  <c r="B375" i="42"/>
  <c r="A375" i="42"/>
  <c r="L372" i="42"/>
  <c r="H158" i="43" s="1"/>
  <c r="K158" i="43" s="1"/>
  <c r="M372" i="42"/>
  <c r="B372" i="42"/>
  <c r="A372" i="42"/>
  <c r="L370" i="42"/>
  <c r="L369" i="42" s="1"/>
  <c r="M369" i="42"/>
  <c r="B369" i="42"/>
  <c r="A369" i="42"/>
  <c r="L367" i="42"/>
  <c r="L366" i="42" s="1"/>
  <c r="M366" i="42"/>
  <c r="B366" i="42"/>
  <c r="A366" i="42"/>
  <c r="L364" i="42"/>
  <c r="L363" i="42" s="1"/>
  <c r="M363" i="42"/>
  <c r="B363" i="42"/>
  <c r="A363" i="42"/>
  <c r="M356" i="42"/>
  <c r="B356" i="42"/>
  <c r="A356" i="42"/>
  <c r="M349" i="42"/>
  <c r="B349" i="42"/>
  <c r="A349" i="42"/>
  <c r="M342" i="42"/>
  <c r="B342" i="42"/>
  <c r="A342" i="42"/>
  <c r="L340" i="42"/>
  <c r="L339" i="42" s="1"/>
  <c r="M339" i="42"/>
  <c r="B339" i="42"/>
  <c r="A339" i="42"/>
  <c r="L334" i="42"/>
  <c r="M334" i="42"/>
  <c r="B334" i="42"/>
  <c r="A334" i="42"/>
  <c r="L332" i="42"/>
  <c r="L331" i="42" s="1"/>
  <c r="M331" i="42"/>
  <c r="B331" i="42"/>
  <c r="A331" i="42"/>
  <c r="L329" i="42"/>
  <c r="M328" i="42"/>
  <c r="B328" i="42"/>
  <c r="A328" i="42"/>
  <c r="L325" i="42"/>
  <c r="H147" i="43" s="1"/>
  <c r="K147" i="43" s="1"/>
  <c r="M325" i="42"/>
  <c r="B325" i="42"/>
  <c r="A325" i="42"/>
  <c r="L323" i="42"/>
  <c r="L322" i="42" s="1"/>
  <c r="M322" i="42"/>
  <c r="B322" i="42"/>
  <c r="A322" i="42"/>
  <c r="L320" i="42"/>
  <c r="M319" i="42"/>
  <c r="B319" i="42"/>
  <c r="A319" i="42"/>
  <c r="L317" i="42"/>
  <c r="L316" i="42" s="1"/>
  <c r="M316" i="42"/>
  <c r="B316" i="42"/>
  <c r="A316" i="42"/>
  <c r="L314" i="42"/>
  <c r="M313" i="42"/>
  <c r="B313" i="42"/>
  <c r="A313" i="42"/>
  <c r="M309" i="42"/>
  <c r="B309" i="42"/>
  <c r="A309" i="42"/>
  <c r="L307" i="42"/>
  <c r="M306" i="42"/>
  <c r="B306" i="42"/>
  <c r="A306" i="42"/>
  <c r="B304" i="42"/>
  <c r="A304" i="42"/>
  <c r="L301" i="42"/>
  <c r="H137" i="43" s="1"/>
  <c r="K137" i="43" s="1"/>
  <c r="M301" i="42"/>
  <c r="B301" i="42"/>
  <c r="A301" i="42"/>
  <c r="L299" i="42"/>
  <c r="L298" i="42" s="1"/>
  <c r="M298" i="42"/>
  <c r="B298" i="42"/>
  <c r="A298" i="42"/>
  <c r="L296" i="42"/>
  <c r="L295" i="42" s="1"/>
  <c r="M295" i="42"/>
  <c r="B295" i="42"/>
  <c r="A295" i="42"/>
  <c r="L293" i="42"/>
  <c r="L292" i="42" s="1"/>
  <c r="M292" i="42"/>
  <c r="B292" i="42"/>
  <c r="A292" i="42"/>
  <c r="L290" i="42"/>
  <c r="M289" i="42"/>
  <c r="B289" i="42"/>
  <c r="A289" i="42"/>
  <c r="K287" i="42"/>
  <c r="L287" i="42" s="1"/>
  <c r="K286" i="42"/>
  <c r="L286" i="42" s="1"/>
  <c r="K285" i="42"/>
  <c r="L285" i="42" s="1"/>
  <c r="K284" i="42"/>
  <c r="L284" i="42" s="1"/>
  <c r="M283" i="42"/>
  <c r="B283" i="42"/>
  <c r="A283" i="42"/>
  <c r="L281" i="42"/>
  <c r="L280" i="42" s="1"/>
  <c r="M280" i="42"/>
  <c r="B280" i="42"/>
  <c r="A280" i="42"/>
  <c r="L278" i="42"/>
  <c r="L277" i="42" s="1"/>
  <c r="M277" i="42"/>
  <c r="B277" i="42"/>
  <c r="A277" i="42"/>
  <c r="B275" i="42"/>
  <c r="A275" i="42"/>
  <c r="L272" i="42"/>
  <c r="H126" i="43" s="1"/>
  <c r="K126" i="43" s="1"/>
  <c r="M272" i="42"/>
  <c r="B272" i="42"/>
  <c r="A272" i="42"/>
  <c r="M269" i="42"/>
  <c r="B269" i="42"/>
  <c r="A269" i="42"/>
  <c r="L267" i="42"/>
  <c r="M266" i="42"/>
  <c r="B266" i="42"/>
  <c r="A266" i="42"/>
  <c r="L263" i="42"/>
  <c r="H123" i="43" s="1"/>
  <c r="K123" i="43" s="1"/>
  <c r="M263" i="42"/>
  <c r="B263" i="42"/>
  <c r="A263" i="42"/>
  <c r="L260" i="42"/>
  <c r="H122" i="43" s="1"/>
  <c r="K122" i="43" s="1"/>
  <c r="M260" i="42"/>
  <c r="B260" i="42"/>
  <c r="A260" i="42"/>
  <c r="L258" i="42"/>
  <c r="L257" i="42" s="1"/>
  <c r="M257" i="42"/>
  <c r="B257" i="42"/>
  <c r="A257" i="42"/>
  <c r="M253" i="42"/>
  <c r="B253" i="42"/>
  <c r="A253" i="42"/>
  <c r="M243" i="42"/>
  <c r="B243" i="42"/>
  <c r="A243" i="42"/>
  <c r="L240" i="42"/>
  <c r="L239" i="42"/>
  <c r="M238" i="42"/>
  <c r="B238" i="42"/>
  <c r="A238" i="42"/>
  <c r="L236" i="42"/>
  <c r="L235" i="42" s="1"/>
  <c r="M235" i="42"/>
  <c r="B235" i="42"/>
  <c r="A235" i="42"/>
  <c r="L233" i="42"/>
  <c r="M232" i="42"/>
  <c r="B232" i="42"/>
  <c r="A232" i="42"/>
  <c r="B230" i="42"/>
  <c r="A230" i="42"/>
  <c r="K228" i="42"/>
  <c r="L228" i="42" s="1"/>
  <c r="K227" i="42"/>
  <c r="L227" i="42" s="1"/>
  <c r="K226" i="42"/>
  <c r="L226" i="42" s="1"/>
  <c r="K225" i="42"/>
  <c r="L225" i="42" s="1"/>
  <c r="K224" i="42"/>
  <c r="L224" i="42" s="1"/>
  <c r="K223" i="42"/>
  <c r="L223" i="42" s="1"/>
  <c r="K222" i="42"/>
  <c r="L222" i="42" s="1"/>
  <c r="K221" i="42"/>
  <c r="L221" i="42" s="1"/>
  <c r="K220" i="42"/>
  <c r="L220" i="42" s="1"/>
  <c r="K219" i="42"/>
  <c r="L219" i="42" s="1"/>
  <c r="K218" i="42"/>
  <c r="L218" i="42" s="1"/>
  <c r="K217" i="42"/>
  <c r="L217" i="42" s="1"/>
  <c r="K216" i="42"/>
  <c r="L216" i="42" s="1"/>
  <c r="K215" i="42"/>
  <c r="L215" i="42" s="1"/>
  <c r="K214" i="42"/>
  <c r="L214" i="42" s="1"/>
  <c r="K213" i="42"/>
  <c r="L213" i="42" s="1"/>
  <c r="K212" i="42"/>
  <c r="L212" i="42" s="1"/>
  <c r="K211" i="42"/>
  <c r="L211" i="42" s="1"/>
  <c r="K210" i="42"/>
  <c r="L210" i="42" s="1"/>
  <c r="E209" i="42"/>
  <c r="K209" i="42" s="1"/>
  <c r="L209" i="42" s="1"/>
  <c r="M207" i="42"/>
  <c r="B207" i="42"/>
  <c r="A207" i="42"/>
  <c r="L205" i="42"/>
  <c r="L204" i="42" s="1"/>
  <c r="M204" i="42"/>
  <c r="B204" i="42"/>
  <c r="A204" i="42"/>
  <c r="L202" i="42"/>
  <c r="L201" i="42" s="1"/>
  <c r="M201" i="42"/>
  <c r="B201" i="42"/>
  <c r="A201" i="42"/>
  <c r="L199" i="42"/>
  <c r="L198" i="42" s="1"/>
  <c r="M198" i="42"/>
  <c r="B198" i="42"/>
  <c r="A198" i="42"/>
  <c r="B196" i="42"/>
  <c r="A196" i="42"/>
  <c r="L194" i="42"/>
  <c r="L193" i="42" s="1"/>
  <c r="M193" i="42"/>
  <c r="B193" i="42"/>
  <c r="A193" i="42"/>
  <c r="L191" i="42"/>
  <c r="M190" i="42"/>
  <c r="B190" i="42"/>
  <c r="A190" i="42"/>
  <c r="M187" i="42"/>
  <c r="L187" i="42"/>
  <c r="B187" i="42"/>
  <c r="A187" i="42"/>
  <c r="L185" i="42"/>
  <c r="L184" i="42" s="1"/>
  <c r="M184" i="42"/>
  <c r="B184" i="42"/>
  <c r="A184" i="42"/>
  <c r="L182" i="42"/>
  <c r="L181" i="42" s="1"/>
  <c r="M181" i="42"/>
  <c r="B181" i="42"/>
  <c r="A181" i="42"/>
  <c r="L179" i="42"/>
  <c r="L178" i="42" s="1"/>
  <c r="M178" i="42"/>
  <c r="B178" i="42"/>
  <c r="A178" i="42"/>
  <c r="L176" i="42"/>
  <c r="L175" i="42" s="1"/>
  <c r="M175" i="42"/>
  <c r="B175" i="42"/>
  <c r="A175" i="42"/>
  <c r="L173" i="42"/>
  <c r="L172" i="42" s="1"/>
  <c r="M172" i="42"/>
  <c r="B172" i="42"/>
  <c r="A172" i="42"/>
  <c r="L170" i="42"/>
  <c r="L169" i="42" s="1"/>
  <c r="M169" i="42"/>
  <c r="B169" i="42"/>
  <c r="A169" i="42"/>
  <c r="L167" i="42"/>
  <c r="L166" i="42" s="1"/>
  <c r="M166" i="42"/>
  <c r="B166" i="42"/>
  <c r="A166" i="42"/>
  <c r="B164" i="42"/>
  <c r="A164" i="42"/>
  <c r="K162" i="42"/>
  <c r="L162" i="42" s="1"/>
  <c r="L161" i="42" s="1"/>
  <c r="M161" i="42"/>
  <c r="B161" i="42"/>
  <c r="A161" i="42"/>
  <c r="L159" i="42"/>
  <c r="L158" i="42" s="1"/>
  <c r="M158" i="42"/>
  <c r="B158" i="42"/>
  <c r="A158" i="42"/>
  <c r="L155" i="42"/>
  <c r="H90" i="43" s="1"/>
  <c r="I90" i="43" s="1"/>
  <c r="M155" i="42"/>
  <c r="B155" i="42"/>
  <c r="A155" i="42"/>
  <c r="L153" i="42"/>
  <c r="L152" i="42" s="1"/>
  <c r="H89" i="43" s="1"/>
  <c r="K89" i="43" s="1"/>
  <c r="M152" i="42"/>
  <c r="B152" i="42"/>
  <c r="A152" i="42"/>
  <c r="L149" i="42"/>
  <c r="H88" i="43" s="1"/>
  <c r="I88" i="43" s="1"/>
  <c r="M149" i="42"/>
  <c r="B149" i="42"/>
  <c r="A149" i="42"/>
  <c r="M145" i="42"/>
  <c r="B145" i="42"/>
  <c r="A145" i="42"/>
  <c r="L143" i="42"/>
  <c r="L142" i="42" s="1"/>
  <c r="M142" i="42"/>
  <c r="B142" i="42"/>
  <c r="A142" i="42"/>
  <c r="L140" i="42"/>
  <c r="L139" i="42" s="1"/>
  <c r="M139" i="42"/>
  <c r="B139" i="42"/>
  <c r="A139" i="42"/>
  <c r="L137" i="42"/>
  <c r="L136" i="42" s="1"/>
  <c r="M136" i="42"/>
  <c r="B136" i="42"/>
  <c r="A136" i="42"/>
  <c r="L134" i="42"/>
  <c r="L133" i="42" s="1"/>
  <c r="M133" i="42"/>
  <c r="B133" i="42"/>
  <c r="A133" i="42"/>
  <c r="L131" i="42"/>
  <c r="L130" i="42" s="1"/>
  <c r="M130" i="42"/>
  <c r="B130" i="42"/>
  <c r="A130" i="42"/>
  <c r="L127" i="42"/>
  <c r="H81" i="43" s="1"/>
  <c r="K81" i="43" s="1"/>
  <c r="M127" i="42"/>
  <c r="B127" i="42"/>
  <c r="A127" i="42"/>
  <c r="L124" i="42"/>
  <c r="H80" i="43" s="1"/>
  <c r="K80" i="43" s="1"/>
  <c r="M124" i="42"/>
  <c r="B124" i="42"/>
  <c r="A124" i="42"/>
  <c r="B122" i="42"/>
  <c r="A122" i="42"/>
  <c r="L120" i="42"/>
  <c r="L119" i="42" s="1"/>
  <c r="M119" i="42"/>
  <c r="B119" i="42"/>
  <c r="A119" i="42"/>
  <c r="L117" i="42"/>
  <c r="L116" i="42" s="1"/>
  <c r="M116" i="42"/>
  <c r="B116" i="42"/>
  <c r="A116" i="42"/>
  <c r="L114" i="42"/>
  <c r="L113" i="42" s="1"/>
  <c r="M113" i="42"/>
  <c r="B113" i="42"/>
  <c r="A113" i="42"/>
  <c r="L111" i="42"/>
  <c r="L110" i="42" s="1"/>
  <c r="M110" i="42"/>
  <c r="B110" i="42"/>
  <c r="A110" i="42"/>
  <c r="L108" i="42"/>
  <c r="L107" i="42" s="1"/>
  <c r="M107" i="42"/>
  <c r="B107" i="42"/>
  <c r="A107" i="42"/>
  <c r="L105" i="42"/>
  <c r="L104" i="42" s="1"/>
  <c r="M104" i="42"/>
  <c r="B104" i="42"/>
  <c r="A104" i="42"/>
  <c r="L102" i="42"/>
  <c r="L101" i="42" s="1"/>
  <c r="M101" i="42"/>
  <c r="B101" i="42"/>
  <c r="A101" i="42"/>
  <c r="M98" i="42"/>
  <c r="L98" i="42"/>
  <c r="B98" i="42"/>
  <c r="A98" i="42"/>
  <c r="L96" i="42"/>
  <c r="L95" i="42" s="1"/>
  <c r="M95" i="42"/>
  <c r="B95" i="42"/>
  <c r="A95" i="42"/>
  <c r="B93" i="42"/>
  <c r="A93" i="42"/>
  <c r="M90" i="42"/>
  <c r="L90" i="42"/>
  <c r="B90" i="42"/>
  <c r="A90" i="42"/>
  <c r="M83" i="42"/>
  <c r="B83" i="42"/>
  <c r="A83" i="42"/>
  <c r="L81" i="42"/>
  <c r="L80" i="42" s="1"/>
  <c r="M80" i="42"/>
  <c r="B80" i="42"/>
  <c r="A80" i="42"/>
  <c r="L78" i="42"/>
  <c r="L77" i="42" s="1"/>
  <c r="M77" i="42"/>
  <c r="B77" i="42"/>
  <c r="A77" i="42"/>
  <c r="B75" i="42"/>
  <c r="A75" i="42"/>
  <c r="L73" i="42"/>
  <c r="L72" i="42" s="1"/>
  <c r="M72" i="42"/>
  <c r="B72" i="42"/>
  <c r="A72" i="42"/>
  <c r="L70" i="42"/>
  <c r="L69" i="42" s="1"/>
  <c r="M69" i="42"/>
  <c r="B69" i="42"/>
  <c r="A69" i="42"/>
  <c r="L67" i="42"/>
  <c r="L66" i="42" s="1"/>
  <c r="M66" i="42"/>
  <c r="B66" i="42"/>
  <c r="A66" i="42"/>
  <c r="L64" i="42"/>
  <c r="L63" i="42" s="1"/>
  <c r="M63" i="42"/>
  <c r="B63" i="42"/>
  <c r="A63" i="42"/>
  <c r="L61" i="42"/>
  <c r="L60" i="42" s="1"/>
  <c r="M60" i="42"/>
  <c r="B60" i="42"/>
  <c r="A60" i="42"/>
  <c r="L58" i="42"/>
  <c r="L57" i="42" s="1"/>
  <c r="M57" i="42"/>
  <c r="B57" i="42"/>
  <c r="A57" i="42"/>
  <c r="B55" i="42"/>
  <c r="A55" i="42"/>
  <c r="L53" i="42"/>
  <c r="L52" i="42" s="1"/>
  <c r="M52" i="42"/>
  <c r="B52" i="42"/>
  <c r="A52" i="42"/>
  <c r="L50" i="42"/>
  <c r="L49" i="42" s="1"/>
  <c r="M49" i="42"/>
  <c r="B49" i="42"/>
  <c r="A49" i="42"/>
  <c r="L47" i="42"/>
  <c r="L46" i="42" s="1"/>
  <c r="M46" i="42"/>
  <c r="B46" i="42"/>
  <c r="A46" i="42"/>
  <c r="L44" i="42"/>
  <c r="L43" i="42" s="1"/>
  <c r="M43" i="42"/>
  <c r="B43" i="42"/>
  <c r="A43" i="42"/>
  <c r="B41" i="42"/>
  <c r="A41" i="42"/>
  <c r="L39" i="42"/>
  <c r="L38" i="42" s="1"/>
  <c r="M38" i="42"/>
  <c r="B38" i="42"/>
  <c r="A38" i="42"/>
  <c r="L36" i="42"/>
  <c r="L35" i="42" s="1"/>
  <c r="M35" i="42"/>
  <c r="B35" i="42"/>
  <c r="A35" i="42"/>
  <c r="L33" i="42"/>
  <c r="L32" i="42" s="1"/>
  <c r="M32" i="42"/>
  <c r="B32" i="42"/>
  <c r="A32" i="42"/>
  <c r="L30" i="42"/>
  <c r="L29" i="42" s="1"/>
  <c r="M29" i="42"/>
  <c r="B29" i="42"/>
  <c r="A29" i="42"/>
  <c r="L27" i="42"/>
  <c r="L26" i="42" s="1"/>
  <c r="M26" i="42"/>
  <c r="B26" i="42"/>
  <c r="A26" i="42"/>
  <c r="L24" i="42"/>
  <c r="L23" i="42" s="1"/>
  <c r="M23" i="42"/>
  <c r="B23" i="42"/>
  <c r="A23" i="42"/>
  <c r="L21" i="42"/>
  <c r="L20" i="42" s="1"/>
  <c r="M20" i="42"/>
  <c r="B20" i="42"/>
  <c r="A20" i="42"/>
  <c r="L18" i="42"/>
  <c r="L17" i="42" s="1"/>
  <c r="M17" i="42"/>
  <c r="B17" i="42"/>
  <c r="A17" i="42"/>
  <c r="L15" i="42"/>
  <c r="L14" i="42" s="1"/>
  <c r="M14" i="42"/>
  <c r="B14" i="42"/>
  <c r="A14" i="42"/>
  <c r="B12" i="42"/>
  <c r="A10" i="42"/>
  <c r="D414" i="41"/>
  <c r="L414" i="41" s="1"/>
  <c r="L413" i="41" s="1"/>
  <c r="I272" i="43" l="1"/>
  <c r="I224" i="43"/>
  <c r="K286" i="43"/>
  <c r="L286" i="43" s="1"/>
  <c r="M286" i="43" s="1"/>
  <c r="I285" i="43"/>
  <c r="I287" i="43"/>
  <c r="I137" i="43"/>
  <c r="I223" i="43"/>
  <c r="K196" i="43"/>
  <c r="L196" i="43" s="1"/>
  <c r="M196" i="43" s="1"/>
  <c r="L264" i="43"/>
  <c r="L163" i="43"/>
  <c r="L87" i="43"/>
  <c r="M87" i="43" s="1"/>
  <c r="K221" i="43"/>
  <c r="I123" i="43"/>
  <c r="L285" i="43"/>
  <c r="M285" i="43" s="1"/>
  <c r="K216" i="43"/>
  <c r="K211" i="43" s="1"/>
  <c r="I215" i="43"/>
  <c r="K194" i="43"/>
  <c r="L194" i="43" s="1"/>
  <c r="M194" i="43" s="1"/>
  <c r="I195" i="43"/>
  <c r="I158" i="43"/>
  <c r="I147" i="43"/>
  <c r="I122" i="43"/>
  <c r="I126" i="43"/>
  <c r="L238" i="42"/>
  <c r="H118" i="43" s="1"/>
  <c r="K118" i="43" s="1"/>
  <c r="L118" i="43" s="1"/>
  <c r="M118" i="43" s="1"/>
  <c r="K88" i="43"/>
  <c r="L88" i="43" s="1"/>
  <c r="M88" i="43" s="1"/>
  <c r="K90" i="43"/>
  <c r="L90" i="43" s="1"/>
  <c r="M90" i="43" s="1"/>
  <c r="I81" i="43"/>
  <c r="I89" i="43"/>
  <c r="I80" i="43"/>
  <c r="L89" i="43"/>
  <c r="M89" i="43" s="1"/>
  <c r="L63" i="43"/>
  <c r="M63" i="43" s="1"/>
  <c r="L266" i="42"/>
  <c r="L270" i="42" s="1"/>
  <c r="L269" i="42" s="1"/>
  <c r="L313" i="42"/>
  <c r="L306" i="42"/>
  <c r="L630" i="42"/>
  <c r="L319" i="42"/>
  <c r="L328" i="42"/>
  <c r="L273" i="43"/>
  <c r="M273" i="43" s="1"/>
  <c r="L272" i="43"/>
  <c r="M272" i="43" s="1"/>
  <c r="L278" i="43"/>
  <c r="M278" i="43" s="1"/>
  <c r="L193" i="43"/>
  <c r="M193" i="43" s="1"/>
  <c r="L55" i="43"/>
  <c r="M55" i="43" s="1"/>
  <c r="L57" i="43"/>
  <c r="K59" i="43"/>
  <c r="L81" i="43"/>
  <c r="M81" i="43" s="1"/>
  <c r="L99" i="43"/>
  <c r="M99" i="43" s="1"/>
  <c r="L101" i="43"/>
  <c r="M101" i="43" s="1"/>
  <c r="L103" i="43"/>
  <c r="M103" i="43" s="1"/>
  <c r="L119" i="43"/>
  <c r="M119" i="43" s="1"/>
  <c r="L185" i="43"/>
  <c r="L189" i="43"/>
  <c r="M189" i="43" s="1"/>
  <c r="L215" i="43"/>
  <c r="M215" i="43" s="1"/>
  <c r="L217" i="43"/>
  <c r="M217" i="43" s="1"/>
  <c r="L219" i="43"/>
  <c r="M219" i="43" s="1"/>
  <c r="L125" i="43"/>
  <c r="M125" i="43" s="1"/>
  <c r="K31" i="43"/>
  <c r="L35" i="43"/>
  <c r="L130" i="43"/>
  <c r="L134" i="43"/>
  <c r="L136" i="43"/>
  <c r="M136" i="43" s="1"/>
  <c r="L153" i="43"/>
  <c r="M153" i="43" s="1"/>
  <c r="L155" i="43"/>
  <c r="M155" i="43" s="1"/>
  <c r="L157" i="43"/>
  <c r="M157" i="43" s="1"/>
  <c r="L159" i="43"/>
  <c r="M159" i="43" s="1"/>
  <c r="L171" i="43"/>
  <c r="L200" i="43"/>
  <c r="M200" i="43" s="1"/>
  <c r="L214" i="43"/>
  <c r="M214" i="43" s="1"/>
  <c r="L52" i="43"/>
  <c r="L54" i="43"/>
  <c r="M54" i="43" s="1"/>
  <c r="L56" i="43"/>
  <c r="M56" i="43" s="1"/>
  <c r="L68" i="43"/>
  <c r="M68" i="43" s="1"/>
  <c r="L80" i="43"/>
  <c r="M80" i="43" s="1"/>
  <c r="L100" i="43"/>
  <c r="M100" i="43" s="1"/>
  <c r="L102" i="43"/>
  <c r="M102" i="43" s="1"/>
  <c r="L122" i="43"/>
  <c r="M122" i="43" s="1"/>
  <c r="L124" i="43"/>
  <c r="M124" i="43" s="1"/>
  <c r="L126" i="43"/>
  <c r="M126" i="43" s="1"/>
  <c r="L141" i="43"/>
  <c r="M141" i="43" s="1"/>
  <c r="L147" i="43"/>
  <c r="M147" i="43" s="1"/>
  <c r="L188" i="43"/>
  <c r="M188" i="43" s="1"/>
  <c r="L190" i="43"/>
  <c r="M190" i="43" s="1"/>
  <c r="L208" i="43"/>
  <c r="M208" i="43" s="1"/>
  <c r="L218" i="43"/>
  <c r="M218" i="43" s="1"/>
  <c r="K50" i="43"/>
  <c r="K66" i="43"/>
  <c r="L143" i="43"/>
  <c r="M143" i="43" s="1"/>
  <c r="L36" i="43"/>
  <c r="L46" i="43"/>
  <c r="M46" i="43" s="1"/>
  <c r="L64" i="43"/>
  <c r="L74" i="43"/>
  <c r="M74" i="43" s="1"/>
  <c r="L76" i="43"/>
  <c r="M76" i="43" s="1"/>
  <c r="L105" i="43"/>
  <c r="M105" i="43" s="1"/>
  <c r="L131" i="43"/>
  <c r="M131" i="43" s="1"/>
  <c r="L133" i="43"/>
  <c r="M133" i="43" s="1"/>
  <c r="L135" i="43"/>
  <c r="L152" i="43"/>
  <c r="M152" i="43" s="1"/>
  <c r="L154" i="43"/>
  <c r="M154" i="43" s="1"/>
  <c r="L156" i="43"/>
  <c r="M156" i="43" s="1"/>
  <c r="L158" i="43"/>
  <c r="M158" i="43" s="1"/>
  <c r="L160" i="43"/>
  <c r="M160" i="43" s="1"/>
  <c r="L195" i="43"/>
  <c r="M195" i="43" s="1"/>
  <c r="L206" i="43"/>
  <c r="M206" i="43" s="1"/>
  <c r="L209" i="43"/>
  <c r="M209" i="43" s="1"/>
  <c r="L121" i="43"/>
  <c r="M121" i="43" s="1"/>
  <c r="L204" i="43"/>
  <c r="M204" i="43" s="1"/>
  <c r="J31" i="43"/>
  <c r="J107" i="43"/>
  <c r="L181" i="43"/>
  <c r="M181" i="43" s="1"/>
  <c r="N110" i="43"/>
  <c r="N136" i="43"/>
  <c r="L92" i="43"/>
  <c r="M92" i="43" s="1"/>
  <c r="J128" i="43"/>
  <c r="L201" i="43"/>
  <c r="L142" i="43"/>
  <c r="M142" i="43" s="1"/>
  <c r="L66" i="43"/>
  <c r="M66" i="43" s="1"/>
  <c r="M230" i="43"/>
  <c r="L228" i="43"/>
  <c r="M228" i="43" s="1"/>
  <c r="M177" i="43"/>
  <c r="K43" i="43"/>
  <c r="J78" i="43"/>
  <c r="K104" i="43"/>
  <c r="L104" i="43" s="1"/>
  <c r="I104" i="43"/>
  <c r="L117" i="43"/>
  <c r="M117" i="43" s="1"/>
  <c r="L123" i="43"/>
  <c r="M123" i="43" s="1"/>
  <c r="L165" i="43"/>
  <c r="M165" i="43" s="1"/>
  <c r="M185" i="43"/>
  <c r="L192" i="43"/>
  <c r="M192" i="43" s="1"/>
  <c r="L199" i="43"/>
  <c r="M199" i="43" s="1"/>
  <c r="L205" i="43"/>
  <c r="M205" i="43" s="1"/>
  <c r="M263" i="43"/>
  <c r="L261" i="43"/>
  <c r="M261" i="43" s="1"/>
  <c r="L281" i="43"/>
  <c r="M281" i="43" s="1"/>
  <c r="L186" i="43"/>
  <c r="M186" i="43" s="1"/>
  <c r="J50" i="43"/>
  <c r="L53" i="43"/>
  <c r="M53" i="43" s="1"/>
  <c r="F139" i="43"/>
  <c r="M40" i="43"/>
  <c r="F50" i="43"/>
  <c r="F289" i="43" s="1"/>
  <c r="L21" i="43" s="1"/>
  <c r="M57" i="43"/>
  <c r="M64" i="43"/>
  <c r="F66" i="43"/>
  <c r="M75" i="43"/>
  <c r="L144" i="43"/>
  <c r="M144" i="43" s="1"/>
  <c r="L149" i="43"/>
  <c r="M149" i="43" s="1"/>
  <c r="M174" i="43"/>
  <c r="J183" i="43"/>
  <c r="L203" i="43"/>
  <c r="M203" i="43" s="1"/>
  <c r="M250" i="43"/>
  <c r="L248" i="43"/>
  <c r="M248" i="43" s="1"/>
  <c r="L254" i="43"/>
  <c r="J252" i="43"/>
  <c r="M171" i="43"/>
  <c r="J139" i="43"/>
  <c r="M36" i="43"/>
  <c r="M134" i="43"/>
  <c r="L145" i="43"/>
  <c r="M145" i="43" s="1"/>
  <c r="L33" i="43"/>
  <c r="L146" i="43"/>
  <c r="M146" i="43" s="1"/>
  <c r="L187" i="43"/>
  <c r="M187" i="43" s="1"/>
  <c r="M201" i="43"/>
  <c r="K207" i="43"/>
  <c r="L207" i="43" s="1"/>
  <c r="M207" i="43" s="1"/>
  <c r="I207" i="43"/>
  <c r="L224" i="43"/>
  <c r="M224" i="43" s="1"/>
  <c r="L239" i="43"/>
  <c r="M246" i="43"/>
  <c r="L244" i="43"/>
  <c r="M244" i="43" s="1"/>
  <c r="L270" i="43"/>
  <c r="K268" i="43"/>
  <c r="K275" i="43"/>
  <c r="K139" i="43"/>
  <c r="K94" i="43"/>
  <c r="M223" i="43"/>
  <c r="M257" i="43"/>
  <c r="M35" i="43"/>
  <c r="M52" i="43"/>
  <c r="M70" i="43"/>
  <c r="N109" i="43"/>
  <c r="K116" i="43"/>
  <c r="I116" i="43"/>
  <c r="J114" i="43"/>
  <c r="F128" i="43"/>
  <c r="M135" i="43"/>
  <c r="J169" i="43"/>
  <c r="K191" i="43"/>
  <c r="I191" i="43"/>
  <c r="M264" i="43"/>
  <c r="M130" i="43"/>
  <c r="J275" i="43"/>
  <c r="L277" i="43"/>
  <c r="M71" i="43"/>
  <c r="L109" i="43"/>
  <c r="M163" i="43"/>
  <c r="J59" i="43"/>
  <c r="J66" i="43"/>
  <c r="L83" i="43"/>
  <c r="L96" i="43"/>
  <c r="J94" i="43"/>
  <c r="L116" i="43"/>
  <c r="L137" i="43"/>
  <c r="M137" i="43" s="1"/>
  <c r="K148" i="43"/>
  <c r="L148" i="43" s="1"/>
  <c r="M148" i="43" s="1"/>
  <c r="I148" i="43"/>
  <c r="L150" i="43"/>
  <c r="M150" i="43" s="1"/>
  <c r="L164" i="43"/>
  <c r="M164" i="43" s="1"/>
  <c r="L191" i="43"/>
  <c r="M191" i="43" s="1"/>
  <c r="K202" i="43"/>
  <c r="L202" i="43" s="1"/>
  <c r="M202" i="43" s="1"/>
  <c r="I202" i="43"/>
  <c r="L213" i="43"/>
  <c r="L280" i="43"/>
  <c r="M280" i="43" s="1"/>
  <c r="L84" i="43"/>
  <c r="M84" i="43" s="1"/>
  <c r="L47" i="43"/>
  <c r="I271" i="43"/>
  <c r="I280" i="43"/>
  <c r="I92" i="43"/>
  <c r="I121" i="43"/>
  <c r="I181" i="43"/>
  <c r="I201" i="43"/>
  <c r="L235" i="43"/>
  <c r="J248" i="43"/>
  <c r="J261" i="43"/>
  <c r="N261" i="43" s="1"/>
  <c r="I270" i="43"/>
  <c r="I200" i="43"/>
  <c r="L207" i="42"/>
  <c r="H112" i="43" s="1"/>
  <c r="L232" i="42"/>
  <c r="L283" i="42"/>
  <c r="H132" i="43" s="1"/>
  <c r="L289" i="42"/>
  <c r="L190" i="42"/>
  <c r="D707" i="41"/>
  <c r="L707" i="41"/>
  <c r="L706" i="41" s="1"/>
  <c r="H281" i="40" s="1"/>
  <c r="D704" i="41"/>
  <c r="L704" i="41"/>
  <c r="L703" i="41" s="1"/>
  <c r="H280" i="40" s="1"/>
  <c r="L698" i="41"/>
  <c r="L697" i="41" s="1"/>
  <c r="H278" i="40" s="1"/>
  <c r="D695" i="41"/>
  <c r="L695" i="41" s="1"/>
  <c r="L694" i="41" s="1"/>
  <c r="H277" i="40" s="1"/>
  <c r="K690" i="41"/>
  <c r="L690" i="41" s="1"/>
  <c r="L689" i="41"/>
  <c r="K689" i="41"/>
  <c r="D683" i="41"/>
  <c r="L683" i="41" s="1"/>
  <c r="L682" i="41" s="1"/>
  <c r="H271" i="40" s="1"/>
  <c r="D680" i="41"/>
  <c r="L680" i="41" s="1"/>
  <c r="L679" i="41" s="1"/>
  <c r="H270" i="40" s="1"/>
  <c r="D565" i="41"/>
  <c r="L565" i="41" s="1"/>
  <c r="L564" i="41" s="1"/>
  <c r="H207" i="40" s="1"/>
  <c r="H200" i="40"/>
  <c r="D535" i="41"/>
  <c r="L535" i="41" s="1"/>
  <c r="L534" i="41" s="1"/>
  <c r="H197" i="40" s="1"/>
  <c r="H191" i="40"/>
  <c r="H188" i="40"/>
  <c r="H187" i="40"/>
  <c r="L571" i="41"/>
  <c r="L570" i="41" s="1"/>
  <c r="H209" i="40" s="1"/>
  <c r="L568" i="41"/>
  <c r="L567" i="41" s="1"/>
  <c r="L562" i="41"/>
  <c r="L561" i="41" s="1"/>
  <c r="L559" i="41"/>
  <c r="L558" i="41" s="1"/>
  <c r="L556" i="41"/>
  <c r="L555" i="41" s="1"/>
  <c r="L553" i="41"/>
  <c r="L552" i="41" s="1"/>
  <c r="H203" i="40" s="1"/>
  <c r="L550" i="41"/>
  <c r="L549" i="41" s="1"/>
  <c r="H202" i="40" s="1"/>
  <c r="L547" i="41"/>
  <c r="L546" i="41" s="1"/>
  <c r="H201" i="40" s="1"/>
  <c r="L544" i="41"/>
  <c r="L543" i="41" s="1"/>
  <c r="L541" i="41"/>
  <c r="L540" i="41" s="1"/>
  <c r="H199" i="40" s="1"/>
  <c r="L538" i="41"/>
  <c r="L537" i="41" s="1"/>
  <c r="H198" i="40" s="1"/>
  <c r="L532" i="41"/>
  <c r="L531" i="41" s="1"/>
  <c r="L529" i="41"/>
  <c r="L528" i="41" s="1"/>
  <c r="L526" i="41"/>
  <c r="L525" i="41" s="1"/>
  <c r="L523" i="41"/>
  <c r="L522" i="41" s="1"/>
  <c r="H193" i="40" s="1"/>
  <c r="L520" i="41"/>
  <c r="L519" i="41" s="1"/>
  <c r="H192" i="40" s="1"/>
  <c r="L517" i="41"/>
  <c r="L516" i="41" s="1"/>
  <c r="L514" i="41"/>
  <c r="L513" i="41" s="1"/>
  <c r="L511" i="41"/>
  <c r="L510" i="41" s="1"/>
  <c r="L508" i="41"/>
  <c r="L507" i="41" s="1"/>
  <c r="L505" i="41"/>
  <c r="L504" i="41" s="1"/>
  <c r="L502" i="41"/>
  <c r="L501" i="41"/>
  <c r="L499" i="41"/>
  <c r="L498" i="41" s="1"/>
  <c r="L494" i="41"/>
  <c r="L453" i="41"/>
  <c r="L432" i="41"/>
  <c r="L429" i="41"/>
  <c r="L408" i="41"/>
  <c r="L407" i="41" s="1"/>
  <c r="H149" i="40" s="1"/>
  <c r="L405" i="41"/>
  <c r="L404" i="41"/>
  <c r="L400" i="41" s="1"/>
  <c r="H148" i="40" s="1"/>
  <c r="L403" i="41"/>
  <c r="L402" i="41"/>
  <c r="L401" i="41"/>
  <c r="L395" i="41"/>
  <c r="L392" i="41"/>
  <c r="L391" i="41"/>
  <c r="L390" i="41"/>
  <c r="L389" i="41"/>
  <c r="L388" i="41"/>
  <c r="L387" i="41"/>
  <c r="L386" i="41"/>
  <c r="L377" i="41"/>
  <c r="L378" i="41"/>
  <c r="L379" i="41"/>
  <c r="L380" i="41"/>
  <c r="L376" i="41"/>
  <c r="L373" i="41"/>
  <c r="L372" i="41"/>
  <c r="L368" i="41"/>
  <c r="L369" i="41"/>
  <c r="L367" i="41"/>
  <c r="L456" i="41"/>
  <c r="D300" i="41"/>
  <c r="L300" i="41" s="1"/>
  <c r="D283" i="41"/>
  <c r="L283" i="41" s="1"/>
  <c r="L283" i="43" l="1"/>
  <c r="M283" i="43" s="1"/>
  <c r="K283" i="43"/>
  <c r="L216" i="43"/>
  <c r="M216" i="43" s="1"/>
  <c r="I118" i="43"/>
  <c r="L59" i="43"/>
  <c r="K132" i="43"/>
  <c r="I132" i="43"/>
  <c r="K78" i="43"/>
  <c r="K112" i="43"/>
  <c r="I112" i="43"/>
  <c r="K114" i="43"/>
  <c r="K183" i="43"/>
  <c r="L169" i="43"/>
  <c r="M169" i="43" s="1"/>
  <c r="J289" i="43"/>
  <c r="L23" i="43" s="1"/>
  <c r="L50" i="43"/>
  <c r="M50" i="43" s="1"/>
  <c r="M22" i="43"/>
  <c r="M104" i="43"/>
  <c r="N104" i="43"/>
  <c r="M33" i="43"/>
  <c r="L31" i="43"/>
  <c r="L139" i="43"/>
  <c r="L232" i="43"/>
  <c r="M232" i="43" s="1"/>
  <c r="M235" i="43"/>
  <c r="M213" i="43"/>
  <c r="M254" i="43"/>
  <c r="L252" i="43"/>
  <c r="M252" i="43" s="1"/>
  <c r="M83" i="43"/>
  <c r="L78" i="43"/>
  <c r="M78" i="43" s="1"/>
  <c r="M109" i="43"/>
  <c r="L268" i="43"/>
  <c r="M270" i="43"/>
  <c r="L221" i="43"/>
  <c r="M221" i="43" s="1"/>
  <c r="M116" i="43"/>
  <c r="L114" i="43"/>
  <c r="M96" i="43"/>
  <c r="L94" i="43"/>
  <c r="M94" i="43" s="1"/>
  <c r="M277" i="43"/>
  <c r="L275" i="43"/>
  <c r="M275" i="43" s="1"/>
  <c r="L183" i="43"/>
  <c r="M47" i="43"/>
  <c r="L43" i="43"/>
  <c r="M43" i="43" s="1"/>
  <c r="M239" i="43"/>
  <c r="L237" i="43"/>
  <c r="M237" i="43" s="1"/>
  <c r="L688" i="41"/>
  <c r="H273" i="40" s="1"/>
  <c r="L375" i="41"/>
  <c r="H143" i="40" s="1"/>
  <c r="L385" i="41"/>
  <c r="H145" i="40" s="1"/>
  <c r="L366" i="41"/>
  <c r="H141" i="40" s="1"/>
  <c r="L371" i="41"/>
  <c r="D290" i="41"/>
  <c r="L290" i="41" s="1"/>
  <c r="D291" i="41"/>
  <c r="L291" i="41" s="1"/>
  <c r="D289" i="41"/>
  <c r="L289" i="41" s="1"/>
  <c r="D288" i="41"/>
  <c r="L288" i="41" s="1"/>
  <c r="D287" i="41"/>
  <c r="L287" i="41" s="1"/>
  <c r="D286" i="41"/>
  <c r="L286" i="41" s="1"/>
  <c r="L211" i="43" l="1"/>
  <c r="N211" i="43" s="1"/>
  <c r="M59" i="43"/>
  <c r="N59" i="43"/>
  <c r="M139" i="43"/>
  <c r="N139" i="43"/>
  <c r="K128" i="43"/>
  <c r="L132" i="43"/>
  <c r="K107" i="43"/>
  <c r="L112" i="43"/>
  <c r="M183" i="43"/>
  <c r="N183" i="43"/>
  <c r="M31" i="43"/>
  <c r="M268" i="43"/>
  <c r="M114" i="43"/>
  <c r="N114" i="43"/>
  <c r="L285" i="41"/>
  <c r="H118" i="40" s="1"/>
  <c r="M211" i="43" l="1"/>
  <c r="K289" i="43"/>
  <c r="L24" i="43" s="1"/>
  <c r="L22" i="43" s="1"/>
  <c r="M132" i="43"/>
  <c r="L128" i="43"/>
  <c r="M128" i="43" s="1"/>
  <c r="M112" i="43"/>
  <c r="L107" i="43"/>
  <c r="N112" i="43"/>
  <c r="K350" i="41"/>
  <c r="L350" i="41" s="1"/>
  <c r="K340" i="41"/>
  <c r="L340" i="41" s="1"/>
  <c r="K339" i="41"/>
  <c r="L339" i="41" s="1"/>
  <c r="K334" i="41"/>
  <c r="L334" i="41" s="1"/>
  <c r="K349" i="41"/>
  <c r="L349" i="41" s="1"/>
  <c r="K348" i="41"/>
  <c r="L348" i="41" s="1"/>
  <c r="K347" i="41"/>
  <c r="L347" i="41" s="1"/>
  <c r="K346" i="41"/>
  <c r="L346" i="41" s="1"/>
  <c r="K345" i="41"/>
  <c r="L345" i="41" s="1"/>
  <c r="K344" i="41"/>
  <c r="L344" i="41" s="1"/>
  <c r="K343" i="41"/>
  <c r="L343" i="41" s="1"/>
  <c r="K342" i="41"/>
  <c r="L342" i="41" s="1"/>
  <c r="K341" i="41"/>
  <c r="L341" i="41" s="1"/>
  <c r="K338" i="41"/>
  <c r="L338" i="41" s="1"/>
  <c r="K337" i="41"/>
  <c r="L337" i="41" s="1"/>
  <c r="K336" i="41"/>
  <c r="L336" i="41" s="1"/>
  <c r="K335" i="41"/>
  <c r="L335" i="41" s="1"/>
  <c r="A352" i="41"/>
  <c r="B352" i="41"/>
  <c r="M352" i="41"/>
  <c r="L353" i="41"/>
  <c r="L352" i="41" s="1"/>
  <c r="A355" i="41"/>
  <c r="B355" i="41"/>
  <c r="M355" i="41"/>
  <c r="L356" i="41"/>
  <c r="L355" i="41" s="1"/>
  <c r="B366" i="41"/>
  <c r="M107" i="43" l="1"/>
  <c r="L289" i="43"/>
  <c r="M289" i="43" s="1"/>
  <c r="L333" i="41"/>
  <c r="H133" i="40" s="1"/>
  <c r="K331" i="41" l="1"/>
  <c r="L331" i="41" s="1"/>
  <c r="K330" i="41"/>
  <c r="L330" i="41" s="1"/>
  <c r="K329" i="41"/>
  <c r="L329" i="41" s="1"/>
  <c r="K328" i="41"/>
  <c r="L328" i="41" s="1"/>
  <c r="D311" i="41"/>
  <c r="L311" i="41" s="1"/>
  <c r="L310" i="41"/>
  <c r="N281" i="41"/>
  <c r="N283" i="41"/>
  <c r="N280" i="41"/>
  <c r="N279" i="41"/>
  <c r="N278" i="41"/>
  <c r="N276" i="41"/>
  <c r="N277" i="41"/>
  <c r="L327" i="41" l="1"/>
  <c r="D280" i="41"/>
  <c r="L280" i="41" s="1"/>
  <c r="K251" i="41"/>
  <c r="L251" i="41" s="1"/>
  <c r="K252" i="41"/>
  <c r="L252" i="41" s="1"/>
  <c r="K253" i="41"/>
  <c r="L253" i="41" s="1"/>
  <c r="K254" i="41"/>
  <c r="L254" i="41" s="1"/>
  <c r="K255" i="41"/>
  <c r="L255" i="41" s="1"/>
  <c r="K256" i="41"/>
  <c r="L256" i="41" s="1"/>
  <c r="K257" i="41"/>
  <c r="L257" i="41" s="1"/>
  <c r="K258" i="41"/>
  <c r="L258" i="41" s="1"/>
  <c r="K259" i="41"/>
  <c r="L259" i="41" s="1"/>
  <c r="K260" i="41"/>
  <c r="L260" i="41" s="1"/>
  <c r="K261" i="41"/>
  <c r="L261" i="41" s="1"/>
  <c r="K262" i="41"/>
  <c r="L262" i="41" s="1"/>
  <c r="K263" i="41"/>
  <c r="L263" i="41" s="1"/>
  <c r="K264" i="41"/>
  <c r="L264" i="41" s="1"/>
  <c r="K265" i="41"/>
  <c r="L265" i="41" s="1"/>
  <c r="K266" i="41"/>
  <c r="L266" i="41" s="1"/>
  <c r="K267" i="41"/>
  <c r="L267" i="41" s="1"/>
  <c r="K268" i="41"/>
  <c r="L268" i="41" s="1"/>
  <c r="K269" i="41"/>
  <c r="L269" i="41" s="1"/>
  <c r="K270" i="41"/>
  <c r="L270" i="41" s="1"/>
  <c r="K271" i="41"/>
  <c r="L271" i="41" s="1"/>
  <c r="K272" i="41"/>
  <c r="L272" i="41" s="1"/>
  <c r="K273" i="41"/>
  <c r="L273" i="41" s="1"/>
  <c r="K274" i="41"/>
  <c r="L274" i="41" s="1"/>
  <c r="K275" i="41"/>
  <c r="L275" i="41" s="1"/>
  <c r="K276" i="41"/>
  <c r="L276" i="41" s="1"/>
  <c r="K277" i="41"/>
  <c r="L277" i="41" s="1"/>
  <c r="K250" i="41"/>
  <c r="L250" i="41" s="1"/>
  <c r="D279" i="41"/>
  <c r="L279" i="41" s="1"/>
  <c r="D278" i="41"/>
  <c r="L278" i="41" s="1"/>
  <c r="L248" i="41" l="1"/>
  <c r="H116" i="40" s="1"/>
  <c r="K244" i="41" l="1"/>
  <c r="L244" i="41" s="1"/>
  <c r="K243" i="41"/>
  <c r="L243" i="41" s="1"/>
  <c r="K242" i="41"/>
  <c r="L242" i="41" s="1"/>
  <c r="K241" i="41"/>
  <c r="L241" i="41" s="1"/>
  <c r="K240" i="41"/>
  <c r="L240" i="41" s="1"/>
  <c r="K239" i="41"/>
  <c r="L239" i="41" s="1"/>
  <c r="K238" i="41"/>
  <c r="L238" i="41" s="1"/>
  <c r="K237" i="41"/>
  <c r="L237" i="41" s="1"/>
  <c r="K236" i="41"/>
  <c r="L236" i="41" s="1"/>
  <c r="K235" i="41"/>
  <c r="L235" i="41" s="1"/>
  <c r="K234" i="41"/>
  <c r="L234" i="41" s="1"/>
  <c r="K233" i="41"/>
  <c r="L233" i="41" s="1"/>
  <c r="K232" i="41"/>
  <c r="L232" i="41" s="1"/>
  <c r="K231" i="41"/>
  <c r="L231" i="41" s="1"/>
  <c r="K230" i="41"/>
  <c r="L230" i="41" s="1"/>
  <c r="K229" i="41"/>
  <c r="L229" i="41" s="1"/>
  <c r="K228" i="41"/>
  <c r="L228" i="41" s="1"/>
  <c r="K227" i="41"/>
  <c r="L227" i="41" s="1"/>
  <c r="K226" i="41"/>
  <c r="L226" i="41" s="1"/>
  <c r="E225" i="41"/>
  <c r="K207" i="41"/>
  <c r="L207" i="41" s="1"/>
  <c r="K206" i="41"/>
  <c r="L206" i="41" s="1"/>
  <c r="K205" i="41"/>
  <c r="L205" i="41" s="1"/>
  <c r="K204" i="41"/>
  <c r="L204" i="41" s="1"/>
  <c r="K203" i="41"/>
  <c r="L203" i="41" s="1"/>
  <c r="K202" i="41"/>
  <c r="L202" i="41" s="1"/>
  <c r="K201" i="41"/>
  <c r="L201" i="41" s="1"/>
  <c r="K200" i="41"/>
  <c r="L200" i="41" s="1"/>
  <c r="K199" i="41"/>
  <c r="L199" i="41" s="1"/>
  <c r="K198" i="41"/>
  <c r="L198" i="41" s="1"/>
  <c r="K197" i="41"/>
  <c r="L197" i="41" s="1"/>
  <c r="K196" i="41"/>
  <c r="L196" i="41" s="1"/>
  <c r="K195" i="41"/>
  <c r="L195" i="41" s="1"/>
  <c r="K194" i="41"/>
  <c r="L194" i="41" s="1"/>
  <c r="K193" i="41"/>
  <c r="L193" i="41" s="1"/>
  <c r="K192" i="41"/>
  <c r="L192" i="41" s="1"/>
  <c r="K191" i="41"/>
  <c r="L191" i="41" s="1"/>
  <c r="K190" i="41"/>
  <c r="L190" i="41" s="1"/>
  <c r="K189" i="41"/>
  <c r="L189" i="41" s="1"/>
  <c r="K188" i="41"/>
  <c r="L188" i="41" s="1"/>
  <c r="K187" i="41"/>
  <c r="L187" i="41" s="1"/>
  <c r="K157" i="41"/>
  <c r="L157" i="41" s="1"/>
  <c r="L39" i="41"/>
  <c r="K225" i="41" l="1"/>
  <c r="L225" i="41" s="1"/>
  <c r="L223" i="41" s="1"/>
  <c r="L718" i="41" l="1"/>
  <c r="L717" i="41" s="1"/>
  <c r="M717" i="41"/>
  <c r="B717" i="41"/>
  <c r="A717" i="41"/>
  <c r="L715" i="41"/>
  <c r="L714" i="41" s="1"/>
  <c r="M714" i="41"/>
  <c r="B714" i="41"/>
  <c r="A714" i="41"/>
  <c r="L712" i="41"/>
  <c r="L711" i="41" s="1"/>
  <c r="M711" i="41"/>
  <c r="B711" i="41"/>
  <c r="A711" i="41"/>
  <c r="B709" i="41"/>
  <c r="A709" i="41"/>
  <c r="M706" i="41"/>
  <c r="B706" i="41"/>
  <c r="A706" i="41"/>
  <c r="M703" i="41"/>
  <c r="B703" i="41"/>
  <c r="A703" i="41"/>
  <c r="L701" i="41"/>
  <c r="L700" i="41" s="1"/>
  <c r="M700" i="41"/>
  <c r="B700" i="41"/>
  <c r="A700" i="41"/>
  <c r="M697" i="41"/>
  <c r="B697" i="41"/>
  <c r="A697" i="41"/>
  <c r="M694" i="41"/>
  <c r="B694" i="41"/>
  <c r="A694" i="41"/>
  <c r="B692" i="41"/>
  <c r="A692" i="41"/>
  <c r="M688" i="41"/>
  <c r="B688" i="41"/>
  <c r="A688" i="41"/>
  <c r="L686" i="41"/>
  <c r="L685" i="41" s="1"/>
  <c r="M685" i="41"/>
  <c r="B685" i="41"/>
  <c r="A685" i="41"/>
  <c r="M682" i="41"/>
  <c r="B682" i="41"/>
  <c r="A682" i="41"/>
  <c r="M679" i="41"/>
  <c r="B679" i="41"/>
  <c r="A679" i="41"/>
  <c r="B677" i="41"/>
  <c r="A677" i="41"/>
  <c r="L675" i="41"/>
  <c r="L674" i="41" s="1"/>
  <c r="M674" i="41"/>
  <c r="B674" i="41"/>
  <c r="A674" i="41"/>
  <c r="L672" i="41"/>
  <c r="L671" i="41" s="1"/>
  <c r="M671" i="41"/>
  <c r="B671" i="41"/>
  <c r="A671" i="41"/>
  <c r="M668" i="41"/>
  <c r="B668" i="41"/>
  <c r="A668" i="41"/>
  <c r="M665" i="41"/>
  <c r="B665" i="41"/>
  <c r="A665" i="41"/>
  <c r="B663" i="41"/>
  <c r="A663" i="41"/>
  <c r="L661" i="41"/>
  <c r="L660" i="41" s="1"/>
  <c r="M660" i="41"/>
  <c r="B660" i="41"/>
  <c r="A660" i="41"/>
  <c r="L658" i="41"/>
  <c r="L657" i="41" s="1"/>
  <c r="M657" i="41"/>
  <c r="B657" i="41"/>
  <c r="A657" i="41"/>
  <c r="L655" i="41"/>
  <c r="L654" i="41" s="1"/>
  <c r="M654" i="41"/>
  <c r="B654" i="41"/>
  <c r="A654" i="41"/>
  <c r="L652" i="41"/>
  <c r="L651" i="41" s="1"/>
  <c r="M651" i="41"/>
  <c r="B651" i="41"/>
  <c r="A651" i="41"/>
  <c r="L649" i="41"/>
  <c r="L648" i="41" s="1"/>
  <c r="M648" i="41"/>
  <c r="B648" i="41"/>
  <c r="A648" i="41"/>
  <c r="L646" i="41"/>
  <c r="L645" i="41" s="1"/>
  <c r="M645" i="41"/>
  <c r="B645" i="41"/>
  <c r="A645" i="41"/>
  <c r="B643" i="41"/>
  <c r="A643" i="41"/>
  <c r="L641" i="41"/>
  <c r="L640" i="41" s="1"/>
  <c r="L666" i="41" s="1"/>
  <c r="M640" i="41"/>
  <c r="B640" i="41"/>
  <c r="A640" i="41"/>
  <c r="B638" i="41"/>
  <c r="A638" i="41"/>
  <c r="L636" i="41"/>
  <c r="M635" i="41"/>
  <c r="B635" i="41"/>
  <c r="A635" i="41"/>
  <c r="B634" i="41"/>
  <c r="B633" i="41"/>
  <c r="A633" i="41"/>
  <c r="L631" i="41"/>
  <c r="M630" i="41"/>
  <c r="B630" i="41"/>
  <c r="A630" i="41"/>
  <c r="M627" i="41"/>
  <c r="B627" i="41"/>
  <c r="A627" i="41"/>
  <c r="M624" i="41"/>
  <c r="L624" i="41"/>
  <c r="B624" i="41"/>
  <c r="A624" i="41"/>
  <c r="M621" i="41"/>
  <c r="L621" i="41"/>
  <c r="B621" i="41"/>
  <c r="A621" i="41"/>
  <c r="B619" i="41"/>
  <c r="A619" i="41"/>
  <c r="M616" i="41"/>
  <c r="L616" i="41"/>
  <c r="B616" i="41"/>
  <c r="A616" i="41"/>
  <c r="M613" i="41"/>
  <c r="L613" i="41"/>
  <c r="B613" i="41"/>
  <c r="A613" i="41"/>
  <c r="B611" i="41"/>
  <c r="A611" i="41"/>
  <c r="M608" i="41"/>
  <c r="L608" i="41"/>
  <c r="B608" i="41"/>
  <c r="A608" i="41"/>
  <c r="B606" i="41"/>
  <c r="A606" i="41"/>
  <c r="A604" i="41"/>
  <c r="L602" i="41"/>
  <c r="L601" i="41" s="1"/>
  <c r="M601" i="41"/>
  <c r="B601" i="41"/>
  <c r="A601" i="41"/>
  <c r="L599" i="41"/>
  <c r="L598" i="41" s="1"/>
  <c r="M598" i="41"/>
  <c r="B598" i="41"/>
  <c r="A598" i="41"/>
  <c r="B596" i="41"/>
  <c r="A596" i="41"/>
  <c r="L594" i="41"/>
  <c r="L593" i="41" s="1"/>
  <c r="M593" i="41"/>
  <c r="B593" i="41"/>
  <c r="A593" i="41"/>
  <c r="L591" i="41"/>
  <c r="L590" i="41" s="1"/>
  <c r="M590" i="41"/>
  <c r="B590" i="41"/>
  <c r="A590" i="41"/>
  <c r="L588" i="41"/>
  <c r="L587" i="41" s="1"/>
  <c r="M587" i="41"/>
  <c r="B587" i="41"/>
  <c r="A587" i="41"/>
  <c r="L585" i="41"/>
  <c r="L584" i="41" s="1"/>
  <c r="M584" i="41"/>
  <c r="B584" i="41"/>
  <c r="A584" i="41"/>
  <c r="L582" i="41"/>
  <c r="L581" i="41" s="1"/>
  <c r="M581" i="41"/>
  <c r="B581" i="41"/>
  <c r="A581" i="41"/>
  <c r="L579" i="41"/>
  <c r="L578" i="41" s="1"/>
  <c r="M578" i="41"/>
  <c r="B578" i="41"/>
  <c r="A578" i="41"/>
  <c r="L576" i="41"/>
  <c r="L575" i="41" s="1"/>
  <c r="M575" i="41"/>
  <c r="B575" i="41"/>
  <c r="A575" i="41"/>
  <c r="B573" i="41"/>
  <c r="A573" i="41"/>
  <c r="M570" i="41"/>
  <c r="B570" i="41"/>
  <c r="A570" i="41"/>
  <c r="M567" i="41"/>
  <c r="B567" i="41"/>
  <c r="A567" i="41"/>
  <c r="M564" i="41"/>
  <c r="B564" i="41"/>
  <c r="A564" i="41"/>
  <c r="M561" i="41"/>
  <c r="B561" i="41"/>
  <c r="A561" i="41"/>
  <c r="M558" i="41"/>
  <c r="B558" i="41"/>
  <c r="A558" i="41"/>
  <c r="M555" i="41"/>
  <c r="B555" i="41"/>
  <c r="A555" i="41"/>
  <c r="M552" i="41"/>
  <c r="B552" i="41"/>
  <c r="A552" i="41"/>
  <c r="M549" i="41"/>
  <c r="B549" i="41"/>
  <c r="A549" i="41"/>
  <c r="M546" i="41"/>
  <c r="B546" i="41"/>
  <c r="A546" i="41"/>
  <c r="M543" i="41"/>
  <c r="B543" i="41"/>
  <c r="A543" i="41"/>
  <c r="M540" i="41"/>
  <c r="B540" i="41"/>
  <c r="A540" i="41"/>
  <c r="M537" i="41"/>
  <c r="B537" i="41"/>
  <c r="A537" i="41"/>
  <c r="M534" i="41"/>
  <c r="B534" i="41"/>
  <c r="A534" i="41"/>
  <c r="M531" i="41"/>
  <c r="B531" i="41"/>
  <c r="A531" i="41"/>
  <c r="M528" i="41"/>
  <c r="B528" i="41"/>
  <c r="A528" i="41"/>
  <c r="M525" i="41"/>
  <c r="B525" i="41"/>
  <c r="A525" i="41"/>
  <c r="M522" i="41"/>
  <c r="B522" i="41"/>
  <c r="A522" i="41"/>
  <c r="M519" i="41"/>
  <c r="B519" i="41"/>
  <c r="A519" i="41"/>
  <c r="M516" i="41"/>
  <c r="B516" i="41"/>
  <c r="A516" i="41"/>
  <c r="M513" i="41"/>
  <c r="B513" i="41"/>
  <c r="A513" i="41"/>
  <c r="M510" i="41"/>
  <c r="B510" i="41"/>
  <c r="A510" i="41"/>
  <c r="M507" i="41"/>
  <c r="B507" i="41"/>
  <c r="A507" i="41"/>
  <c r="M504" i="41"/>
  <c r="B504" i="41"/>
  <c r="A504" i="41"/>
  <c r="M501" i="41"/>
  <c r="B501" i="41"/>
  <c r="A501" i="41"/>
  <c r="M498" i="41"/>
  <c r="B498" i="41"/>
  <c r="A498" i="41"/>
  <c r="B496" i="41"/>
  <c r="A496" i="41"/>
  <c r="L493" i="41"/>
  <c r="H181" i="40" s="1"/>
  <c r="M493" i="41"/>
  <c r="B493" i="41"/>
  <c r="A493" i="41"/>
  <c r="L491" i="41"/>
  <c r="L490" i="41" s="1"/>
  <c r="M490" i="41"/>
  <c r="B490" i="41"/>
  <c r="A490" i="41"/>
  <c r="L488" i="41"/>
  <c r="L487" i="41" s="1"/>
  <c r="M487" i="41"/>
  <c r="B487" i="41"/>
  <c r="A487" i="41"/>
  <c r="L485" i="41"/>
  <c r="L484" i="41" s="1"/>
  <c r="M484" i="41"/>
  <c r="B484" i="41"/>
  <c r="A484" i="41"/>
  <c r="L482" i="41"/>
  <c r="L481" i="41" s="1"/>
  <c r="M481" i="41"/>
  <c r="B481" i="41"/>
  <c r="A481" i="41"/>
  <c r="L479" i="41"/>
  <c r="L478" i="41" s="1"/>
  <c r="M478" i="41"/>
  <c r="B478" i="41"/>
  <c r="A478" i="41"/>
  <c r="L476" i="41"/>
  <c r="L475" i="41" s="1"/>
  <c r="M475" i="41"/>
  <c r="B475" i="41"/>
  <c r="A475" i="41"/>
  <c r="L473" i="41"/>
  <c r="L472" i="41" s="1"/>
  <c r="M472" i="41"/>
  <c r="B472" i="41"/>
  <c r="A472" i="41"/>
  <c r="L470" i="41"/>
  <c r="L469" i="41" s="1"/>
  <c r="M469" i="41"/>
  <c r="B469" i="41"/>
  <c r="A469" i="41"/>
  <c r="L467" i="41"/>
  <c r="L466" i="41" s="1"/>
  <c r="M466" i="41"/>
  <c r="B466" i="41"/>
  <c r="A466" i="41"/>
  <c r="L464" i="41"/>
  <c r="L463" i="41" s="1"/>
  <c r="M463" i="41"/>
  <c r="B463" i="41"/>
  <c r="A463" i="41"/>
  <c r="B461" i="41"/>
  <c r="A461" i="41"/>
  <c r="L459" i="41"/>
  <c r="L458" i="41" s="1"/>
  <c r="M458" i="41"/>
  <c r="B458" i="41"/>
  <c r="A458" i="41"/>
  <c r="M455" i="41"/>
  <c r="B455" i="41"/>
  <c r="A455" i="41"/>
  <c r="L452" i="41"/>
  <c r="H164" i="40" s="1"/>
  <c r="M452" i="41"/>
  <c r="B452" i="41"/>
  <c r="A452" i="41"/>
  <c r="L450" i="41"/>
  <c r="L449" i="41" s="1"/>
  <c r="M449" i="41"/>
  <c r="A449" i="41"/>
  <c r="L447" i="41"/>
  <c r="L446" i="41" s="1"/>
  <c r="M446" i="41"/>
  <c r="B446" i="41"/>
  <c r="A446" i="41"/>
  <c r="M443" i="41"/>
  <c r="L443" i="41"/>
  <c r="B443" i="41"/>
  <c r="A443" i="41"/>
  <c r="L441" i="41"/>
  <c r="L440" i="41" s="1"/>
  <c r="M440" i="41"/>
  <c r="B440" i="41"/>
  <c r="A440" i="41"/>
  <c r="L438" i="41"/>
  <c r="L437" i="41" s="1"/>
  <c r="M437" i="41"/>
  <c r="B437" i="41"/>
  <c r="A437" i="41"/>
  <c r="L435" i="41"/>
  <c r="L434" i="41" s="1"/>
  <c r="M434" i="41"/>
  <c r="B434" i="41"/>
  <c r="A434" i="41"/>
  <c r="L431" i="41"/>
  <c r="H157" i="40" s="1"/>
  <c r="M431" i="41"/>
  <c r="B431" i="41"/>
  <c r="A431" i="41"/>
  <c r="L428" i="41"/>
  <c r="H156" i="40" s="1"/>
  <c r="M428" i="41"/>
  <c r="B428" i="41"/>
  <c r="A428" i="41"/>
  <c r="L426" i="41"/>
  <c r="L425" i="41" s="1"/>
  <c r="M425" i="41"/>
  <c r="B425" i="41"/>
  <c r="A425" i="41"/>
  <c r="L423" i="41"/>
  <c r="L422" i="41" s="1"/>
  <c r="M422" i="41"/>
  <c r="B422" i="41"/>
  <c r="A422" i="41"/>
  <c r="L420" i="41"/>
  <c r="L419" i="41" s="1"/>
  <c r="M419" i="41"/>
  <c r="B419" i="41"/>
  <c r="A419" i="41"/>
  <c r="L417" i="41"/>
  <c r="L416" i="41" s="1"/>
  <c r="M416" i="41"/>
  <c r="B416" i="41"/>
  <c r="A416" i="41"/>
  <c r="H151" i="40"/>
  <c r="K151" i="40" s="1"/>
  <c r="M413" i="41"/>
  <c r="B413" i="41"/>
  <c r="A413" i="41"/>
  <c r="L411" i="41"/>
  <c r="L410" i="41" s="1"/>
  <c r="M410" i="41"/>
  <c r="B410" i="41"/>
  <c r="A410" i="41"/>
  <c r="M407" i="41"/>
  <c r="B407" i="41"/>
  <c r="A407" i="41"/>
  <c r="M400" i="41"/>
  <c r="B400" i="41"/>
  <c r="A400" i="41"/>
  <c r="L398" i="41"/>
  <c r="L397" i="41" s="1"/>
  <c r="M397" i="41"/>
  <c r="B397" i="41"/>
  <c r="A397" i="41"/>
  <c r="L394" i="41"/>
  <c r="H146" i="40" s="1"/>
  <c r="I146" i="40" s="1"/>
  <c r="M394" i="41"/>
  <c r="B394" i="41"/>
  <c r="A394" i="41"/>
  <c r="M385" i="41"/>
  <c r="B385" i="41"/>
  <c r="A385" i="41"/>
  <c r="L383" i="41"/>
  <c r="L382" i="41" s="1"/>
  <c r="M382" i="41"/>
  <c r="B382" i="41"/>
  <c r="A382" i="41"/>
  <c r="M375" i="41"/>
  <c r="B375" i="41"/>
  <c r="A375" i="41"/>
  <c r="M371" i="41"/>
  <c r="B371" i="41"/>
  <c r="A371" i="41"/>
  <c r="M366" i="41"/>
  <c r="A366" i="41"/>
  <c r="B364" i="41"/>
  <c r="A364" i="41"/>
  <c r="L362" i="41"/>
  <c r="L361" i="41" s="1"/>
  <c r="M361" i="41"/>
  <c r="B361" i="41"/>
  <c r="A361" i="41"/>
  <c r="L359" i="41"/>
  <c r="L358" i="41" s="1"/>
  <c r="M358" i="41"/>
  <c r="B358" i="41"/>
  <c r="A358" i="41"/>
  <c r="M333" i="41"/>
  <c r="B333" i="41"/>
  <c r="A333" i="41"/>
  <c r="M327" i="41"/>
  <c r="B327" i="41"/>
  <c r="A327" i="41"/>
  <c r="L325" i="41"/>
  <c r="M324" i="41"/>
  <c r="B324" i="41"/>
  <c r="A324" i="41"/>
  <c r="L322" i="41"/>
  <c r="M321" i="41"/>
  <c r="B321" i="41"/>
  <c r="A321" i="41"/>
  <c r="B319" i="41"/>
  <c r="A319" i="41"/>
  <c r="L317" i="41"/>
  <c r="L316" i="41" s="1"/>
  <c r="M316" i="41"/>
  <c r="B316" i="41"/>
  <c r="A316" i="41"/>
  <c r="M313" i="41"/>
  <c r="B313" i="41"/>
  <c r="A313" i="41"/>
  <c r="M308" i="41"/>
  <c r="B308" i="41"/>
  <c r="A308" i="41"/>
  <c r="L306" i="41"/>
  <c r="L305" i="41" s="1"/>
  <c r="M305" i="41"/>
  <c r="B305" i="41"/>
  <c r="A305" i="41"/>
  <c r="L303" i="41"/>
  <c r="L302" i="41" s="1"/>
  <c r="M302" i="41"/>
  <c r="B302" i="41"/>
  <c r="A302" i="41"/>
  <c r="L299" i="41"/>
  <c r="H121" i="40" s="1"/>
  <c r="I121" i="40" s="1"/>
  <c r="M299" i="41"/>
  <c r="B299" i="41"/>
  <c r="A299" i="41"/>
  <c r="L297" i="41"/>
  <c r="L296" i="41" s="1"/>
  <c r="M296" i="41"/>
  <c r="B296" i="41"/>
  <c r="A296" i="41"/>
  <c r="L294" i="41"/>
  <c r="L293" i="41" s="1"/>
  <c r="M293" i="41"/>
  <c r="B293" i="41"/>
  <c r="A293" i="41"/>
  <c r="M285" i="41"/>
  <c r="B285" i="41"/>
  <c r="A285" i="41"/>
  <c r="L282" i="41"/>
  <c r="H117" i="40" s="1"/>
  <c r="M282" i="41"/>
  <c r="B282" i="41"/>
  <c r="A282" i="41"/>
  <c r="M248" i="41"/>
  <c r="B248" i="41"/>
  <c r="A248" i="41"/>
  <c r="B246" i="41"/>
  <c r="A246" i="41"/>
  <c r="M223" i="41"/>
  <c r="B223" i="41"/>
  <c r="A223" i="41"/>
  <c r="L221" i="41"/>
  <c r="L220" i="41" s="1"/>
  <c r="M220" i="41"/>
  <c r="B220" i="41"/>
  <c r="A220" i="41"/>
  <c r="M217" i="41"/>
  <c r="B217" i="41"/>
  <c r="A217" i="41"/>
  <c r="M214" i="41"/>
  <c r="B214" i="41"/>
  <c r="A214" i="41"/>
  <c r="B212" i="41"/>
  <c r="A212" i="41"/>
  <c r="L210" i="41"/>
  <c r="M209" i="41"/>
  <c r="B209" i="41"/>
  <c r="A209" i="41"/>
  <c r="K186" i="41"/>
  <c r="L186" i="41" s="1"/>
  <c r="L185" i="41" s="1"/>
  <c r="H104" i="40" s="1"/>
  <c r="K104" i="40" s="1"/>
  <c r="M185" i="41"/>
  <c r="B185" i="41"/>
  <c r="A185" i="41"/>
  <c r="M182" i="41"/>
  <c r="L182" i="41"/>
  <c r="B182" i="41"/>
  <c r="A182" i="41"/>
  <c r="L180" i="41"/>
  <c r="L179" i="41" s="1"/>
  <c r="M179" i="41"/>
  <c r="B179" i="41"/>
  <c r="A179" i="41"/>
  <c r="L177" i="41"/>
  <c r="L176" i="41" s="1"/>
  <c r="M176" i="41"/>
  <c r="B176" i="41"/>
  <c r="A176" i="41"/>
  <c r="L174" i="41"/>
  <c r="L173" i="41" s="1"/>
  <c r="M173" i="41"/>
  <c r="B173" i="41"/>
  <c r="A173" i="41"/>
  <c r="L171" i="41"/>
  <c r="M170" i="41"/>
  <c r="B170" i="41"/>
  <c r="A170" i="41"/>
  <c r="M167" i="41"/>
  <c r="B167" i="41"/>
  <c r="A167" i="41"/>
  <c r="L165" i="41"/>
  <c r="L164" i="41" s="1"/>
  <c r="L168" i="41" s="1"/>
  <c r="L167" i="41" s="1"/>
  <c r="M164" i="41"/>
  <c r="B164" i="41"/>
  <c r="A164" i="41"/>
  <c r="L162" i="41"/>
  <c r="L161" i="41" s="1"/>
  <c r="M161" i="41"/>
  <c r="B161" i="41"/>
  <c r="A161" i="41"/>
  <c r="B159" i="41"/>
  <c r="A159" i="41"/>
  <c r="L156" i="41"/>
  <c r="H92" i="40" s="1"/>
  <c r="I92" i="40" s="1"/>
  <c r="M156" i="41"/>
  <c r="B156" i="41"/>
  <c r="A156" i="41"/>
  <c r="L154" i="41"/>
  <c r="M153" i="41"/>
  <c r="B153" i="41"/>
  <c r="A153" i="41"/>
  <c r="L151" i="41"/>
  <c r="L150" i="41" s="1"/>
  <c r="M150" i="41"/>
  <c r="B150" i="41"/>
  <c r="A150" i="41"/>
  <c r="L148" i="41"/>
  <c r="L147" i="41" s="1"/>
  <c r="M147" i="41"/>
  <c r="B147" i="41"/>
  <c r="A147" i="41"/>
  <c r="L145" i="41"/>
  <c r="L144" i="41" s="1"/>
  <c r="M144" i="41"/>
  <c r="B144" i="41"/>
  <c r="A144" i="41"/>
  <c r="L142" i="41"/>
  <c r="L141" i="41" s="1"/>
  <c r="M141" i="41"/>
  <c r="B141" i="41"/>
  <c r="A141" i="41"/>
  <c r="L139" i="41"/>
  <c r="L138" i="41" s="1"/>
  <c r="M138" i="41"/>
  <c r="B138" i="41"/>
  <c r="A138" i="41"/>
  <c r="L136" i="41"/>
  <c r="L135" i="41" s="1"/>
  <c r="M135" i="41"/>
  <c r="B135" i="41"/>
  <c r="A135" i="41"/>
  <c r="L133" i="41"/>
  <c r="L132" i="41" s="1"/>
  <c r="M132" i="41"/>
  <c r="B132" i="41"/>
  <c r="A132" i="41"/>
  <c r="L130" i="41"/>
  <c r="M129" i="41"/>
  <c r="B129" i="41"/>
  <c r="A129" i="41"/>
  <c r="L127" i="41"/>
  <c r="L126" i="41" s="1"/>
  <c r="M126" i="41"/>
  <c r="B126" i="41"/>
  <c r="A126" i="41"/>
  <c r="L124" i="41"/>
  <c r="L123" i="41" s="1"/>
  <c r="M123" i="41"/>
  <c r="B123" i="41"/>
  <c r="A123" i="41"/>
  <c r="L121" i="41"/>
  <c r="L120" i="41" s="1"/>
  <c r="M120" i="41"/>
  <c r="B120" i="41"/>
  <c r="A120" i="41"/>
  <c r="B118" i="41"/>
  <c r="A118" i="41"/>
  <c r="L116" i="41"/>
  <c r="L115" i="41" s="1"/>
  <c r="M115" i="41"/>
  <c r="B115" i="41"/>
  <c r="A115" i="41"/>
  <c r="L113" i="41"/>
  <c r="L112" i="41" s="1"/>
  <c r="M112" i="41"/>
  <c r="B112" i="41"/>
  <c r="A112" i="41"/>
  <c r="L110" i="41"/>
  <c r="L109" i="41" s="1"/>
  <c r="M109" i="41"/>
  <c r="B109" i="41"/>
  <c r="A109" i="41"/>
  <c r="L107" i="41"/>
  <c r="L106" i="41" s="1"/>
  <c r="M106" i="41"/>
  <c r="B106" i="41"/>
  <c r="A106" i="41"/>
  <c r="L104" i="41"/>
  <c r="L103" i="41" s="1"/>
  <c r="M103" i="41"/>
  <c r="B103" i="41"/>
  <c r="A103" i="41"/>
  <c r="L101" i="41"/>
  <c r="L100" i="41" s="1"/>
  <c r="M100" i="41"/>
  <c r="B100" i="41"/>
  <c r="A100" i="41"/>
  <c r="L98" i="41"/>
  <c r="L97" i="41" s="1"/>
  <c r="M97" i="41"/>
  <c r="B97" i="41"/>
  <c r="A97" i="41"/>
  <c r="M94" i="41"/>
  <c r="L94" i="41"/>
  <c r="B94" i="41"/>
  <c r="A94" i="41"/>
  <c r="L92" i="41"/>
  <c r="M91" i="41"/>
  <c r="B91" i="41"/>
  <c r="A91" i="41"/>
  <c r="B89" i="41"/>
  <c r="A89" i="41"/>
  <c r="M86" i="41"/>
  <c r="L86" i="41"/>
  <c r="B86" i="41"/>
  <c r="A86" i="41"/>
  <c r="M83" i="41"/>
  <c r="L83" i="41"/>
  <c r="B83" i="41"/>
  <c r="A83" i="41"/>
  <c r="L81" i="41"/>
  <c r="M80" i="41"/>
  <c r="B80" i="41"/>
  <c r="A80" i="41"/>
  <c r="L78" i="41"/>
  <c r="L77" i="41" s="1"/>
  <c r="M77" i="41"/>
  <c r="B77" i="41"/>
  <c r="A77" i="41"/>
  <c r="B75" i="41"/>
  <c r="A75" i="41"/>
  <c r="L73" i="41"/>
  <c r="L72" i="41" s="1"/>
  <c r="M72" i="41"/>
  <c r="B72" i="41"/>
  <c r="A72" i="41"/>
  <c r="L70" i="41"/>
  <c r="M69" i="41"/>
  <c r="B69" i="41"/>
  <c r="A69" i="41"/>
  <c r="L67" i="41"/>
  <c r="L66" i="41" s="1"/>
  <c r="M66" i="41"/>
  <c r="B66" i="41"/>
  <c r="A66" i="41"/>
  <c r="L64" i="41"/>
  <c r="L63" i="41" s="1"/>
  <c r="M63" i="41"/>
  <c r="B63" i="41"/>
  <c r="A63" i="41"/>
  <c r="L61" i="41"/>
  <c r="M60" i="41"/>
  <c r="B60" i="41"/>
  <c r="A60" i="41"/>
  <c r="L58" i="41"/>
  <c r="L57" i="41" s="1"/>
  <c r="M57" i="41"/>
  <c r="B57" i="41"/>
  <c r="A57" i="41"/>
  <c r="B55" i="41"/>
  <c r="A55" i="41"/>
  <c r="L53" i="41"/>
  <c r="L52" i="41" s="1"/>
  <c r="M52" i="41"/>
  <c r="B52" i="41"/>
  <c r="A52" i="41"/>
  <c r="L50" i="41"/>
  <c r="M49" i="41"/>
  <c r="B49" i="41"/>
  <c r="A49" i="41"/>
  <c r="L47" i="41"/>
  <c r="L46" i="41" s="1"/>
  <c r="M46" i="41"/>
  <c r="B46" i="41"/>
  <c r="A46" i="41"/>
  <c r="L44" i="41"/>
  <c r="L43" i="41" s="1"/>
  <c r="M43" i="41"/>
  <c r="B43" i="41"/>
  <c r="A43" i="41"/>
  <c r="B41" i="41"/>
  <c r="A41" i="41"/>
  <c r="L38" i="41"/>
  <c r="M38" i="41"/>
  <c r="B38" i="41"/>
  <c r="A38" i="41"/>
  <c r="L36" i="41"/>
  <c r="L35" i="41" s="1"/>
  <c r="M35" i="41"/>
  <c r="B35" i="41"/>
  <c r="A35" i="41"/>
  <c r="L33" i="41"/>
  <c r="L32" i="41" s="1"/>
  <c r="M32" i="41"/>
  <c r="B32" i="41"/>
  <c r="A32" i="41"/>
  <c r="L30" i="41"/>
  <c r="L29" i="41" s="1"/>
  <c r="M29" i="41"/>
  <c r="B29" i="41"/>
  <c r="A29" i="41"/>
  <c r="L27" i="41"/>
  <c r="L26" i="41" s="1"/>
  <c r="M26" i="41"/>
  <c r="B26" i="41"/>
  <c r="A26" i="41"/>
  <c r="L24" i="41"/>
  <c r="L23" i="41" s="1"/>
  <c r="M23" i="41"/>
  <c r="B23" i="41"/>
  <c r="A23" i="41"/>
  <c r="L21" i="41"/>
  <c r="L20" i="41" s="1"/>
  <c r="M20" i="41"/>
  <c r="B20" i="41"/>
  <c r="A20" i="41"/>
  <c r="L18" i="41"/>
  <c r="L17" i="41" s="1"/>
  <c r="M17" i="41"/>
  <c r="B17" i="41"/>
  <c r="A17" i="41"/>
  <c r="L15" i="41"/>
  <c r="L14" i="41" s="1"/>
  <c r="M14" i="41"/>
  <c r="B14" i="41"/>
  <c r="A14" i="41"/>
  <c r="B12" i="41"/>
  <c r="A10" i="41"/>
  <c r="F307" i="40"/>
  <c r="M288" i="40"/>
  <c r="K287" i="40"/>
  <c r="J287" i="40"/>
  <c r="I287" i="40"/>
  <c r="F287" i="40"/>
  <c r="K286" i="40"/>
  <c r="J286" i="40"/>
  <c r="L286" i="40" s="1"/>
  <c r="M286" i="40" s="1"/>
  <c r="I286" i="40"/>
  <c r="F286" i="40"/>
  <c r="F283" i="40" s="1"/>
  <c r="N283" i="40" s="1"/>
  <c r="K285" i="40"/>
  <c r="J285" i="40"/>
  <c r="I285" i="40"/>
  <c r="F285" i="40"/>
  <c r="M284" i="40"/>
  <c r="M282" i="40"/>
  <c r="K281" i="40"/>
  <c r="J281" i="40"/>
  <c r="I281" i="40"/>
  <c r="F281" i="40"/>
  <c r="K280" i="40"/>
  <c r="J280" i="40"/>
  <c r="I280" i="40"/>
  <c r="F280" i="40"/>
  <c r="K279" i="40"/>
  <c r="J279" i="40"/>
  <c r="I279" i="40"/>
  <c r="F279" i="40"/>
  <c r="K278" i="40"/>
  <c r="J278" i="40"/>
  <c r="I278" i="40"/>
  <c r="F278" i="40"/>
  <c r="K277" i="40"/>
  <c r="J277" i="40"/>
  <c r="I277" i="40"/>
  <c r="F277" i="40"/>
  <c r="M276" i="40"/>
  <c r="M274" i="40"/>
  <c r="K273" i="40"/>
  <c r="J273" i="40"/>
  <c r="I273" i="40"/>
  <c r="F273" i="40"/>
  <c r="K272" i="40"/>
  <c r="J272" i="40"/>
  <c r="I272" i="40"/>
  <c r="F272" i="40"/>
  <c r="K271" i="40"/>
  <c r="J271" i="40"/>
  <c r="I271" i="40"/>
  <c r="F271" i="40"/>
  <c r="K270" i="40"/>
  <c r="J270" i="40"/>
  <c r="I270" i="40"/>
  <c r="F270" i="40"/>
  <c r="M269" i="40"/>
  <c r="M267" i="40"/>
  <c r="K266" i="40"/>
  <c r="J266" i="40"/>
  <c r="I266" i="40"/>
  <c r="F266" i="40"/>
  <c r="K265" i="40"/>
  <c r="J265" i="40"/>
  <c r="I265" i="40"/>
  <c r="F265" i="40"/>
  <c r="J264" i="40"/>
  <c r="F264" i="40"/>
  <c r="J263" i="40"/>
  <c r="K263" i="40"/>
  <c r="F263" i="40"/>
  <c r="M262" i="40"/>
  <c r="M260" i="40"/>
  <c r="J259" i="40"/>
  <c r="I259" i="40"/>
  <c r="K259" i="40"/>
  <c r="F259" i="40"/>
  <c r="K258" i="40"/>
  <c r="J258" i="40"/>
  <c r="I258" i="40"/>
  <c r="F258" i="40"/>
  <c r="K257" i="40"/>
  <c r="J257" i="40"/>
  <c r="I257" i="40"/>
  <c r="F257" i="40"/>
  <c r="K256" i="40"/>
  <c r="J256" i="40"/>
  <c r="I256" i="40"/>
  <c r="F256" i="40"/>
  <c r="K255" i="40"/>
  <c r="J255" i="40"/>
  <c r="I255" i="40"/>
  <c r="F255" i="40"/>
  <c r="K254" i="40"/>
  <c r="J254" i="40"/>
  <c r="I254" i="40"/>
  <c r="F254" i="40"/>
  <c r="F252" i="40" s="1"/>
  <c r="M253" i="40"/>
  <c r="M251" i="40"/>
  <c r="K250" i="40"/>
  <c r="J250" i="40"/>
  <c r="J248" i="40" s="1"/>
  <c r="I250" i="40"/>
  <c r="F250" i="40"/>
  <c r="M249" i="40"/>
  <c r="F248" i="40"/>
  <c r="M247" i="40"/>
  <c r="K246" i="40"/>
  <c r="K244" i="40" s="1"/>
  <c r="J246" i="40"/>
  <c r="I246" i="40"/>
  <c r="F246" i="40"/>
  <c r="F244" i="40" s="1"/>
  <c r="M245" i="40"/>
  <c r="M243" i="40"/>
  <c r="J242" i="40"/>
  <c r="J237" i="40" s="1"/>
  <c r="F242" i="40"/>
  <c r="J241" i="40"/>
  <c r="K241" i="40"/>
  <c r="F241" i="40"/>
  <c r="K240" i="40"/>
  <c r="J240" i="40"/>
  <c r="I240" i="40"/>
  <c r="F240" i="40"/>
  <c r="K239" i="40"/>
  <c r="J239" i="40"/>
  <c r="I239" i="40"/>
  <c r="F239" i="40"/>
  <c r="M238" i="40"/>
  <c r="M236" i="40"/>
  <c r="K235" i="40"/>
  <c r="J235" i="40"/>
  <c r="I235" i="40"/>
  <c r="F235" i="40"/>
  <c r="K234" i="40"/>
  <c r="J234" i="40"/>
  <c r="I234" i="40"/>
  <c r="F234" i="40"/>
  <c r="F232" i="40" s="1"/>
  <c r="M233" i="40"/>
  <c r="M231" i="40"/>
  <c r="K230" i="40"/>
  <c r="K228" i="40" s="1"/>
  <c r="J230" i="40"/>
  <c r="J228" i="40" s="1"/>
  <c r="I230" i="40"/>
  <c r="F230" i="40"/>
  <c r="F228" i="40" s="1"/>
  <c r="M229" i="40"/>
  <c r="M227" i="40"/>
  <c r="M226" i="40"/>
  <c r="M225" i="40"/>
  <c r="K224" i="40"/>
  <c r="K221" i="40" s="1"/>
  <c r="J224" i="40"/>
  <c r="L224" i="40" s="1"/>
  <c r="M224" i="40" s="1"/>
  <c r="I224" i="40"/>
  <c r="F224" i="40"/>
  <c r="K223" i="40"/>
  <c r="J223" i="40"/>
  <c r="I223" i="40"/>
  <c r="F223" i="40"/>
  <c r="F221" i="40" s="1"/>
  <c r="N221" i="40" s="1"/>
  <c r="M222" i="40"/>
  <c r="M220" i="40"/>
  <c r="K219" i="40"/>
  <c r="J219" i="40"/>
  <c r="I219" i="40"/>
  <c r="F219" i="40"/>
  <c r="K218" i="40"/>
  <c r="J218" i="40"/>
  <c r="I218" i="40"/>
  <c r="F218" i="40"/>
  <c r="K217" i="40"/>
  <c r="J217" i="40"/>
  <c r="I217" i="40"/>
  <c r="F217" i="40"/>
  <c r="K216" i="40"/>
  <c r="J216" i="40"/>
  <c r="I216" i="40"/>
  <c r="F216" i="40"/>
  <c r="K215" i="40"/>
  <c r="J215" i="40"/>
  <c r="I215" i="40"/>
  <c r="F215" i="40"/>
  <c r="K214" i="40"/>
  <c r="J214" i="40"/>
  <c r="I214" i="40"/>
  <c r="F214" i="40"/>
  <c r="K213" i="40"/>
  <c r="J213" i="40"/>
  <c r="I213" i="40"/>
  <c r="F213" i="40"/>
  <c r="M212" i="40"/>
  <c r="M210" i="40"/>
  <c r="K209" i="40"/>
  <c r="J209" i="40"/>
  <c r="I209" i="40"/>
  <c r="F209" i="40"/>
  <c r="K208" i="40"/>
  <c r="J208" i="40"/>
  <c r="L208" i="40" s="1"/>
  <c r="M208" i="40" s="1"/>
  <c r="I208" i="40"/>
  <c r="F208" i="40"/>
  <c r="K207" i="40"/>
  <c r="J207" i="40"/>
  <c r="I207" i="40"/>
  <c r="F207" i="40"/>
  <c r="K206" i="40"/>
  <c r="J206" i="40"/>
  <c r="L206" i="40" s="1"/>
  <c r="I206" i="40"/>
  <c r="F206" i="40"/>
  <c r="K205" i="40"/>
  <c r="J205" i="40"/>
  <c r="I205" i="40"/>
  <c r="F205" i="40"/>
  <c r="K204" i="40"/>
  <c r="J204" i="40"/>
  <c r="I204" i="40"/>
  <c r="F204" i="40"/>
  <c r="K203" i="40"/>
  <c r="J203" i="40"/>
  <c r="I203" i="40"/>
  <c r="F203" i="40"/>
  <c r="K202" i="40"/>
  <c r="J202" i="40"/>
  <c r="I202" i="40"/>
  <c r="F202" i="40"/>
  <c r="K201" i="40"/>
  <c r="J201" i="40"/>
  <c r="I201" i="40"/>
  <c r="F201" i="40"/>
  <c r="K200" i="40"/>
  <c r="J200" i="40"/>
  <c r="I200" i="40"/>
  <c r="F200" i="40"/>
  <c r="K199" i="40"/>
  <c r="J199" i="40"/>
  <c r="I199" i="40"/>
  <c r="F199" i="40"/>
  <c r="K198" i="40"/>
  <c r="J198" i="40"/>
  <c r="I198" i="40"/>
  <c r="F198" i="40"/>
  <c r="K197" i="40"/>
  <c r="J197" i="40"/>
  <c r="I197" i="40"/>
  <c r="F197" i="40"/>
  <c r="K196" i="40"/>
  <c r="J196" i="40"/>
  <c r="I196" i="40"/>
  <c r="F196" i="40"/>
  <c r="K195" i="40"/>
  <c r="J195" i="40"/>
  <c r="L195" i="40" s="1"/>
  <c r="M195" i="40" s="1"/>
  <c r="I195" i="40"/>
  <c r="F195" i="40"/>
  <c r="K194" i="40"/>
  <c r="J194" i="40"/>
  <c r="I194" i="40"/>
  <c r="F194" i="40"/>
  <c r="K193" i="40"/>
  <c r="J193" i="40"/>
  <c r="I193" i="40"/>
  <c r="F193" i="40"/>
  <c r="K192" i="40"/>
  <c r="J192" i="40"/>
  <c r="I192" i="40"/>
  <c r="F192" i="40"/>
  <c r="K191" i="40"/>
  <c r="J191" i="40"/>
  <c r="I191" i="40"/>
  <c r="F191" i="40"/>
  <c r="K190" i="40"/>
  <c r="J190" i="40"/>
  <c r="I190" i="40"/>
  <c r="F190" i="40"/>
  <c r="K189" i="40"/>
  <c r="J189" i="40"/>
  <c r="I189" i="40"/>
  <c r="F189" i="40"/>
  <c r="K188" i="40"/>
  <c r="J188" i="40"/>
  <c r="I188" i="40"/>
  <c r="F188" i="40"/>
  <c r="K187" i="40"/>
  <c r="J187" i="40"/>
  <c r="I187" i="40"/>
  <c r="F187" i="40"/>
  <c r="K186" i="40"/>
  <c r="J186" i="40"/>
  <c r="I186" i="40"/>
  <c r="F186" i="40"/>
  <c r="J185" i="40"/>
  <c r="F185" i="40"/>
  <c r="M184" i="40"/>
  <c r="M182" i="40"/>
  <c r="K181" i="40"/>
  <c r="J181" i="40"/>
  <c r="I181" i="40"/>
  <c r="F181" i="40"/>
  <c r="K180" i="40"/>
  <c r="J180" i="40"/>
  <c r="L180" i="40" s="1"/>
  <c r="M180" i="40" s="1"/>
  <c r="I180" i="40"/>
  <c r="F180" i="40"/>
  <c r="K179" i="40"/>
  <c r="J179" i="40"/>
  <c r="I179" i="40"/>
  <c r="F179" i="40"/>
  <c r="K178" i="40"/>
  <c r="J178" i="40"/>
  <c r="L178" i="40" s="1"/>
  <c r="I178" i="40"/>
  <c r="F178" i="40"/>
  <c r="K177" i="40"/>
  <c r="J177" i="40"/>
  <c r="L177" i="40" s="1"/>
  <c r="M177" i="40" s="1"/>
  <c r="I177" i="40"/>
  <c r="F177" i="40"/>
  <c r="K176" i="40"/>
  <c r="J176" i="40"/>
  <c r="I176" i="40"/>
  <c r="F176" i="40"/>
  <c r="K175" i="40"/>
  <c r="J175" i="40"/>
  <c r="I175" i="40"/>
  <c r="F175" i="40"/>
  <c r="K174" i="40"/>
  <c r="J174" i="40"/>
  <c r="I174" i="40"/>
  <c r="F174" i="40"/>
  <c r="K173" i="40"/>
  <c r="J173" i="40"/>
  <c r="I173" i="40"/>
  <c r="F173" i="40"/>
  <c r="L172" i="40"/>
  <c r="K172" i="40"/>
  <c r="J172" i="40"/>
  <c r="I172" i="40"/>
  <c r="F172" i="40"/>
  <c r="K171" i="40"/>
  <c r="J171" i="40"/>
  <c r="I171" i="40"/>
  <c r="F171" i="40"/>
  <c r="M170" i="40"/>
  <c r="M168" i="40"/>
  <c r="J167" i="40"/>
  <c r="I167" i="40"/>
  <c r="K167" i="40"/>
  <c r="F167" i="40"/>
  <c r="J166" i="40"/>
  <c r="F166" i="40"/>
  <c r="K165" i="40"/>
  <c r="J165" i="40"/>
  <c r="I165" i="40"/>
  <c r="F165" i="40"/>
  <c r="K164" i="40"/>
  <c r="L164" i="40" s="1"/>
  <c r="M164" i="40" s="1"/>
  <c r="J164" i="40"/>
  <c r="I164" i="40"/>
  <c r="F164" i="40"/>
  <c r="K163" i="40"/>
  <c r="J163" i="40"/>
  <c r="I163" i="40"/>
  <c r="F163" i="40"/>
  <c r="K162" i="40"/>
  <c r="L162" i="40" s="1"/>
  <c r="J162" i="40"/>
  <c r="I162" i="40"/>
  <c r="F162" i="40"/>
  <c r="K161" i="40"/>
  <c r="J161" i="40"/>
  <c r="L161" i="40" s="1"/>
  <c r="I161" i="40"/>
  <c r="F161" i="40"/>
  <c r="K160" i="40"/>
  <c r="L160" i="40" s="1"/>
  <c r="M160" i="40" s="1"/>
  <c r="J160" i="40"/>
  <c r="I160" i="40"/>
  <c r="F160" i="40"/>
  <c r="K159" i="40"/>
  <c r="J159" i="40"/>
  <c r="I159" i="40"/>
  <c r="F159" i="40"/>
  <c r="K158" i="40"/>
  <c r="J158" i="40"/>
  <c r="I158" i="40"/>
  <c r="F158" i="40"/>
  <c r="K157" i="40"/>
  <c r="J157" i="40"/>
  <c r="I157" i="40"/>
  <c r="F157" i="40"/>
  <c r="K156" i="40"/>
  <c r="J156" i="40"/>
  <c r="I156" i="40"/>
  <c r="F156" i="40"/>
  <c r="K155" i="40"/>
  <c r="J155" i="40"/>
  <c r="I155" i="40"/>
  <c r="F155" i="40"/>
  <c r="L154" i="40"/>
  <c r="K154" i="40"/>
  <c r="J154" i="40"/>
  <c r="I154" i="40"/>
  <c r="F154" i="40"/>
  <c r="K153" i="40"/>
  <c r="J153" i="40"/>
  <c r="I153" i="40"/>
  <c r="F153" i="40"/>
  <c r="K152" i="40"/>
  <c r="J152" i="40"/>
  <c r="L152" i="40" s="1"/>
  <c r="M152" i="40" s="1"/>
  <c r="I152" i="40"/>
  <c r="F152" i="40"/>
  <c r="J151" i="40"/>
  <c r="F151" i="40"/>
  <c r="K150" i="40"/>
  <c r="J150" i="40"/>
  <c r="L150" i="40" s="1"/>
  <c r="I150" i="40"/>
  <c r="F150" i="40"/>
  <c r="K149" i="40"/>
  <c r="J149" i="40"/>
  <c r="I149" i="40"/>
  <c r="F149" i="40"/>
  <c r="K148" i="40"/>
  <c r="J148" i="40"/>
  <c r="I148" i="40"/>
  <c r="F148" i="40"/>
  <c r="K147" i="40"/>
  <c r="J147" i="40"/>
  <c r="I147" i="40"/>
  <c r="F147" i="40"/>
  <c r="K146" i="40"/>
  <c r="J146" i="40"/>
  <c r="F146" i="40"/>
  <c r="K145" i="40"/>
  <c r="J145" i="40"/>
  <c r="I145" i="40"/>
  <c r="F145" i="40"/>
  <c r="K144" i="40"/>
  <c r="L144" i="40" s="1"/>
  <c r="M144" i="40" s="1"/>
  <c r="J144" i="40"/>
  <c r="I144" i="40"/>
  <c r="F144" i="40"/>
  <c r="K143" i="40"/>
  <c r="J143" i="40"/>
  <c r="I143" i="40"/>
  <c r="F143" i="40"/>
  <c r="K142" i="40"/>
  <c r="J142" i="40"/>
  <c r="I142" i="40"/>
  <c r="F142" i="40"/>
  <c r="K141" i="40"/>
  <c r="J141" i="40"/>
  <c r="I141" i="40"/>
  <c r="F141" i="40"/>
  <c r="M140" i="40"/>
  <c r="M138" i="40"/>
  <c r="K137" i="40"/>
  <c r="J137" i="40"/>
  <c r="I137" i="40"/>
  <c r="F137" i="40"/>
  <c r="J136" i="40"/>
  <c r="K136" i="40"/>
  <c r="F136" i="40"/>
  <c r="N136" i="40" s="1"/>
  <c r="J135" i="40"/>
  <c r="I135" i="40"/>
  <c r="K135" i="40"/>
  <c r="F135" i="40"/>
  <c r="K134" i="40"/>
  <c r="L134" i="40" s="1"/>
  <c r="J134" i="40"/>
  <c r="I134" i="40"/>
  <c r="F134" i="40"/>
  <c r="K133" i="40"/>
  <c r="J133" i="40"/>
  <c r="I133" i="40"/>
  <c r="F133" i="40"/>
  <c r="K132" i="40"/>
  <c r="J132" i="40"/>
  <c r="I132" i="40"/>
  <c r="F132" i="40"/>
  <c r="K131" i="40"/>
  <c r="J131" i="40"/>
  <c r="L131" i="40" s="1"/>
  <c r="M131" i="40" s="1"/>
  <c r="I131" i="40"/>
  <c r="F131" i="40"/>
  <c r="J130" i="40"/>
  <c r="I130" i="40"/>
  <c r="K130" i="40"/>
  <c r="F130" i="40"/>
  <c r="M129" i="40"/>
  <c r="M127" i="40"/>
  <c r="K126" i="40"/>
  <c r="L126" i="40" s="1"/>
  <c r="M126" i="40" s="1"/>
  <c r="J126" i="40"/>
  <c r="I126" i="40"/>
  <c r="F126" i="40"/>
  <c r="J125" i="40"/>
  <c r="F125" i="40"/>
  <c r="J124" i="40"/>
  <c r="F124" i="40"/>
  <c r="K123" i="40"/>
  <c r="J123" i="40"/>
  <c r="I123" i="40"/>
  <c r="F123" i="40"/>
  <c r="N123" i="40" s="1"/>
  <c r="K122" i="40"/>
  <c r="J122" i="40"/>
  <c r="I122" i="40"/>
  <c r="F122" i="40"/>
  <c r="K121" i="40"/>
  <c r="J121" i="40"/>
  <c r="F121" i="40"/>
  <c r="K120" i="40"/>
  <c r="J120" i="40"/>
  <c r="I120" i="40"/>
  <c r="F120" i="40"/>
  <c r="K119" i="40"/>
  <c r="J119" i="40"/>
  <c r="I119" i="40"/>
  <c r="F119" i="40"/>
  <c r="K118" i="40"/>
  <c r="J118" i="40"/>
  <c r="I118" i="40"/>
  <c r="F118" i="40"/>
  <c r="K117" i="40"/>
  <c r="J117" i="40"/>
  <c r="I117" i="40"/>
  <c r="F117" i="40"/>
  <c r="K116" i="40"/>
  <c r="J116" i="40"/>
  <c r="I116" i="40"/>
  <c r="F116" i="40"/>
  <c r="M115" i="40"/>
  <c r="M113" i="40"/>
  <c r="K112" i="40"/>
  <c r="L112" i="40" s="1"/>
  <c r="J112" i="40"/>
  <c r="I112" i="40"/>
  <c r="F112" i="40"/>
  <c r="K111" i="40"/>
  <c r="J111" i="40"/>
  <c r="I111" i="40"/>
  <c r="F111" i="40"/>
  <c r="K110" i="40"/>
  <c r="J110" i="40"/>
  <c r="I110" i="40"/>
  <c r="F110" i="40"/>
  <c r="N110" i="40" s="1"/>
  <c r="K109" i="40"/>
  <c r="L109" i="40" s="1"/>
  <c r="J109" i="40"/>
  <c r="I109" i="40"/>
  <c r="F109" i="40"/>
  <c r="N109" i="40" s="1"/>
  <c r="M108" i="40"/>
  <c r="M106" i="40"/>
  <c r="J105" i="40"/>
  <c r="I105" i="40"/>
  <c r="K105" i="40"/>
  <c r="F105" i="40"/>
  <c r="J104" i="40"/>
  <c r="F104" i="40"/>
  <c r="K103" i="40"/>
  <c r="L103" i="40" s="1"/>
  <c r="J103" i="40"/>
  <c r="I103" i="40"/>
  <c r="F103" i="40"/>
  <c r="J102" i="40"/>
  <c r="I102" i="40"/>
  <c r="K102" i="40"/>
  <c r="F102" i="40"/>
  <c r="K101" i="40"/>
  <c r="L101" i="40" s="1"/>
  <c r="J101" i="40"/>
  <c r="I101" i="40"/>
  <c r="F101" i="40"/>
  <c r="K100" i="40"/>
  <c r="J100" i="40"/>
  <c r="I100" i="40"/>
  <c r="F100" i="40"/>
  <c r="N100" i="40" s="1"/>
  <c r="J99" i="40"/>
  <c r="I99" i="40"/>
  <c r="K99" i="40"/>
  <c r="F99" i="40"/>
  <c r="J98" i="40"/>
  <c r="K98" i="40"/>
  <c r="F98" i="40"/>
  <c r="J97" i="40"/>
  <c r="F97" i="40"/>
  <c r="K96" i="40"/>
  <c r="J96" i="40"/>
  <c r="L96" i="40" s="1"/>
  <c r="I96" i="40"/>
  <c r="F96" i="40"/>
  <c r="M95" i="40"/>
  <c r="M93" i="40"/>
  <c r="J92" i="40"/>
  <c r="F92" i="40"/>
  <c r="J91" i="40"/>
  <c r="I91" i="40"/>
  <c r="K91" i="40"/>
  <c r="F91" i="40"/>
  <c r="K90" i="40"/>
  <c r="J90" i="40"/>
  <c r="I90" i="40"/>
  <c r="F90" i="40"/>
  <c r="N90" i="40" s="1"/>
  <c r="K89" i="40"/>
  <c r="J89" i="40"/>
  <c r="I89" i="40"/>
  <c r="F89" i="40"/>
  <c r="N89" i="40" s="1"/>
  <c r="K88" i="40"/>
  <c r="J88" i="40"/>
  <c r="L88" i="40" s="1"/>
  <c r="M88" i="40" s="1"/>
  <c r="I88" i="40"/>
  <c r="F88" i="40"/>
  <c r="N88" i="40" s="1"/>
  <c r="K87" i="40"/>
  <c r="J87" i="40"/>
  <c r="I87" i="40"/>
  <c r="F87" i="40"/>
  <c r="N87" i="40" s="1"/>
  <c r="K86" i="40"/>
  <c r="J86" i="40"/>
  <c r="L86" i="40" s="1"/>
  <c r="I86" i="40"/>
  <c r="F86" i="40"/>
  <c r="K85" i="40"/>
  <c r="J85" i="40"/>
  <c r="I85" i="40"/>
  <c r="F85" i="40"/>
  <c r="K84" i="40"/>
  <c r="J84" i="40"/>
  <c r="I84" i="40"/>
  <c r="F84" i="40"/>
  <c r="N84" i="40" s="1"/>
  <c r="K83" i="40"/>
  <c r="L83" i="40" s="1"/>
  <c r="J83" i="40"/>
  <c r="I83" i="40"/>
  <c r="F83" i="40"/>
  <c r="K82" i="40"/>
  <c r="J82" i="40"/>
  <c r="L82" i="40" s="1"/>
  <c r="M82" i="40" s="1"/>
  <c r="I82" i="40"/>
  <c r="F82" i="40"/>
  <c r="K81" i="40"/>
  <c r="J81" i="40"/>
  <c r="I81" i="40"/>
  <c r="F81" i="40"/>
  <c r="N81" i="40" s="1"/>
  <c r="K80" i="40"/>
  <c r="J80" i="40"/>
  <c r="L80" i="40" s="1"/>
  <c r="M80" i="40" s="1"/>
  <c r="I80" i="40"/>
  <c r="F80" i="40"/>
  <c r="N80" i="40" s="1"/>
  <c r="M79" i="40"/>
  <c r="M77" i="40"/>
  <c r="J76" i="40"/>
  <c r="I76" i="40"/>
  <c r="F76" i="40"/>
  <c r="K75" i="40"/>
  <c r="J75" i="40"/>
  <c r="I75" i="40"/>
  <c r="F75" i="40"/>
  <c r="J74" i="40"/>
  <c r="K74" i="40"/>
  <c r="F74" i="40"/>
  <c r="J73" i="40"/>
  <c r="I73" i="40"/>
  <c r="K73" i="40"/>
  <c r="L73" i="40" s="1"/>
  <c r="M73" i="40" s="1"/>
  <c r="F73" i="40"/>
  <c r="J72" i="40"/>
  <c r="F72" i="40"/>
  <c r="K71" i="40"/>
  <c r="J71" i="40"/>
  <c r="I71" i="40"/>
  <c r="F71" i="40"/>
  <c r="J70" i="40"/>
  <c r="I70" i="40"/>
  <c r="K70" i="40"/>
  <c r="F70" i="40"/>
  <c r="K69" i="40"/>
  <c r="J69" i="40"/>
  <c r="I69" i="40"/>
  <c r="F69" i="40"/>
  <c r="K68" i="40"/>
  <c r="J68" i="40"/>
  <c r="I68" i="40"/>
  <c r="F68" i="40"/>
  <c r="M67" i="40"/>
  <c r="M65" i="40"/>
  <c r="K64" i="40"/>
  <c r="J64" i="40"/>
  <c r="I64" i="40"/>
  <c r="F64" i="40"/>
  <c r="K63" i="40"/>
  <c r="J63" i="40"/>
  <c r="I63" i="40"/>
  <c r="F63" i="40"/>
  <c r="N63" i="40" s="1"/>
  <c r="K62" i="40"/>
  <c r="J62" i="40"/>
  <c r="I62" i="40"/>
  <c r="F62" i="40"/>
  <c r="K61" i="40"/>
  <c r="K59" i="40" s="1"/>
  <c r="J61" i="40"/>
  <c r="J59" i="40" s="1"/>
  <c r="I61" i="40"/>
  <c r="F61" i="40"/>
  <c r="M60" i="40"/>
  <c r="M58" i="40"/>
  <c r="J57" i="40"/>
  <c r="I57" i="40"/>
  <c r="K57" i="40"/>
  <c r="F57" i="40"/>
  <c r="J56" i="40"/>
  <c r="K56" i="40"/>
  <c r="L56" i="40" s="1"/>
  <c r="M56" i="40" s="1"/>
  <c r="F56" i="40"/>
  <c r="K55" i="40"/>
  <c r="J55" i="40"/>
  <c r="I55" i="40"/>
  <c r="F55" i="40"/>
  <c r="K54" i="40"/>
  <c r="J54" i="40"/>
  <c r="I54" i="40"/>
  <c r="F54" i="40"/>
  <c r="J53" i="40"/>
  <c r="I53" i="40"/>
  <c r="F53" i="40"/>
  <c r="K52" i="40"/>
  <c r="J52" i="40"/>
  <c r="I52" i="40"/>
  <c r="F52" i="40"/>
  <c r="F50" i="40" s="1"/>
  <c r="M51" i="40"/>
  <c r="M49" i="40"/>
  <c r="J48" i="40"/>
  <c r="F48" i="40"/>
  <c r="K47" i="40"/>
  <c r="J47" i="40"/>
  <c r="L47" i="40" s="1"/>
  <c r="M47" i="40" s="1"/>
  <c r="I47" i="40"/>
  <c r="F47" i="40"/>
  <c r="K46" i="40"/>
  <c r="J46" i="40"/>
  <c r="I46" i="40"/>
  <c r="F46" i="40"/>
  <c r="K45" i="40"/>
  <c r="J45" i="40"/>
  <c r="L45" i="40" s="1"/>
  <c r="I45" i="40"/>
  <c r="F45" i="40"/>
  <c r="M44" i="40"/>
  <c r="F43" i="40"/>
  <c r="M42" i="40"/>
  <c r="J41" i="40"/>
  <c r="K41" i="40"/>
  <c r="L41" i="40" s="1"/>
  <c r="F41" i="40"/>
  <c r="K40" i="40"/>
  <c r="L40" i="40" s="1"/>
  <c r="M40" i="40" s="1"/>
  <c r="J40" i="40"/>
  <c r="I40" i="40"/>
  <c r="F40" i="40"/>
  <c r="K39" i="40"/>
  <c r="J39" i="40"/>
  <c r="I39" i="40"/>
  <c r="F39" i="40"/>
  <c r="K38" i="40"/>
  <c r="J38" i="40"/>
  <c r="I38" i="40"/>
  <c r="F38" i="40"/>
  <c r="K37" i="40"/>
  <c r="J37" i="40"/>
  <c r="L37" i="40" s="1"/>
  <c r="M37" i="40" s="1"/>
  <c r="I37" i="40"/>
  <c r="F37" i="40"/>
  <c r="K36" i="40"/>
  <c r="J36" i="40"/>
  <c r="I36" i="40"/>
  <c r="F36" i="40"/>
  <c r="K35" i="40"/>
  <c r="J35" i="40"/>
  <c r="L35" i="40" s="1"/>
  <c r="I35" i="40"/>
  <c r="F35" i="40"/>
  <c r="F31" i="40" s="1"/>
  <c r="K34" i="40"/>
  <c r="J34" i="40"/>
  <c r="L34" i="40" s="1"/>
  <c r="M34" i="40" s="1"/>
  <c r="I34" i="40"/>
  <c r="F34" i="40"/>
  <c r="K33" i="40"/>
  <c r="J33" i="40"/>
  <c r="I33" i="40"/>
  <c r="F33" i="40"/>
  <c r="M32" i="40"/>
  <c r="AN26" i="40"/>
  <c r="N22" i="40"/>
  <c r="L723" i="39"/>
  <c r="L722" i="39" s="1"/>
  <c r="L720" i="39"/>
  <c r="L719" i="39" s="1"/>
  <c r="L717" i="39"/>
  <c r="L716" i="39" s="1"/>
  <c r="M722" i="39"/>
  <c r="B722" i="39"/>
  <c r="A722" i="39"/>
  <c r="M719" i="39"/>
  <c r="B719" i="39"/>
  <c r="A719" i="39"/>
  <c r="M716" i="39"/>
  <c r="A716" i="39"/>
  <c r="B716" i="39"/>
  <c r="B714" i="39"/>
  <c r="A714" i="39"/>
  <c r="L695" i="39"/>
  <c r="L694" i="39" s="1"/>
  <c r="M694" i="39"/>
  <c r="B694" i="39"/>
  <c r="A694" i="39"/>
  <c r="D681" i="39"/>
  <c r="L681" i="39" s="1"/>
  <c r="L680" i="39" s="1"/>
  <c r="K672" i="39"/>
  <c r="L672" i="39" s="1"/>
  <c r="K671" i="39"/>
  <c r="L671" i="39" s="1"/>
  <c r="M680" i="39"/>
  <c r="B680" i="39"/>
  <c r="A680" i="39"/>
  <c r="K665" i="39"/>
  <c r="L665" i="39" s="1"/>
  <c r="L664" i="39" s="1"/>
  <c r="H259" i="38" s="1"/>
  <c r="D662" i="39"/>
  <c r="K659" i="39"/>
  <c r="K656" i="39"/>
  <c r="M664" i="39"/>
  <c r="B664" i="39"/>
  <c r="A664" i="39"/>
  <c r="M661" i="39"/>
  <c r="B661" i="39"/>
  <c r="A661" i="39"/>
  <c r="D645" i="39"/>
  <c r="L645" i="39" s="1"/>
  <c r="L644" i="39" s="1"/>
  <c r="H250" i="38" s="1"/>
  <c r="D639" i="39"/>
  <c r="L639" i="39" s="1"/>
  <c r="K640" i="39"/>
  <c r="L640" i="39" s="1"/>
  <c r="K632" i="39"/>
  <c r="L632" i="39" s="1"/>
  <c r="K633" i="39"/>
  <c r="L633" i="39" s="1"/>
  <c r="K634" i="39"/>
  <c r="L634" i="39" s="1"/>
  <c r="K631" i="39"/>
  <c r="L631" i="39" s="1"/>
  <c r="K628" i="39"/>
  <c r="D628" i="39"/>
  <c r="K627" i="39"/>
  <c r="D627" i="39"/>
  <c r="M630" i="39"/>
  <c r="B630" i="39"/>
  <c r="A630" i="39"/>
  <c r="L570" i="39"/>
  <c r="L569" i="39" s="1"/>
  <c r="M569" i="39"/>
  <c r="B569" i="39"/>
  <c r="A569" i="39"/>
  <c r="D498" i="39"/>
  <c r="L498" i="39" s="1"/>
  <c r="D490" i="39"/>
  <c r="L490" i="39" s="1"/>
  <c r="L489" i="39" s="1"/>
  <c r="H180" i="38" s="1"/>
  <c r="D487" i="39"/>
  <c r="L487" i="39" s="1"/>
  <c r="L486" i="39" s="1"/>
  <c r="H179" i="38" s="1"/>
  <c r="L493" i="39"/>
  <c r="L492" i="39" s="1"/>
  <c r="L478" i="39"/>
  <c r="L477" i="39" s="1"/>
  <c r="L481" i="39"/>
  <c r="L480" i="39" s="1"/>
  <c r="L484" i="39"/>
  <c r="L483" i="39" s="1"/>
  <c r="M492" i="39"/>
  <c r="M489" i="39"/>
  <c r="M486" i="39"/>
  <c r="B492" i="39"/>
  <c r="B489" i="39"/>
  <c r="B486" i="39"/>
  <c r="A492" i="39"/>
  <c r="A489" i="39"/>
  <c r="A486" i="39"/>
  <c r="L469" i="39"/>
  <c r="L466" i="39"/>
  <c r="D463" i="39"/>
  <c r="L463" i="39" s="1"/>
  <c r="D458" i="39"/>
  <c r="L458" i="39" s="1"/>
  <c r="K455" i="39"/>
  <c r="D455" i="39"/>
  <c r="M457" i="39"/>
  <c r="B457" i="39"/>
  <c r="A457" i="39"/>
  <c r="M454" i="39"/>
  <c r="B454" i="39"/>
  <c r="A454" i="39"/>
  <c r="L338" i="39"/>
  <c r="L337" i="39" s="1"/>
  <c r="L335" i="39"/>
  <c r="L334" i="39" s="1"/>
  <c r="L332" i="39"/>
  <c r="L331" i="39" s="1"/>
  <c r="M337" i="39"/>
  <c r="B337" i="39"/>
  <c r="A337" i="39"/>
  <c r="M334" i="39"/>
  <c r="B334" i="39"/>
  <c r="A334" i="39"/>
  <c r="M331" i="39"/>
  <c r="B331" i="39"/>
  <c r="A331" i="39"/>
  <c r="E372" i="39"/>
  <c r="K372" i="39" s="1"/>
  <c r="K375" i="39"/>
  <c r="L366" i="39"/>
  <c r="A368" i="39"/>
  <c r="B368" i="39"/>
  <c r="M368" i="39"/>
  <c r="K363" i="39"/>
  <c r="L363" i="39" s="1"/>
  <c r="K362" i="39"/>
  <c r="L362" i="39" s="1"/>
  <c r="K361" i="39"/>
  <c r="L361" i="39" s="1"/>
  <c r="K360" i="39"/>
  <c r="L360" i="39" s="1"/>
  <c r="K359" i="39"/>
  <c r="L359" i="39" s="1"/>
  <c r="K356" i="39"/>
  <c r="L356" i="39" s="1"/>
  <c r="K343" i="39"/>
  <c r="L343" i="39" s="1"/>
  <c r="L303" i="39"/>
  <c r="L302" i="39" s="1"/>
  <c r="L300" i="39"/>
  <c r="L299" i="39" s="1"/>
  <c r="K286" i="39"/>
  <c r="L286" i="39" s="1"/>
  <c r="K285" i="39"/>
  <c r="L285" i="39" s="1"/>
  <c r="K282" i="39"/>
  <c r="L282" i="39" s="1"/>
  <c r="L276" i="39"/>
  <c r="K273" i="39"/>
  <c r="L273" i="39" s="1"/>
  <c r="L270" i="39"/>
  <c r="K267" i="39"/>
  <c r="L267" i="39" s="1"/>
  <c r="E266" i="39"/>
  <c r="K266" i="39" s="1"/>
  <c r="D260" i="39"/>
  <c r="L260" i="39" s="1"/>
  <c r="M35" i="40" l="1"/>
  <c r="M41" i="40"/>
  <c r="F66" i="40"/>
  <c r="N68" i="40"/>
  <c r="L81" i="40"/>
  <c r="M96" i="40"/>
  <c r="L118" i="40"/>
  <c r="M118" i="40" s="1"/>
  <c r="L188" i="40"/>
  <c r="M188" i="40" s="1"/>
  <c r="L192" i="40"/>
  <c r="M192" i="40" s="1"/>
  <c r="L200" i="40"/>
  <c r="M200" i="40" s="1"/>
  <c r="L204" i="40"/>
  <c r="M204" i="40" s="1"/>
  <c r="L173" i="40"/>
  <c r="L70" i="40"/>
  <c r="M70" i="40" s="1"/>
  <c r="M83" i="40"/>
  <c r="M161" i="40"/>
  <c r="F128" i="40"/>
  <c r="L146" i="40"/>
  <c r="L175" i="40"/>
  <c r="M175" i="40" s="1"/>
  <c r="M101" i="40"/>
  <c r="M103" i="40"/>
  <c r="N112" i="40"/>
  <c r="M154" i="40"/>
  <c r="L174" i="40"/>
  <c r="M174" i="40" s="1"/>
  <c r="L254" i="40"/>
  <c r="M254" i="40" s="1"/>
  <c r="L256" i="40"/>
  <c r="M256" i="40" s="1"/>
  <c r="L148" i="40"/>
  <c r="M148" i="40" s="1"/>
  <c r="M172" i="40"/>
  <c r="K232" i="40"/>
  <c r="L90" i="40"/>
  <c r="F169" i="40"/>
  <c r="L193" i="40"/>
  <c r="L197" i="40"/>
  <c r="M197" i="40" s="1"/>
  <c r="L199" i="40"/>
  <c r="M199" i="40" s="1"/>
  <c r="L207" i="40"/>
  <c r="M207" i="40" s="1"/>
  <c r="L209" i="40"/>
  <c r="L84" i="40"/>
  <c r="M84" i="40" s="1"/>
  <c r="L98" i="40"/>
  <c r="F114" i="40"/>
  <c r="J169" i="40"/>
  <c r="L214" i="40"/>
  <c r="M214" i="40" s="1"/>
  <c r="L216" i="40"/>
  <c r="L246" i="40"/>
  <c r="L266" i="40"/>
  <c r="M266" i="40" s="1"/>
  <c r="L279" i="40"/>
  <c r="M279" i="40" s="1"/>
  <c r="K283" i="40"/>
  <c r="L104" i="40"/>
  <c r="N104" i="40" s="1"/>
  <c r="I151" i="40"/>
  <c r="L281" i="40"/>
  <c r="M281" i="40" s="1"/>
  <c r="L201" i="40"/>
  <c r="L141" i="40"/>
  <c r="L121" i="40"/>
  <c r="M121" i="40" s="1"/>
  <c r="L123" i="40"/>
  <c r="M123" i="40" s="1"/>
  <c r="L133" i="40"/>
  <c r="M133" i="40" s="1"/>
  <c r="L277" i="40"/>
  <c r="M277" i="40" s="1"/>
  <c r="L270" i="40"/>
  <c r="L203" i="40"/>
  <c r="M203" i="40" s="1"/>
  <c r="L202" i="40"/>
  <c r="L187" i="40"/>
  <c r="M187" i="40" s="1"/>
  <c r="L142" i="40"/>
  <c r="M142" i="40" s="1"/>
  <c r="K92" i="40"/>
  <c r="K78" i="40" s="1"/>
  <c r="L628" i="41"/>
  <c r="L321" i="41"/>
  <c r="L153" i="41"/>
  <c r="L60" i="41"/>
  <c r="L665" i="41"/>
  <c r="L669" i="41" s="1"/>
  <c r="L668" i="41" s="1"/>
  <c r="L635" i="41"/>
  <c r="L80" i="41"/>
  <c r="L455" i="41"/>
  <c r="L198" i="40"/>
  <c r="M198" i="40" s="1"/>
  <c r="L122" i="40"/>
  <c r="M122" i="40" s="1"/>
  <c r="L287" i="40"/>
  <c r="M287" i="40" s="1"/>
  <c r="K275" i="40"/>
  <c r="L271" i="40"/>
  <c r="L240" i="40"/>
  <c r="M240" i="40" s="1"/>
  <c r="L234" i="40"/>
  <c r="L278" i="40"/>
  <c r="L280" i="40"/>
  <c r="M280" i="40" s="1"/>
  <c r="J244" i="40"/>
  <c r="L250" i="40"/>
  <c r="L248" i="40" s="1"/>
  <c r="M248" i="40" s="1"/>
  <c r="L273" i="40"/>
  <c r="M273" i="40" s="1"/>
  <c r="L241" i="40"/>
  <c r="L258" i="40"/>
  <c r="M258" i="40" s="1"/>
  <c r="L259" i="40"/>
  <c r="M259" i="40" s="1"/>
  <c r="L39" i="40"/>
  <c r="M39" i="40" s="1"/>
  <c r="L63" i="40"/>
  <c r="M63" i="40" s="1"/>
  <c r="L110" i="40"/>
  <c r="M110" i="40" s="1"/>
  <c r="L157" i="40"/>
  <c r="M157" i="40" s="1"/>
  <c r="L159" i="40"/>
  <c r="M159" i="40" s="1"/>
  <c r="K169" i="40"/>
  <c r="L189" i="40"/>
  <c r="M189" i="40" s="1"/>
  <c r="L191" i="40"/>
  <c r="M191" i="40" s="1"/>
  <c r="L100" i="40"/>
  <c r="M100" i="40" s="1"/>
  <c r="L120" i="40"/>
  <c r="M120" i="40" s="1"/>
  <c r="L130" i="40"/>
  <c r="L55" i="40"/>
  <c r="M55" i="40" s="1"/>
  <c r="L57" i="40"/>
  <c r="M57" i="40" s="1"/>
  <c r="L85" i="40"/>
  <c r="M85" i="40" s="1"/>
  <c r="L87" i="40"/>
  <c r="M87" i="40" s="1"/>
  <c r="L89" i="40"/>
  <c r="M89" i="40" s="1"/>
  <c r="L102" i="40"/>
  <c r="M102" i="40" s="1"/>
  <c r="L117" i="40"/>
  <c r="M117" i="40" s="1"/>
  <c r="L165" i="40"/>
  <c r="M165" i="40" s="1"/>
  <c r="L179" i="40"/>
  <c r="M179" i="40" s="1"/>
  <c r="L181" i="40"/>
  <c r="M181" i="40" s="1"/>
  <c r="L38" i="40"/>
  <c r="M38" i="40" s="1"/>
  <c r="L64" i="40"/>
  <c r="M64" i="40" s="1"/>
  <c r="L75" i="40"/>
  <c r="M75" i="40" s="1"/>
  <c r="L91" i="40"/>
  <c r="M91" i="40" s="1"/>
  <c r="L111" i="40"/>
  <c r="M111" i="40" s="1"/>
  <c r="L119" i="40"/>
  <c r="M119" i="40" s="1"/>
  <c r="L145" i="40"/>
  <c r="M145" i="40" s="1"/>
  <c r="L158" i="40"/>
  <c r="M158" i="40" s="1"/>
  <c r="L190" i="40"/>
  <c r="L149" i="40"/>
  <c r="M149" i="40" s="1"/>
  <c r="L151" i="40"/>
  <c r="M151" i="40" s="1"/>
  <c r="L153" i="40"/>
  <c r="M153" i="40" s="1"/>
  <c r="L176" i="40"/>
  <c r="M176" i="40" s="1"/>
  <c r="L194" i="40"/>
  <c r="M194" i="40" s="1"/>
  <c r="L196" i="40"/>
  <c r="M196" i="40" s="1"/>
  <c r="L205" i="40"/>
  <c r="M205" i="40" s="1"/>
  <c r="L213" i="40"/>
  <c r="L215" i="40"/>
  <c r="M215" i="40" s="1"/>
  <c r="L219" i="40"/>
  <c r="M219" i="40" s="1"/>
  <c r="L105" i="40"/>
  <c r="M105" i="40" s="1"/>
  <c r="J78" i="40"/>
  <c r="M90" i="40"/>
  <c r="J107" i="40"/>
  <c r="L135" i="40"/>
  <c r="M135" i="40" s="1"/>
  <c r="L167" i="40"/>
  <c r="M167" i="40" s="1"/>
  <c r="J50" i="40"/>
  <c r="M112" i="40"/>
  <c r="L137" i="40"/>
  <c r="M137" i="40" s="1"/>
  <c r="L218" i="40"/>
  <c r="M218" i="40" s="1"/>
  <c r="L36" i="40"/>
  <c r="M36" i="40" s="1"/>
  <c r="J114" i="40"/>
  <c r="J43" i="40"/>
  <c r="L54" i="40"/>
  <c r="M54" i="40" s="1"/>
  <c r="L62" i="40"/>
  <c r="M62" i="40" s="1"/>
  <c r="L132" i="40"/>
  <c r="M132" i="40" s="1"/>
  <c r="M146" i="40"/>
  <c r="L156" i="40"/>
  <c r="M156" i="40" s="1"/>
  <c r="M162" i="40"/>
  <c r="M150" i="40"/>
  <c r="J128" i="40"/>
  <c r="M216" i="40"/>
  <c r="L324" i="41"/>
  <c r="L129" i="41"/>
  <c r="L209" i="41"/>
  <c r="L69" i="41"/>
  <c r="L91" i="41"/>
  <c r="L215" i="41" s="1"/>
  <c r="L214" i="41" s="1"/>
  <c r="L218" i="41" s="1"/>
  <c r="L217" i="41" s="1"/>
  <c r="L49" i="41"/>
  <c r="L170" i="41"/>
  <c r="L630" i="41"/>
  <c r="M109" i="40"/>
  <c r="I56" i="40"/>
  <c r="F183" i="40"/>
  <c r="K107" i="40"/>
  <c r="M141" i="40"/>
  <c r="K185" i="40"/>
  <c r="I185" i="40"/>
  <c r="M213" i="40"/>
  <c r="L230" i="40"/>
  <c r="L239" i="40"/>
  <c r="I74" i="40"/>
  <c r="I98" i="40"/>
  <c r="I136" i="40"/>
  <c r="F139" i="40"/>
  <c r="L171" i="40"/>
  <c r="M193" i="40"/>
  <c r="M201" i="40"/>
  <c r="M209" i="40"/>
  <c r="K211" i="40"/>
  <c r="K248" i="40"/>
  <c r="K264" i="40"/>
  <c r="L264" i="40" s="1"/>
  <c r="M264" i="40" s="1"/>
  <c r="I264" i="40"/>
  <c r="L223" i="40"/>
  <c r="J221" i="40"/>
  <c r="L263" i="40"/>
  <c r="I41" i="40"/>
  <c r="M81" i="40"/>
  <c r="F78" i="40"/>
  <c r="M241" i="40"/>
  <c r="K53" i="40"/>
  <c r="K50" i="40" s="1"/>
  <c r="M98" i="40"/>
  <c r="M190" i="40"/>
  <c r="M206" i="40"/>
  <c r="L46" i="40"/>
  <c r="M46" i="40" s="1"/>
  <c r="K48" i="40"/>
  <c r="I48" i="40"/>
  <c r="L68" i="40"/>
  <c r="L74" i="40"/>
  <c r="M74" i="40" s="1"/>
  <c r="M86" i="40"/>
  <c r="L116" i="40"/>
  <c r="M134" i="40"/>
  <c r="L136" i="40"/>
  <c r="M136" i="40" s="1"/>
  <c r="K166" i="40"/>
  <c r="L166" i="40" s="1"/>
  <c r="M166" i="40" s="1"/>
  <c r="I166" i="40"/>
  <c r="M234" i="40"/>
  <c r="K242" i="40"/>
  <c r="L242" i="40" s="1"/>
  <c r="M242" i="40" s="1"/>
  <c r="I242" i="40"/>
  <c r="K252" i="40"/>
  <c r="K268" i="40"/>
  <c r="J94" i="40"/>
  <c r="L99" i="40"/>
  <c r="M99" i="40" s="1"/>
  <c r="L61" i="40"/>
  <c r="K72" i="40"/>
  <c r="L72" i="40" s="1"/>
  <c r="M72" i="40" s="1"/>
  <c r="I72" i="40"/>
  <c r="L69" i="40"/>
  <c r="M69" i="40" s="1"/>
  <c r="I104" i="40"/>
  <c r="D309" i="41" s="1"/>
  <c r="L309" i="41" s="1"/>
  <c r="J139" i="40"/>
  <c r="L143" i="40"/>
  <c r="M143" i="40" s="1"/>
  <c r="L285" i="40"/>
  <c r="J283" i="40"/>
  <c r="K31" i="40"/>
  <c r="L52" i="40"/>
  <c r="F59" i="40"/>
  <c r="L71" i="40"/>
  <c r="M71" i="40" s="1"/>
  <c r="K76" i="40"/>
  <c r="L76" i="40" s="1"/>
  <c r="M76" i="40" s="1"/>
  <c r="F107" i="40"/>
  <c r="K128" i="40"/>
  <c r="M178" i="40"/>
  <c r="F211" i="40"/>
  <c r="N211" i="40" s="1"/>
  <c r="M270" i="40"/>
  <c r="J268" i="40"/>
  <c r="L272" i="40"/>
  <c r="M272" i="40" s="1"/>
  <c r="F94" i="40"/>
  <c r="F289" i="40" s="1"/>
  <c r="L21" i="40" s="1"/>
  <c r="L147" i="40"/>
  <c r="M147" i="40" s="1"/>
  <c r="L155" i="40"/>
  <c r="M155" i="40" s="1"/>
  <c r="L163" i="40"/>
  <c r="M163" i="40" s="1"/>
  <c r="M173" i="40"/>
  <c r="L186" i="40"/>
  <c r="M186" i="40" s="1"/>
  <c r="J183" i="40"/>
  <c r="M202" i="40"/>
  <c r="J211" i="40"/>
  <c r="L217" i="40"/>
  <c r="M217" i="40" s="1"/>
  <c r="F237" i="40"/>
  <c r="M246" i="40"/>
  <c r="L244" i="40"/>
  <c r="M244" i="40" s="1"/>
  <c r="J252" i="40"/>
  <c r="L255" i="40"/>
  <c r="M255" i="40" s="1"/>
  <c r="M271" i="40"/>
  <c r="F268" i="40"/>
  <c r="M45" i="40"/>
  <c r="J66" i="40"/>
  <c r="L33" i="40"/>
  <c r="J31" i="40"/>
  <c r="K97" i="40"/>
  <c r="L97" i="40" s="1"/>
  <c r="I97" i="40"/>
  <c r="M130" i="40"/>
  <c r="J232" i="40"/>
  <c r="L235" i="40"/>
  <c r="M235" i="40" s="1"/>
  <c r="L257" i="40"/>
  <c r="M257" i="40" s="1"/>
  <c r="F261" i="40"/>
  <c r="J261" i="40"/>
  <c r="L265" i="40"/>
  <c r="M265" i="40" s="1"/>
  <c r="F275" i="40"/>
  <c r="N275" i="40" s="1"/>
  <c r="I241" i="40"/>
  <c r="I263" i="40"/>
  <c r="J275" i="40"/>
  <c r="L638" i="39"/>
  <c r="H246" i="38" s="1"/>
  <c r="D670" i="39"/>
  <c r="L670" i="39" s="1"/>
  <c r="L669" i="39" s="1"/>
  <c r="H263" i="38" s="1"/>
  <c r="H266" i="38"/>
  <c r="L662" i="39"/>
  <c r="L661" i="39" s="1"/>
  <c r="H258" i="38" s="1"/>
  <c r="L630" i="39"/>
  <c r="H242" i="38" s="1"/>
  <c r="L627" i="39"/>
  <c r="L628" i="39"/>
  <c r="L457" i="39"/>
  <c r="H167" i="38" s="1"/>
  <c r="L455" i="39"/>
  <c r="L454" i="39" s="1"/>
  <c r="H166" i="38" s="1"/>
  <c r="L365" i="39"/>
  <c r="L358" i="39"/>
  <c r="H132" i="38" s="1"/>
  <c r="L284" i="39"/>
  <c r="H105" i="38" s="1"/>
  <c r="M104" i="40" l="1"/>
  <c r="L107" i="40"/>
  <c r="N261" i="40"/>
  <c r="L275" i="40"/>
  <c r="M275" i="40" s="1"/>
  <c r="L268" i="40"/>
  <c r="N268" i="40" s="1"/>
  <c r="N228" i="40" s="1"/>
  <c r="M278" i="40"/>
  <c r="L308" i="41"/>
  <c r="L92" i="40"/>
  <c r="M92" i="40" s="1"/>
  <c r="L627" i="41"/>
  <c r="M250" i="40"/>
  <c r="L252" i="40"/>
  <c r="M252" i="40" s="1"/>
  <c r="L53" i="40"/>
  <c r="M53" i="40" s="1"/>
  <c r="M22" i="40"/>
  <c r="L232" i="40"/>
  <c r="M232" i="40" s="1"/>
  <c r="J289" i="40"/>
  <c r="L23" i="40" s="1"/>
  <c r="K261" i="40"/>
  <c r="M285" i="40"/>
  <c r="L283" i="40"/>
  <c r="M283" i="40" s="1"/>
  <c r="K237" i="40"/>
  <c r="M61" i="40"/>
  <c r="L59" i="40"/>
  <c r="M59" i="40" s="1"/>
  <c r="M68" i="40"/>
  <c r="L66" i="40"/>
  <c r="M66" i="40" s="1"/>
  <c r="L185" i="40"/>
  <c r="K183" i="40"/>
  <c r="L31" i="40"/>
  <c r="M33" i="40"/>
  <c r="L128" i="40"/>
  <c r="M128" i="40" s="1"/>
  <c r="M52" i="40"/>
  <c r="L50" i="40"/>
  <c r="M50" i="40" s="1"/>
  <c r="M116" i="40"/>
  <c r="M223" i="40"/>
  <c r="L221" i="40"/>
  <c r="M221" i="40" s="1"/>
  <c r="M171" i="40"/>
  <c r="L169" i="40"/>
  <c r="M169" i="40" s="1"/>
  <c r="L228" i="40"/>
  <c r="M228" i="40" s="1"/>
  <c r="M230" i="40"/>
  <c r="K139" i="40"/>
  <c r="K66" i="40"/>
  <c r="M97" i="40"/>
  <c r="L94" i="40"/>
  <c r="M94" i="40" s="1"/>
  <c r="L48" i="40"/>
  <c r="M48" i="40" s="1"/>
  <c r="K43" i="40"/>
  <c r="M263" i="40"/>
  <c r="L261" i="40"/>
  <c r="M261" i="40" s="1"/>
  <c r="M239" i="40"/>
  <c r="L237" i="40"/>
  <c r="M237" i="40" s="1"/>
  <c r="L139" i="40"/>
  <c r="K94" i="40"/>
  <c r="L211" i="40"/>
  <c r="M211" i="40" s="1"/>
  <c r="M107" i="40"/>
  <c r="D675" i="39"/>
  <c r="L675" i="39" s="1"/>
  <c r="L626" i="39"/>
  <c r="H241" i="38" s="1"/>
  <c r="M268" i="40" l="1"/>
  <c r="H124" i="40"/>
  <c r="D314" i="41"/>
  <c r="L314" i="41" s="1"/>
  <c r="L313" i="41" s="1"/>
  <c r="H125" i="40" s="1"/>
  <c r="I124" i="40"/>
  <c r="K124" i="40"/>
  <c r="L78" i="40"/>
  <c r="M78" i="40" s="1"/>
  <c r="M139" i="40"/>
  <c r="N139" i="40"/>
  <c r="L43" i="40"/>
  <c r="M43" i="40" s="1"/>
  <c r="M31" i="40"/>
  <c r="M185" i="40"/>
  <c r="L183" i="40"/>
  <c r="L281" i="39"/>
  <c r="H104" i="38" s="1"/>
  <c r="A284" i="39"/>
  <c r="B284" i="39"/>
  <c r="M284" i="39"/>
  <c r="M281" i="39"/>
  <c r="B281" i="39"/>
  <c r="A281" i="39"/>
  <c r="L247" i="39"/>
  <c r="L248" i="39"/>
  <c r="L249" i="39"/>
  <c r="L246" i="39"/>
  <c r="D240" i="39"/>
  <c r="L240" i="39" s="1"/>
  <c r="L225" i="39"/>
  <c r="L224" i="39" s="1"/>
  <c r="K218" i="39"/>
  <c r="L218" i="39" s="1"/>
  <c r="K219" i="39"/>
  <c r="L219" i="39" s="1"/>
  <c r="K220" i="39"/>
  <c r="L220" i="39" s="1"/>
  <c r="K221" i="39"/>
  <c r="L221" i="39" s="1"/>
  <c r="K222" i="39"/>
  <c r="L222" i="39" s="1"/>
  <c r="K217" i="39"/>
  <c r="L252" i="39"/>
  <c r="L251" i="39" s="1"/>
  <c r="M251" i="39"/>
  <c r="B251" i="39"/>
  <c r="A251" i="39"/>
  <c r="M245" i="39"/>
  <c r="B245" i="39"/>
  <c r="A245" i="39"/>
  <c r="D203" i="39"/>
  <c r="L203" i="39" s="1"/>
  <c r="L202" i="39" s="1"/>
  <c r="H76" i="38" s="1"/>
  <c r="D200" i="39"/>
  <c r="L200" i="39" s="1"/>
  <c r="L199" i="39" s="1"/>
  <c r="H75" i="38" s="1"/>
  <c r="D197" i="39"/>
  <c r="L197" i="39" s="1"/>
  <c r="L196" i="39" s="1"/>
  <c r="H74" i="38" s="1"/>
  <c r="D191" i="39"/>
  <c r="L191" i="39" s="1"/>
  <c r="L190" i="39" s="1"/>
  <c r="H72" i="38" s="1"/>
  <c r="D194" i="39"/>
  <c r="L194" i="39" s="1"/>
  <c r="L193" i="39" s="1"/>
  <c r="H73" i="38" s="1"/>
  <c r="D188" i="39"/>
  <c r="L188" i="39" s="1"/>
  <c r="L187" i="39" s="1"/>
  <c r="H71" i="38" s="1"/>
  <c r="K185" i="39"/>
  <c r="L185" i="39" s="1"/>
  <c r="L184" i="39" s="1"/>
  <c r="H70" i="38" s="1"/>
  <c r="M202" i="39"/>
  <c r="M199" i="39"/>
  <c r="M196" i="39"/>
  <c r="M193" i="39"/>
  <c r="M190" i="39"/>
  <c r="B202" i="39"/>
  <c r="B199" i="39"/>
  <c r="B196" i="39"/>
  <c r="B193" i="39"/>
  <c r="B190" i="39"/>
  <c r="A202" i="39"/>
  <c r="A199" i="39"/>
  <c r="A196" i="39"/>
  <c r="A193" i="39"/>
  <c r="A190" i="39"/>
  <c r="M187" i="39"/>
  <c r="B187" i="39"/>
  <c r="A187" i="39"/>
  <c r="L165" i="39"/>
  <c r="K164" i="39"/>
  <c r="L164" i="39" s="1"/>
  <c r="K163" i="39"/>
  <c r="L163" i="39" s="1"/>
  <c r="D160" i="39"/>
  <c r="L160" i="39" s="1"/>
  <c r="L159" i="39" s="1"/>
  <c r="H61" i="38" s="1"/>
  <c r="G155" i="39"/>
  <c r="K155" i="39" s="1"/>
  <c r="L155" i="39" s="1"/>
  <c r="L154" i="39" s="1"/>
  <c r="H57" i="38" s="1"/>
  <c r="K111" i="39"/>
  <c r="L111" i="39" s="1"/>
  <c r="K114" i="39"/>
  <c r="L114" i="39" s="1"/>
  <c r="K113" i="39"/>
  <c r="L113" i="39" s="1"/>
  <c r="K71" i="39"/>
  <c r="L71" i="39" s="1"/>
  <c r="K50" i="39"/>
  <c r="L50" i="39" s="1"/>
  <c r="K152" i="39"/>
  <c r="L152" i="39" s="1"/>
  <c r="K151" i="39"/>
  <c r="L151" i="39" s="1"/>
  <c r="K150" i="39"/>
  <c r="L150" i="39" s="1"/>
  <c r="K149" i="39"/>
  <c r="L149" i="39" s="1"/>
  <c r="K148" i="39"/>
  <c r="L148" i="39" s="1"/>
  <c r="K147" i="39"/>
  <c r="L147" i="39" s="1"/>
  <c r="K146" i="39"/>
  <c r="L146" i="39" s="1"/>
  <c r="K145" i="39"/>
  <c r="L145" i="39" s="1"/>
  <c r="K144" i="39"/>
  <c r="L144" i="39" s="1"/>
  <c r="K143" i="39"/>
  <c r="L143" i="39" s="1"/>
  <c r="K142" i="39"/>
  <c r="L142" i="39" s="1"/>
  <c r="K141" i="39"/>
  <c r="L141" i="39" s="1"/>
  <c r="K140" i="39"/>
  <c r="L140" i="39" s="1"/>
  <c r="K139" i="39"/>
  <c r="L139" i="39" s="1"/>
  <c r="K138" i="39"/>
  <c r="L138" i="39" s="1"/>
  <c r="K137" i="39"/>
  <c r="L137" i="39" s="1"/>
  <c r="K136" i="39"/>
  <c r="L136" i="39" s="1"/>
  <c r="K135" i="39"/>
  <c r="L135" i="39" s="1"/>
  <c r="K134" i="39"/>
  <c r="L134" i="39" s="1"/>
  <c r="K133" i="39"/>
  <c r="L133" i="39" s="1"/>
  <c r="K132" i="39"/>
  <c r="L132" i="39" s="1"/>
  <c r="K131" i="39"/>
  <c r="L131" i="39" s="1"/>
  <c r="K130" i="39"/>
  <c r="L130" i="39" s="1"/>
  <c r="K129" i="39"/>
  <c r="L129" i="39" s="1"/>
  <c r="K128" i="39"/>
  <c r="L128" i="39" s="1"/>
  <c r="K127" i="39"/>
  <c r="L127" i="39" s="1"/>
  <c r="K126" i="39"/>
  <c r="L126" i="39" s="1"/>
  <c r="K125" i="39"/>
  <c r="L125" i="39" s="1"/>
  <c r="K124" i="39"/>
  <c r="L124" i="39" s="1"/>
  <c r="K123" i="39"/>
  <c r="L123" i="39" s="1"/>
  <c r="K122" i="39"/>
  <c r="L122" i="39" s="1"/>
  <c r="K121" i="39"/>
  <c r="L121" i="39" s="1"/>
  <c r="K120" i="39"/>
  <c r="L120" i="39" s="1"/>
  <c r="K119" i="39"/>
  <c r="L119" i="39" s="1"/>
  <c r="K118" i="39"/>
  <c r="L118" i="39" s="1"/>
  <c r="K117" i="39"/>
  <c r="L117" i="39" s="1"/>
  <c r="K116" i="39"/>
  <c r="L116" i="39" s="1"/>
  <c r="K115" i="39"/>
  <c r="L115" i="39" s="1"/>
  <c r="K112" i="39"/>
  <c r="L112" i="39" s="1"/>
  <c r="K73" i="39"/>
  <c r="L73" i="39" s="1"/>
  <c r="K74" i="39"/>
  <c r="L74" i="39" s="1"/>
  <c r="K75" i="39"/>
  <c r="L75" i="39" s="1"/>
  <c r="K76" i="39"/>
  <c r="L76" i="39" s="1"/>
  <c r="K77" i="39"/>
  <c r="L77" i="39" s="1"/>
  <c r="K78" i="39"/>
  <c r="L78" i="39" s="1"/>
  <c r="K79" i="39"/>
  <c r="L79" i="39" s="1"/>
  <c r="K80" i="39"/>
  <c r="L80" i="39" s="1"/>
  <c r="K81" i="39"/>
  <c r="L81" i="39" s="1"/>
  <c r="K82" i="39"/>
  <c r="L82" i="39" s="1"/>
  <c r="K83" i="39"/>
  <c r="L83" i="39" s="1"/>
  <c r="K84" i="39"/>
  <c r="L84" i="39" s="1"/>
  <c r="K85" i="39"/>
  <c r="L85" i="39" s="1"/>
  <c r="K86" i="39"/>
  <c r="L86" i="39" s="1"/>
  <c r="K87" i="39"/>
  <c r="L87" i="39" s="1"/>
  <c r="K88" i="39"/>
  <c r="L88" i="39" s="1"/>
  <c r="K89" i="39"/>
  <c r="L89" i="39" s="1"/>
  <c r="K90" i="39"/>
  <c r="L90" i="39" s="1"/>
  <c r="K91" i="39"/>
  <c r="L91" i="39" s="1"/>
  <c r="K92" i="39"/>
  <c r="L92" i="39" s="1"/>
  <c r="K93" i="39"/>
  <c r="L93" i="39" s="1"/>
  <c r="K94" i="39"/>
  <c r="L94" i="39" s="1"/>
  <c r="K95" i="39"/>
  <c r="L95" i="39" s="1"/>
  <c r="K96" i="39"/>
  <c r="L96" i="39" s="1"/>
  <c r="K97" i="39"/>
  <c r="L97" i="39" s="1"/>
  <c r="K98" i="39"/>
  <c r="L98" i="39" s="1"/>
  <c r="K99" i="39"/>
  <c r="L99" i="39" s="1"/>
  <c r="K100" i="39"/>
  <c r="L100" i="39" s="1"/>
  <c r="K101" i="39"/>
  <c r="L101" i="39" s="1"/>
  <c r="K102" i="39"/>
  <c r="L102" i="39" s="1"/>
  <c r="K72" i="39"/>
  <c r="L72" i="39" s="1"/>
  <c r="M154" i="39"/>
  <c r="B154" i="39"/>
  <c r="A154" i="39"/>
  <c r="D63" i="39"/>
  <c r="K63" i="39" s="1"/>
  <c r="L63" i="39" s="1"/>
  <c r="L62" i="39" s="1"/>
  <c r="K60" i="39"/>
  <c r="L60" i="39" s="1"/>
  <c r="K52" i="39"/>
  <c r="L52" i="39" s="1"/>
  <c r="K53" i="39"/>
  <c r="L53" i="39" s="1"/>
  <c r="K54" i="39"/>
  <c r="L54" i="39" s="1"/>
  <c r="K55" i="39"/>
  <c r="L55" i="39" s="1"/>
  <c r="K56" i="39"/>
  <c r="L56" i="39" s="1"/>
  <c r="K57" i="39"/>
  <c r="L57" i="39" s="1"/>
  <c r="K58" i="39"/>
  <c r="L58" i="39" s="1"/>
  <c r="K59" i="39"/>
  <c r="L59" i="39" s="1"/>
  <c r="K51" i="39"/>
  <c r="M62" i="39"/>
  <c r="B62" i="39"/>
  <c r="A62" i="39"/>
  <c r="K39" i="39"/>
  <c r="L39" i="39" s="1"/>
  <c r="L38" i="39" s="1"/>
  <c r="H41" i="38" s="1"/>
  <c r="M38" i="39"/>
  <c r="B38" i="39"/>
  <c r="A38" i="39"/>
  <c r="K125" i="40" l="1"/>
  <c r="L125" i="40" s="1"/>
  <c r="M125" i="40" s="1"/>
  <c r="I125" i="40"/>
  <c r="L124" i="40"/>
  <c r="M124" i="40" s="1"/>
  <c r="M183" i="40"/>
  <c r="N183" i="40"/>
  <c r="L245" i="39"/>
  <c r="H91" i="38" s="1"/>
  <c r="I91" i="38" s="1"/>
  <c r="L162" i="39"/>
  <c r="H62" i="38" s="1"/>
  <c r="I62" i="38" s="1"/>
  <c r="L110" i="39"/>
  <c r="H56" i="38" s="1"/>
  <c r="I56" i="38" s="1"/>
  <c r="L70" i="39"/>
  <c r="H53" i="38" s="1"/>
  <c r="H48" i="38"/>
  <c r="I48" i="38" s="1"/>
  <c r="K242" i="38"/>
  <c r="I72" i="38"/>
  <c r="I76" i="38"/>
  <c r="I134" i="38"/>
  <c r="K294" i="39"/>
  <c r="L294" i="39" s="1"/>
  <c r="G293" i="39"/>
  <c r="K293" i="39" s="1"/>
  <c r="L293" i="39" s="1"/>
  <c r="G292" i="39"/>
  <c r="K292" i="39" s="1"/>
  <c r="L292" i="39" s="1"/>
  <c r="K177" i="39"/>
  <c r="L177" i="39" s="1"/>
  <c r="K178" i="39"/>
  <c r="L178" i="39" s="1"/>
  <c r="K179" i="39"/>
  <c r="L179" i="39" s="1"/>
  <c r="I64" i="38"/>
  <c r="I57" i="38"/>
  <c r="I33" i="38"/>
  <c r="I34" i="38"/>
  <c r="I35" i="38"/>
  <c r="I36" i="38"/>
  <c r="I37" i="38"/>
  <c r="I38" i="38"/>
  <c r="I39" i="38"/>
  <c r="I40" i="38"/>
  <c r="I41" i="38"/>
  <c r="I45" i="38"/>
  <c r="I46" i="38"/>
  <c r="I52" i="38"/>
  <c r="I54" i="38"/>
  <c r="I55" i="38"/>
  <c r="I61" i="38"/>
  <c r="I63" i="38"/>
  <c r="I69" i="38"/>
  <c r="I70" i="38"/>
  <c r="I71" i="38"/>
  <c r="I73" i="38"/>
  <c r="I74" i="38"/>
  <c r="I75" i="38"/>
  <c r="I80" i="38"/>
  <c r="I81" i="38"/>
  <c r="I82" i="38"/>
  <c r="I85" i="38"/>
  <c r="I86" i="38"/>
  <c r="I87" i="38"/>
  <c r="I88" i="38"/>
  <c r="I90" i="38"/>
  <c r="I92" i="38"/>
  <c r="I96" i="38"/>
  <c r="I100" i="38"/>
  <c r="I103" i="38"/>
  <c r="I105" i="38"/>
  <c r="I111" i="38"/>
  <c r="I112" i="38"/>
  <c r="I116" i="38"/>
  <c r="I117" i="38"/>
  <c r="I118" i="38"/>
  <c r="I119" i="38"/>
  <c r="I120" i="38"/>
  <c r="I121" i="38"/>
  <c r="I122" i="38"/>
  <c r="I123" i="38"/>
  <c r="I124" i="38"/>
  <c r="I125" i="38"/>
  <c r="I126" i="38"/>
  <c r="I132" i="38"/>
  <c r="I133" i="38"/>
  <c r="I137" i="38"/>
  <c r="I141" i="38"/>
  <c r="I142" i="38"/>
  <c r="I143" i="38"/>
  <c r="I144" i="38"/>
  <c r="I145" i="38"/>
  <c r="I146" i="38"/>
  <c r="I147" i="38"/>
  <c r="I148" i="38"/>
  <c r="I149" i="38"/>
  <c r="I150" i="38"/>
  <c r="I151" i="38"/>
  <c r="I152" i="38"/>
  <c r="I153" i="38"/>
  <c r="I154" i="38"/>
  <c r="I155" i="38"/>
  <c r="I156" i="38"/>
  <c r="I157" i="38"/>
  <c r="I158" i="38"/>
  <c r="I159" i="38"/>
  <c r="I160" i="38"/>
  <c r="I161" i="38"/>
  <c r="I162" i="38"/>
  <c r="I163" i="38"/>
  <c r="I164" i="38"/>
  <c r="I165" i="38"/>
  <c r="I166" i="38"/>
  <c r="I167" i="38"/>
  <c r="I171" i="38"/>
  <c r="I172" i="38"/>
  <c r="I173" i="38"/>
  <c r="I174" i="38"/>
  <c r="I175" i="38"/>
  <c r="I176" i="38"/>
  <c r="I177" i="38"/>
  <c r="I178" i="38"/>
  <c r="I179" i="38"/>
  <c r="I180" i="38"/>
  <c r="I181" i="38"/>
  <c r="I186" i="38"/>
  <c r="I187" i="38"/>
  <c r="I188" i="38"/>
  <c r="I189" i="38"/>
  <c r="I190" i="38"/>
  <c r="I191" i="38"/>
  <c r="I192" i="38"/>
  <c r="I193" i="38"/>
  <c r="I194" i="38"/>
  <c r="I195" i="38"/>
  <c r="I196" i="38"/>
  <c r="I197" i="38"/>
  <c r="I198" i="38"/>
  <c r="I199" i="38"/>
  <c r="I200" i="38"/>
  <c r="I201" i="38"/>
  <c r="I202" i="38"/>
  <c r="I203" i="38"/>
  <c r="I204" i="38"/>
  <c r="I205" i="38"/>
  <c r="I206" i="38"/>
  <c r="I207" i="38"/>
  <c r="I208" i="38"/>
  <c r="I209" i="38"/>
  <c r="I213" i="38"/>
  <c r="I214" i="38"/>
  <c r="I215" i="38"/>
  <c r="I216" i="38"/>
  <c r="I217" i="38"/>
  <c r="I218" i="38"/>
  <c r="I219" i="38"/>
  <c r="I223" i="38"/>
  <c r="I224" i="38"/>
  <c r="M32" i="38"/>
  <c r="M42" i="38"/>
  <c r="M44" i="38"/>
  <c r="M49" i="38"/>
  <c r="M51" i="38"/>
  <c r="M58" i="38"/>
  <c r="M60" i="38"/>
  <c r="M65" i="38"/>
  <c r="M67" i="38"/>
  <c r="M77" i="38"/>
  <c r="M79" i="38"/>
  <c r="M93" i="38"/>
  <c r="M95" i="38"/>
  <c r="M106" i="38"/>
  <c r="M108" i="38"/>
  <c r="M113" i="38"/>
  <c r="M115" i="38"/>
  <c r="M127" i="38"/>
  <c r="M129" i="38"/>
  <c r="M138" i="38"/>
  <c r="M140" i="38"/>
  <c r="M168" i="38"/>
  <c r="M170" i="38"/>
  <c r="M182" i="38"/>
  <c r="M184" i="38"/>
  <c r="M210" i="38"/>
  <c r="M212" i="38"/>
  <c r="M220" i="38"/>
  <c r="M222" i="38"/>
  <c r="M225" i="38"/>
  <c r="M226" i="38"/>
  <c r="M227" i="38"/>
  <c r="M229" i="38"/>
  <c r="M231" i="38"/>
  <c r="M233" i="38"/>
  <c r="M236" i="38"/>
  <c r="M238" i="38"/>
  <c r="M243" i="38"/>
  <c r="M245" i="38"/>
  <c r="M247" i="38"/>
  <c r="M249" i="38"/>
  <c r="M251" i="38"/>
  <c r="M253" i="38"/>
  <c r="M260" i="38"/>
  <c r="M262" i="38"/>
  <c r="M267" i="38"/>
  <c r="M269" i="38"/>
  <c r="M274" i="38"/>
  <c r="M276" i="38"/>
  <c r="M282" i="38"/>
  <c r="M284" i="38"/>
  <c r="M288" i="38"/>
  <c r="K287" i="38"/>
  <c r="J287" i="38"/>
  <c r="I287" i="38"/>
  <c r="F287" i="38"/>
  <c r="K286" i="38"/>
  <c r="J286" i="38"/>
  <c r="L286" i="38" s="1"/>
  <c r="M286" i="38" s="1"/>
  <c r="I286" i="38"/>
  <c r="F286" i="38"/>
  <c r="K285" i="38"/>
  <c r="K283" i="38" s="1"/>
  <c r="J285" i="38"/>
  <c r="L285" i="38" s="1"/>
  <c r="I285" i="38"/>
  <c r="F285" i="38"/>
  <c r="F283" i="38" s="1"/>
  <c r="F273" i="38"/>
  <c r="I273" i="38"/>
  <c r="J273" i="38"/>
  <c r="K273" i="38"/>
  <c r="I266" i="38"/>
  <c r="J266" i="38"/>
  <c r="K266" i="38"/>
  <c r="F266" i="38"/>
  <c r="K258" i="38"/>
  <c r="K259" i="38"/>
  <c r="F258" i="38"/>
  <c r="F259" i="38"/>
  <c r="I259" i="38"/>
  <c r="J259" i="38"/>
  <c r="I258" i="38"/>
  <c r="J258" i="38"/>
  <c r="I242" i="38"/>
  <c r="J242" i="38"/>
  <c r="F242" i="38"/>
  <c r="J209" i="38"/>
  <c r="K209" i="38"/>
  <c r="F209" i="38"/>
  <c r="J179" i="38"/>
  <c r="K179" i="38"/>
  <c r="J180" i="38"/>
  <c r="K180" i="38"/>
  <c r="J181" i="38"/>
  <c r="K181" i="38"/>
  <c r="F179" i="38"/>
  <c r="F180" i="38"/>
  <c r="F181" i="38"/>
  <c r="F165" i="38"/>
  <c r="J165" i="38"/>
  <c r="K165" i="38"/>
  <c r="F166" i="38"/>
  <c r="J166" i="38"/>
  <c r="K166" i="38"/>
  <c r="F167" i="38"/>
  <c r="J167" i="38"/>
  <c r="K167" i="38"/>
  <c r="F124" i="38"/>
  <c r="F125" i="38"/>
  <c r="F126" i="38"/>
  <c r="J124" i="38"/>
  <c r="K124" i="38"/>
  <c r="J125" i="38"/>
  <c r="K125" i="38"/>
  <c r="J126" i="38"/>
  <c r="K126" i="38"/>
  <c r="F104" i="38"/>
  <c r="J104" i="38"/>
  <c r="F105" i="38"/>
  <c r="J105" i="38"/>
  <c r="K105" i="38"/>
  <c r="J91" i="38"/>
  <c r="J92" i="38"/>
  <c r="K92" i="38"/>
  <c r="F91" i="38"/>
  <c r="F92" i="38"/>
  <c r="J71" i="38"/>
  <c r="K71" i="38"/>
  <c r="J72" i="38"/>
  <c r="K72" i="38"/>
  <c r="J73" i="38"/>
  <c r="K73" i="38"/>
  <c r="J74" i="38"/>
  <c r="K74" i="38"/>
  <c r="J75" i="38"/>
  <c r="K75" i="38"/>
  <c r="J76" i="38"/>
  <c r="K76" i="38"/>
  <c r="F71" i="38"/>
  <c r="F72" i="38"/>
  <c r="F73" i="38"/>
  <c r="F74" i="38"/>
  <c r="F75" i="38"/>
  <c r="F76" i="38"/>
  <c r="F57" i="38"/>
  <c r="J57" i="38"/>
  <c r="K57" i="38"/>
  <c r="F48" i="38"/>
  <c r="J48" i="38"/>
  <c r="F41" i="38"/>
  <c r="J41" i="38"/>
  <c r="K41" i="38"/>
  <c r="L712" i="39"/>
  <c r="L711" i="39" s="1"/>
  <c r="M711" i="39"/>
  <c r="B711" i="39"/>
  <c r="A711" i="39"/>
  <c r="L709" i="39"/>
  <c r="L708" i="39" s="1"/>
  <c r="M708" i="39"/>
  <c r="B708" i="39"/>
  <c r="A708" i="39"/>
  <c r="L706" i="39"/>
  <c r="L705" i="39" s="1"/>
  <c r="M705" i="39"/>
  <c r="B705" i="39"/>
  <c r="A705" i="39"/>
  <c r="L703" i="39"/>
  <c r="L702" i="39" s="1"/>
  <c r="M702" i="39"/>
  <c r="B702" i="39"/>
  <c r="A702" i="39"/>
  <c r="L700" i="39"/>
  <c r="L699" i="39" s="1"/>
  <c r="M699" i="39"/>
  <c r="B699" i="39"/>
  <c r="A699" i="39"/>
  <c r="B697" i="39"/>
  <c r="A697" i="39"/>
  <c r="L692" i="39"/>
  <c r="L691" i="39" s="1"/>
  <c r="M691" i="39"/>
  <c r="B691" i="39"/>
  <c r="A691" i="39"/>
  <c r="L689" i="39"/>
  <c r="L688" i="39" s="1"/>
  <c r="M688" i="39"/>
  <c r="B688" i="39"/>
  <c r="A688" i="39"/>
  <c r="L686" i="39"/>
  <c r="L685" i="39" s="1"/>
  <c r="M685" i="39"/>
  <c r="B685" i="39"/>
  <c r="A685" i="39"/>
  <c r="B683" i="39"/>
  <c r="A683" i="39"/>
  <c r="L678" i="39"/>
  <c r="L677" i="39" s="1"/>
  <c r="M677" i="39"/>
  <c r="B677" i="39"/>
  <c r="A677" i="39"/>
  <c r="L674" i="39"/>
  <c r="H264" i="38" s="1"/>
  <c r="K264" i="38" s="1"/>
  <c r="M674" i="39"/>
  <c r="B674" i="39"/>
  <c r="A674" i="39"/>
  <c r="M669" i="39"/>
  <c r="B669" i="39"/>
  <c r="A669" i="39"/>
  <c r="B667" i="39"/>
  <c r="A667" i="39"/>
  <c r="L659" i="39"/>
  <c r="L658" i="39" s="1"/>
  <c r="H257" i="38" s="1"/>
  <c r="K257" i="38" s="1"/>
  <c r="M658" i="39"/>
  <c r="B658" i="39"/>
  <c r="A658" i="39"/>
  <c r="L656" i="39"/>
  <c r="L655" i="39" s="1"/>
  <c r="H256" i="38" s="1"/>
  <c r="K256" i="38" s="1"/>
  <c r="M655" i="39"/>
  <c r="B655" i="39"/>
  <c r="A655" i="39"/>
  <c r="L653" i="39"/>
  <c r="L652" i="39" s="1"/>
  <c r="M652" i="39"/>
  <c r="B652" i="39"/>
  <c r="A652" i="39"/>
  <c r="L650" i="39"/>
  <c r="L649" i="39" s="1"/>
  <c r="M649" i="39"/>
  <c r="B649" i="39"/>
  <c r="A649" i="39"/>
  <c r="B647" i="39"/>
  <c r="A647" i="39"/>
  <c r="M644" i="39"/>
  <c r="B644" i="39"/>
  <c r="A644" i="39"/>
  <c r="B642" i="39"/>
  <c r="A642" i="39"/>
  <c r="M638" i="39"/>
  <c r="B638" i="39"/>
  <c r="A638" i="39"/>
  <c r="B637" i="39"/>
  <c r="B636" i="39"/>
  <c r="A636" i="39"/>
  <c r="M626" i="39"/>
  <c r="B626" i="39"/>
  <c r="A626" i="39"/>
  <c r="M623" i="39"/>
  <c r="L623" i="39"/>
  <c r="B623" i="39"/>
  <c r="A623" i="39"/>
  <c r="M620" i="39"/>
  <c r="L620" i="39"/>
  <c r="B620" i="39"/>
  <c r="A620" i="39"/>
  <c r="B618" i="39"/>
  <c r="A618" i="39"/>
  <c r="M615" i="39"/>
  <c r="L615" i="39"/>
  <c r="B615" i="39"/>
  <c r="A615" i="39"/>
  <c r="M612" i="39"/>
  <c r="L612" i="39"/>
  <c r="B612" i="39"/>
  <c r="A612" i="39"/>
  <c r="B610" i="39"/>
  <c r="A610" i="39"/>
  <c r="M607" i="39"/>
  <c r="L607" i="39"/>
  <c r="B607" i="39"/>
  <c r="A607" i="39"/>
  <c r="B605" i="39"/>
  <c r="A605" i="39"/>
  <c r="A603" i="39"/>
  <c r="L601" i="39"/>
  <c r="L600" i="39" s="1"/>
  <c r="M600" i="39"/>
  <c r="B600" i="39"/>
  <c r="A600" i="39"/>
  <c r="L598" i="39"/>
  <c r="L597" i="39" s="1"/>
  <c r="M597" i="39"/>
  <c r="B597" i="39"/>
  <c r="A597" i="39"/>
  <c r="B595" i="39"/>
  <c r="A595" i="39"/>
  <c r="L593" i="39"/>
  <c r="L592" i="39" s="1"/>
  <c r="M592" i="39"/>
  <c r="B592" i="39"/>
  <c r="A592" i="39"/>
  <c r="L590" i="39"/>
  <c r="L589" i="39" s="1"/>
  <c r="M589" i="39"/>
  <c r="B589" i="39"/>
  <c r="A589" i="39"/>
  <c r="L587" i="39"/>
  <c r="L586" i="39" s="1"/>
  <c r="M586" i="39"/>
  <c r="B586" i="39"/>
  <c r="A586" i="39"/>
  <c r="L584" i="39"/>
  <c r="L583" i="39" s="1"/>
  <c r="M583" i="39"/>
  <c r="B583" i="39"/>
  <c r="A583" i="39"/>
  <c r="L581" i="39"/>
  <c r="L580" i="39" s="1"/>
  <c r="M580" i="39"/>
  <c r="B580" i="39"/>
  <c r="A580" i="39"/>
  <c r="L578" i="39"/>
  <c r="L577" i="39" s="1"/>
  <c r="M577" i="39"/>
  <c r="B577" i="39"/>
  <c r="A577" i="39"/>
  <c r="L575" i="39"/>
  <c r="L574" i="39" s="1"/>
  <c r="M574" i="39"/>
  <c r="B574" i="39"/>
  <c r="A574" i="39"/>
  <c r="B572" i="39"/>
  <c r="A572" i="39"/>
  <c r="L567" i="39"/>
  <c r="L566" i="39" s="1"/>
  <c r="M566" i="39"/>
  <c r="B566" i="39"/>
  <c r="A566" i="39"/>
  <c r="L564" i="39"/>
  <c r="L563" i="39" s="1"/>
  <c r="M563" i="39"/>
  <c r="B563" i="39"/>
  <c r="A563" i="39"/>
  <c r="L561" i="39"/>
  <c r="L560" i="39" s="1"/>
  <c r="M560" i="39"/>
  <c r="B560" i="39"/>
  <c r="A560" i="39"/>
  <c r="L558" i="39"/>
  <c r="L557" i="39" s="1"/>
  <c r="M557" i="39"/>
  <c r="B557" i="39"/>
  <c r="A557" i="39"/>
  <c r="L555" i="39"/>
  <c r="L554" i="39" s="1"/>
  <c r="M554" i="39"/>
  <c r="B554" i="39"/>
  <c r="A554" i="39"/>
  <c r="L552" i="39"/>
  <c r="L551" i="39" s="1"/>
  <c r="M551" i="39"/>
  <c r="B551" i="39"/>
  <c r="A551" i="39"/>
  <c r="L549" i="39"/>
  <c r="L548" i="39" s="1"/>
  <c r="M548" i="39"/>
  <c r="B548" i="39"/>
  <c r="A548" i="39"/>
  <c r="L546" i="39"/>
  <c r="L545" i="39" s="1"/>
  <c r="M545" i="39"/>
  <c r="B545" i="39"/>
  <c r="A545" i="39"/>
  <c r="L543" i="39"/>
  <c r="L542" i="39" s="1"/>
  <c r="M542" i="39"/>
  <c r="B542" i="39"/>
  <c r="A542" i="39"/>
  <c r="L540" i="39"/>
  <c r="L539" i="39" s="1"/>
  <c r="M539" i="39"/>
  <c r="B539" i="39"/>
  <c r="A539" i="39"/>
  <c r="L537" i="39"/>
  <c r="L536" i="39" s="1"/>
  <c r="M536" i="39"/>
  <c r="B536" i="39"/>
  <c r="A536" i="39"/>
  <c r="L534" i="39"/>
  <c r="L533" i="39" s="1"/>
  <c r="M533" i="39"/>
  <c r="B533" i="39"/>
  <c r="A533" i="39"/>
  <c r="L531" i="39"/>
  <c r="L530" i="39" s="1"/>
  <c r="M530" i="39"/>
  <c r="B530" i="39"/>
  <c r="A530" i="39"/>
  <c r="L528" i="39"/>
  <c r="L527" i="39" s="1"/>
  <c r="M527" i="39"/>
  <c r="B527" i="39"/>
  <c r="A527" i="39"/>
  <c r="L525" i="39"/>
  <c r="L524" i="39" s="1"/>
  <c r="M524" i="39"/>
  <c r="B524" i="39"/>
  <c r="A524" i="39"/>
  <c r="L522" i="39"/>
  <c r="L521" i="39" s="1"/>
  <c r="M521" i="39"/>
  <c r="B521" i="39"/>
  <c r="A521" i="39"/>
  <c r="L519" i="39"/>
  <c r="L518" i="39" s="1"/>
  <c r="M518" i="39"/>
  <c r="B518" i="39"/>
  <c r="A518" i="39"/>
  <c r="L516" i="39"/>
  <c r="L515" i="39" s="1"/>
  <c r="M515" i="39"/>
  <c r="B515" i="39"/>
  <c r="A515" i="39"/>
  <c r="L513" i="39"/>
  <c r="L512" i="39" s="1"/>
  <c r="M512" i="39"/>
  <c r="B512" i="39"/>
  <c r="A512" i="39"/>
  <c r="L510" i="39"/>
  <c r="L509" i="39" s="1"/>
  <c r="M509" i="39"/>
  <c r="B509" i="39"/>
  <c r="A509" i="39"/>
  <c r="L507" i="39"/>
  <c r="L506" i="39" s="1"/>
  <c r="M506" i="39"/>
  <c r="B506" i="39"/>
  <c r="A506" i="39"/>
  <c r="L504" i="39"/>
  <c r="L503" i="39" s="1"/>
  <c r="M503" i="39"/>
  <c r="B503" i="39"/>
  <c r="A503" i="39"/>
  <c r="L501" i="39"/>
  <c r="L500" i="39" s="1"/>
  <c r="M500" i="39"/>
  <c r="B500" i="39"/>
  <c r="A500" i="39"/>
  <c r="L497" i="39"/>
  <c r="H185" i="38" s="1"/>
  <c r="I185" i="38" s="1"/>
  <c r="M497" i="39"/>
  <c r="B497" i="39"/>
  <c r="A497" i="39"/>
  <c r="B495" i="39"/>
  <c r="A495" i="39"/>
  <c r="M483" i="39"/>
  <c r="B483" i="39"/>
  <c r="A483" i="39"/>
  <c r="M480" i="39"/>
  <c r="B480" i="39"/>
  <c r="A480" i="39"/>
  <c r="M477" i="39"/>
  <c r="B477" i="39"/>
  <c r="A477" i="39"/>
  <c r="L475" i="39"/>
  <c r="L474" i="39" s="1"/>
  <c r="M474" i="39"/>
  <c r="B474" i="39"/>
  <c r="A474" i="39"/>
  <c r="L472" i="39"/>
  <c r="L471" i="39" s="1"/>
  <c r="M471" i="39"/>
  <c r="B471" i="39"/>
  <c r="A471" i="39"/>
  <c r="L468" i="39"/>
  <c r="M468" i="39"/>
  <c r="B468" i="39"/>
  <c r="A468" i="39"/>
  <c r="L465" i="39"/>
  <c r="M465" i="39"/>
  <c r="B465" i="39"/>
  <c r="A465" i="39"/>
  <c r="L462" i="39"/>
  <c r="M462" i="39"/>
  <c r="B462" i="39"/>
  <c r="A462" i="39"/>
  <c r="B460" i="39"/>
  <c r="A460" i="39"/>
  <c r="L452" i="39"/>
  <c r="L451" i="39" s="1"/>
  <c r="M451" i="39"/>
  <c r="B451" i="39"/>
  <c r="A451" i="39"/>
  <c r="L449" i="39"/>
  <c r="L448" i="39" s="1"/>
  <c r="M448" i="39"/>
  <c r="A448" i="39"/>
  <c r="L446" i="39"/>
  <c r="L445" i="39" s="1"/>
  <c r="M445" i="39"/>
  <c r="B445" i="39"/>
  <c r="A445" i="39"/>
  <c r="M442" i="39"/>
  <c r="L442" i="39"/>
  <c r="B442" i="39"/>
  <c r="A442" i="39"/>
  <c r="L440" i="39"/>
  <c r="L439" i="39" s="1"/>
  <c r="M439" i="39"/>
  <c r="B439" i="39"/>
  <c r="A439" i="39"/>
  <c r="L437" i="39"/>
  <c r="L436" i="39" s="1"/>
  <c r="M436" i="39"/>
  <c r="B436" i="39"/>
  <c r="A436" i="39"/>
  <c r="L434" i="39"/>
  <c r="L433" i="39" s="1"/>
  <c r="M433" i="39"/>
  <c r="B433" i="39"/>
  <c r="A433" i="39"/>
  <c r="L431" i="39"/>
  <c r="L430" i="39" s="1"/>
  <c r="M430" i="39"/>
  <c r="B430" i="39"/>
  <c r="A430" i="39"/>
  <c r="L428" i="39"/>
  <c r="L427" i="39" s="1"/>
  <c r="M427" i="39"/>
  <c r="B427" i="39"/>
  <c r="A427" i="39"/>
  <c r="L425" i="39"/>
  <c r="L424" i="39" s="1"/>
  <c r="M424" i="39"/>
  <c r="B424" i="39"/>
  <c r="A424" i="39"/>
  <c r="L422" i="39"/>
  <c r="L421" i="39" s="1"/>
  <c r="M421" i="39"/>
  <c r="B421" i="39"/>
  <c r="A421" i="39"/>
  <c r="L419" i="39"/>
  <c r="L418" i="39" s="1"/>
  <c r="M418" i="39"/>
  <c r="B418" i="39"/>
  <c r="A418" i="39"/>
  <c r="L416" i="39"/>
  <c r="L415" i="39" s="1"/>
  <c r="M415" i="39"/>
  <c r="B415" i="39"/>
  <c r="A415" i="39"/>
  <c r="L413" i="39"/>
  <c r="L412" i="39" s="1"/>
  <c r="M412" i="39"/>
  <c r="B412" i="39"/>
  <c r="A412" i="39"/>
  <c r="L410" i="39"/>
  <c r="L409" i="39" s="1"/>
  <c r="M409" i="39"/>
  <c r="B409" i="39"/>
  <c r="A409" i="39"/>
  <c r="L407" i="39"/>
  <c r="L406" i="39" s="1"/>
  <c r="M406" i="39"/>
  <c r="B406" i="39"/>
  <c r="A406" i="39"/>
  <c r="L404" i="39"/>
  <c r="L403" i="39" s="1"/>
  <c r="M403" i="39"/>
  <c r="B403" i="39"/>
  <c r="A403" i="39"/>
  <c r="L401" i="39"/>
  <c r="L400" i="39" s="1"/>
  <c r="M400" i="39"/>
  <c r="B400" i="39"/>
  <c r="A400" i="39"/>
  <c r="L398" i="39"/>
  <c r="L397" i="39" s="1"/>
  <c r="M397" i="39"/>
  <c r="B397" i="39"/>
  <c r="A397" i="39"/>
  <c r="L395" i="39"/>
  <c r="L394" i="39" s="1"/>
  <c r="M394" i="39"/>
  <c r="B394" i="39"/>
  <c r="A394" i="39"/>
  <c r="L392" i="39"/>
  <c r="L391" i="39" s="1"/>
  <c r="M391" i="39"/>
  <c r="B391" i="39"/>
  <c r="A391" i="39"/>
  <c r="L389" i="39"/>
  <c r="L388" i="39" s="1"/>
  <c r="M388" i="39"/>
  <c r="B388" i="39"/>
  <c r="A388" i="39"/>
  <c r="L386" i="39"/>
  <c r="L385" i="39" s="1"/>
  <c r="M385" i="39"/>
  <c r="B385" i="39"/>
  <c r="A385" i="39"/>
  <c r="L383" i="39"/>
  <c r="L382" i="39" s="1"/>
  <c r="M382" i="39"/>
  <c r="B382" i="39"/>
  <c r="A382" i="39"/>
  <c r="B380" i="39"/>
  <c r="A380" i="39"/>
  <c r="L378" i="39"/>
  <c r="L377" i="39" s="1"/>
  <c r="M377" i="39"/>
  <c r="B377" i="39"/>
  <c r="A377" i="39"/>
  <c r="L375" i="39"/>
  <c r="L374" i="39" s="1"/>
  <c r="H136" i="38" s="1"/>
  <c r="I136" i="38" s="1"/>
  <c r="M374" i="39"/>
  <c r="B374" i="39"/>
  <c r="A374" i="39"/>
  <c r="L372" i="39"/>
  <c r="L371" i="39" s="1"/>
  <c r="H135" i="38" s="1"/>
  <c r="I135" i="38" s="1"/>
  <c r="M371" i="39"/>
  <c r="B371" i="39"/>
  <c r="A371" i="39"/>
  <c r="L369" i="39"/>
  <c r="L368" i="39" s="1"/>
  <c r="M365" i="39"/>
  <c r="B365" i="39"/>
  <c r="A365" i="39"/>
  <c r="M358" i="39"/>
  <c r="B358" i="39"/>
  <c r="A358" i="39"/>
  <c r="K355" i="39"/>
  <c r="L355" i="39" s="1"/>
  <c r="K354" i="39"/>
  <c r="L354" i="39" s="1"/>
  <c r="K353" i="39"/>
  <c r="L353" i="39" s="1"/>
  <c r="K352" i="39"/>
  <c r="L352" i="39" s="1"/>
  <c r="K351" i="39"/>
  <c r="L351" i="39" s="1"/>
  <c r="K350" i="39"/>
  <c r="L350" i="39" s="1"/>
  <c r="K349" i="39"/>
  <c r="L349" i="39" s="1"/>
  <c r="K348" i="39"/>
  <c r="L348" i="39" s="1"/>
  <c r="K347" i="39"/>
  <c r="L347" i="39" s="1"/>
  <c r="M346" i="39"/>
  <c r="B346" i="39"/>
  <c r="A346" i="39"/>
  <c r="K344" i="39"/>
  <c r="L344" i="39" s="1"/>
  <c r="M342" i="39"/>
  <c r="B342" i="39"/>
  <c r="A342" i="39"/>
  <c r="B340" i="39"/>
  <c r="A340" i="39"/>
  <c r="L329" i="39"/>
  <c r="L328" i="39" s="1"/>
  <c r="M328" i="39"/>
  <c r="B328" i="39"/>
  <c r="A328" i="39"/>
  <c r="L326" i="39"/>
  <c r="L325" i="39" s="1"/>
  <c r="M325" i="39"/>
  <c r="B325" i="39"/>
  <c r="A325" i="39"/>
  <c r="L323" i="39"/>
  <c r="L322" i="39" s="1"/>
  <c r="M322" i="39"/>
  <c r="B322" i="39"/>
  <c r="A322" i="39"/>
  <c r="L320" i="39"/>
  <c r="L319" i="39" s="1"/>
  <c r="M319" i="39"/>
  <c r="B319" i="39"/>
  <c r="A319" i="39"/>
  <c r="L317" i="39"/>
  <c r="L316" i="39" s="1"/>
  <c r="M316" i="39"/>
  <c r="B316" i="39"/>
  <c r="A316" i="39"/>
  <c r="L314" i="39"/>
  <c r="L313" i="39" s="1"/>
  <c r="M313" i="39"/>
  <c r="B313" i="39"/>
  <c r="A313" i="39"/>
  <c r="L311" i="39"/>
  <c r="L310" i="39" s="1"/>
  <c r="M310" i="39"/>
  <c r="B310" i="39"/>
  <c r="A310" i="39"/>
  <c r="L308" i="39"/>
  <c r="L307" i="39" s="1"/>
  <c r="M307" i="39"/>
  <c r="B307" i="39"/>
  <c r="A307" i="39"/>
  <c r="B305" i="39"/>
  <c r="A305" i="39"/>
  <c r="M302" i="39"/>
  <c r="B302" i="39"/>
  <c r="A302" i="39"/>
  <c r="M299" i="39"/>
  <c r="B299" i="39"/>
  <c r="A299" i="39"/>
  <c r="M296" i="39"/>
  <c r="B296" i="39"/>
  <c r="A296" i="39"/>
  <c r="M290" i="39"/>
  <c r="B290" i="39"/>
  <c r="A290" i="39"/>
  <c r="B288" i="39"/>
  <c r="A288" i="39"/>
  <c r="L278" i="39"/>
  <c r="K104" i="38" s="1"/>
  <c r="M278" i="39"/>
  <c r="B278" i="39"/>
  <c r="A278" i="39"/>
  <c r="L275" i="39"/>
  <c r="H102" i="38" s="1"/>
  <c r="I102" i="38" s="1"/>
  <c r="M275" i="39"/>
  <c r="B275" i="39"/>
  <c r="A275" i="39"/>
  <c r="L272" i="39"/>
  <c r="H101" i="38" s="1"/>
  <c r="I101" i="38" s="1"/>
  <c r="M272" i="39"/>
  <c r="B272" i="39"/>
  <c r="A272" i="39"/>
  <c r="L269" i="39"/>
  <c r="M269" i="39"/>
  <c r="B269" i="39"/>
  <c r="A269" i="39"/>
  <c r="L266" i="39"/>
  <c r="L265" i="39" s="1"/>
  <c r="H99" i="38" s="1"/>
  <c r="I99" i="38" s="1"/>
  <c r="M265" i="39"/>
  <c r="B265" i="39"/>
  <c r="A265" i="39"/>
  <c r="M262" i="39"/>
  <c r="B262" i="39"/>
  <c r="A262" i="39"/>
  <c r="L259" i="39"/>
  <c r="M259" i="39"/>
  <c r="B259" i="39"/>
  <c r="A259" i="39"/>
  <c r="L257" i="39"/>
  <c r="L256" i="39" s="1"/>
  <c r="M256" i="39"/>
  <c r="B256" i="39"/>
  <c r="A256" i="39"/>
  <c r="B254" i="39"/>
  <c r="A254" i="39"/>
  <c r="L243" i="39"/>
  <c r="L242" i="39" s="1"/>
  <c r="M242" i="39"/>
  <c r="B242" i="39"/>
  <c r="A242" i="39"/>
  <c r="L239" i="39"/>
  <c r="H89" i="38" s="1"/>
  <c r="K89" i="38" s="1"/>
  <c r="M239" i="39"/>
  <c r="B239" i="39"/>
  <c r="A239" i="39"/>
  <c r="L237" i="39"/>
  <c r="L236" i="39" s="1"/>
  <c r="M236" i="39"/>
  <c r="B236" i="39"/>
  <c r="A236" i="39"/>
  <c r="L234" i="39"/>
  <c r="L233" i="39" s="1"/>
  <c r="M233" i="39"/>
  <c r="B233" i="39"/>
  <c r="A233" i="39"/>
  <c r="L231" i="39"/>
  <c r="L230" i="39" s="1"/>
  <c r="M230" i="39"/>
  <c r="B230" i="39"/>
  <c r="A230" i="39"/>
  <c r="L228" i="39"/>
  <c r="L227" i="39" s="1"/>
  <c r="M227" i="39"/>
  <c r="B227" i="39"/>
  <c r="A227" i="39"/>
  <c r="K84" i="38"/>
  <c r="M224" i="39"/>
  <c r="B224" i="39"/>
  <c r="A224" i="39"/>
  <c r="L217" i="39"/>
  <c r="L216" i="39" s="1"/>
  <c r="H83" i="38" s="1"/>
  <c r="I83" i="38" s="1"/>
  <c r="M216" i="39"/>
  <c r="B216" i="39"/>
  <c r="A216" i="39"/>
  <c r="L214" i="39"/>
  <c r="L213" i="39" s="1"/>
  <c r="M213" i="39"/>
  <c r="B213" i="39"/>
  <c r="A213" i="39"/>
  <c r="L211" i="39"/>
  <c r="L210" i="39" s="1"/>
  <c r="M210" i="39"/>
  <c r="B210" i="39"/>
  <c r="A210" i="39"/>
  <c r="L208" i="39"/>
  <c r="L207" i="39" s="1"/>
  <c r="M207" i="39"/>
  <c r="B207" i="39"/>
  <c r="A207" i="39"/>
  <c r="B205" i="39"/>
  <c r="A205" i="39"/>
  <c r="M184" i="39"/>
  <c r="B184" i="39"/>
  <c r="A184" i="39"/>
  <c r="M181" i="39"/>
  <c r="L181" i="39"/>
  <c r="B181" i="39"/>
  <c r="A181" i="39"/>
  <c r="K176" i="39"/>
  <c r="L176" i="39" s="1"/>
  <c r="M175" i="39"/>
  <c r="B175" i="39"/>
  <c r="A175" i="39"/>
  <c r="B173" i="39"/>
  <c r="A173" i="39"/>
  <c r="M170" i="39"/>
  <c r="B170" i="39"/>
  <c r="A170" i="39"/>
  <c r="M167" i="39"/>
  <c r="L167" i="39"/>
  <c r="B167" i="39"/>
  <c r="A167" i="39"/>
  <c r="M162" i="39"/>
  <c r="B162" i="39"/>
  <c r="A162" i="39"/>
  <c r="M159" i="39"/>
  <c r="B159" i="39"/>
  <c r="A159" i="39"/>
  <c r="B157" i="39"/>
  <c r="A157" i="39"/>
  <c r="M110" i="39"/>
  <c r="B110" i="39"/>
  <c r="A110" i="39"/>
  <c r="L108" i="39"/>
  <c r="L107" i="39" s="1"/>
  <c r="M107" i="39"/>
  <c r="B107" i="39"/>
  <c r="A107" i="39"/>
  <c r="L105" i="39"/>
  <c r="L104" i="39" s="1"/>
  <c r="M104" i="39"/>
  <c r="B104" i="39"/>
  <c r="A104" i="39"/>
  <c r="M70" i="39"/>
  <c r="B70" i="39"/>
  <c r="A70" i="39"/>
  <c r="L68" i="39"/>
  <c r="L67" i="39" s="1"/>
  <c r="M67" i="39"/>
  <c r="B67" i="39"/>
  <c r="A67" i="39"/>
  <c r="B65" i="39"/>
  <c r="A65" i="39"/>
  <c r="L51" i="39"/>
  <c r="L49" i="39" s="1"/>
  <c r="M49" i="39"/>
  <c r="B49" i="39"/>
  <c r="A49" i="39"/>
  <c r="L47" i="39"/>
  <c r="L46" i="39" s="1"/>
  <c r="M46" i="39"/>
  <c r="B46" i="39"/>
  <c r="A46" i="39"/>
  <c r="L44" i="39"/>
  <c r="L43" i="39" s="1"/>
  <c r="M43" i="39"/>
  <c r="B43" i="39"/>
  <c r="A43" i="39"/>
  <c r="B41" i="39"/>
  <c r="A41" i="39"/>
  <c r="L36" i="39"/>
  <c r="L35" i="39" s="1"/>
  <c r="M35" i="39"/>
  <c r="B35" i="39"/>
  <c r="A35" i="39"/>
  <c r="L33" i="39"/>
  <c r="L32" i="39" s="1"/>
  <c r="M32" i="39"/>
  <c r="B32" i="39"/>
  <c r="A32" i="39"/>
  <c r="L30" i="39"/>
  <c r="L29" i="39" s="1"/>
  <c r="M29" i="39"/>
  <c r="B29" i="39"/>
  <c r="A29" i="39"/>
  <c r="L27" i="39"/>
  <c r="L26" i="39" s="1"/>
  <c r="M26" i="39"/>
  <c r="B26" i="39"/>
  <c r="A26" i="39"/>
  <c r="L24" i="39"/>
  <c r="L23" i="39" s="1"/>
  <c r="M23" i="39"/>
  <c r="B23" i="39"/>
  <c r="A23" i="39"/>
  <c r="L21" i="39"/>
  <c r="L20" i="39" s="1"/>
  <c r="M20" i="39"/>
  <c r="B20" i="39"/>
  <c r="A20" i="39"/>
  <c r="L18" i="39"/>
  <c r="L17" i="39" s="1"/>
  <c r="M17" i="39"/>
  <c r="B17" i="39"/>
  <c r="A17" i="39"/>
  <c r="L15" i="39"/>
  <c r="L14" i="39" s="1"/>
  <c r="M14" i="39"/>
  <c r="B14" i="39"/>
  <c r="A14" i="39"/>
  <c r="B12" i="39"/>
  <c r="A10" i="39"/>
  <c r="F307" i="38"/>
  <c r="K281" i="38"/>
  <c r="J281" i="38"/>
  <c r="I281" i="38"/>
  <c r="F281" i="38"/>
  <c r="K280" i="38"/>
  <c r="J280" i="38"/>
  <c r="I280" i="38"/>
  <c r="F280" i="38"/>
  <c r="K279" i="38"/>
  <c r="J279" i="38"/>
  <c r="I279" i="38"/>
  <c r="F279" i="38"/>
  <c r="K278" i="38"/>
  <c r="J278" i="38"/>
  <c r="I278" i="38"/>
  <c r="F278" i="38"/>
  <c r="K277" i="38"/>
  <c r="J277" i="38"/>
  <c r="I277" i="38"/>
  <c r="F277" i="38"/>
  <c r="K272" i="38"/>
  <c r="J272" i="38"/>
  <c r="I272" i="38"/>
  <c r="F272" i="38"/>
  <c r="J271" i="38"/>
  <c r="K271" i="38"/>
  <c r="F271" i="38"/>
  <c r="J270" i="38"/>
  <c r="J268" i="38" s="1"/>
  <c r="I270" i="38"/>
  <c r="F270" i="38"/>
  <c r="K265" i="38"/>
  <c r="J265" i="38"/>
  <c r="I265" i="38"/>
  <c r="F265" i="38"/>
  <c r="J264" i="38"/>
  <c r="F264" i="38"/>
  <c r="K263" i="38"/>
  <c r="J263" i="38"/>
  <c r="I263" i="38"/>
  <c r="F263" i="38"/>
  <c r="F261" i="38" s="1"/>
  <c r="J257" i="38"/>
  <c r="F257" i="38"/>
  <c r="J256" i="38"/>
  <c r="F256" i="38"/>
  <c r="K255" i="38"/>
  <c r="J255" i="38"/>
  <c r="I255" i="38"/>
  <c r="F255" i="38"/>
  <c r="K254" i="38"/>
  <c r="J254" i="38"/>
  <c r="I254" i="38"/>
  <c r="F254" i="38"/>
  <c r="K250" i="38"/>
  <c r="K248" i="38" s="1"/>
  <c r="J250" i="38"/>
  <c r="J248" i="38" s="1"/>
  <c r="I250" i="38"/>
  <c r="F250" i="38"/>
  <c r="F248" i="38" s="1"/>
  <c r="K246" i="38"/>
  <c r="K244" i="38" s="1"/>
  <c r="J246" i="38"/>
  <c r="I246" i="38"/>
  <c r="F246" i="38"/>
  <c r="F244" i="38" s="1"/>
  <c r="K241" i="38"/>
  <c r="J241" i="38"/>
  <c r="I241" i="38"/>
  <c r="F241" i="38"/>
  <c r="K240" i="38"/>
  <c r="J240" i="38"/>
  <c r="I240" i="38"/>
  <c r="F240" i="38"/>
  <c r="K239" i="38"/>
  <c r="J239" i="38"/>
  <c r="I239" i="38"/>
  <c r="F239" i="38"/>
  <c r="K235" i="38"/>
  <c r="J235" i="38"/>
  <c r="I235" i="38"/>
  <c r="F235" i="38"/>
  <c r="K234" i="38"/>
  <c r="J234" i="38"/>
  <c r="I234" i="38"/>
  <c r="F234" i="38"/>
  <c r="K230" i="38"/>
  <c r="K228" i="38" s="1"/>
  <c r="J230" i="38"/>
  <c r="J228" i="38" s="1"/>
  <c r="I230" i="38"/>
  <c r="F230" i="38"/>
  <c r="F228" i="38" s="1"/>
  <c r="K224" i="38"/>
  <c r="J224" i="38"/>
  <c r="F224" i="38"/>
  <c r="K223" i="38"/>
  <c r="J223" i="38"/>
  <c r="F223" i="38"/>
  <c r="K219" i="38"/>
  <c r="J219" i="38"/>
  <c r="F219" i="38"/>
  <c r="K218" i="38"/>
  <c r="J218" i="38"/>
  <c r="F218" i="38"/>
  <c r="K217" i="38"/>
  <c r="J217" i="38"/>
  <c r="F217" i="38"/>
  <c r="K216" i="38"/>
  <c r="J216" i="38"/>
  <c r="F216" i="38"/>
  <c r="K215" i="38"/>
  <c r="J215" i="38"/>
  <c r="F215" i="38"/>
  <c r="K214" i="38"/>
  <c r="J214" i="38"/>
  <c r="F214" i="38"/>
  <c r="K213" i="38"/>
  <c r="J213" i="38"/>
  <c r="F213" i="38"/>
  <c r="J208" i="38"/>
  <c r="K208" i="38"/>
  <c r="F208" i="38"/>
  <c r="K207" i="38"/>
  <c r="J207" i="38"/>
  <c r="F207" i="38"/>
  <c r="K206" i="38"/>
  <c r="J206" i="38"/>
  <c r="F206" i="38"/>
  <c r="K205" i="38"/>
  <c r="J205" i="38"/>
  <c r="F205" i="38"/>
  <c r="K204" i="38"/>
  <c r="J204" i="38"/>
  <c r="F204" i="38"/>
  <c r="K203" i="38"/>
  <c r="J203" i="38"/>
  <c r="F203" i="38"/>
  <c r="K202" i="38"/>
  <c r="J202" i="38"/>
  <c r="F202" i="38"/>
  <c r="K201" i="38"/>
  <c r="J201" i="38"/>
  <c r="F201" i="38"/>
  <c r="K200" i="38"/>
  <c r="J200" i="38"/>
  <c r="F200" i="38"/>
  <c r="K199" i="38"/>
  <c r="J199" i="38"/>
  <c r="F199" i="38"/>
  <c r="K198" i="38"/>
  <c r="J198" i="38"/>
  <c r="F198" i="38"/>
  <c r="K197" i="38"/>
  <c r="J197" i="38"/>
  <c r="F197" i="38"/>
  <c r="K196" i="38"/>
  <c r="J196" i="38"/>
  <c r="F196" i="38"/>
  <c r="K195" i="38"/>
  <c r="J195" i="38"/>
  <c r="F195" i="38"/>
  <c r="K194" i="38"/>
  <c r="J194" i="38"/>
  <c r="F194" i="38"/>
  <c r="K193" i="38"/>
  <c r="J193" i="38"/>
  <c r="F193" i="38"/>
  <c r="K192" i="38"/>
  <c r="J192" i="38"/>
  <c r="F192" i="38"/>
  <c r="K191" i="38"/>
  <c r="J191" i="38"/>
  <c r="F191" i="38"/>
  <c r="K190" i="38"/>
  <c r="J190" i="38"/>
  <c r="F190" i="38"/>
  <c r="K189" i="38"/>
  <c r="J189" i="38"/>
  <c r="F189" i="38"/>
  <c r="K188" i="38"/>
  <c r="J188" i="38"/>
  <c r="F188" i="38"/>
  <c r="K187" i="38"/>
  <c r="J187" i="38"/>
  <c r="F187" i="38"/>
  <c r="K186" i="38"/>
  <c r="J186" i="38"/>
  <c r="F186" i="38"/>
  <c r="J185" i="38"/>
  <c r="F185" i="38"/>
  <c r="K178" i="38"/>
  <c r="J178" i="38"/>
  <c r="F178" i="38"/>
  <c r="K177" i="38"/>
  <c r="J177" i="38"/>
  <c r="F177" i="38"/>
  <c r="K176" i="38"/>
  <c r="J176" i="38"/>
  <c r="F176" i="38"/>
  <c r="J175" i="38"/>
  <c r="K175" i="38"/>
  <c r="F175" i="38"/>
  <c r="J174" i="38"/>
  <c r="K174" i="38"/>
  <c r="F174" i="38"/>
  <c r="J173" i="38"/>
  <c r="F173" i="38"/>
  <c r="J172" i="38"/>
  <c r="K172" i="38"/>
  <c r="F172" i="38"/>
  <c r="K171" i="38"/>
  <c r="J171" i="38"/>
  <c r="F171" i="38"/>
  <c r="K164" i="38"/>
  <c r="J164" i="38"/>
  <c r="F164" i="38"/>
  <c r="K163" i="38"/>
  <c r="J163" i="38"/>
  <c r="F163" i="38"/>
  <c r="K162" i="38"/>
  <c r="J162" i="38"/>
  <c r="F162" i="38"/>
  <c r="K161" i="38"/>
  <c r="J161" i="38"/>
  <c r="F161" i="38"/>
  <c r="K160" i="38"/>
  <c r="J160" i="38"/>
  <c r="F160" i="38"/>
  <c r="K159" i="38"/>
  <c r="J159" i="38"/>
  <c r="F159" i="38"/>
  <c r="K158" i="38"/>
  <c r="J158" i="38"/>
  <c r="F158" i="38"/>
  <c r="K157" i="38"/>
  <c r="J157" i="38"/>
  <c r="F157" i="38"/>
  <c r="K156" i="38"/>
  <c r="J156" i="38"/>
  <c r="F156" i="38"/>
  <c r="K155" i="38"/>
  <c r="J155" i="38"/>
  <c r="F155" i="38"/>
  <c r="K154" i="38"/>
  <c r="J154" i="38"/>
  <c r="F154" i="38"/>
  <c r="K153" i="38"/>
  <c r="J153" i="38"/>
  <c r="F153" i="38"/>
  <c r="K152" i="38"/>
  <c r="J152" i="38"/>
  <c r="F152" i="38"/>
  <c r="K151" i="38"/>
  <c r="J151" i="38"/>
  <c r="F151" i="38"/>
  <c r="K150" i="38"/>
  <c r="J150" i="38"/>
  <c r="F150" i="38"/>
  <c r="K149" i="38"/>
  <c r="J149" i="38"/>
  <c r="F149" i="38"/>
  <c r="K148" i="38"/>
  <c r="J148" i="38"/>
  <c r="F148" i="38"/>
  <c r="K147" i="38"/>
  <c r="J147" i="38"/>
  <c r="F147" i="38"/>
  <c r="K146" i="38"/>
  <c r="J146" i="38"/>
  <c r="F146" i="38"/>
  <c r="K145" i="38"/>
  <c r="J145" i="38"/>
  <c r="F145" i="38"/>
  <c r="K144" i="38"/>
  <c r="J144" i="38"/>
  <c r="F144" i="38"/>
  <c r="K143" i="38"/>
  <c r="J143" i="38"/>
  <c r="F143" i="38"/>
  <c r="K142" i="38"/>
  <c r="J142" i="38"/>
  <c r="F142" i="38"/>
  <c r="K141" i="38"/>
  <c r="J141" i="38"/>
  <c r="F141" i="38"/>
  <c r="K137" i="38"/>
  <c r="J137" i="38"/>
  <c r="F137" i="38"/>
  <c r="J136" i="38"/>
  <c r="F136" i="38"/>
  <c r="J135" i="38"/>
  <c r="F135" i="38"/>
  <c r="J134" i="38"/>
  <c r="F134" i="38"/>
  <c r="K133" i="38"/>
  <c r="J133" i="38"/>
  <c r="F133" i="38"/>
  <c r="K132" i="38"/>
  <c r="J132" i="38"/>
  <c r="F132" i="38"/>
  <c r="J131" i="38"/>
  <c r="F131" i="38"/>
  <c r="J130" i="38"/>
  <c r="F130" i="38"/>
  <c r="K123" i="38"/>
  <c r="J123" i="38"/>
  <c r="F123" i="38"/>
  <c r="K122" i="38"/>
  <c r="J122" i="38"/>
  <c r="F122" i="38"/>
  <c r="K121" i="38"/>
  <c r="J121" i="38"/>
  <c r="F121" i="38"/>
  <c r="K120" i="38"/>
  <c r="J120" i="38"/>
  <c r="F120" i="38"/>
  <c r="K119" i="38"/>
  <c r="J119" i="38"/>
  <c r="F119" i="38"/>
  <c r="K118" i="38"/>
  <c r="J118" i="38"/>
  <c r="F118" i="38"/>
  <c r="K117" i="38"/>
  <c r="J117" i="38"/>
  <c r="F117" i="38"/>
  <c r="K116" i="38"/>
  <c r="J116" i="38"/>
  <c r="F116" i="38"/>
  <c r="J112" i="38"/>
  <c r="K112" i="38"/>
  <c r="F112" i="38"/>
  <c r="K111" i="38"/>
  <c r="J111" i="38"/>
  <c r="F111" i="38"/>
  <c r="J110" i="38"/>
  <c r="F110" i="38"/>
  <c r="J109" i="38"/>
  <c r="F109" i="38"/>
  <c r="K103" i="38"/>
  <c r="J103" i="38"/>
  <c r="F103" i="38"/>
  <c r="J102" i="38"/>
  <c r="F102" i="38"/>
  <c r="J101" i="38"/>
  <c r="F101" i="38"/>
  <c r="K100" i="38"/>
  <c r="J100" i="38"/>
  <c r="F100" i="38"/>
  <c r="J99" i="38"/>
  <c r="F99" i="38"/>
  <c r="J98" i="38"/>
  <c r="F98" i="38"/>
  <c r="J97" i="38"/>
  <c r="F97" i="38"/>
  <c r="K96" i="38"/>
  <c r="J96" i="38"/>
  <c r="F96" i="38"/>
  <c r="K90" i="38"/>
  <c r="J90" i="38"/>
  <c r="F90" i="38"/>
  <c r="J89" i="38"/>
  <c r="F89" i="38"/>
  <c r="K88" i="38"/>
  <c r="J88" i="38"/>
  <c r="F88" i="38"/>
  <c r="K87" i="38"/>
  <c r="J87" i="38"/>
  <c r="F87" i="38"/>
  <c r="K86" i="38"/>
  <c r="J86" i="38"/>
  <c r="F86" i="38"/>
  <c r="K85" i="38"/>
  <c r="J85" i="38"/>
  <c r="F85" i="38"/>
  <c r="J84" i="38"/>
  <c r="F84" i="38"/>
  <c r="J83" i="38"/>
  <c r="F83" i="38"/>
  <c r="K82" i="38"/>
  <c r="J82" i="38"/>
  <c r="F82" i="38"/>
  <c r="K81" i="38"/>
  <c r="J81" i="38"/>
  <c r="F81" i="38"/>
  <c r="K80" i="38"/>
  <c r="J80" i="38"/>
  <c r="F80" i="38"/>
  <c r="K70" i="38"/>
  <c r="J70" i="38"/>
  <c r="F70" i="38"/>
  <c r="K69" i="38"/>
  <c r="J69" i="38"/>
  <c r="F69" i="38"/>
  <c r="J68" i="38"/>
  <c r="F68" i="38"/>
  <c r="J64" i="38"/>
  <c r="F64" i="38"/>
  <c r="K63" i="38"/>
  <c r="J63" i="38"/>
  <c r="F63" i="38"/>
  <c r="J62" i="38"/>
  <c r="F62" i="38"/>
  <c r="J61" i="38"/>
  <c r="F61" i="38"/>
  <c r="J56" i="38"/>
  <c r="F56" i="38"/>
  <c r="K55" i="38"/>
  <c r="J55" i="38"/>
  <c r="F55" i="38"/>
  <c r="K54" i="38"/>
  <c r="J54" i="38"/>
  <c r="F54" i="38"/>
  <c r="J53" i="38"/>
  <c r="F53" i="38"/>
  <c r="K52" i="38"/>
  <c r="J52" i="38"/>
  <c r="F52" i="38"/>
  <c r="J47" i="38"/>
  <c r="F47" i="38"/>
  <c r="K46" i="38"/>
  <c r="J46" i="38"/>
  <c r="F46" i="38"/>
  <c r="K45" i="38"/>
  <c r="J45" i="38"/>
  <c r="F45" i="38"/>
  <c r="K40" i="38"/>
  <c r="J40" i="38"/>
  <c r="F40" i="38"/>
  <c r="K39" i="38"/>
  <c r="J39" i="38"/>
  <c r="F39" i="38"/>
  <c r="K38" i="38"/>
  <c r="J38" i="38"/>
  <c r="F38" i="38"/>
  <c r="K37" i="38"/>
  <c r="J37" i="38"/>
  <c r="F37" i="38"/>
  <c r="K36" i="38"/>
  <c r="J36" i="38"/>
  <c r="F36" i="38"/>
  <c r="K35" i="38"/>
  <c r="J35" i="38"/>
  <c r="F35" i="38"/>
  <c r="K34" i="38"/>
  <c r="J34" i="38"/>
  <c r="F34" i="38"/>
  <c r="K33" i="38"/>
  <c r="J33" i="38"/>
  <c r="F33" i="38"/>
  <c r="AN26" i="38"/>
  <c r="N22" i="38"/>
  <c r="K190" i="37"/>
  <c r="L190" i="37" s="1"/>
  <c r="E189" i="37"/>
  <c r="F183" i="38" l="1"/>
  <c r="L287" i="38"/>
  <c r="M287" i="38" s="1"/>
  <c r="M285" i="38"/>
  <c r="J283" i="38"/>
  <c r="K114" i="40"/>
  <c r="K289" i="40" s="1"/>
  <c r="L24" i="40" s="1"/>
  <c r="L22" i="40" s="1"/>
  <c r="L114" i="40"/>
  <c r="L289" i="40" s="1"/>
  <c r="M289" i="40" s="1"/>
  <c r="I264" i="38"/>
  <c r="I257" i="38"/>
  <c r="I256" i="38"/>
  <c r="K136" i="38"/>
  <c r="L136" i="38" s="1"/>
  <c r="M136" i="38" s="1"/>
  <c r="K185" i="38"/>
  <c r="K183" i="38" s="1"/>
  <c r="K135" i="38"/>
  <c r="L135" i="38" s="1"/>
  <c r="M135" i="38" s="1"/>
  <c r="K91" i="38"/>
  <c r="L91" i="38" s="1"/>
  <c r="M91" i="38" s="1"/>
  <c r="K102" i="38"/>
  <c r="L102" i="38" s="1"/>
  <c r="M102" i="38" s="1"/>
  <c r="L346" i="39"/>
  <c r="H131" i="38" s="1"/>
  <c r="K83" i="38"/>
  <c r="K99" i="38"/>
  <c r="L99" i="38" s="1"/>
  <c r="M99" i="38" s="1"/>
  <c r="K101" i="38"/>
  <c r="L101" i="38" s="1"/>
  <c r="M101" i="38" s="1"/>
  <c r="D263" i="39"/>
  <c r="L263" i="39" s="1"/>
  <c r="L262" i="39" s="1"/>
  <c r="H98" i="38" s="1"/>
  <c r="H97" i="38"/>
  <c r="K62" i="38"/>
  <c r="L62" i="38" s="1"/>
  <c r="M62" i="38" s="1"/>
  <c r="K56" i="38"/>
  <c r="L56" i="38" s="1"/>
  <c r="M56" i="38" s="1"/>
  <c r="I89" i="38"/>
  <c r="I84" i="38"/>
  <c r="I53" i="38"/>
  <c r="K53" i="38"/>
  <c r="L53" i="38" s="1"/>
  <c r="M53" i="38" s="1"/>
  <c r="H47" i="38"/>
  <c r="K48" i="38"/>
  <c r="L48" i="38" s="1"/>
  <c r="M48" i="38" s="1"/>
  <c r="L266" i="38"/>
  <c r="M266" i="38" s="1"/>
  <c r="L258" i="38"/>
  <c r="M258" i="38" s="1"/>
  <c r="I104" i="38"/>
  <c r="L175" i="39"/>
  <c r="L170" i="39"/>
  <c r="L342" i="39"/>
  <c r="K261" i="38"/>
  <c r="F268" i="38"/>
  <c r="L273" i="38"/>
  <c r="M273" i="38" s="1"/>
  <c r="J261" i="38"/>
  <c r="K252" i="38"/>
  <c r="J252" i="38"/>
  <c r="L180" i="38"/>
  <c r="M180" i="38" s="1"/>
  <c r="J237" i="38"/>
  <c r="L259" i="38"/>
  <c r="M259" i="38" s="1"/>
  <c r="J183" i="38"/>
  <c r="K237" i="38"/>
  <c r="F237" i="38"/>
  <c r="F252" i="38"/>
  <c r="L242" i="38"/>
  <c r="M242" i="38" s="1"/>
  <c r="L181" i="38"/>
  <c r="M181" i="38" s="1"/>
  <c r="F78" i="38"/>
  <c r="L76" i="38"/>
  <c r="M76" i="38" s="1"/>
  <c r="L209" i="38"/>
  <c r="M209" i="38" s="1"/>
  <c r="K139" i="38"/>
  <c r="J43" i="38"/>
  <c r="K221" i="38"/>
  <c r="F50" i="38"/>
  <c r="F169" i="38"/>
  <c r="L217" i="38"/>
  <c r="M217" i="38" s="1"/>
  <c r="L219" i="38"/>
  <c r="M219" i="38" s="1"/>
  <c r="L166" i="38"/>
  <c r="M166" i="38" s="1"/>
  <c r="J94" i="38"/>
  <c r="F221" i="38"/>
  <c r="L92" i="38"/>
  <c r="M92" i="38" s="1"/>
  <c r="L167" i="38"/>
  <c r="M167" i="38" s="1"/>
  <c r="J169" i="38"/>
  <c r="L179" i="38"/>
  <c r="M179" i="38" s="1"/>
  <c r="L165" i="38"/>
  <c r="M165" i="38" s="1"/>
  <c r="L126" i="38"/>
  <c r="M126" i="38" s="1"/>
  <c r="F139" i="38"/>
  <c r="J139" i="38"/>
  <c r="F31" i="38"/>
  <c r="L104" i="38"/>
  <c r="M104" i="38" s="1"/>
  <c r="L69" i="38"/>
  <c r="M69" i="38" s="1"/>
  <c r="J78" i="38"/>
  <c r="L86" i="38"/>
  <c r="M86" i="38" s="1"/>
  <c r="F94" i="38"/>
  <c r="K114" i="38"/>
  <c r="L124" i="38"/>
  <c r="M124" i="38" s="1"/>
  <c r="F114" i="38"/>
  <c r="J114" i="38"/>
  <c r="L125" i="38"/>
  <c r="M125" i="38" s="1"/>
  <c r="F43" i="38"/>
  <c r="L74" i="38"/>
  <c r="M74" i="38" s="1"/>
  <c r="J59" i="38"/>
  <c r="L105" i="38"/>
  <c r="M105" i="38" s="1"/>
  <c r="F66" i="38"/>
  <c r="K61" i="38"/>
  <c r="L61" i="38" s="1"/>
  <c r="M61" i="38" s="1"/>
  <c r="L186" i="38"/>
  <c r="M186" i="38" s="1"/>
  <c r="L256" i="38"/>
  <c r="M256" i="38" s="1"/>
  <c r="J50" i="38"/>
  <c r="L36" i="38"/>
  <c r="M36" i="38" s="1"/>
  <c r="L175" i="38"/>
  <c r="M175" i="38" s="1"/>
  <c r="J66" i="38"/>
  <c r="L70" i="38"/>
  <c r="M70" i="38" s="1"/>
  <c r="L72" i="38"/>
  <c r="M72" i="38" s="1"/>
  <c r="L141" i="38"/>
  <c r="M141" i="38" s="1"/>
  <c r="L147" i="38"/>
  <c r="M147" i="38" s="1"/>
  <c r="L159" i="38"/>
  <c r="M159" i="38" s="1"/>
  <c r="L174" i="38"/>
  <c r="M174" i="38" s="1"/>
  <c r="L116" i="38"/>
  <c r="M116" i="38" s="1"/>
  <c r="L120" i="38"/>
  <c r="M120" i="38" s="1"/>
  <c r="L71" i="38"/>
  <c r="M71" i="38" s="1"/>
  <c r="L73" i="38"/>
  <c r="M73" i="38" s="1"/>
  <c r="L177" i="38"/>
  <c r="M177" i="38" s="1"/>
  <c r="L75" i="38"/>
  <c r="M75" i="38" s="1"/>
  <c r="L37" i="38"/>
  <c r="M37" i="38" s="1"/>
  <c r="L176" i="38"/>
  <c r="M176" i="38" s="1"/>
  <c r="L41" i="38"/>
  <c r="M41" i="38" s="1"/>
  <c r="L111" i="38"/>
  <c r="M111" i="38" s="1"/>
  <c r="L118" i="38"/>
  <c r="M118" i="38" s="1"/>
  <c r="L188" i="38"/>
  <c r="M188" i="38" s="1"/>
  <c r="L192" i="38"/>
  <c r="M192" i="38" s="1"/>
  <c r="L194" i="38"/>
  <c r="M194" i="38" s="1"/>
  <c r="K134" i="38"/>
  <c r="L134" i="38" s="1"/>
  <c r="M134" i="38" s="1"/>
  <c r="L119" i="38"/>
  <c r="M119" i="38" s="1"/>
  <c r="L241" i="38"/>
  <c r="M241" i="38" s="1"/>
  <c r="L55" i="38"/>
  <c r="M55" i="38" s="1"/>
  <c r="L57" i="38"/>
  <c r="M57" i="38" s="1"/>
  <c r="L196" i="38"/>
  <c r="M196" i="38" s="1"/>
  <c r="K31" i="38"/>
  <c r="L96" i="38"/>
  <c r="M96" i="38" s="1"/>
  <c r="L122" i="38"/>
  <c r="M122" i="38" s="1"/>
  <c r="L280" i="38"/>
  <c r="M280" i="38" s="1"/>
  <c r="L123" i="38"/>
  <c r="M123" i="38" s="1"/>
  <c r="L144" i="38"/>
  <c r="M144" i="38" s="1"/>
  <c r="L152" i="38"/>
  <c r="M152" i="38" s="1"/>
  <c r="L156" i="38"/>
  <c r="M156" i="38" s="1"/>
  <c r="L160" i="38"/>
  <c r="M160" i="38" s="1"/>
  <c r="L198" i="38"/>
  <c r="M198" i="38" s="1"/>
  <c r="L90" i="38"/>
  <c r="M90" i="38" s="1"/>
  <c r="L189" i="38"/>
  <c r="M189" i="38" s="1"/>
  <c r="L193" i="38"/>
  <c r="M193" i="38" s="1"/>
  <c r="L246" i="38"/>
  <c r="M246" i="38" s="1"/>
  <c r="L38" i="38"/>
  <c r="M38" i="38" s="1"/>
  <c r="L40" i="38"/>
  <c r="M40" i="38" s="1"/>
  <c r="L54" i="38"/>
  <c r="M54" i="38" s="1"/>
  <c r="K275" i="38"/>
  <c r="L218" i="38"/>
  <c r="M218" i="38" s="1"/>
  <c r="L143" i="38"/>
  <c r="M143" i="38" s="1"/>
  <c r="L163" i="38"/>
  <c r="M163" i="38" s="1"/>
  <c r="L195" i="38"/>
  <c r="M195" i="38" s="1"/>
  <c r="L201" i="38"/>
  <c r="M201" i="38" s="1"/>
  <c r="L224" i="38"/>
  <c r="M224" i="38" s="1"/>
  <c r="L80" i="38"/>
  <c r="M80" i="38" s="1"/>
  <c r="L82" i="38"/>
  <c r="M82" i="38" s="1"/>
  <c r="L88" i="38"/>
  <c r="M88" i="38" s="1"/>
  <c r="J128" i="38"/>
  <c r="L161" i="38"/>
  <c r="M161" i="38" s="1"/>
  <c r="L178" i="38"/>
  <c r="M178" i="38" s="1"/>
  <c r="L203" i="38"/>
  <c r="M203" i="38" s="1"/>
  <c r="L103" i="38"/>
  <c r="M103" i="38" s="1"/>
  <c r="L121" i="38"/>
  <c r="M121" i="38" s="1"/>
  <c r="L133" i="38"/>
  <c r="M133" i="38" s="1"/>
  <c r="L190" i="38"/>
  <c r="M190" i="38" s="1"/>
  <c r="L45" i="38"/>
  <c r="M45" i="38" s="1"/>
  <c r="L150" i="38"/>
  <c r="M150" i="38" s="1"/>
  <c r="L172" i="38"/>
  <c r="M172" i="38" s="1"/>
  <c r="L239" i="38"/>
  <c r="M239" i="38" s="1"/>
  <c r="L85" i="38"/>
  <c r="M85" i="38" s="1"/>
  <c r="L89" i="38"/>
  <c r="M89" i="38" s="1"/>
  <c r="L162" i="38"/>
  <c r="M162" i="38" s="1"/>
  <c r="L202" i="38"/>
  <c r="M202" i="38" s="1"/>
  <c r="L204" i="38"/>
  <c r="M204" i="38" s="1"/>
  <c r="L206" i="38"/>
  <c r="M206" i="38" s="1"/>
  <c r="F275" i="38"/>
  <c r="J31" i="38"/>
  <c r="J107" i="38"/>
  <c r="L34" i="38"/>
  <c r="M34" i="38" s="1"/>
  <c r="L112" i="38"/>
  <c r="M112" i="38" s="1"/>
  <c r="L145" i="38"/>
  <c r="M145" i="38" s="1"/>
  <c r="L151" i="38"/>
  <c r="M151" i="38" s="1"/>
  <c r="L155" i="38"/>
  <c r="M155" i="38" s="1"/>
  <c r="L187" i="38"/>
  <c r="M187" i="38" s="1"/>
  <c r="J211" i="38"/>
  <c r="L230" i="38"/>
  <c r="K232" i="38"/>
  <c r="L87" i="38"/>
  <c r="M87" i="38" s="1"/>
  <c r="L137" i="38"/>
  <c r="M137" i="38" s="1"/>
  <c r="L153" i="38"/>
  <c r="M153" i="38" s="1"/>
  <c r="L164" i="38"/>
  <c r="M164" i="38" s="1"/>
  <c r="L191" i="38"/>
  <c r="M191" i="38" s="1"/>
  <c r="L213" i="38"/>
  <c r="M213" i="38" s="1"/>
  <c r="L215" i="38"/>
  <c r="M215" i="38" s="1"/>
  <c r="K64" i="38"/>
  <c r="L64" i="38" s="1"/>
  <c r="M64" i="38" s="1"/>
  <c r="L100" i="38"/>
  <c r="M100" i="38" s="1"/>
  <c r="L132" i="38"/>
  <c r="M132" i="38" s="1"/>
  <c r="L146" i="38"/>
  <c r="M146" i="38" s="1"/>
  <c r="L157" i="38"/>
  <c r="M157" i="38" s="1"/>
  <c r="L208" i="38"/>
  <c r="M208" i="38" s="1"/>
  <c r="L234" i="38"/>
  <c r="M234" i="38" s="1"/>
  <c r="L257" i="38"/>
  <c r="M257" i="38" s="1"/>
  <c r="L264" i="38"/>
  <c r="M264" i="38" s="1"/>
  <c r="L272" i="38"/>
  <c r="M272" i="38" s="1"/>
  <c r="L278" i="38"/>
  <c r="M278" i="38" s="1"/>
  <c r="L200" i="38"/>
  <c r="M200" i="38" s="1"/>
  <c r="L207" i="38"/>
  <c r="M207" i="38" s="1"/>
  <c r="L281" i="38"/>
  <c r="M281" i="38" s="1"/>
  <c r="L149" i="38"/>
  <c r="M149" i="38" s="1"/>
  <c r="L84" i="38"/>
  <c r="M84" i="38" s="1"/>
  <c r="L148" i="38"/>
  <c r="M148" i="38" s="1"/>
  <c r="L154" i="38"/>
  <c r="M154" i="38" s="1"/>
  <c r="L199" i="38"/>
  <c r="M199" i="38" s="1"/>
  <c r="F232" i="38"/>
  <c r="K270" i="38"/>
  <c r="L158" i="38"/>
  <c r="M158" i="38" s="1"/>
  <c r="K173" i="38"/>
  <c r="L173" i="38" s="1"/>
  <c r="M173" i="38" s="1"/>
  <c r="L185" i="38"/>
  <c r="M185" i="38" s="1"/>
  <c r="F211" i="38"/>
  <c r="L216" i="38"/>
  <c r="M216" i="38" s="1"/>
  <c r="L39" i="38"/>
  <c r="M39" i="38" s="1"/>
  <c r="L205" i="38"/>
  <c r="M205" i="38" s="1"/>
  <c r="L265" i="38"/>
  <c r="M265" i="38" s="1"/>
  <c r="L271" i="38"/>
  <c r="M271" i="38" s="1"/>
  <c r="L279" i="38"/>
  <c r="M279" i="38" s="1"/>
  <c r="L81" i="38"/>
  <c r="M81" i="38" s="1"/>
  <c r="L33" i="38"/>
  <c r="M33" i="38" s="1"/>
  <c r="L35" i="38"/>
  <c r="M35" i="38" s="1"/>
  <c r="F59" i="38"/>
  <c r="F107" i="38"/>
  <c r="F128" i="38"/>
  <c r="L52" i="38"/>
  <c r="M52" i="38" s="1"/>
  <c r="L117" i="38"/>
  <c r="M117" i="38" s="1"/>
  <c r="L63" i="38"/>
  <c r="M63" i="38" s="1"/>
  <c r="L197" i="38"/>
  <c r="M197" i="38" s="1"/>
  <c r="L142" i="38"/>
  <c r="M142" i="38" s="1"/>
  <c r="L171" i="38"/>
  <c r="M171" i="38" s="1"/>
  <c r="L223" i="38"/>
  <c r="M223" i="38" s="1"/>
  <c r="J221" i="38"/>
  <c r="L46" i="38"/>
  <c r="M46" i="38" s="1"/>
  <c r="K211" i="38"/>
  <c r="L214" i="38"/>
  <c r="M214" i="38" s="1"/>
  <c r="L250" i="38"/>
  <c r="M250" i="38" s="1"/>
  <c r="L263" i="38"/>
  <c r="M263" i="38" s="1"/>
  <c r="J275" i="38"/>
  <c r="L277" i="38"/>
  <c r="M277" i="38" s="1"/>
  <c r="L255" i="38"/>
  <c r="M255" i="38" s="1"/>
  <c r="L235" i="38"/>
  <c r="M235" i="38" s="1"/>
  <c r="L254" i="38"/>
  <c r="M254" i="38" s="1"/>
  <c r="L240" i="38"/>
  <c r="M240" i="38" s="1"/>
  <c r="I271" i="38"/>
  <c r="J232" i="38"/>
  <c r="J244" i="38"/>
  <c r="K86" i="37"/>
  <c r="L86" i="37" s="1"/>
  <c r="D86" i="37"/>
  <c r="K171" i="37"/>
  <c r="L171" i="37" s="1"/>
  <c r="L228" i="38" l="1"/>
  <c r="M228" i="38" s="1"/>
  <c r="M230" i="38"/>
  <c r="F289" i="38"/>
  <c r="J289" i="38"/>
  <c r="L283" i="38"/>
  <c r="M283" i="38" s="1"/>
  <c r="N114" i="40"/>
  <c r="M114" i="40"/>
  <c r="H130" i="38"/>
  <c r="I130" i="38" s="1"/>
  <c r="K78" i="38"/>
  <c r="L83" i="38"/>
  <c r="M83" i="38" s="1"/>
  <c r="I131" i="38"/>
  <c r="K131" i="38"/>
  <c r="L131" i="38" s="1"/>
  <c r="M131" i="38" s="1"/>
  <c r="K50" i="38"/>
  <c r="K97" i="38"/>
  <c r="I97" i="38"/>
  <c r="I98" i="38"/>
  <c r="K98" i="38"/>
  <c r="L98" i="38" s="1"/>
  <c r="M98" i="38" s="1"/>
  <c r="I47" i="38"/>
  <c r="K47" i="38"/>
  <c r="H68" i="38"/>
  <c r="K68" i="38" s="1"/>
  <c r="K66" i="38" s="1"/>
  <c r="D291" i="39"/>
  <c r="K291" i="39" s="1"/>
  <c r="L291" i="39" s="1"/>
  <c r="L290" i="39" s="1"/>
  <c r="L270" i="38"/>
  <c r="M270" i="38" s="1"/>
  <c r="K268" i="38"/>
  <c r="L261" i="38"/>
  <c r="M261" i="38" s="1"/>
  <c r="L252" i="38"/>
  <c r="M252" i="38" s="1"/>
  <c r="L237" i="38"/>
  <c r="M237" i="38" s="1"/>
  <c r="K169" i="38"/>
  <c r="L183" i="38"/>
  <c r="M183" i="38" s="1"/>
  <c r="L169" i="38"/>
  <c r="M169" i="38" s="1"/>
  <c r="L139" i="38"/>
  <c r="M139" i="38" s="1"/>
  <c r="L114" i="38"/>
  <c r="M114" i="38" s="1"/>
  <c r="L244" i="38"/>
  <c r="M244" i="38" s="1"/>
  <c r="L31" i="38"/>
  <c r="L50" i="38"/>
  <c r="M50" i="38" s="1"/>
  <c r="K59" i="38"/>
  <c r="L275" i="38"/>
  <c r="M275" i="38" s="1"/>
  <c r="L21" i="38"/>
  <c r="L23" i="38"/>
  <c r="L221" i="38"/>
  <c r="M221" i="38" s="1"/>
  <c r="L232" i="38"/>
  <c r="M232" i="38" s="1"/>
  <c r="L248" i="38"/>
  <c r="M248" i="38" s="1"/>
  <c r="L211" i="38"/>
  <c r="M211" i="38" s="1"/>
  <c r="L59" i="38"/>
  <c r="M59" i="38" s="1"/>
  <c r="G91" i="37"/>
  <c r="K91" i="37" s="1"/>
  <c r="L91" i="37" s="1"/>
  <c r="K70" i="37"/>
  <c r="L70" i="37" s="1"/>
  <c r="K69" i="37"/>
  <c r="L69" i="37" s="1"/>
  <c r="D93" i="37"/>
  <c r="L93" i="37" s="1"/>
  <c r="K92" i="37"/>
  <c r="L92" i="37" s="1"/>
  <c r="K178" i="37"/>
  <c r="L178" i="37" s="1"/>
  <c r="E180" i="37"/>
  <c r="K180" i="37" s="1"/>
  <c r="L180" i="37" s="1"/>
  <c r="D179" i="37"/>
  <c r="K179" i="37" s="1"/>
  <c r="L179" i="37" s="1"/>
  <c r="E177" i="37"/>
  <c r="K177" i="37" s="1"/>
  <c r="L177" i="37" s="1"/>
  <c r="D80" i="37"/>
  <c r="L80" i="37" s="1"/>
  <c r="K81" i="37"/>
  <c r="L81" i="37" s="1"/>
  <c r="K130" i="38" l="1"/>
  <c r="L130" i="38" s="1"/>
  <c r="M130" i="38" s="1"/>
  <c r="L78" i="38"/>
  <c r="M78" i="38" s="1"/>
  <c r="L97" i="38"/>
  <c r="K94" i="38"/>
  <c r="K43" i="38"/>
  <c r="L47" i="38"/>
  <c r="D297" i="39"/>
  <c r="K297" i="39" s="1"/>
  <c r="L297" i="39" s="1"/>
  <c r="L296" i="39" s="1"/>
  <c r="H110" i="38" s="1"/>
  <c r="H109" i="38"/>
  <c r="K109" i="38" s="1"/>
  <c r="L109" i="38" s="1"/>
  <c r="M109" i="38" s="1"/>
  <c r="L68" i="38"/>
  <c r="M68" i="38" s="1"/>
  <c r="I68" i="38"/>
  <c r="L268" i="38"/>
  <c r="M268" i="38" s="1"/>
  <c r="M31" i="38"/>
  <c r="M22" i="38"/>
  <c r="L68" i="37"/>
  <c r="H58" i="36" s="1"/>
  <c r="L128" i="38" l="1"/>
  <c r="M128" i="38" s="1"/>
  <c r="K128" i="38"/>
  <c r="M97" i="38"/>
  <c r="L94" i="38"/>
  <c r="M94" i="38" s="1"/>
  <c r="M47" i="38"/>
  <c r="L43" i="38"/>
  <c r="M43" i="38" s="1"/>
  <c r="L66" i="38"/>
  <c r="I109" i="38"/>
  <c r="I110" i="38"/>
  <c r="L527" i="37"/>
  <c r="L522" i="37"/>
  <c r="L519" i="37"/>
  <c r="L516" i="37"/>
  <c r="L511" i="37"/>
  <c r="L508" i="37"/>
  <c r="L503" i="37"/>
  <c r="L385" i="37"/>
  <c r="L356" i="37"/>
  <c r="K566" i="37"/>
  <c r="L566" i="37" s="1"/>
  <c r="L565" i="37" s="1"/>
  <c r="H244" i="36" s="1"/>
  <c r="K563" i="37"/>
  <c r="D466" i="37"/>
  <c r="K466" i="37" s="1"/>
  <c r="L466" i="37" s="1"/>
  <c r="L465" i="37" s="1"/>
  <c r="H186" i="36" s="1"/>
  <c r="D383" i="37"/>
  <c r="K383" i="37" s="1"/>
  <c r="L383" i="37" s="1"/>
  <c r="L382" i="37" s="1"/>
  <c r="H156" i="36" s="1"/>
  <c r="K380" i="37"/>
  <c r="L380" i="37" s="1"/>
  <c r="K377" i="37"/>
  <c r="L377" i="37" s="1"/>
  <c r="K374" i="37"/>
  <c r="L374" i="37" s="1"/>
  <c r="L373" i="37" s="1"/>
  <c r="H153" i="36" s="1"/>
  <c r="K283" i="37"/>
  <c r="L283" i="37" s="1"/>
  <c r="L282" i="37" s="1"/>
  <c r="H118" i="36" s="1"/>
  <c r="M66" i="38" l="1"/>
  <c r="K110" i="38"/>
  <c r="L110" i="38" s="1"/>
  <c r="M110" i="38" s="1"/>
  <c r="K274" i="37"/>
  <c r="L274" i="37" s="1"/>
  <c r="K273" i="37"/>
  <c r="L273" i="37" s="1"/>
  <c r="K272" i="37"/>
  <c r="L272" i="37" s="1"/>
  <c r="K271" i="37"/>
  <c r="L271" i="37" s="1"/>
  <c r="K270" i="37"/>
  <c r="L270" i="37" s="1"/>
  <c r="K269" i="37"/>
  <c r="L269" i="37" s="1"/>
  <c r="K268" i="37"/>
  <c r="L268" i="37" s="1"/>
  <c r="K267" i="37"/>
  <c r="L267" i="37" s="1"/>
  <c r="K266" i="37"/>
  <c r="L266" i="37" s="1"/>
  <c r="K265" i="37"/>
  <c r="L265" i="37" s="1"/>
  <c r="K264" i="37"/>
  <c r="L264" i="37" s="1"/>
  <c r="K263" i="37"/>
  <c r="L263" i="37" s="1"/>
  <c r="K262" i="37"/>
  <c r="L262" i="37" s="1"/>
  <c r="K261" i="37"/>
  <c r="L261" i="37" s="1"/>
  <c r="K260" i="37"/>
  <c r="L260" i="37" s="1"/>
  <c r="K259" i="37"/>
  <c r="L259" i="37" s="1"/>
  <c r="K258" i="37"/>
  <c r="L258" i="37" s="1"/>
  <c r="K257" i="37"/>
  <c r="L257" i="37" s="1"/>
  <c r="K256" i="37"/>
  <c r="L256" i="37" s="1"/>
  <c r="K255" i="37"/>
  <c r="L255" i="37" s="1"/>
  <c r="K254" i="37"/>
  <c r="L254" i="37" s="1"/>
  <c r="K253" i="37"/>
  <c r="L253" i="37" s="1"/>
  <c r="K252" i="37"/>
  <c r="L252" i="37" s="1"/>
  <c r="K240" i="37"/>
  <c r="L240" i="37" s="1"/>
  <c r="K241" i="37"/>
  <c r="L241" i="37" s="1"/>
  <c r="K249" i="37"/>
  <c r="L249" i="37" s="1"/>
  <c r="K248" i="37"/>
  <c r="L248" i="37" s="1"/>
  <c r="K247" i="37"/>
  <c r="L247" i="37" s="1"/>
  <c r="K246" i="37"/>
  <c r="L246" i="37" s="1"/>
  <c r="K243" i="37"/>
  <c r="L243" i="37" s="1"/>
  <c r="K244" i="37"/>
  <c r="L244" i="37" s="1"/>
  <c r="K245" i="37"/>
  <c r="L245" i="37" s="1"/>
  <c r="K242" i="37"/>
  <c r="L242" i="37" s="1"/>
  <c r="K201" i="37"/>
  <c r="L201" i="37" s="1"/>
  <c r="K202" i="37"/>
  <c r="L202" i="37" s="1"/>
  <c r="K203" i="37"/>
  <c r="L203" i="37" s="1"/>
  <c r="K204" i="37"/>
  <c r="L204" i="37" s="1"/>
  <c r="K205" i="37"/>
  <c r="L205" i="37" s="1"/>
  <c r="K206" i="37"/>
  <c r="L206" i="37" s="1"/>
  <c r="K207" i="37"/>
  <c r="L207" i="37" s="1"/>
  <c r="K208" i="37"/>
  <c r="L208" i="37" s="1"/>
  <c r="K209" i="37"/>
  <c r="L209" i="37" s="1"/>
  <c r="K200" i="37"/>
  <c r="L200" i="37" s="1"/>
  <c r="G191" i="37"/>
  <c r="K191" i="37" s="1"/>
  <c r="L191" i="37" s="1"/>
  <c r="G192" i="37"/>
  <c r="K192" i="37" s="1"/>
  <c r="L192" i="37" s="1"/>
  <c r="G193" i="37"/>
  <c r="K193" i="37" s="1"/>
  <c r="L193" i="37" s="1"/>
  <c r="G194" i="37"/>
  <c r="K194" i="37" s="1"/>
  <c r="L194" i="37" s="1"/>
  <c r="G195" i="37"/>
  <c r="K195" i="37" s="1"/>
  <c r="L195" i="37" s="1"/>
  <c r="G196" i="37"/>
  <c r="K196" i="37" s="1"/>
  <c r="L196" i="37" s="1"/>
  <c r="G197" i="37"/>
  <c r="K197" i="37" s="1"/>
  <c r="L197" i="37" s="1"/>
  <c r="G198" i="37"/>
  <c r="K198" i="37" s="1"/>
  <c r="L198" i="37" s="1"/>
  <c r="G199" i="37"/>
  <c r="K199" i="37" s="1"/>
  <c r="L199" i="37" s="1"/>
  <c r="G189" i="37"/>
  <c r="K107" i="38" l="1"/>
  <c r="K289" i="38" s="1"/>
  <c r="L24" i="38" s="1"/>
  <c r="L22" i="38" s="1"/>
  <c r="L107" i="38"/>
  <c r="K189" i="37"/>
  <c r="L189" i="37" s="1"/>
  <c r="L187" i="37" s="1"/>
  <c r="H99" i="36" s="1"/>
  <c r="L251" i="37"/>
  <c r="L239" i="37"/>
  <c r="H114" i="36" s="1"/>
  <c r="L289" i="38" l="1"/>
  <c r="M289" i="38" s="1"/>
  <c r="M107" i="38"/>
  <c r="K167" i="37"/>
  <c r="L167" i="37" s="1"/>
  <c r="K166" i="37"/>
  <c r="D166" i="37"/>
  <c r="K165" i="37"/>
  <c r="D165" i="37"/>
  <c r="D90" i="37"/>
  <c r="L90" i="37" s="1"/>
  <c r="L165" i="37" l="1"/>
  <c r="L166" i="37"/>
  <c r="K89" i="37"/>
  <c r="L89" i="37" s="1"/>
  <c r="G88" i="37"/>
  <c r="K88" i="37" s="1"/>
  <c r="L88" i="37" s="1"/>
  <c r="K87" i="37"/>
  <c r="D87" i="37"/>
  <c r="K79" i="37"/>
  <c r="L79" i="37" s="1"/>
  <c r="L78" i="37" s="1"/>
  <c r="L164" i="37" l="1"/>
  <c r="L87" i="37"/>
  <c r="L85" i="37" s="1"/>
  <c r="D182" i="37" l="1"/>
  <c r="K182" i="37" s="1"/>
  <c r="L182" i="37" s="1"/>
  <c r="H96" i="36"/>
  <c r="H65" i="36"/>
  <c r="K172" i="37" l="1"/>
  <c r="L172" i="37" s="1"/>
  <c r="K173" i="37"/>
  <c r="L173" i="37" s="1"/>
  <c r="K174" i="37"/>
  <c r="L174" i="37" s="1"/>
  <c r="K170" i="37"/>
  <c r="L170" i="37" s="1"/>
  <c r="D176" i="37"/>
  <c r="K176" i="37" s="1"/>
  <c r="L176" i="37" s="1"/>
  <c r="E175" i="37"/>
  <c r="K175" i="37" s="1"/>
  <c r="L175" i="37" s="1"/>
  <c r="I114" i="36"/>
  <c r="M104" i="36"/>
  <c r="L586" i="37"/>
  <c r="L585" i="37" s="1"/>
  <c r="M585" i="37"/>
  <c r="B585" i="37"/>
  <c r="A585" i="37"/>
  <c r="L583" i="37"/>
  <c r="L582" i="37" s="1"/>
  <c r="M582" i="37"/>
  <c r="B582" i="37"/>
  <c r="A582" i="37"/>
  <c r="L580" i="37"/>
  <c r="L579" i="37" s="1"/>
  <c r="M579" i="37"/>
  <c r="B579" i="37"/>
  <c r="A579" i="37"/>
  <c r="L577" i="37"/>
  <c r="L576" i="37" s="1"/>
  <c r="M576" i="37"/>
  <c r="B576" i="37"/>
  <c r="A576" i="37"/>
  <c r="L574" i="37"/>
  <c r="L573" i="37" s="1"/>
  <c r="M573" i="37"/>
  <c r="B573" i="37"/>
  <c r="A573" i="37"/>
  <c r="B571" i="37"/>
  <c r="A571" i="37"/>
  <c r="L569" i="37"/>
  <c r="L568" i="37" s="1"/>
  <c r="M568" i="37"/>
  <c r="B568" i="37"/>
  <c r="A568" i="37"/>
  <c r="M565" i="37"/>
  <c r="B565" i="37"/>
  <c r="A565" i="37"/>
  <c r="L563" i="37"/>
  <c r="L562" i="37" s="1"/>
  <c r="H243" i="36" s="1"/>
  <c r="K243" i="36" s="1"/>
  <c r="M562" i="37"/>
  <c r="B562" i="37"/>
  <c r="A562" i="37"/>
  <c r="B560" i="37"/>
  <c r="A560" i="37"/>
  <c r="L558" i="37"/>
  <c r="L557" i="37" s="1"/>
  <c r="M557" i="37"/>
  <c r="B557" i="37"/>
  <c r="A557" i="37"/>
  <c r="L555" i="37"/>
  <c r="L554" i="37" s="1"/>
  <c r="M554" i="37"/>
  <c r="B554" i="37"/>
  <c r="A554" i="37"/>
  <c r="L552" i="37"/>
  <c r="L551" i="37" s="1"/>
  <c r="M551" i="37"/>
  <c r="B551" i="37"/>
  <c r="A551" i="37"/>
  <c r="B549" i="37"/>
  <c r="A549" i="37"/>
  <c r="L547" i="37"/>
  <c r="L546" i="37" s="1"/>
  <c r="M546" i="37"/>
  <c r="B546" i="37"/>
  <c r="A546" i="37"/>
  <c r="L544" i="37"/>
  <c r="L543" i="37" s="1"/>
  <c r="M543" i="37"/>
  <c r="B543" i="37"/>
  <c r="A543" i="37"/>
  <c r="L541" i="37"/>
  <c r="L540" i="37" s="1"/>
  <c r="M540" i="37"/>
  <c r="B540" i="37"/>
  <c r="A540" i="37"/>
  <c r="L538" i="37"/>
  <c r="L537" i="37" s="1"/>
  <c r="M537" i="37"/>
  <c r="B537" i="37"/>
  <c r="A537" i="37"/>
  <c r="B535" i="37"/>
  <c r="A535" i="37"/>
  <c r="L533" i="37"/>
  <c r="L532" i="37" s="1"/>
  <c r="M532" i="37"/>
  <c r="B532" i="37"/>
  <c r="A532" i="37"/>
  <c r="B530" i="37"/>
  <c r="A530" i="37"/>
  <c r="M527" i="37"/>
  <c r="B527" i="37"/>
  <c r="A527" i="37"/>
  <c r="B526" i="37"/>
  <c r="B525" i="37"/>
  <c r="A525" i="37"/>
  <c r="M522" i="37"/>
  <c r="B522" i="37"/>
  <c r="A522" i="37"/>
  <c r="M519" i="37"/>
  <c r="B519" i="37"/>
  <c r="A519" i="37"/>
  <c r="M516" i="37"/>
  <c r="B516" i="37"/>
  <c r="A516" i="37"/>
  <c r="B514" i="37"/>
  <c r="A514" i="37"/>
  <c r="M511" i="37"/>
  <c r="B511" i="37"/>
  <c r="A511" i="37"/>
  <c r="M508" i="37"/>
  <c r="B508" i="37"/>
  <c r="A508" i="37"/>
  <c r="B506" i="37"/>
  <c r="A506" i="37"/>
  <c r="M503" i="37"/>
  <c r="B503" i="37"/>
  <c r="A503" i="37"/>
  <c r="B501" i="37"/>
  <c r="A501" i="37"/>
  <c r="A499" i="37"/>
  <c r="L497" i="37"/>
  <c r="L496" i="37" s="1"/>
  <c r="M496" i="37"/>
  <c r="B496" i="37"/>
  <c r="A496" i="37"/>
  <c r="L494" i="37"/>
  <c r="L493" i="37" s="1"/>
  <c r="M493" i="37"/>
  <c r="B493" i="37"/>
  <c r="A493" i="37"/>
  <c r="B491" i="37"/>
  <c r="A491" i="37"/>
  <c r="L489" i="37"/>
  <c r="L488" i="37" s="1"/>
  <c r="M488" i="37"/>
  <c r="B488" i="37"/>
  <c r="A488" i="37"/>
  <c r="L486" i="37"/>
  <c r="L485" i="37" s="1"/>
  <c r="M485" i="37"/>
  <c r="B485" i="37"/>
  <c r="A485" i="37"/>
  <c r="L483" i="37"/>
  <c r="L482" i="37" s="1"/>
  <c r="M482" i="37"/>
  <c r="B482" i="37"/>
  <c r="A482" i="37"/>
  <c r="L480" i="37"/>
  <c r="L479" i="37" s="1"/>
  <c r="M479" i="37"/>
  <c r="B479" i="37"/>
  <c r="A479" i="37"/>
  <c r="L477" i="37"/>
  <c r="L476" i="37" s="1"/>
  <c r="M476" i="37"/>
  <c r="B476" i="37"/>
  <c r="A476" i="37"/>
  <c r="L474" i="37"/>
  <c r="L473" i="37" s="1"/>
  <c r="M473" i="37"/>
  <c r="B473" i="37"/>
  <c r="A473" i="37"/>
  <c r="L471" i="37"/>
  <c r="L470" i="37" s="1"/>
  <c r="M470" i="37"/>
  <c r="B470" i="37"/>
  <c r="A470" i="37"/>
  <c r="B468" i="37"/>
  <c r="A468" i="37"/>
  <c r="M465" i="37"/>
  <c r="B465" i="37"/>
  <c r="A465" i="37"/>
  <c r="L463" i="37"/>
  <c r="L462" i="37" s="1"/>
  <c r="M462" i="37"/>
  <c r="B462" i="37"/>
  <c r="A462" i="37"/>
  <c r="L460" i="37"/>
  <c r="L459" i="37" s="1"/>
  <c r="M459" i="37"/>
  <c r="B459" i="37"/>
  <c r="A459" i="37"/>
  <c r="L457" i="37"/>
  <c r="L456" i="37" s="1"/>
  <c r="M456" i="37"/>
  <c r="B456" i="37"/>
  <c r="A456" i="37"/>
  <c r="L454" i="37"/>
  <c r="L453" i="37" s="1"/>
  <c r="M453" i="37"/>
  <c r="B453" i="37"/>
  <c r="A453" i="37"/>
  <c r="L451" i="37"/>
  <c r="L450" i="37" s="1"/>
  <c r="M450" i="37"/>
  <c r="B450" i="37"/>
  <c r="A450" i="37"/>
  <c r="L448" i="37"/>
  <c r="L447" i="37" s="1"/>
  <c r="M447" i="37"/>
  <c r="B447" i="37"/>
  <c r="A447" i="37"/>
  <c r="L445" i="37"/>
  <c r="L444" i="37" s="1"/>
  <c r="M444" i="37"/>
  <c r="B444" i="37"/>
  <c r="A444" i="37"/>
  <c r="L442" i="37"/>
  <c r="L441" i="37" s="1"/>
  <c r="M441" i="37"/>
  <c r="B441" i="37"/>
  <c r="A441" i="37"/>
  <c r="L439" i="37"/>
  <c r="L438" i="37" s="1"/>
  <c r="M438" i="37"/>
  <c r="B438" i="37"/>
  <c r="A438" i="37"/>
  <c r="L436" i="37"/>
  <c r="L435" i="37" s="1"/>
  <c r="M435" i="37"/>
  <c r="B435" i="37"/>
  <c r="A435" i="37"/>
  <c r="L433" i="37"/>
  <c r="L432" i="37" s="1"/>
  <c r="M432" i="37"/>
  <c r="B432" i="37"/>
  <c r="A432" i="37"/>
  <c r="L430" i="37"/>
  <c r="L429" i="37" s="1"/>
  <c r="M429" i="37"/>
  <c r="B429" i="37"/>
  <c r="A429" i="37"/>
  <c r="L427" i="37"/>
  <c r="L426" i="37" s="1"/>
  <c r="M426" i="37"/>
  <c r="B426" i="37"/>
  <c r="A426" i="37"/>
  <c r="L424" i="37"/>
  <c r="L423" i="37" s="1"/>
  <c r="M423" i="37"/>
  <c r="B423" i="37"/>
  <c r="A423" i="37"/>
  <c r="L421" i="37"/>
  <c r="L420" i="37" s="1"/>
  <c r="M420" i="37"/>
  <c r="B420" i="37"/>
  <c r="A420" i="37"/>
  <c r="L418" i="37"/>
  <c r="L417" i="37" s="1"/>
  <c r="M417" i="37"/>
  <c r="B417" i="37"/>
  <c r="A417" i="37"/>
  <c r="L415" i="37"/>
  <c r="L414" i="37" s="1"/>
  <c r="M414" i="37"/>
  <c r="B414" i="37"/>
  <c r="A414" i="37"/>
  <c r="L412" i="37"/>
  <c r="L411" i="37" s="1"/>
  <c r="M411" i="37"/>
  <c r="B411" i="37"/>
  <c r="A411" i="37"/>
  <c r="L409" i="37"/>
  <c r="L408" i="37" s="1"/>
  <c r="M408" i="37"/>
  <c r="B408" i="37"/>
  <c r="A408" i="37"/>
  <c r="L406" i="37"/>
  <c r="L405" i="37" s="1"/>
  <c r="M405" i="37"/>
  <c r="B405" i="37"/>
  <c r="A405" i="37"/>
  <c r="L403" i="37"/>
  <c r="L402" i="37" s="1"/>
  <c r="M402" i="37"/>
  <c r="B402" i="37"/>
  <c r="A402" i="37"/>
  <c r="L400" i="37"/>
  <c r="L399" i="37" s="1"/>
  <c r="M399" i="37"/>
  <c r="B399" i="37"/>
  <c r="A399" i="37"/>
  <c r="L397" i="37"/>
  <c r="L396" i="37" s="1"/>
  <c r="M396" i="37"/>
  <c r="B396" i="37"/>
  <c r="A396" i="37"/>
  <c r="B394" i="37"/>
  <c r="A394" i="37"/>
  <c r="L391" i="37"/>
  <c r="M391" i="37"/>
  <c r="B391" i="37"/>
  <c r="A391" i="37"/>
  <c r="M388" i="37"/>
  <c r="B388" i="37"/>
  <c r="A388" i="37"/>
  <c r="M385" i="37"/>
  <c r="B385" i="37"/>
  <c r="A385" i="37"/>
  <c r="M382" i="37"/>
  <c r="B382" i="37"/>
  <c r="A382" i="37"/>
  <c r="L379" i="37"/>
  <c r="H155" i="36" s="1"/>
  <c r="K155" i="36" s="1"/>
  <c r="M379" i="37"/>
  <c r="B379" i="37"/>
  <c r="A379" i="37"/>
  <c r="L376" i="37"/>
  <c r="H154" i="36" s="1"/>
  <c r="I154" i="36" s="1"/>
  <c r="M376" i="37"/>
  <c r="B376" i="37"/>
  <c r="A376" i="37"/>
  <c r="M373" i="37"/>
  <c r="B373" i="37"/>
  <c r="A373" i="37"/>
  <c r="L371" i="37"/>
  <c r="L370" i="37" s="1"/>
  <c r="M370" i="37"/>
  <c r="B370" i="37"/>
  <c r="A370" i="37"/>
  <c r="B368" i="37"/>
  <c r="A368" i="37"/>
  <c r="L366" i="37"/>
  <c r="L365" i="37" s="1"/>
  <c r="M365" i="37"/>
  <c r="B365" i="37"/>
  <c r="A365" i="37"/>
  <c r="L363" i="37"/>
  <c r="L362" i="37" s="1"/>
  <c r="M362" i="37"/>
  <c r="A362" i="37"/>
  <c r="L360" i="37"/>
  <c r="L359" i="37" s="1"/>
  <c r="M359" i="37"/>
  <c r="B359" i="37"/>
  <c r="A359" i="37"/>
  <c r="M356" i="37"/>
  <c r="B356" i="37"/>
  <c r="A356" i="37"/>
  <c r="L354" i="37"/>
  <c r="L353" i="37" s="1"/>
  <c r="M353" i="37"/>
  <c r="B353" i="37"/>
  <c r="A353" i="37"/>
  <c r="L351" i="37"/>
  <c r="L350" i="37" s="1"/>
  <c r="M350" i="37"/>
  <c r="B350" i="37"/>
  <c r="A350" i="37"/>
  <c r="L348" i="37"/>
  <c r="L347" i="37" s="1"/>
  <c r="M347" i="37"/>
  <c r="B347" i="37"/>
  <c r="A347" i="37"/>
  <c r="L345" i="37"/>
  <c r="L344" i="37" s="1"/>
  <c r="M344" i="37"/>
  <c r="B344" i="37"/>
  <c r="A344" i="37"/>
  <c r="L342" i="37"/>
  <c r="L341" i="37" s="1"/>
  <c r="M341" i="37"/>
  <c r="B341" i="37"/>
  <c r="A341" i="37"/>
  <c r="L339" i="37"/>
  <c r="L338" i="37" s="1"/>
  <c r="M338" i="37"/>
  <c r="B338" i="37"/>
  <c r="A338" i="37"/>
  <c r="L336" i="37"/>
  <c r="L335" i="37" s="1"/>
  <c r="M335" i="37"/>
  <c r="B335" i="37"/>
  <c r="A335" i="37"/>
  <c r="L333" i="37"/>
  <c r="L332" i="37" s="1"/>
  <c r="M332" i="37"/>
  <c r="B332" i="37"/>
  <c r="A332" i="37"/>
  <c r="L330" i="37"/>
  <c r="L329" i="37" s="1"/>
  <c r="M329" i="37"/>
  <c r="B329" i="37"/>
  <c r="A329" i="37"/>
  <c r="L327" i="37"/>
  <c r="L326" i="37" s="1"/>
  <c r="M326" i="37"/>
  <c r="B326" i="37"/>
  <c r="A326" i="37"/>
  <c r="L324" i="37"/>
  <c r="L323" i="37" s="1"/>
  <c r="M323" i="37"/>
  <c r="B323" i="37"/>
  <c r="A323" i="37"/>
  <c r="L321" i="37"/>
  <c r="L320" i="37" s="1"/>
  <c r="M320" i="37"/>
  <c r="B320" i="37"/>
  <c r="A320" i="37"/>
  <c r="L318" i="37"/>
  <c r="L317" i="37" s="1"/>
  <c r="M317" i="37"/>
  <c r="B317" i="37"/>
  <c r="A317" i="37"/>
  <c r="L315" i="37"/>
  <c r="L314" i="37" s="1"/>
  <c r="M314" i="37"/>
  <c r="B314" i="37"/>
  <c r="A314" i="37"/>
  <c r="L312" i="37"/>
  <c r="L311" i="37" s="1"/>
  <c r="M311" i="37"/>
  <c r="B311" i="37"/>
  <c r="A311" i="37"/>
  <c r="L309" i="37"/>
  <c r="L308" i="37" s="1"/>
  <c r="M308" i="37"/>
  <c r="B308" i="37"/>
  <c r="A308" i="37"/>
  <c r="L306" i="37"/>
  <c r="L305" i="37" s="1"/>
  <c r="M305" i="37"/>
  <c r="B305" i="37"/>
  <c r="A305" i="37"/>
  <c r="L303" i="37"/>
  <c r="L302" i="37" s="1"/>
  <c r="M302" i="37"/>
  <c r="B302" i="37"/>
  <c r="A302" i="37"/>
  <c r="L300" i="37"/>
  <c r="L299" i="37" s="1"/>
  <c r="M299" i="37"/>
  <c r="B299" i="37"/>
  <c r="A299" i="37"/>
  <c r="L297" i="37"/>
  <c r="L296" i="37" s="1"/>
  <c r="M296" i="37"/>
  <c r="B296" i="37"/>
  <c r="A296" i="37"/>
  <c r="B294" i="37"/>
  <c r="A294" i="37"/>
  <c r="L292" i="37"/>
  <c r="L291" i="37" s="1"/>
  <c r="M291" i="37"/>
  <c r="B291" i="37"/>
  <c r="A291" i="37"/>
  <c r="L289" i="37"/>
  <c r="L288" i="37" s="1"/>
  <c r="M288" i="37"/>
  <c r="B288" i="37"/>
  <c r="A288" i="37"/>
  <c r="L286" i="37"/>
  <c r="L285" i="37" s="1"/>
  <c r="M285" i="37"/>
  <c r="B285" i="37"/>
  <c r="A285" i="37"/>
  <c r="M282" i="37"/>
  <c r="B282" i="37"/>
  <c r="A282" i="37"/>
  <c r="L280" i="37"/>
  <c r="L279" i="37" s="1"/>
  <c r="M279" i="37"/>
  <c r="B279" i="37"/>
  <c r="A279" i="37"/>
  <c r="L277" i="37"/>
  <c r="L276" i="37" s="1"/>
  <c r="M276" i="37"/>
  <c r="B276" i="37"/>
  <c r="A276" i="37"/>
  <c r="M251" i="37"/>
  <c r="B251" i="37"/>
  <c r="A251" i="37"/>
  <c r="M239" i="37"/>
  <c r="B239" i="37"/>
  <c r="A239" i="37"/>
  <c r="B237" i="37"/>
  <c r="A237" i="37"/>
  <c r="L235" i="37"/>
  <c r="L234" i="37" s="1"/>
  <c r="M234" i="37"/>
  <c r="B234" i="37"/>
  <c r="A234" i="37"/>
  <c r="L232" i="37"/>
  <c r="L231" i="37" s="1"/>
  <c r="M231" i="37"/>
  <c r="B231" i="37"/>
  <c r="A231" i="37"/>
  <c r="L229" i="37"/>
  <c r="L228" i="37" s="1"/>
  <c r="M228" i="37"/>
  <c r="B228" i="37"/>
  <c r="A228" i="37"/>
  <c r="L226" i="37"/>
  <c r="L225" i="37" s="1"/>
  <c r="M225" i="37"/>
  <c r="B225" i="37"/>
  <c r="A225" i="37"/>
  <c r="L223" i="37"/>
  <c r="L222" i="37" s="1"/>
  <c r="M222" i="37"/>
  <c r="B222" i="37"/>
  <c r="A222" i="37"/>
  <c r="L220" i="37"/>
  <c r="L219" i="37" s="1"/>
  <c r="M219" i="37"/>
  <c r="B219" i="37"/>
  <c r="A219" i="37"/>
  <c r="L217" i="37"/>
  <c r="L216" i="37" s="1"/>
  <c r="M216" i="37"/>
  <c r="B216" i="37"/>
  <c r="A216" i="37"/>
  <c r="L214" i="37"/>
  <c r="L213" i="37" s="1"/>
  <c r="M213" i="37"/>
  <c r="B213" i="37"/>
  <c r="A213" i="37"/>
  <c r="B211" i="37"/>
  <c r="A211" i="37"/>
  <c r="M187" i="37"/>
  <c r="B187" i="37"/>
  <c r="A187" i="37"/>
  <c r="M184" i="37"/>
  <c r="B184" i="37"/>
  <c r="A184" i="37"/>
  <c r="M169" i="37"/>
  <c r="B169" i="37"/>
  <c r="A169" i="37"/>
  <c r="M164" i="37"/>
  <c r="B164" i="37"/>
  <c r="A164" i="37"/>
  <c r="B162" i="37"/>
  <c r="A162" i="37"/>
  <c r="L160" i="37"/>
  <c r="L159" i="37" s="1"/>
  <c r="M159" i="37"/>
  <c r="B159" i="37"/>
  <c r="A159" i="37"/>
  <c r="L157" i="37"/>
  <c r="L156" i="37" s="1"/>
  <c r="M156" i="37"/>
  <c r="B156" i="37"/>
  <c r="A156" i="37"/>
  <c r="L154" i="37"/>
  <c r="L153" i="37" s="1"/>
  <c r="M153" i="37"/>
  <c r="B153" i="37"/>
  <c r="A153" i="37"/>
  <c r="L151" i="37"/>
  <c r="L150" i="37" s="1"/>
  <c r="M150" i="37"/>
  <c r="B150" i="37"/>
  <c r="A150" i="37"/>
  <c r="L148" i="37"/>
  <c r="L147" i="37" s="1"/>
  <c r="M147" i="37"/>
  <c r="B147" i="37"/>
  <c r="A147" i="37"/>
  <c r="L145" i="37"/>
  <c r="L144" i="37" s="1"/>
  <c r="M144" i="37"/>
  <c r="B144" i="37"/>
  <c r="A144" i="37"/>
  <c r="L142" i="37"/>
  <c r="L141" i="37" s="1"/>
  <c r="M141" i="37"/>
  <c r="B141" i="37"/>
  <c r="A141" i="37"/>
  <c r="L139" i="37"/>
  <c r="L138" i="37" s="1"/>
  <c r="M138" i="37"/>
  <c r="B138" i="37"/>
  <c r="A138" i="37"/>
  <c r="B136" i="37"/>
  <c r="A136" i="37"/>
  <c r="L134" i="37"/>
  <c r="L133" i="37" s="1"/>
  <c r="M133" i="37"/>
  <c r="B133" i="37"/>
  <c r="A133" i="37"/>
  <c r="L131" i="37"/>
  <c r="L130" i="37" s="1"/>
  <c r="M130" i="37"/>
  <c r="B130" i="37"/>
  <c r="A130" i="37"/>
  <c r="L128" i="37"/>
  <c r="L127" i="37" s="1"/>
  <c r="M127" i="37"/>
  <c r="B127" i="37"/>
  <c r="A127" i="37"/>
  <c r="L125" i="37"/>
  <c r="L124" i="37" s="1"/>
  <c r="M124" i="37"/>
  <c r="B124" i="37"/>
  <c r="A124" i="37"/>
  <c r="L122" i="37"/>
  <c r="L121" i="37" s="1"/>
  <c r="M121" i="37"/>
  <c r="B121" i="37"/>
  <c r="A121" i="37"/>
  <c r="L119" i="37"/>
  <c r="L118" i="37" s="1"/>
  <c r="M118" i="37"/>
  <c r="B118" i="37"/>
  <c r="A118" i="37"/>
  <c r="L116" i="37"/>
  <c r="L115" i="37" s="1"/>
  <c r="M115" i="37"/>
  <c r="B115" i="37"/>
  <c r="A115" i="37"/>
  <c r="L113" i="37"/>
  <c r="L112" i="37" s="1"/>
  <c r="M112" i="37"/>
  <c r="B112" i="37"/>
  <c r="A112" i="37"/>
  <c r="L110" i="37"/>
  <c r="L109" i="37" s="1"/>
  <c r="M109" i="37"/>
  <c r="B109" i="37"/>
  <c r="A109" i="37"/>
  <c r="L107" i="37"/>
  <c r="L106" i="37" s="1"/>
  <c r="M106" i="37"/>
  <c r="B106" i="37"/>
  <c r="A106" i="37"/>
  <c r="L104" i="37"/>
  <c r="L103" i="37" s="1"/>
  <c r="M103" i="37"/>
  <c r="B103" i="37"/>
  <c r="A103" i="37"/>
  <c r="B101" i="37"/>
  <c r="A101" i="37"/>
  <c r="M98" i="37"/>
  <c r="B98" i="37"/>
  <c r="A98" i="37"/>
  <c r="M95" i="37"/>
  <c r="B95" i="37"/>
  <c r="A95" i="37"/>
  <c r="M85" i="37"/>
  <c r="B85" i="37"/>
  <c r="A85" i="37"/>
  <c r="B83" i="37"/>
  <c r="A83" i="37"/>
  <c r="M78" i="37"/>
  <c r="H61" i="36"/>
  <c r="K61" i="36" s="1"/>
  <c r="B78" i="37"/>
  <c r="A78" i="37"/>
  <c r="M75" i="37"/>
  <c r="L75" i="37"/>
  <c r="B75" i="37"/>
  <c r="A75" i="37"/>
  <c r="M72" i="37"/>
  <c r="B72" i="37"/>
  <c r="A72" i="37"/>
  <c r="M68" i="37"/>
  <c r="B68" i="37"/>
  <c r="A68" i="37"/>
  <c r="B66" i="37"/>
  <c r="A66" i="37"/>
  <c r="L64" i="37"/>
  <c r="L63" i="37" s="1"/>
  <c r="M63" i="37"/>
  <c r="B63" i="37"/>
  <c r="A63" i="37"/>
  <c r="L61" i="37"/>
  <c r="L60" i="37" s="1"/>
  <c r="M60" i="37"/>
  <c r="B60" i="37"/>
  <c r="A60" i="37"/>
  <c r="L58" i="37"/>
  <c r="L57" i="37" s="1"/>
  <c r="M57" i="37"/>
  <c r="B57" i="37"/>
  <c r="A57" i="37"/>
  <c r="L55" i="37"/>
  <c r="L54" i="37" s="1"/>
  <c r="M54" i="37"/>
  <c r="B54" i="37"/>
  <c r="A54" i="37"/>
  <c r="L52" i="37"/>
  <c r="L51" i="37" s="1"/>
  <c r="M51" i="37"/>
  <c r="B51" i="37"/>
  <c r="A51" i="37"/>
  <c r="B49" i="37"/>
  <c r="A49" i="37"/>
  <c r="L47" i="37"/>
  <c r="L46" i="37" s="1"/>
  <c r="M46" i="37"/>
  <c r="B46" i="37"/>
  <c r="A46" i="37"/>
  <c r="L44" i="37"/>
  <c r="L43" i="37" s="1"/>
  <c r="M43" i="37"/>
  <c r="B43" i="37"/>
  <c r="A43" i="37"/>
  <c r="L41" i="37"/>
  <c r="L40" i="37" s="1"/>
  <c r="M40" i="37"/>
  <c r="B40" i="37"/>
  <c r="A40" i="37"/>
  <c r="B38" i="37"/>
  <c r="A38" i="37"/>
  <c r="L36" i="37"/>
  <c r="L35" i="37" s="1"/>
  <c r="M35" i="37"/>
  <c r="B35" i="37"/>
  <c r="A35" i="37"/>
  <c r="L33" i="37"/>
  <c r="L32" i="37" s="1"/>
  <c r="M32" i="37"/>
  <c r="B32" i="37"/>
  <c r="A32" i="37"/>
  <c r="L30" i="37"/>
  <c r="L29" i="37" s="1"/>
  <c r="M29" i="37"/>
  <c r="B29" i="37"/>
  <c r="A29" i="37"/>
  <c r="L27" i="37"/>
  <c r="L26" i="37" s="1"/>
  <c r="M26" i="37"/>
  <c r="B26" i="37"/>
  <c r="A26" i="37"/>
  <c r="L24" i="37"/>
  <c r="L23" i="37" s="1"/>
  <c r="M23" i="37"/>
  <c r="B23" i="37"/>
  <c r="A23" i="37"/>
  <c r="L21" i="37"/>
  <c r="L20" i="37" s="1"/>
  <c r="M20" i="37"/>
  <c r="B20" i="37"/>
  <c r="A20" i="37"/>
  <c r="L18" i="37"/>
  <c r="L17" i="37" s="1"/>
  <c r="M17" i="37"/>
  <c r="B17" i="37"/>
  <c r="A17" i="37"/>
  <c r="L15" i="37"/>
  <c r="L14" i="37" s="1"/>
  <c r="M14" i="37"/>
  <c r="B14" i="37"/>
  <c r="A14" i="37"/>
  <c r="B12" i="37"/>
  <c r="A10" i="37"/>
  <c r="F273" i="36"/>
  <c r="K253" i="36"/>
  <c r="J253" i="36"/>
  <c r="I253" i="36"/>
  <c r="F253" i="36"/>
  <c r="K252" i="36"/>
  <c r="J252" i="36"/>
  <c r="I252" i="36"/>
  <c r="F252" i="36"/>
  <c r="K251" i="36"/>
  <c r="J251" i="36"/>
  <c r="L251" i="36" s="1"/>
  <c r="I251" i="36"/>
  <c r="F251" i="36"/>
  <c r="K250" i="36"/>
  <c r="J250" i="36"/>
  <c r="I250" i="36"/>
  <c r="F250" i="36"/>
  <c r="F247" i="36" s="1"/>
  <c r="K249" i="36"/>
  <c r="J249" i="36"/>
  <c r="I249" i="36"/>
  <c r="F249" i="36"/>
  <c r="K245" i="36"/>
  <c r="J245" i="36"/>
  <c r="I245" i="36"/>
  <c r="F245" i="36"/>
  <c r="K244" i="36"/>
  <c r="J244" i="36"/>
  <c r="I244" i="36"/>
  <c r="F244" i="36"/>
  <c r="J243" i="36"/>
  <c r="F243" i="36"/>
  <c r="K239" i="36"/>
  <c r="J239" i="36"/>
  <c r="L239" i="36" s="1"/>
  <c r="M239" i="36" s="1"/>
  <c r="I239" i="36"/>
  <c r="F239" i="36"/>
  <c r="K238" i="36"/>
  <c r="J238" i="36"/>
  <c r="I238" i="36"/>
  <c r="F238" i="36"/>
  <c r="K237" i="36"/>
  <c r="J237" i="36"/>
  <c r="L237" i="36" s="1"/>
  <c r="I237" i="36"/>
  <c r="F237" i="36"/>
  <c r="K233" i="36"/>
  <c r="J233" i="36"/>
  <c r="I233" i="36"/>
  <c r="F233" i="36"/>
  <c r="K232" i="36"/>
  <c r="J232" i="36"/>
  <c r="I232" i="36"/>
  <c r="F232" i="36"/>
  <c r="K231" i="36"/>
  <c r="J231" i="36"/>
  <c r="I231" i="36"/>
  <c r="F231" i="36"/>
  <c r="K230" i="36"/>
  <c r="J230" i="36"/>
  <c r="L230" i="36" s="1"/>
  <c r="I230" i="36"/>
  <c r="F230" i="36"/>
  <c r="K226" i="36"/>
  <c r="K224" i="36" s="1"/>
  <c r="J226" i="36"/>
  <c r="J224" i="36" s="1"/>
  <c r="I226" i="36"/>
  <c r="F226" i="36"/>
  <c r="F224" i="36" s="1"/>
  <c r="K222" i="36"/>
  <c r="K220" i="36" s="1"/>
  <c r="J222" i="36"/>
  <c r="J220" i="36" s="1"/>
  <c r="I222" i="36"/>
  <c r="F222" i="36"/>
  <c r="F220" i="36" s="1"/>
  <c r="J218" i="36"/>
  <c r="I218" i="36"/>
  <c r="K218" i="36"/>
  <c r="F218" i="36"/>
  <c r="K217" i="36"/>
  <c r="J217" i="36"/>
  <c r="I217" i="36"/>
  <c r="F217" i="36"/>
  <c r="K216" i="36"/>
  <c r="J216" i="36"/>
  <c r="I216" i="36"/>
  <c r="F216" i="36"/>
  <c r="F214" i="36" s="1"/>
  <c r="K212" i="36"/>
  <c r="J212" i="36"/>
  <c r="I212" i="36"/>
  <c r="F212" i="36"/>
  <c r="K211" i="36"/>
  <c r="J211" i="36"/>
  <c r="I211" i="36"/>
  <c r="F211" i="36"/>
  <c r="F209" i="36" s="1"/>
  <c r="K207" i="36"/>
  <c r="K205" i="36" s="1"/>
  <c r="J207" i="36"/>
  <c r="J205" i="36" s="1"/>
  <c r="I207" i="36"/>
  <c r="F207" i="36"/>
  <c r="F205" i="36" s="1"/>
  <c r="K201" i="36"/>
  <c r="J201" i="36"/>
  <c r="I201" i="36"/>
  <c r="F201" i="36"/>
  <c r="K200" i="36"/>
  <c r="K198" i="36" s="1"/>
  <c r="J200" i="36"/>
  <c r="J198" i="36" s="1"/>
  <c r="I200" i="36"/>
  <c r="F200" i="36"/>
  <c r="K196" i="36"/>
  <c r="J196" i="36"/>
  <c r="I196" i="36"/>
  <c r="F196" i="36"/>
  <c r="K195" i="36"/>
  <c r="J195" i="36"/>
  <c r="I195" i="36"/>
  <c r="F195" i="36"/>
  <c r="K194" i="36"/>
  <c r="J194" i="36"/>
  <c r="I194" i="36"/>
  <c r="F194" i="36"/>
  <c r="K193" i="36"/>
  <c r="J193" i="36"/>
  <c r="I193" i="36"/>
  <c r="F193" i="36"/>
  <c r="K192" i="36"/>
  <c r="J192" i="36"/>
  <c r="I192" i="36"/>
  <c r="F192" i="36"/>
  <c r="K191" i="36"/>
  <c r="J191" i="36"/>
  <c r="I191" i="36"/>
  <c r="F191" i="36"/>
  <c r="K190" i="36"/>
  <c r="J190" i="36"/>
  <c r="I190" i="36"/>
  <c r="F190" i="36"/>
  <c r="K186" i="36"/>
  <c r="J186" i="36"/>
  <c r="I186" i="36"/>
  <c r="F186" i="36"/>
  <c r="K185" i="36"/>
  <c r="J185" i="36"/>
  <c r="I185" i="36"/>
  <c r="F185" i="36"/>
  <c r="K184" i="36"/>
  <c r="J184" i="36"/>
  <c r="I184" i="36"/>
  <c r="F184" i="36"/>
  <c r="K183" i="36"/>
  <c r="J183" i="36"/>
  <c r="I183" i="36"/>
  <c r="F183" i="36"/>
  <c r="K182" i="36"/>
  <c r="J182" i="36"/>
  <c r="I182" i="36"/>
  <c r="F182" i="36"/>
  <c r="K181" i="36"/>
  <c r="J181" i="36"/>
  <c r="I181" i="36"/>
  <c r="F181" i="36"/>
  <c r="K180" i="36"/>
  <c r="J180" i="36"/>
  <c r="I180" i="36"/>
  <c r="F180" i="36"/>
  <c r="K179" i="36"/>
  <c r="J179" i="36"/>
  <c r="I179" i="36"/>
  <c r="F179" i="36"/>
  <c r="K178" i="36"/>
  <c r="J178" i="36"/>
  <c r="I178" i="36"/>
  <c r="F178" i="36"/>
  <c r="K177" i="36"/>
  <c r="J177" i="36"/>
  <c r="I177" i="36"/>
  <c r="F177" i="36"/>
  <c r="K176" i="36"/>
  <c r="J176" i="36"/>
  <c r="I176" i="36"/>
  <c r="F176" i="36"/>
  <c r="K175" i="36"/>
  <c r="J175" i="36"/>
  <c r="I175" i="36"/>
  <c r="F175" i="36"/>
  <c r="K174" i="36"/>
  <c r="J174" i="36"/>
  <c r="I174" i="36"/>
  <c r="F174" i="36"/>
  <c r="K173" i="36"/>
  <c r="J173" i="36"/>
  <c r="I173" i="36"/>
  <c r="F173" i="36"/>
  <c r="K172" i="36"/>
  <c r="J172" i="36"/>
  <c r="I172" i="36"/>
  <c r="F172" i="36"/>
  <c r="K171" i="36"/>
  <c r="J171" i="36"/>
  <c r="I171" i="36"/>
  <c r="F171" i="36"/>
  <c r="K170" i="36"/>
  <c r="J170" i="36"/>
  <c r="I170" i="36"/>
  <c r="F170" i="36"/>
  <c r="K169" i="36"/>
  <c r="J169" i="36"/>
  <c r="I169" i="36"/>
  <c r="F169" i="36"/>
  <c r="K168" i="36"/>
  <c r="L168" i="36" s="1"/>
  <c r="M168" i="36" s="1"/>
  <c r="J168" i="36"/>
  <c r="I168" i="36"/>
  <c r="F168" i="36"/>
  <c r="K167" i="36"/>
  <c r="J167" i="36"/>
  <c r="I167" i="36"/>
  <c r="F167" i="36"/>
  <c r="K166" i="36"/>
  <c r="J166" i="36"/>
  <c r="I166" i="36"/>
  <c r="F166" i="36"/>
  <c r="K165" i="36"/>
  <c r="J165" i="36"/>
  <c r="I165" i="36"/>
  <c r="F165" i="36"/>
  <c r="K164" i="36"/>
  <c r="J164" i="36"/>
  <c r="I164" i="36"/>
  <c r="F164" i="36"/>
  <c r="K163" i="36"/>
  <c r="J163" i="36"/>
  <c r="I163" i="36"/>
  <c r="F163" i="36"/>
  <c r="J159" i="36"/>
  <c r="K159" i="36"/>
  <c r="F159" i="36"/>
  <c r="J158" i="36"/>
  <c r="K158" i="36"/>
  <c r="F158" i="36"/>
  <c r="K157" i="36"/>
  <c r="J157" i="36"/>
  <c r="I157" i="36"/>
  <c r="F157" i="36"/>
  <c r="K156" i="36"/>
  <c r="J156" i="36"/>
  <c r="I156" i="36"/>
  <c r="F156" i="36"/>
  <c r="J155" i="36"/>
  <c r="F155" i="36"/>
  <c r="K154" i="36"/>
  <c r="J154" i="36"/>
  <c r="F154" i="36"/>
  <c r="K153" i="36"/>
  <c r="J153" i="36"/>
  <c r="I153" i="36"/>
  <c r="F153" i="36"/>
  <c r="K152" i="36"/>
  <c r="J152" i="36"/>
  <c r="I152" i="36"/>
  <c r="F152" i="36"/>
  <c r="K148" i="36"/>
  <c r="J148" i="36"/>
  <c r="I148" i="36"/>
  <c r="F148" i="36"/>
  <c r="K147" i="36"/>
  <c r="J147" i="36"/>
  <c r="I147" i="36"/>
  <c r="F147" i="36"/>
  <c r="K146" i="36"/>
  <c r="J146" i="36"/>
  <c r="I146" i="36"/>
  <c r="F146" i="36"/>
  <c r="J145" i="36"/>
  <c r="K145" i="36"/>
  <c r="F145" i="36"/>
  <c r="K144" i="36"/>
  <c r="J144" i="36"/>
  <c r="L144" i="36" s="1"/>
  <c r="M144" i="36" s="1"/>
  <c r="I144" i="36"/>
  <c r="F144" i="36"/>
  <c r="K143" i="36"/>
  <c r="J143" i="36"/>
  <c r="I143" i="36"/>
  <c r="F143" i="36"/>
  <c r="K142" i="36"/>
  <c r="J142" i="36"/>
  <c r="L142" i="36" s="1"/>
  <c r="M142" i="36" s="1"/>
  <c r="I142" i="36"/>
  <c r="F142" i="36"/>
  <c r="K141" i="36"/>
  <c r="J141" i="36"/>
  <c r="I141" i="36"/>
  <c r="F141" i="36"/>
  <c r="K140" i="36"/>
  <c r="J140" i="36"/>
  <c r="L140" i="36" s="1"/>
  <c r="M140" i="36" s="1"/>
  <c r="I140" i="36"/>
  <c r="F140" i="36"/>
  <c r="K139" i="36"/>
  <c r="J139" i="36"/>
  <c r="I139" i="36"/>
  <c r="F139" i="36"/>
  <c r="K138" i="36"/>
  <c r="J138" i="36"/>
  <c r="L138" i="36" s="1"/>
  <c r="M138" i="36" s="1"/>
  <c r="I138" i="36"/>
  <c r="F138" i="36"/>
  <c r="K137" i="36"/>
  <c r="J137" i="36"/>
  <c r="I137" i="36"/>
  <c r="F137" i="36"/>
  <c r="K136" i="36"/>
  <c r="J136" i="36"/>
  <c r="L136" i="36" s="1"/>
  <c r="M136" i="36" s="1"/>
  <c r="I136" i="36"/>
  <c r="F136" i="36"/>
  <c r="K135" i="36"/>
  <c r="J135" i="36"/>
  <c r="I135" i="36"/>
  <c r="F135" i="36"/>
  <c r="K134" i="36"/>
  <c r="J134" i="36"/>
  <c r="L134" i="36" s="1"/>
  <c r="M134" i="36" s="1"/>
  <c r="I134" i="36"/>
  <c r="F134" i="36"/>
  <c r="K133" i="36"/>
  <c r="J133" i="36"/>
  <c r="I133" i="36"/>
  <c r="F133" i="36"/>
  <c r="K132" i="36"/>
  <c r="J132" i="36"/>
  <c r="L132" i="36" s="1"/>
  <c r="M132" i="36" s="1"/>
  <c r="I132" i="36"/>
  <c r="F132" i="36"/>
  <c r="K131" i="36"/>
  <c r="J131" i="36"/>
  <c r="I131" i="36"/>
  <c r="F131" i="36"/>
  <c r="K130" i="36"/>
  <c r="J130" i="36"/>
  <c r="I130" i="36"/>
  <c r="F130" i="36"/>
  <c r="K129" i="36"/>
  <c r="J129" i="36"/>
  <c r="I129" i="36"/>
  <c r="F129" i="36"/>
  <c r="K128" i="36"/>
  <c r="J128" i="36"/>
  <c r="L128" i="36" s="1"/>
  <c r="M128" i="36" s="1"/>
  <c r="I128" i="36"/>
  <c r="F128" i="36"/>
  <c r="K127" i="36"/>
  <c r="J127" i="36"/>
  <c r="I127" i="36"/>
  <c r="F127" i="36"/>
  <c r="K126" i="36"/>
  <c r="J126" i="36"/>
  <c r="I126" i="36"/>
  <c r="F126" i="36"/>
  <c r="K125" i="36"/>
  <c r="J125" i="36"/>
  <c r="I125" i="36"/>
  <c r="F125" i="36"/>
  <c r="K121" i="36"/>
  <c r="J121" i="36"/>
  <c r="L121" i="36" s="1"/>
  <c r="M121" i="36" s="1"/>
  <c r="I121" i="36"/>
  <c r="F121" i="36"/>
  <c r="K120" i="36"/>
  <c r="J120" i="36"/>
  <c r="I120" i="36"/>
  <c r="F120" i="36"/>
  <c r="K119" i="36"/>
  <c r="J119" i="36"/>
  <c r="L119" i="36" s="1"/>
  <c r="M119" i="36" s="1"/>
  <c r="I119" i="36"/>
  <c r="F119" i="36"/>
  <c r="K118" i="36"/>
  <c r="J118" i="36"/>
  <c r="I118" i="36"/>
  <c r="F118" i="36"/>
  <c r="K117" i="36"/>
  <c r="J117" i="36"/>
  <c r="L117" i="36" s="1"/>
  <c r="M117" i="36" s="1"/>
  <c r="I117" i="36"/>
  <c r="F117" i="36"/>
  <c r="K116" i="36"/>
  <c r="J116" i="36"/>
  <c r="I116" i="36"/>
  <c r="F116" i="36"/>
  <c r="K115" i="36"/>
  <c r="J115" i="36"/>
  <c r="I115" i="36"/>
  <c r="F115" i="36"/>
  <c r="K114" i="36"/>
  <c r="J114" i="36"/>
  <c r="F114" i="36"/>
  <c r="F112" i="36" s="1"/>
  <c r="K110" i="36"/>
  <c r="J110" i="36"/>
  <c r="I110" i="36"/>
  <c r="F110" i="36"/>
  <c r="K109" i="36"/>
  <c r="J109" i="36"/>
  <c r="I109" i="36"/>
  <c r="F109" i="36"/>
  <c r="K108" i="36"/>
  <c r="J108" i="36"/>
  <c r="L108" i="36" s="1"/>
  <c r="M108" i="36" s="1"/>
  <c r="I108" i="36"/>
  <c r="F108" i="36"/>
  <c r="K107" i="36"/>
  <c r="J107" i="36"/>
  <c r="I107" i="36"/>
  <c r="F107" i="36"/>
  <c r="K106" i="36"/>
  <c r="J106" i="36"/>
  <c r="I106" i="36"/>
  <c r="F106" i="36"/>
  <c r="K105" i="36"/>
  <c r="J105" i="36"/>
  <c r="I105" i="36"/>
  <c r="F105" i="36"/>
  <c r="K104" i="36"/>
  <c r="J104" i="36"/>
  <c r="L104" i="36" s="1"/>
  <c r="I104" i="36"/>
  <c r="F104" i="36"/>
  <c r="K103" i="36"/>
  <c r="J103" i="36"/>
  <c r="I103" i="36"/>
  <c r="F103" i="36"/>
  <c r="K99" i="36"/>
  <c r="J99" i="36"/>
  <c r="I99" i="36"/>
  <c r="F99" i="36"/>
  <c r="J98" i="36"/>
  <c r="I98" i="36"/>
  <c r="F98" i="36"/>
  <c r="J97" i="36"/>
  <c r="F97" i="36"/>
  <c r="J96" i="36"/>
  <c r="K96" i="36"/>
  <c r="F96" i="36"/>
  <c r="K92" i="36"/>
  <c r="J92" i="36"/>
  <c r="I92" i="36"/>
  <c r="F92" i="36"/>
  <c r="K91" i="36"/>
  <c r="J91" i="36"/>
  <c r="I91" i="36"/>
  <c r="F91" i="36"/>
  <c r="K90" i="36"/>
  <c r="J90" i="36"/>
  <c r="I90" i="36"/>
  <c r="F90" i="36"/>
  <c r="K89" i="36"/>
  <c r="J89" i="36"/>
  <c r="I89" i="36"/>
  <c r="F89" i="36"/>
  <c r="K88" i="36"/>
  <c r="J88" i="36"/>
  <c r="I88" i="36"/>
  <c r="F88" i="36"/>
  <c r="K87" i="36"/>
  <c r="J87" i="36"/>
  <c r="I87" i="36"/>
  <c r="F87" i="36"/>
  <c r="K86" i="36"/>
  <c r="J86" i="36"/>
  <c r="I86" i="36"/>
  <c r="F86" i="36"/>
  <c r="K85" i="36"/>
  <c r="J85" i="36"/>
  <c r="I85" i="36"/>
  <c r="F85" i="36"/>
  <c r="K81" i="36"/>
  <c r="J81" i="36"/>
  <c r="I81" i="36"/>
  <c r="F81" i="36"/>
  <c r="K80" i="36"/>
  <c r="J80" i="36"/>
  <c r="I80" i="36"/>
  <c r="F80" i="36"/>
  <c r="K79" i="36"/>
  <c r="J79" i="36"/>
  <c r="I79" i="36"/>
  <c r="F79" i="36"/>
  <c r="K78" i="36"/>
  <c r="J78" i="36"/>
  <c r="I78" i="36"/>
  <c r="F78" i="36"/>
  <c r="K77" i="36"/>
  <c r="J77" i="36"/>
  <c r="I77" i="36"/>
  <c r="F77" i="36"/>
  <c r="K76" i="36"/>
  <c r="J76" i="36"/>
  <c r="I76" i="36"/>
  <c r="F76" i="36"/>
  <c r="K75" i="36"/>
  <c r="J75" i="36"/>
  <c r="I75" i="36"/>
  <c r="F75" i="36"/>
  <c r="K74" i="36"/>
  <c r="J74" i="36"/>
  <c r="I74" i="36"/>
  <c r="F74" i="36"/>
  <c r="K73" i="36"/>
  <c r="J73" i="36"/>
  <c r="I73" i="36"/>
  <c r="F73" i="36"/>
  <c r="K72" i="36"/>
  <c r="J72" i="36"/>
  <c r="I72" i="36"/>
  <c r="F72" i="36"/>
  <c r="K71" i="36"/>
  <c r="J71" i="36"/>
  <c r="I71" i="36"/>
  <c r="F71" i="36"/>
  <c r="K67" i="36"/>
  <c r="J67" i="36"/>
  <c r="I67" i="36"/>
  <c r="F67" i="36"/>
  <c r="J66" i="36"/>
  <c r="K66" i="36"/>
  <c r="F66" i="36"/>
  <c r="K65" i="36"/>
  <c r="J65" i="36"/>
  <c r="I65" i="36"/>
  <c r="F65" i="36"/>
  <c r="J61" i="36"/>
  <c r="F61" i="36"/>
  <c r="K60" i="36"/>
  <c r="J60" i="36"/>
  <c r="I60" i="36"/>
  <c r="F60" i="36"/>
  <c r="K59" i="36"/>
  <c r="J59" i="36"/>
  <c r="I59" i="36"/>
  <c r="F59" i="36"/>
  <c r="J58" i="36"/>
  <c r="K58" i="36"/>
  <c r="F58" i="36"/>
  <c r="K54" i="36"/>
  <c r="J54" i="36"/>
  <c r="I54" i="36"/>
  <c r="F54" i="36"/>
  <c r="K53" i="36"/>
  <c r="J53" i="36"/>
  <c r="L53" i="36" s="1"/>
  <c r="I53" i="36"/>
  <c r="F53" i="36"/>
  <c r="K52" i="36"/>
  <c r="J52" i="36"/>
  <c r="I52" i="36"/>
  <c r="F52" i="36"/>
  <c r="K51" i="36"/>
  <c r="J51" i="36"/>
  <c r="I51" i="36"/>
  <c r="F51" i="36"/>
  <c r="K50" i="36"/>
  <c r="J50" i="36"/>
  <c r="I50" i="36"/>
  <c r="F50" i="36"/>
  <c r="K46" i="36"/>
  <c r="J46" i="36"/>
  <c r="I46" i="36"/>
  <c r="F46" i="36"/>
  <c r="K45" i="36"/>
  <c r="J45" i="36"/>
  <c r="I45" i="36"/>
  <c r="F45" i="36"/>
  <c r="K44" i="36"/>
  <c r="J44" i="36"/>
  <c r="I44" i="36"/>
  <c r="F44" i="36"/>
  <c r="K40" i="36"/>
  <c r="J40" i="36"/>
  <c r="I40" i="36"/>
  <c r="F40" i="36"/>
  <c r="K39" i="36"/>
  <c r="J39" i="36"/>
  <c r="I39" i="36"/>
  <c r="F39" i="36"/>
  <c r="K38" i="36"/>
  <c r="J38" i="36"/>
  <c r="I38" i="36"/>
  <c r="F38" i="36"/>
  <c r="K37" i="36"/>
  <c r="J37" i="36"/>
  <c r="I37" i="36"/>
  <c r="F37" i="36"/>
  <c r="K36" i="36"/>
  <c r="J36" i="36"/>
  <c r="I36" i="36"/>
  <c r="F36" i="36"/>
  <c r="K35" i="36"/>
  <c r="J35" i="36"/>
  <c r="I35" i="36"/>
  <c r="F35" i="36"/>
  <c r="K34" i="36"/>
  <c r="J34" i="36"/>
  <c r="I34" i="36"/>
  <c r="F34" i="36"/>
  <c r="K33" i="36"/>
  <c r="J33" i="36"/>
  <c r="I33" i="36"/>
  <c r="F33" i="36"/>
  <c r="AN26" i="36"/>
  <c r="N22" i="36"/>
  <c r="K304" i="34"/>
  <c r="I190" i="35"/>
  <c r="J190" i="35"/>
  <c r="K190" i="35"/>
  <c r="I191" i="35"/>
  <c r="J191" i="35"/>
  <c r="K191" i="35"/>
  <c r="I192" i="35"/>
  <c r="J192" i="35"/>
  <c r="L192" i="35" s="1"/>
  <c r="K192" i="35"/>
  <c r="I193" i="35"/>
  <c r="J193" i="35"/>
  <c r="L193" i="35" s="1"/>
  <c r="K193" i="35"/>
  <c r="I194" i="35"/>
  <c r="J194" i="35"/>
  <c r="K194" i="35"/>
  <c r="I195" i="35"/>
  <c r="J195" i="35"/>
  <c r="L195" i="35" s="1"/>
  <c r="K195" i="35"/>
  <c r="I163" i="35"/>
  <c r="J163" i="35"/>
  <c r="K163" i="35"/>
  <c r="I164" i="35"/>
  <c r="J164" i="35"/>
  <c r="K164" i="35"/>
  <c r="I165" i="35"/>
  <c r="J165" i="35"/>
  <c r="K165" i="35"/>
  <c r="I166" i="35"/>
  <c r="J166" i="35"/>
  <c r="L166" i="35" s="1"/>
  <c r="K166" i="35"/>
  <c r="I167" i="35"/>
  <c r="J167" i="35"/>
  <c r="K167" i="35"/>
  <c r="L167" i="35" s="1"/>
  <c r="I168" i="35"/>
  <c r="J168" i="35"/>
  <c r="K168" i="35"/>
  <c r="L168" i="35" s="1"/>
  <c r="I169" i="35"/>
  <c r="J169" i="35"/>
  <c r="K169" i="35"/>
  <c r="I170" i="35"/>
  <c r="J170" i="35"/>
  <c r="K170" i="35"/>
  <c r="L170" i="35"/>
  <c r="I171" i="35"/>
  <c r="J171" i="35"/>
  <c r="K171" i="35"/>
  <c r="L171" i="35" s="1"/>
  <c r="I172" i="35"/>
  <c r="J172" i="35"/>
  <c r="L172" i="35" s="1"/>
  <c r="K172" i="35"/>
  <c r="I173" i="35"/>
  <c r="J173" i="35"/>
  <c r="K173" i="35"/>
  <c r="I174" i="35"/>
  <c r="J174" i="35"/>
  <c r="L174" i="35" s="1"/>
  <c r="K174" i="35"/>
  <c r="I175" i="35"/>
  <c r="J175" i="35"/>
  <c r="K175" i="35"/>
  <c r="I176" i="35"/>
  <c r="J176" i="35"/>
  <c r="K176" i="35"/>
  <c r="L176" i="35" s="1"/>
  <c r="I177" i="35"/>
  <c r="J177" i="35"/>
  <c r="K177" i="35"/>
  <c r="L177" i="35" s="1"/>
  <c r="I178" i="35"/>
  <c r="J178" i="35"/>
  <c r="K178" i="35"/>
  <c r="L178" i="35"/>
  <c r="I179" i="35"/>
  <c r="J179" i="35"/>
  <c r="K179" i="35"/>
  <c r="L179" i="35" s="1"/>
  <c r="I180" i="35"/>
  <c r="J180" i="35"/>
  <c r="L180" i="35" s="1"/>
  <c r="K180" i="35"/>
  <c r="I181" i="35"/>
  <c r="J181" i="35"/>
  <c r="K181" i="35"/>
  <c r="I182" i="35"/>
  <c r="J182" i="35"/>
  <c r="L182" i="35" s="1"/>
  <c r="K182" i="35"/>
  <c r="I183" i="35"/>
  <c r="J183" i="35"/>
  <c r="K183" i="35"/>
  <c r="L183" i="35" s="1"/>
  <c r="I184" i="35"/>
  <c r="J184" i="35"/>
  <c r="K184" i="35"/>
  <c r="L184" i="35" s="1"/>
  <c r="I185" i="35"/>
  <c r="J185" i="35"/>
  <c r="K185" i="35"/>
  <c r="L185" i="35" s="1"/>
  <c r="I152" i="35"/>
  <c r="J152" i="35"/>
  <c r="K152" i="35"/>
  <c r="I153" i="35"/>
  <c r="J153" i="35"/>
  <c r="L153" i="35" s="1"/>
  <c r="K153" i="35"/>
  <c r="I154" i="35"/>
  <c r="J154" i="35"/>
  <c r="L154" i="35" s="1"/>
  <c r="K154" i="35"/>
  <c r="I155" i="35"/>
  <c r="J155" i="35"/>
  <c r="L155" i="35" s="1"/>
  <c r="K155" i="35"/>
  <c r="J156" i="35"/>
  <c r="J157" i="35"/>
  <c r="J158" i="35"/>
  <c r="I125" i="35"/>
  <c r="J125" i="35"/>
  <c r="L125" i="35" s="1"/>
  <c r="K125" i="35"/>
  <c r="I126" i="35"/>
  <c r="J126" i="35"/>
  <c r="K126" i="35"/>
  <c r="I127" i="35"/>
  <c r="J127" i="35"/>
  <c r="K127" i="35"/>
  <c r="I128" i="35"/>
  <c r="J128" i="35"/>
  <c r="L128" i="35" s="1"/>
  <c r="K128" i="35"/>
  <c r="I129" i="35"/>
  <c r="J129" i="35"/>
  <c r="K129" i="35"/>
  <c r="I130" i="35"/>
  <c r="J130" i="35"/>
  <c r="K130" i="35"/>
  <c r="L130" i="35" s="1"/>
  <c r="I131" i="35"/>
  <c r="J131" i="35"/>
  <c r="K131" i="35"/>
  <c r="I132" i="35"/>
  <c r="J132" i="35"/>
  <c r="L132" i="35" s="1"/>
  <c r="K132" i="35"/>
  <c r="I133" i="35"/>
  <c r="J133" i="35"/>
  <c r="K133" i="35"/>
  <c r="I134" i="35"/>
  <c r="J134" i="35"/>
  <c r="L134" i="35" s="1"/>
  <c r="K134" i="35"/>
  <c r="I135" i="35"/>
  <c r="J135" i="35"/>
  <c r="K135" i="35"/>
  <c r="I136" i="35"/>
  <c r="J136" i="35"/>
  <c r="K136" i="35"/>
  <c r="I137" i="35"/>
  <c r="J137" i="35"/>
  <c r="L137" i="35" s="1"/>
  <c r="K137" i="35"/>
  <c r="I138" i="35"/>
  <c r="J138" i="35"/>
  <c r="L138" i="35" s="1"/>
  <c r="K138" i="35"/>
  <c r="I139" i="35"/>
  <c r="J139" i="35"/>
  <c r="K139" i="35"/>
  <c r="I140" i="35"/>
  <c r="J140" i="35"/>
  <c r="K140" i="35"/>
  <c r="L140" i="35" s="1"/>
  <c r="I141" i="35"/>
  <c r="J141" i="35"/>
  <c r="K141" i="35"/>
  <c r="I142" i="35"/>
  <c r="J142" i="35"/>
  <c r="K142" i="35"/>
  <c r="I143" i="35"/>
  <c r="J143" i="35"/>
  <c r="L143" i="35" s="1"/>
  <c r="K143" i="35"/>
  <c r="J144" i="35"/>
  <c r="I145" i="35"/>
  <c r="J145" i="35"/>
  <c r="K145" i="35"/>
  <c r="I146" i="35"/>
  <c r="J146" i="35"/>
  <c r="K146" i="35"/>
  <c r="I147" i="35"/>
  <c r="J147" i="35"/>
  <c r="K147" i="35"/>
  <c r="I114" i="35"/>
  <c r="J114" i="35"/>
  <c r="K114" i="35"/>
  <c r="I115" i="35"/>
  <c r="J115" i="35"/>
  <c r="L115" i="35" s="1"/>
  <c r="K115" i="35"/>
  <c r="I116" i="35"/>
  <c r="J116" i="35"/>
  <c r="K116" i="35"/>
  <c r="I117" i="35"/>
  <c r="J117" i="35"/>
  <c r="K117" i="35"/>
  <c r="I118" i="35"/>
  <c r="J118" i="35"/>
  <c r="K118" i="35"/>
  <c r="I119" i="35"/>
  <c r="J119" i="35"/>
  <c r="L119" i="35" s="1"/>
  <c r="K119" i="35"/>
  <c r="I120" i="35"/>
  <c r="J120" i="35"/>
  <c r="L120" i="35" s="1"/>
  <c r="K120" i="35"/>
  <c r="I103" i="35"/>
  <c r="J103" i="35"/>
  <c r="K103" i="35"/>
  <c r="I104" i="35"/>
  <c r="J104" i="35"/>
  <c r="K104" i="35"/>
  <c r="L104" i="35"/>
  <c r="I105" i="35"/>
  <c r="J105" i="35"/>
  <c r="K105" i="35"/>
  <c r="I106" i="35"/>
  <c r="J106" i="35"/>
  <c r="L106" i="35" s="1"/>
  <c r="K106" i="35"/>
  <c r="I107" i="35"/>
  <c r="J107" i="35"/>
  <c r="L107" i="35" s="1"/>
  <c r="K107" i="35"/>
  <c r="I108" i="35"/>
  <c r="J108" i="35"/>
  <c r="L108" i="35" s="1"/>
  <c r="K108" i="35"/>
  <c r="I109" i="35"/>
  <c r="J109" i="35"/>
  <c r="K109" i="35"/>
  <c r="J96" i="35"/>
  <c r="J97" i="35"/>
  <c r="I98" i="35"/>
  <c r="J98" i="35"/>
  <c r="L98" i="35" s="1"/>
  <c r="K98" i="35"/>
  <c r="I85" i="35"/>
  <c r="J85" i="35"/>
  <c r="L85" i="35" s="1"/>
  <c r="K85" i="35"/>
  <c r="I86" i="35"/>
  <c r="J86" i="35"/>
  <c r="K86" i="35"/>
  <c r="L86" i="35"/>
  <c r="I87" i="35"/>
  <c r="J87" i="35"/>
  <c r="K87" i="35"/>
  <c r="I88" i="35"/>
  <c r="J88" i="35"/>
  <c r="L88" i="35" s="1"/>
  <c r="K88" i="35"/>
  <c r="I89" i="35"/>
  <c r="J89" i="35"/>
  <c r="L89" i="35" s="1"/>
  <c r="K89" i="35"/>
  <c r="I90" i="35"/>
  <c r="J90" i="35"/>
  <c r="K90" i="35"/>
  <c r="I91" i="35"/>
  <c r="J91" i="35"/>
  <c r="K91" i="35"/>
  <c r="I71" i="35"/>
  <c r="J71" i="35"/>
  <c r="K71" i="35"/>
  <c r="I72" i="35"/>
  <c r="J72" i="35"/>
  <c r="K72" i="35"/>
  <c r="I73" i="35"/>
  <c r="J73" i="35"/>
  <c r="L73" i="35" s="1"/>
  <c r="K73" i="35"/>
  <c r="I74" i="35"/>
  <c r="J74" i="35"/>
  <c r="L74" i="35" s="1"/>
  <c r="K74" i="35"/>
  <c r="I75" i="35"/>
  <c r="J75" i="35"/>
  <c r="K75" i="35"/>
  <c r="I76" i="35"/>
  <c r="J76" i="35"/>
  <c r="K76" i="35"/>
  <c r="I77" i="35"/>
  <c r="J77" i="35"/>
  <c r="K77" i="35"/>
  <c r="I78" i="35"/>
  <c r="J78" i="35"/>
  <c r="K78" i="35"/>
  <c r="I79" i="35"/>
  <c r="J79" i="35"/>
  <c r="L79" i="35" s="1"/>
  <c r="K79" i="35"/>
  <c r="I80" i="35"/>
  <c r="J80" i="35"/>
  <c r="K80" i="35"/>
  <c r="J65" i="35"/>
  <c r="J66" i="35"/>
  <c r="J58" i="35"/>
  <c r="I59" i="35"/>
  <c r="J59" i="35"/>
  <c r="K59" i="35"/>
  <c r="L59" i="35" s="1"/>
  <c r="I60" i="35"/>
  <c r="J60" i="35"/>
  <c r="K60" i="35"/>
  <c r="I50" i="35"/>
  <c r="J50" i="35"/>
  <c r="L50" i="35" s="1"/>
  <c r="K50" i="35"/>
  <c r="I51" i="35"/>
  <c r="J51" i="35"/>
  <c r="K51" i="35"/>
  <c r="I52" i="35"/>
  <c r="J52" i="35"/>
  <c r="K52" i="35"/>
  <c r="I53" i="35"/>
  <c r="J53" i="35"/>
  <c r="K53" i="35"/>
  <c r="K252" i="35"/>
  <c r="J252" i="35"/>
  <c r="I252" i="35"/>
  <c r="K251" i="35"/>
  <c r="J251" i="35"/>
  <c r="I251" i="35"/>
  <c r="K250" i="35"/>
  <c r="J250" i="35"/>
  <c r="I250" i="35"/>
  <c r="K249" i="35"/>
  <c r="J249" i="35"/>
  <c r="I249" i="35"/>
  <c r="K248" i="35"/>
  <c r="L248" i="35" s="1"/>
  <c r="J248" i="35"/>
  <c r="I248" i="35"/>
  <c r="K244" i="35"/>
  <c r="J244" i="35"/>
  <c r="I244" i="35"/>
  <c r="K243" i="35"/>
  <c r="J243" i="35"/>
  <c r="I243" i="35"/>
  <c r="K242" i="35"/>
  <c r="J242" i="35"/>
  <c r="I242" i="35"/>
  <c r="K238" i="35"/>
  <c r="J238" i="35"/>
  <c r="I238" i="35"/>
  <c r="K237" i="35"/>
  <c r="J237" i="35"/>
  <c r="I237" i="35"/>
  <c r="K236" i="35"/>
  <c r="J236" i="35"/>
  <c r="I236" i="35"/>
  <c r="K232" i="35"/>
  <c r="J232" i="35"/>
  <c r="I232" i="35"/>
  <c r="K231" i="35"/>
  <c r="J231" i="35"/>
  <c r="I231" i="35"/>
  <c r="K230" i="35"/>
  <c r="L230" i="35" s="1"/>
  <c r="J230" i="35"/>
  <c r="I230" i="35"/>
  <c r="K229" i="35"/>
  <c r="J229" i="35"/>
  <c r="I229" i="35"/>
  <c r="K225" i="35"/>
  <c r="J225" i="35"/>
  <c r="L225" i="35" s="1"/>
  <c r="I225" i="35"/>
  <c r="J221" i="35"/>
  <c r="I221" i="35"/>
  <c r="J217" i="35"/>
  <c r="J216" i="35"/>
  <c r="J215" i="35"/>
  <c r="J213" i="35" s="1"/>
  <c r="J211" i="35"/>
  <c r="J210" i="35"/>
  <c r="J206" i="35"/>
  <c r="J204" i="35" s="1"/>
  <c r="K200" i="35"/>
  <c r="J200" i="35"/>
  <c r="I200" i="35"/>
  <c r="K199" i="35"/>
  <c r="J199" i="35"/>
  <c r="L199" i="35" s="1"/>
  <c r="I199" i="35"/>
  <c r="K189" i="35"/>
  <c r="J189" i="35"/>
  <c r="I189" i="35"/>
  <c r="K162" i="35"/>
  <c r="J162" i="35"/>
  <c r="I162" i="35"/>
  <c r="K151" i="35"/>
  <c r="L151" i="35" s="1"/>
  <c r="J151" i="35"/>
  <c r="I151" i="35"/>
  <c r="K124" i="35"/>
  <c r="J124" i="35"/>
  <c r="L124" i="35" s="1"/>
  <c r="I124" i="35"/>
  <c r="J113" i="35"/>
  <c r="K102" i="35"/>
  <c r="J102" i="35"/>
  <c r="I102" i="35"/>
  <c r="J95" i="35"/>
  <c r="K84" i="35"/>
  <c r="J84" i="35"/>
  <c r="I84" i="35"/>
  <c r="K70" i="35"/>
  <c r="J70" i="35"/>
  <c r="I70" i="35"/>
  <c r="J64" i="35"/>
  <c r="J57" i="35"/>
  <c r="K49" i="35"/>
  <c r="J49" i="35"/>
  <c r="I49" i="35"/>
  <c r="I44" i="35"/>
  <c r="J44" i="35"/>
  <c r="K44" i="35"/>
  <c r="I45" i="35"/>
  <c r="J45" i="35"/>
  <c r="K45" i="35"/>
  <c r="K43" i="35"/>
  <c r="J43" i="35"/>
  <c r="L43" i="35" s="1"/>
  <c r="I43" i="35"/>
  <c r="J227" i="35"/>
  <c r="J223" i="35"/>
  <c r="J219" i="35"/>
  <c r="J149" i="35"/>
  <c r="J39" i="35"/>
  <c r="J33" i="35"/>
  <c r="J34" i="35"/>
  <c r="J35" i="35"/>
  <c r="J36" i="35"/>
  <c r="J37" i="35"/>
  <c r="J38" i="35"/>
  <c r="J32" i="35"/>
  <c r="I33" i="35"/>
  <c r="I34" i="35"/>
  <c r="I35" i="35"/>
  <c r="I36" i="35"/>
  <c r="I37" i="35"/>
  <c r="I38" i="35"/>
  <c r="I39" i="35"/>
  <c r="I32" i="35"/>
  <c r="K303" i="34"/>
  <c r="L303" i="34" s="1"/>
  <c r="K302" i="34"/>
  <c r="L302" i="34" s="1"/>
  <c r="K301" i="34"/>
  <c r="L301" i="34" s="1"/>
  <c r="K300" i="34"/>
  <c r="L300" i="34" s="1"/>
  <c r="K299" i="34"/>
  <c r="L299" i="34" s="1"/>
  <c r="K298" i="34"/>
  <c r="L298" i="34" s="1"/>
  <c r="K297" i="34"/>
  <c r="L297" i="34" s="1"/>
  <c r="K293" i="34"/>
  <c r="L293" i="34" s="1"/>
  <c r="K294" i="34"/>
  <c r="L294" i="34" s="1"/>
  <c r="K295" i="34"/>
  <c r="L295" i="34" s="1"/>
  <c r="K296" i="34"/>
  <c r="L296" i="34" s="1"/>
  <c r="K292" i="34"/>
  <c r="L292" i="34" s="1"/>
  <c r="K291" i="34"/>
  <c r="K571" i="34"/>
  <c r="L571" i="34" s="1"/>
  <c r="L570" i="34" s="1"/>
  <c r="H221" i="35" s="1"/>
  <c r="K221" i="35" s="1"/>
  <c r="L221" i="35" s="1"/>
  <c r="K566" i="34"/>
  <c r="K565" i="34"/>
  <c r="D566" i="34"/>
  <c r="D565" i="34"/>
  <c r="K562" i="34"/>
  <c r="L562" i="34" s="1"/>
  <c r="K559" i="34"/>
  <c r="L559" i="34" s="1"/>
  <c r="L558" i="34" s="1"/>
  <c r="H215" i="35" s="1"/>
  <c r="K554" i="34"/>
  <c r="L554" i="34" s="1"/>
  <c r="K553" i="34"/>
  <c r="L553" i="34" s="1"/>
  <c r="K549" i="34"/>
  <c r="L549" i="34" s="1"/>
  <c r="K550" i="34"/>
  <c r="L550" i="34" s="1"/>
  <c r="K548" i="34"/>
  <c r="K543" i="34"/>
  <c r="K431" i="34"/>
  <c r="L431" i="34" s="1"/>
  <c r="L430" i="34" s="1"/>
  <c r="H158" i="35" s="1"/>
  <c r="I158" i="35" s="1"/>
  <c r="K428" i="34"/>
  <c r="L428" i="34" s="1"/>
  <c r="K427" i="34"/>
  <c r="L427" i="34" s="1"/>
  <c r="K424" i="34"/>
  <c r="L424" i="34" s="1"/>
  <c r="K423" i="34"/>
  <c r="L423" i="34" s="1"/>
  <c r="K391" i="34"/>
  <c r="L391" i="34" s="1"/>
  <c r="K392" i="34"/>
  <c r="L392" i="34" s="1"/>
  <c r="K393" i="34"/>
  <c r="L393" i="34" s="1"/>
  <c r="K394" i="34"/>
  <c r="L394" i="34" s="1"/>
  <c r="K390" i="34"/>
  <c r="L390" i="34" s="1"/>
  <c r="K248" i="34"/>
  <c r="L248" i="34" s="1"/>
  <c r="K251" i="34"/>
  <c r="L251" i="34" s="1"/>
  <c r="K253" i="34"/>
  <c r="L253" i="34" s="1"/>
  <c r="E257" i="34"/>
  <c r="K257" i="34" s="1"/>
  <c r="L257" i="34" s="1"/>
  <c r="E256" i="34"/>
  <c r="K256" i="34" s="1"/>
  <c r="L256" i="34" s="1"/>
  <c r="E255" i="34"/>
  <c r="K255" i="34" s="1"/>
  <c r="L255" i="34" s="1"/>
  <c r="E254" i="34"/>
  <c r="K254" i="34" s="1"/>
  <c r="L254" i="34" s="1"/>
  <c r="E252" i="34"/>
  <c r="K252" i="34" s="1"/>
  <c r="L252" i="34" s="1"/>
  <c r="E250" i="34"/>
  <c r="K250" i="34" s="1"/>
  <c r="L250" i="34" s="1"/>
  <c r="E249" i="34"/>
  <c r="K249" i="34" s="1"/>
  <c r="L249" i="34" s="1"/>
  <c r="E247" i="34"/>
  <c r="K247" i="34" s="1"/>
  <c r="L247" i="34" s="1"/>
  <c r="E246" i="34"/>
  <c r="K246" i="34" s="1"/>
  <c r="L246" i="34" s="1"/>
  <c r="E245" i="34"/>
  <c r="K245" i="34" s="1"/>
  <c r="L245" i="34" s="1"/>
  <c r="E244" i="34"/>
  <c r="K244" i="34" s="1"/>
  <c r="L244" i="34" s="1"/>
  <c r="E243" i="34"/>
  <c r="K243" i="34" s="1"/>
  <c r="L243" i="34" s="1"/>
  <c r="E242" i="34"/>
  <c r="K242" i="34" s="1"/>
  <c r="K231" i="34"/>
  <c r="L231" i="34" s="1"/>
  <c r="K235" i="34"/>
  <c r="L235" i="34" s="1"/>
  <c r="K238" i="34"/>
  <c r="L238" i="34" s="1"/>
  <c r="D239" i="34"/>
  <c r="K239" i="34" s="1"/>
  <c r="L239" i="34" s="1"/>
  <c r="E237" i="34"/>
  <c r="K237" i="34" s="1"/>
  <c r="L237" i="34" s="1"/>
  <c r="E236" i="34"/>
  <c r="K236" i="34" s="1"/>
  <c r="L236" i="34" s="1"/>
  <c r="E234" i="34"/>
  <c r="K234" i="34" s="1"/>
  <c r="L234" i="34" s="1"/>
  <c r="E233" i="34"/>
  <c r="K233" i="34" s="1"/>
  <c r="L233" i="34" s="1"/>
  <c r="E232" i="34"/>
  <c r="K232" i="34" s="1"/>
  <c r="L232" i="34" s="1"/>
  <c r="E230" i="34"/>
  <c r="K230" i="34" s="1"/>
  <c r="L230" i="34" s="1"/>
  <c r="E229" i="34"/>
  <c r="K229" i="34" s="1"/>
  <c r="L229" i="34" s="1"/>
  <c r="E228" i="34"/>
  <c r="K228" i="34" s="1"/>
  <c r="L228" i="34" s="1"/>
  <c r="E227" i="34"/>
  <c r="K227" i="34" s="1"/>
  <c r="L227" i="34" s="1"/>
  <c r="E226" i="34"/>
  <c r="K226" i="34" s="1"/>
  <c r="L226" i="34" s="1"/>
  <c r="E225" i="34"/>
  <c r="K225" i="34" s="1"/>
  <c r="D222" i="34"/>
  <c r="K156" i="34"/>
  <c r="L156" i="34" s="1"/>
  <c r="K155" i="34"/>
  <c r="L155" i="34" s="1"/>
  <c r="K148" i="34"/>
  <c r="L148" i="34" s="1"/>
  <c r="K149" i="34"/>
  <c r="L149" i="34" s="1"/>
  <c r="K150" i="34"/>
  <c r="L150" i="34" s="1"/>
  <c r="K151" i="34"/>
  <c r="L151" i="34" s="1"/>
  <c r="K152" i="34"/>
  <c r="L152" i="34" s="1"/>
  <c r="K147" i="34"/>
  <c r="K121" i="34"/>
  <c r="L121" i="34" s="1"/>
  <c r="K122" i="34"/>
  <c r="L122" i="34" s="1"/>
  <c r="K123" i="34"/>
  <c r="L123" i="34" s="1"/>
  <c r="K124" i="34"/>
  <c r="L124" i="34" s="1"/>
  <c r="K125" i="34"/>
  <c r="L125" i="34" s="1"/>
  <c r="K126" i="34"/>
  <c r="L126" i="34" s="1"/>
  <c r="K127" i="34"/>
  <c r="L127" i="34" s="1"/>
  <c r="K128" i="34"/>
  <c r="L128" i="34" s="1"/>
  <c r="K129" i="34"/>
  <c r="L129" i="34" s="1"/>
  <c r="K130" i="34"/>
  <c r="L130" i="34" s="1"/>
  <c r="K131" i="34"/>
  <c r="L131" i="34" s="1"/>
  <c r="K132" i="34"/>
  <c r="L132" i="34" s="1"/>
  <c r="K133" i="34"/>
  <c r="L133" i="34" s="1"/>
  <c r="K134" i="34"/>
  <c r="L134" i="34" s="1"/>
  <c r="K135" i="34"/>
  <c r="L135" i="34" s="1"/>
  <c r="K136" i="34"/>
  <c r="L136" i="34" s="1"/>
  <c r="K137" i="34"/>
  <c r="L137" i="34" s="1"/>
  <c r="K138" i="34"/>
  <c r="L138" i="34" s="1"/>
  <c r="K139" i="34"/>
  <c r="L139" i="34" s="1"/>
  <c r="K140" i="34"/>
  <c r="L140" i="34" s="1"/>
  <c r="K141" i="34"/>
  <c r="L141" i="34" s="1"/>
  <c r="K120" i="34"/>
  <c r="L120" i="34" s="1"/>
  <c r="D143" i="34"/>
  <c r="K143" i="34" s="1"/>
  <c r="L143" i="34" s="1"/>
  <c r="D142" i="34"/>
  <c r="K142" i="34" s="1"/>
  <c r="L142" i="34" s="1"/>
  <c r="L200" i="35" l="1"/>
  <c r="L51" i="35"/>
  <c r="L90" i="35"/>
  <c r="L135" i="35"/>
  <c r="L163" i="35"/>
  <c r="F63" i="36"/>
  <c r="L170" i="36"/>
  <c r="M170" i="36" s="1"/>
  <c r="L191" i="36"/>
  <c r="M191" i="36" s="1"/>
  <c r="J100" i="35"/>
  <c r="L49" i="35"/>
  <c r="J234" i="35"/>
  <c r="L244" i="35"/>
  <c r="L109" i="35"/>
  <c r="L114" i="35"/>
  <c r="L142" i="35"/>
  <c r="L127" i="35"/>
  <c r="L181" i="35"/>
  <c r="M53" i="36"/>
  <c r="J101" i="36"/>
  <c r="F241" i="36"/>
  <c r="L45" i="35"/>
  <c r="L165" i="35"/>
  <c r="L552" i="34"/>
  <c r="H211" i="35" s="1"/>
  <c r="K211" i="35" s="1"/>
  <c r="L169" i="35"/>
  <c r="L141" i="35"/>
  <c r="L126" i="35"/>
  <c r="L44" i="35"/>
  <c r="L78" i="35"/>
  <c r="L91" i="35"/>
  <c r="L136" i="35"/>
  <c r="L173" i="35"/>
  <c r="L164" i="35"/>
  <c r="M251" i="36"/>
  <c r="L70" i="35"/>
  <c r="L232" i="35"/>
  <c r="L249" i="35"/>
  <c r="L146" i="35"/>
  <c r="L175" i="35"/>
  <c r="L211" i="35"/>
  <c r="I215" i="35"/>
  <c r="K215" i="35"/>
  <c r="L215" i="35" s="1"/>
  <c r="J111" i="35"/>
  <c r="L237" i="35"/>
  <c r="L251" i="35"/>
  <c r="L52" i="35"/>
  <c r="L75" i="35"/>
  <c r="L116" i="35"/>
  <c r="L145" i="35"/>
  <c r="L129" i="35"/>
  <c r="L51" i="36"/>
  <c r="M51" i="36" s="1"/>
  <c r="L566" i="34"/>
  <c r="J122" i="35"/>
  <c r="L229" i="35"/>
  <c r="L243" i="35"/>
  <c r="L60" i="35"/>
  <c r="L80" i="35"/>
  <c r="L72" i="35"/>
  <c r="L103" i="35"/>
  <c r="L147" i="35"/>
  <c r="L131" i="35"/>
  <c r="K158" i="35"/>
  <c r="L158" i="35" s="1"/>
  <c r="L152" i="35"/>
  <c r="L194" i="35"/>
  <c r="L304" i="34"/>
  <c r="L71" i="36"/>
  <c r="M71" i="36" s="1"/>
  <c r="L73" i="36"/>
  <c r="M73" i="36" s="1"/>
  <c r="L86" i="36"/>
  <c r="M86" i="36" s="1"/>
  <c r="M230" i="36"/>
  <c r="M237" i="36"/>
  <c r="J41" i="35"/>
  <c r="L84" i="35"/>
  <c r="L162" i="35"/>
  <c r="L238" i="35"/>
  <c r="L252" i="35"/>
  <c r="L77" i="35"/>
  <c r="L105" i="35"/>
  <c r="L118" i="35"/>
  <c r="L133" i="35"/>
  <c r="L191" i="35"/>
  <c r="F94" i="36"/>
  <c r="L190" i="36"/>
  <c r="M190" i="36" s="1"/>
  <c r="L194" i="36"/>
  <c r="M194" i="36" s="1"/>
  <c r="K228" i="36"/>
  <c r="K235" i="36"/>
  <c r="J197" i="35"/>
  <c r="F228" i="36"/>
  <c r="F235" i="36"/>
  <c r="J208" i="35"/>
  <c r="J68" i="35"/>
  <c r="L52" i="36"/>
  <c r="M52" i="36" s="1"/>
  <c r="F188" i="36"/>
  <c r="F198" i="36"/>
  <c r="K209" i="36"/>
  <c r="L236" i="35"/>
  <c r="L242" i="35"/>
  <c r="L250" i="35"/>
  <c r="L53" i="35"/>
  <c r="L76" i="35"/>
  <c r="L87" i="35"/>
  <c r="L117" i="35"/>
  <c r="L139" i="35"/>
  <c r="L190" i="35"/>
  <c r="L72" i="36"/>
  <c r="M72" i="36" s="1"/>
  <c r="L87" i="36"/>
  <c r="M87" i="36" s="1"/>
  <c r="L231" i="36"/>
  <c r="M231" i="36" s="1"/>
  <c r="L233" i="36"/>
  <c r="M233" i="36" s="1"/>
  <c r="L238" i="36"/>
  <c r="M238" i="36" s="1"/>
  <c r="L565" i="34"/>
  <c r="J82" i="35"/>
  <c r="L102" i="35"/>
  <c r="L231" i="35"/>
  <c r="F101" i="36"/>
  <c r="L145" i="36"/>
  <c r="M145" i="36" s="1"/>
  <c r="L61" i="36"/>
  <c r="M61" i="36" s="1"/>
  <c r="L33" i="36"/>
  <c r="M33" i="36" s="1"/>
  <c r="L35" i="36"/>
  <c r="M35" i="36" s="1"/>
  <c r="L37" i="36"/>
  <c r="M37" i="36" s="1"/>
  <c r="L40" i="36"/>
  <c r="M40" i="36" s="1"/>
  <c r="L45" i="36"/>
  <c r="M45" i="36" s="1"/>
  <c r="F42" i="36"/>
  <c r="L245" i="36"/>
  <c r="M245" i="36" s="1"/>
  <c r="I243" i="36"/>
  <c r="I155" i="36"/>
  <c r="K241" i="36"/>
  <c r="L118" i="36"/>
  <c r="M118" i="36" s="1"/>
  <c r="L115" i="36"/>
  <c r="M115" i="36" s="1"/>
  <c r="I61" i="36"/>
  <c r="F31" i="36"/>
  <c r="L38" i="36"/>
  <c r="M38" i="36" s="1"/>
  <c r="J56" i="36"/>
  <c r="L66" i="36"/>
  <c r="M66" i="36" s="1"/>
  <c r="J69" i="36"/>
  <c r="L77" i="36"/>
  <c r="M77" i="36" s="1"/>
  <c r="L79" i="36"/>
  <c r="M79" i="36" s="1"/>
  <c r="L81" i="36"/>
  <c r="M81" i="36" s="1"/>
  <c r="L88" i="36"/>
  <c r="M88" i="36" s="1"/>
  <c r="L90" i="36"/>
  <c r="M90" i="36" s="1"/>
  <c r="L92" i="36"/>
  <c r="M92" i="36" s="1"/>
  <c r="L110" i="36"/>
  <c r="M110" i="36" s="1"/>
  <c r="L126" i="36"/>
  <c r="M126" i="36" s="1"/>
  <c r="F150" i="36"/>
  <c r="L163" i="36"/>
  <c r="M163" i="36" s="1"/>
  <c r="L167" i="36"/>
  <c r="M167" i="36" s="1"/>
  <c r="L216" i="36"/>
  <c r="M216" i="36" s="1"/>
  <c r="F48" i="36"/>
  <c r="L169" i="36"/>
  <c r="M169" i="36" s="1"/>
  <c r="L177" i="36"/>
  <c r="M177" i="36" s="1"/>
  <c r="L185" i="36"/>
  <c r="M185" i="36" s="1"/>
  <c r="K42" i="36"/>
  <c r="F56" i="36"/>
  <c r="L207" i="36"/>
  <c r="L226" i="36"/>
  <c r="L39" i="36"/>
  <c r="M39" i="36" s="1"/>
  <c r="J42" i="36"/>
  <c r="L46" i="36"/>
  <c r="M46" i="36" s="1"/>
  <c r="L60" i="36"/>
  <c r="M60" i="36" s="1"/>
  <c r="L67" i="36"/>
  <c r="M67" i="36" s="1"/>
  <c r="L89" i="36"/>
  <c r="M89" i="36" s="1"/>
  <c r="L103" i="36"/>
  <c r="M103" i="36" s="1"/>
  <c r="L109" i="36"/>
  <c r="M109" i="36" s="1"/>
  <c r="L127" i="36"/>
  <c r="M127" i="36" s="1"/>
  <c r="L135" i="36"/>
  <c r="M135" i="36" s="1"/>
  <c r="L139" i="36"/>
  <c r="M139" i="36" s="1"/>
  <c r="L166" i="36"/>
  <c r="M166" i="36" s="1"/>
  <c r="L252" i="36"/>
  <c r="M252" i="36" s="1"/>
  <c r="K69" i="36"/>
  <c r="K83" i="36"/>
  <c r="L172" i="36"/>
  <c r="M172" i="36" s="1"/>
  <c r="L174" i="36"/>
  <c r="M174" i="36" s="1"/>
  <c r="L176" i="36"/>
  <c r="M176" i="36" s="1"/>
  <c r="L178" i="36"/>
  <c r="M178" i="36" s="1"/>
  <c r="L180" i="36"/>
  <c r="M180" i="36" s="1"/>
  <c r="L182" i="36"/>
  <c r="M182" i="36" s="1"/>
  <c r="L184" i="36"/>
  <c r="M184" i="36" s="1"/>
  <c r="K48" i="36"/>
  <c r="F123" i="36"/>
  <c r="L36" i="36"/>
  <c r="M36" i="36" s="1"/>
  <c r="F69" i="36"/>
  <c r="F83" i="36"/>
  <c r="F161" i="36"/>
  <c r="L146" i="36"/>
  <c r="M146" i="36" s="1"/>
  <c r="L153" i="36"/>
  <c r="M153" i="36" s="1"/>
  <c r="L157" i="36"/>
  <c r="M157" i="36" s="1"/>
  <c r="L232" i="36"/>
  <c r="M232" i="36" s="1"/>
  <c r="L186" i="36"/>
  <c r="M186" i="36" s="1"/>
  <c r="L244" i="36"/>
  <c r="M244" i="36" s="1"/>
  <c r="L114" i="36"/>
  <c r="M114" i="36" s="1"/>
  <c r="L388" i="37"/>
  <c r="L72" i="37"/>
  <c r="L184" i="37"/>
  <c r="L95" i="37"/>
  <c r="L98" i="37"/>
  <c r="L211" i="36"/>
  <c r="M211" i="36" s="1"/>
  <c r="L253" i="36"/>
  <c r="M253" i="36" s="1"/>
  <c r="L250" i="36"/>
  <c r="M250" i="36" s="1"/>
  <c r="L217" i="36"/>
  <c r="M217" i="36" s="1"/>
  <c r="J247" i="36"/>
  <c r="L222" i="36"/>
  <c r="J228" i="36"/>
  <c r="L249" i="36"/>
  <c r="M249" i="36" s="1"/>
  <c r="L228" i="36"/>
  <c r="M228" i="36" s="1"/>
  <c r="J235" i="36"/>
  <c r="J241" i="36"/>
  <c r="L212" i="36"/>
  <c r="M212" i="36" s="1"/>
  <c r="L54" i="36"/>
  <c r="M54" i="36" s="1"/>
  <c r="K112" i="36"/>
  <c r="L125" i="36"/>
  <c r="M125" i="36" s="1"/>
  <c r="L147" i="36"/>
  <c r="M147" i="36" s="1"/>
  <c r="L152" i="36"/>
  <c r="M152" i="36" s="1"/>
  <c r="L154" i="36"/>
  <c r="M154" i="36" s="1"/>
  <c r="K161" i="36"/>
  <c r="K123" i="36"/>
  <c r="L129" i="36"/>
  <c r="M129" i="36" s="1"/>
  <c r="L133" i="36"/>
  <c r="M133" i="36" s="1"/>
  <c r="L137" i="36"/>
  <c r="M137" i="36" s="1"/>
  <c r="L141" i="36"/>
  <c r="M141" i="36" s="1"/>
  <c r="L171" i="36"/>
  <c r="M171" i="36" s="1"/>
  <c r="L175" i="36"/>
  <c r="M175" i="36" s="1"/>
  <c r="L179" i="36"/>
  <c r="M179" i="36" s="1"/>
  <c r="L183" i="36"/>
  <c r="M183" i="36" s="1"/>
  <c r="K188" i="36"/>
  <c r="K101" i="36"/>
  <c r="L65" i="36"/>
  <c r="L148" i="36"/>
  <c r="M148" i="36" s="1"/>
  <c r="L155" i="36"/>
  <c r="M155" i="36" s="1"/>
  <c r="L201" i="36"/>
  <c r="M201" i="36" s="1"/>
  <c r="K63" i="36"/>
  <c r="L50" i="36"/>
  <c r="L74" i="36"/>
  <c r="M74" i="36" s="1"/>
  <c r="L78" i="36"/>
  <c r="M78" i="36" s="1"/>
  <c r="L85" i="36"/>
  <c r="M85" i="36" s="1"/>
  <c r="L105" i="36"/>
  <c r="M105" i="36" s="1"/>
  <c r="L107" i="36"/>
  <c r="M107" i="36" s="1"/>
  <c r="L193" i="36"/>
  <c r="M193" i="36" s="1"/>
  <c r="L99" i="36"/>
  <c r="M99" i="36" s="1"/>
  <c r="L116" i="36"/>
  <c r="M116" i="36" s="1"/>
  <c r="L192" i="36"/>
  <c r="M192" i="36" s="1"/>
  <c r="L200" i="36"/>
  <c r="M200" i="36" s="1"/>
  <c r="J123" i="36"/>
  <c r="L143" i="36"/>
  <c r="M143" i="36" s="1"/>
  <c r="L34" i="36"/>
  <c r="J94" i="36"/>
  <c r="L120" i="36"/>
  <c r="M120" i="36" s="1"/>
  <c r="J150" i="36"/>
  <c r="L165" i="36"/>
  <c r="M165" i="36" s="1"/>
  <c r="L196" i="36"/>
  <c r="M196" i="36" s="1"/>
  <c r="L44" i="36"/>
  <c r="L106" i="36"/>
  <c r="M106" i="36" s="1"/>
  <c r="L76" i="36"/>
  <c r="M76" i="36" s="1"/>
  <c r="L173" i="36"/>
  <c r="M173" i="36" s="1"/>
  <c r="L91" i="36"/>
  <c r="J48" i="36"/>
  <c r="L80" i="36"/>
  <c r="M80" i="36" s="1"/>
  <c r="L131" i="36"/>
  <c r="M131" i="36" s="1"/>
  <c r="J161" i="36"/>
  <c r="J188" i="36"/>
  <c r="L181" i="36"/>
  <c r="M181" i="36" s="1"/>
  <c r="L96" i="36"/>
  <c r="M96" i="36" s="1"/>
  <c r="L159" i="36"/>
  <c r="M159" i="36" s="1"/>
  <c r="L58" i="36"/>
  <c r="M58" i="36" s="1"/>
  <c r="K56" i="36"/>
  <c r="L158" i="36"/>
  <c r="M158" i="36" s="1"/>
  <c r="K150" i="36"/>
  <c r="K214" i="36"/>
  <c r="L218" i="36"/>
  <c r="M218" i="36" s="1"/>
  <c r="J63" i="36"/>
  <c r="K98" i="36"/>
  <c r="L98" i="36" s="1"/>
  <c r="M98" i="36" s="1"/>
  <c r="I159" i="36"/>
  <c r="J209" i="36"/>
  <c r="J214" i="36"/>
  <c r="K247" i="36"/>
  <c r="L156" i="36"/>
  <c r="M156" i="36" s="1"/>
  <c r="J31" i="36"/>
  <c r="I96" i="36"/>
  <c r="I145" i="36"/>
  <c r="I158" i="36"/>
  <c r="L164" i="36"/>
  <c r="M164" i="36" s="1"/>
  <c r="L195" i="36"/>
  <c r="M195" i="36" s="1"/>
  <c r="K31" i="36"/>
  <c r="I58" i="36"/>
  <c r="I66" i="36"/>
  <c r="L243" i="36"/>
  <c r="L130" i="36"/>
  <c r="M130" i="36" s="1"/>
  <c r="L59" i="36"/>
  <c r="M59" i="36" s="1"/>
  <c r="J112" i="36"/>
  <c r="L75" i="36"/>
  <c r="M75" i="36" s="1"/>
  <c r="J83" i="36"/>
  <c r="J187" i="35"/>
  <c r="J160" i="35"/>
  <c r="L71" i="35"/>
  <c r="J62" i="35"/>
  <c r="J55" i="35"/>
  <c r="J47" i="35"/>
  <c r="J246" i="35"/>
  <c r="J240" i="35"/>
  <c r="L189" i="35"/>
  <c r="J93" i="35"/>
  <c r="J30" i="35"/>
  <c r="L564" i="34"/>
  <c r="H217" i="35" s="1"/>
  <c r="L561" i="34"/>
  <c r="H216" i="35" s="1"/>
  <c r="L422" i="34"/>
  <c r="H156" i="35" s="1"/>
  <c r="L426" i="34"/>
  <c r="H157" i="35" s="1"/>
  <c r="L389" i="34"/>
  <c r="H144" i="35" s="1"/>
  <c r="L154" i="34"/>
  <c r="H66" i="35" s="1"/>
  <c r="K104" i="34"/>
  <c r="L104" i="34" s="1"/>
  <c r="K103" i="34"/>
  <c r="L103" i="34" s="1"/>
  <c r="K102" i="34"/>
  <c r="L102" i="34" s="1"/>
  <c r="K101" i="34"/>
  <c r="L101" i="34" s="1"/>
  <c r="K100" i="34"/>
  <c r="L100" i="34" s="1"/>
  <c r="K99" i="34"/>
  <c r="L99" i="34" s="1"/>
  <c r="K98" i="34"/>
  <c r="L98" i="34" s="1"/>
  <c r="K97" i="34"/>
  <c r="L97" i="34" s="1"/>
  <c r="K96" i="34"/>
  <c r="L96" i="34" s="1"/>
  <c r="K95" i="34"/>
  <c r="L95" i="34" s="1"/>
  <c r="K94" i="34"/>
  <c r="L94" i="34" s="1"/>
  <c r="K93" i="34"/>
  <c r="L93" i="34" s="1"/>
  <c r="K92" i="34"/>
  <c r="L92" i="34" s="1"/>
  <c r="K91" i="34"/>
  <c r="L91" i="34" s="1"/>
  <c r="K90" i="34"/>
  <c r="L90" i="34" s="1"/>
  <c r="K89" i="34"/>
  <c r="L89" i="34" s="1"/>
  <c r="K88" i="34"/>
  <c r="L88" i="34" s="1"/>
  <c r="K87" i="34"/>
  <c r="L87" i="34" s="1"/>
  <c r="K86" i="34"/>
  <c r="L86" i="34" s="1"/>
  <c r="K85" i="34"/>
  <c r="L85" i="34" s="1"/>
  <c r="K84" i="34"/>
  <c r="L84" i="34" s="1"/>
  <c r="K83" i="34"/>
  <c r="L83" i="34" s="1"/>
  <c r="K82" i="34"/>
  <c r="L82" i="34" s="1"/>
  <c r="K81" i="34"/>
  <c r="L81" i="34" s="1"/>
  <c r="K80" i="34"/>
  <c r="L80" i="34" s="1"/>
  <c r="K79" i="34"/>
  <c r="L79" i="34" s="1"/>
  <c r="K78" i="34"/>
  <c r="L78" i="34" s="1"/>
  <c r="K77" i="34"/>
  <c r="L77" i="34" s="1"/>
  <c r="K76" i="34"/>
  <c r="L76" i="34" s="1"/>
  <c r="K75" i="34"/>
  <c r="L75" i="34" s="1"/>
  <c r="K74" i="34"/>
  <c r="L74" i="34" s="1"/>
  <c r="K73" i="34"/>
  <c r="L73" i="34" s="1"/>
  <c r="K72" i="34"/>
  <c r="L72" i="34" s="1"/>
  <c r="K71" i="34"/>
  <c r="L71" i="34" s="1"/>
  <c r="K70" i="34"/>
  <c r="L70" i="34" s="1"/>
  <c r="K69" i="34"/>
  <c r="L69" i="34" s="1"/>
  <c r="L47" i="34"/>
  <c r="L44" i="34"/>
  <c r="L41" i="34"/>
  <c r="L629" i="34"/>
  <c r="L628" i="34"/>
  <c r="L626" i="34"/>
  <c r="L625" i="34"/>
  <c r="L623" i="34"/>
  <c r="L622" i="34"/>
  <c r="L620" i="34"/>
  <c r="L619" i="34"/>
  <c r="L617" i="34"/>
  <c r="L616" i="34"/>
  <c r="L612" i="34"/>
  <c r="L611" i="34"/>
  <c r="L609" i="34"/>
  <c r="L608" i="34"/>
  <c r="L606" i="34"/>
  <c r="L605" i="34"/>
  <c r="L601" i="34"/>
  <c r="L600" i="34"/>
  <c r="L598" i="34"/>
  <c r="L597" i="34"/>
  <c r="L595" i="34"/>
  <c r="L594" i="34"/>
  <c r="L590" i="34"/>
  <c r="L589" i="34"/>
  <c r="L587" i="34"/>
  <c r="L586" i="34"/>
  <c r="L584" i="34"/>
  <c r="L583" i="34"/>
  <c r="L581" i="34"/>
  <c r="L580" i="34"/>
  <c r="L576" i="34"/>
  <c r="L575" i="34"/>
  <c r="L548" i="34"/>
  <c r="L547" i="34" s="1"/>
  <c r="H210" i="35" s="1"/>
  <c r="L543" i="34"/>
  <c r="L542" i="34" s="1"/>
  <c r="H206" i="35" s="1"/>
  <c r="L536" i="34"/>
  <c r="L535" i="34"/>
  <c r="L533" i="34"/>
  <c r="L532" i="34"/>
  <c r="L528" i="34"/>
  <c r="L527" i="34"/>
  <c r="L525" i="34"/>
  <c r="L524" i="34"/>
  <c r="L522" i="34"/>
  <c r="L521" i="34"/>
  <c r="L519" i="34"/>
  <c r="L518" i="34"/>
  <c r="L516" i="34"/>
  <c r="L515" i="34"/>
  <c r="L513" i="34"/>
  <c r="L512" i="34"/>
  <c r="L510" i="34"/>
  <c r="L509" i="34"/>
  <c r="L505" i="34"/>
  <c r="L504" i="34"/>
  <c r="L502" i="34"/>
  <c r="L501" i="34"/>
  <c r="L499" i="34"/>
  <c r="L498" i="34"/>
  <c r="L496" i="34"/>
  <c r="L495" i="34"/>
  <c r="L493" i="34"/>
  <c r="L492" i="34"/>
  <c r="L490" i="34"/>
  <c r="L489" i="34"/>
  <c r="L487" i="34"/>
  <c r="L486" i="34"/>
  <c r="L484" i="34"/>
  <c r="L483" i="34"/>
  <c r="L481" i="34"/>
  <c r="L480" i="34"/>
  <c r="L478" i="34"/>
  <c r="L477" i="34"/>
  <c r="L475" i="34"/>
  <c r="L474" i="34"/>
  <c r="L472" i="34"/>
  <c r="L471" i="34"/>
  <c r="L469" i="34"/>
  <c r="L468" i="34"/>
  <c r="L466" i="34"/>
  <c r="L465" i="34"/>
  <c r="L463" i="34"/>
  <c r="L462" i="34"/>
  <c r="L460" i="34"/>
  <c r="L459" i="34"/>
  <c r="L457" i="34"/>
  <c r="L456" i="34"/>
  <c r="L454" i="34"/>
  <c r="L453" i="34"/>
  <c r="L451" i="34"/>
  <c r="L450" i="34"/>
  <c r="L448" i="34"/>
  <c r="L447" i="34"/>
  <c r="L445" i="34"/>
  <c r="L444" i="34"/>
  <c r="L442" i="34"/>
  <c r="L441" i="34"/>
  <c r="L439" i="34"/>
  <c r="L438" i="34"/>
  <c r="L436" i="34"/>
  <c r="L435" i="34"/>
  <c r="L420" i="34"/>
  <c r="L419" i="34"/>
  <c r="L417" i="34"/>
  <c r="L416" i="34"/>
  <c r="L414" i="34"/>
  <c r="L413" i="34"/>
  <c r="L411" i="34"/>
  <c r="L410" i="34"/>
  <c r="L408" i="34"/>
  <c r="L407" i="34"/>
  <c r="L403" i="34"/>
  <c r="L402" i="34"/>
  <c r="L400" i="34"/>
  <c r="L399" i="34"/>
  <c r="L397" i="34"/>
  <c r="L396" i="34"/>
  <c r="L387" i="34"/>
  <c r="L386" i="34"/>
  <c r="L384" i="34"/>
  <c r="L383" i="34"/>
  <c r="L381" i="34"/>
  <c r="L380" i="34"/>
  <c r="L378" i="34"/>
  <c r="L377" i="34"/>
  <c r="L375" i="34"/>
  <c r="L374" i="34"/>
  <c r="L372" i="34"/>
  <c r="L371" i="34"/>
  <c r="L369" i="34"/>
  <c r="L368" i="34"/>
  <c r="L366" i="34"/>
  <c r="L365" i="34"/>
  <c r="L363" i="34"/>
  <c r="L362" i="34"/>
  <c r="L360" i="34"/>
  <c r="L359" i="34"/>
  <c r="L357" i="34"/>
  <c r="L356" i="34"/>
  <c r="L354" i="34"/>
  <c r="L353" i="34"/>
  <c r="L351" i="34"/>
  <c r="L350" i="34"/>
  <c r="L348" i="34"/>
  <c r="L347" i="34"/>
  <c r="L345" i="34"/>
  <c r="L344" i="34"/>
  <c r="L342" i="34"/>
  <c r="L341" i="34"/>
  <c r="L339" i="34"/>
  <c r="L338" i="34"/>
  <c r="L336" i="34"/>
  <c r="L335" i="34"/>
  <c r="L333" i="34"/>
  <c r="L332" i="34"/>
  <c r="L330" i="34"/>
  <c r="L329" i="34"/>
  <c r="L325" i="34"/>
  <c r="L324" i="34"/>
  <c r="L322" i="34"/>
  <c r="L321" i="34"/>
  <c r="L319" i="34"/>
  <c r="L318" i="34"/>
  <c r="L316" i="34"/>
  <c r="L315" i="34"/>
  <c r="L313" i="34"/>
  <c r="L312" i="34"/>
  <c r="L310" i="34"/>
  <c r="L309" i="34"/>
  <c r="L307" i="34"/>
  <c r="L306" i="34"/>
  <c r="L291" i="34"/>
  <c r="L286" i="34"/>
  <c r="L285" i="34"/>
  <c r="L283" i="34"/>
  <c r="L282" i="34"/>
  <c r="L280" i="34"/>
  <c r="L279" i="34"/>
  <c r="L277" i="34"/>
  <c r="L276" i="34"/>
  <c r="L274" i="34"/>
  <c r="L273" i="34"/>
  <c r="L271" i="34"/>
  <c r="L270" i="34"/>
  <c r="L268" i="34"/>
  <c r="L267" i="34"/>
  <c r="L265" i="34"/>
  <c r="L264" i="34"/>
  <c r="L260" i="34"/>
  <c r="L259" i="34"/>
  <c r="L242" i="34"/>
  <c r="L241" i="34" s="1"/>
  <c r="H97" i="35" s="1"/>
  <c r="L225" i="34"/>
  <c r="L224" i="34" s="1"/>
  <c r="H96" i="35" s="1"/>
  <c r="L217" i="34"/>
  <c r="L216" i="34"/>
  <c r="L214" i="34"/>
  <c r="L213" i="34"/>
  <c r="L211" i="34"/>
  <c r="L210" i="34"/>
  <c r="L208" i="34"/>
  <c r="L207" i="34"/>
  <c r="L205" i="34"/>
  <c r="L204" i="34"/>
  <c r="L202" i="34"/>
  <c r="L201" i="34"/>
  <c r="L199" i="34"/>
  <c r="L198" i="34"/>
  <c r="L196" i="34"/>
  <c r="L195" i="34"/>
  <c r="L191" i="34"/>
  <c r="L190" i="34"/>
  <c r="L188" i="34"/>
  <c r="L187" i="34"/>
  <c r="L185" i="34"/>
  <c r="L184" i="34"/>
  <c r="L182" i="34"/>
  <c r="L181" i="34"/>
  <c r="L179" i="34"/>
  <c r="L178" i="34"/>
  <c r="L176" i="34"/>
  <c r="L175" i="34"/>
  <c r="L173" i="34"/>
  <c r="L172" i="34"/>
  <c r="L170" i="34"/>
  <c r="L169" i="34"/>
  <c r="L167" i="34"/>
  <c r="L166" i="34"/>
  <c r="L164" i="34"/>
  <c r="L163" i="34"/>
  <c r="L161" i="34"/>
  <c r="L160" i="34"/>
  <c r="M154" i="34"/>
  <c r="M146" i="34"/>
  <c r="M119" i="34"/>
  <c r="L147" i="34"/>
  <c r="L146" i="34" s="1"/>
  <c r="D181" i="37" s="1"/>
  <c r="K181" i="37" s="1"/>
  <c r="L181" i="37" s="1"/>
  <c r="L169" i="37" s="1"/>
  <c r="H97" i="36" s="1"/>
  <c r="K97" i="36" s="1"/>
  <c r="L97" i="36" s="1"/>
  <c r="M97" i="36" s="1"/>
  <c r="L290" i="34" l="1"/>
  <c r="H113" i="35" s="1"/>
  <c r="I211" i="35"/>
  <c r="I113" i="35"/>
  <c r="K113" i="35"/>
  <c r="L113" i="35" s="1"/>
  <c r="K206" i="35"/>
  <c r="L206" i="35" s="1"/>
  <c r="I206" i="35"/>
  <c r="L235" i="36"/>
  <c r="M235" i="36" s="1"/>
  <c r="I210" i="35"/>
  <c r="K210" i="35"/>
  <c r="L210" i="35" s="1"/>
  <c r="I66" i="35"/>
  <c r="K66" i="35"/>
  <c r="L66" i="35" s="1"/>
  <c r="I144" i="35"/>
  <c r="K144" i="35"/>
  <c r="L144" i="35" s="1"/>
  <c r="K157" i="35"/>
  <c r="L157" i="35" s="1"/>
  <c r="I157" i="35"/>
  <c r="I156" i="35"/>
  <c r="K156" i="35"/>
  <c r="L156" i="35" s="1"/>
  <c r="K216" i="35"/>
  <c r="L216" i="35" s="1"/>
  <c r="I216" i="35"/>
  <c r="L198" i="36"/>
  <c r="M198" i="36" s="1"/>
  <c r="K217" i="35"/>
  <c r="L217" i="35" s="1"/>
  <c r="I217" i="35"/>
  <c r="J254" i="35"/>
  <c r="I97" i="35"/>
  <c r="K97" i="35"/>
  <c r="L97" i="35" s="1"/>
  <c r="I96" i="35"/>
  <c r="K96" i="35"/>
  <c r="L96" i="35" s="1"/>
  <c r="F255" i="36"/>
  <c r="L21" i="36" s="1"/>
  <c r="M22" i="36" s="1"/>
  <c r="I97" i="36"/>
  <c r="L205" i="36"/>
  <c r="M205" i="36" s="1"/>
  <c r="M207" i="36"/>
  <c r="L31" i="36"/>
  <c r="M31" i="36" s="1"/>
  <c r="M34" i="36"/>
  <c r="L42" i="36"/>
  <c r="M42" i="36" s="1"/>
  <c r="M44" i="36"/>
  <c r="L220" i="36"/>
  <c r="M220" i="36" s="1"/>
  <c r="M222" i="36"/>
  <c r="L101" i="36"/>
  <c r="M101" i="36" s="1"/>
  <c r="L48" i="36"/>
  <c r="M48" i="36" s="1"/>
  <c r="M50" i="36"/>
  <c r="L83" i="36"/>
  <c r="M83" i="36" s="1"/>
  <c r="M91" i="36"/>
  <c r="L224" i="36"/>
  <c r="M224" i="36" s="1"/>
  <c r="M226" i="36"/>
  <c r="L63" i="36"/>
  <c r="M63" i="36" s="1"/>
  <c r="M65" i="36"/>
  <c r="L241" i="36"/>
  <c r="M241" i="36" s="1"/>
  <c r="M243" i="36"/>
  <c r="L247" i="36"/>
  <c r="M247" i="36" s="1"/>
  <c r="L209" i="36"/>
  <c r="M209" i="36" s="1"/>
  <c r="L214" i="36"/>
  <c r="M214" i="36" s="1"/>
  <c r="L112" i="36"/>
  <c r="M112" i="36" s="1"/>
  <c r="K94" i="36"/>
  <c r="K255" i="36" s="1"/>
  <c r="L24" i="36" s="1"/>
  <c r="L69" i="36"/>
  <c r="M69" i="36" s="1"/>
  <c r="L161" i="36"/>
  <c r="M161" i="36" s="1"/>
  <c r="L123" i="36"/>
  <c r="M123" i="36" s="1"/>
  <c r="L150" i="36"/>
  <c r="M150" i="36" s="1"/>
  <c r="L188" i="36"/>
  <c r="M188" i="36" s="1"/>
  <c r="L56" i="36"/>
  <c r="J255" i="36"/>
  <c r="L23" i="36" s="1"/>
  <c r="L94" i="36"/>
  <c r="M94" i="36" s="1"/>
  <c r="D144" i="34"/>
  <c r="K144" i="34" s="1"/>
  <c r="L144" i="34" s="1"/>
  <c r="L119" i="34" s="1"/>
  <c r="H65" i="35"/>
  <c r="L68" i="34"/>
  <c r="H57" i="35" s="1"/>
  <c r="K57" i="35" l="1"/>
  <c r="I57" i="35"/>
  <c r="K65" i="35"/>
  <c r="L65" i="35" s="1"/>
  <c r="I65" i="35"/>
  <c r="L255" i="36"/>
  <c r="L22" i="36"/>
  <c r="M56" i="36"/>
  <c r="E222" i="34"/>
  <c r="K222" i="34" s="1"/>
  <c r="L222" i="34" s="1"/>
  <c r="L221" i="34" s="1"/>
  <c r="H95" i="35" s="1"/>
  <c r="H64" i="35"/>
  <c r="L57" i="35" l="1"/>
  <c r="I95" i="35"/>
  <c r="K95" i="35"/>
  <c r="L95" i="35" s="1"/>
  <c r="K64" i="35"/>
  <c r="L64" i="35" s="1"/>
  <c r="I64" i="35"/>
  <c r="M619" i="34"/>
  <c r="M622" i="34"/>
  <c r="M625" i="34"/>
  <c r="M628" i="34"/>
  <c r="M616" i="34"/>
  <c r="M608" i="34"/>
  <c r="M611" i="34"/>
  <c r="M605" i="34"/>
  <c r="M597" i="34"/>
  <c r="M600" i="34"/>
  <c r="M594" i="34"/>
  <c r="M583" i="34"/>
  <c r="M586" i="34"/>
  <c r="M589" i="34"/>
  <c r="M580" i="34"/>
  <c r="M575" i="34"/>
  <c r="M570" i="34"/>
  <c r="M561" i="34"/>
  <c r="M564" i="34"/>
  <c r="M558" i="34"/>
  <c r="M552" i="34"/>
  <c r="M547" i="34"/>
  <c r="M542" i="34"/>
  <c r="M535" i="34"/>
  <c r="M532" i="34"/>
  <c r="M512" i="34"/>
  <c r="M515" i="34"/>
  <c r="M518" i="34"/>
  <c r="M521" i="34"/>
  <c r="M524" i="34"/>
  <c r="M527" i="34"/>
  <c r="M509" i="34"/>
  <c r="M438" i="34"/>
  <c r="M441" i="34"/>
  <c r="M444" i="34"/>
  <c r="M447" i="34"/>
  <c r="M450" i="34"/>
  <c r="M453" i="34"/>
  <c r="M456" i="34"/>
  <c r="M459" i="34"/>
  <c r="M462" i="34"/>
  <c r="M465" i="34"/>
  <c r="M468" i="34"/>
  <c r="M471" i="34"/>
  <c r="M474" i="34"/>
  <c r="M477" i="34"/>
  <c r="M480" i="34"/>
  <c r="M483" i="34"/>
  <c r="M486" i="34"/>
  <c r="M489" i="34"/>
  <c r="M492" i="34"/>
  <c r="M495" i="34"/>
  <c r="M498" i="34"/>
  <c r="M501" i="34"/>
  <c r="M504" i="34"/>
  <c r="M435" i="34"/>
  <c r="M410" i="34"/>
  <c r="M413" i="34"/>
  <c r="M416" i="34"/>
  <c r="M419" i="34"/>
  <c r="M422" i="34"/>
  <c r="M426" i="34"/>
  <c r="M430" i="34"/>
  <c r="M407" i="34"/>
  <c r="M332" i="34"/>
  <c r="M335" i="34"/>
  <c r="M338" i="34"/>
  <c r="M341" i="34"/>
  <c r="M344" i="34"/>
  <c r="M347" i="34"/>
  <c r="M350" i="34"/>
  <c r="M353" i="34"/>
  <c r="M356" i="34"/>
  <c r="M359" i="34"/>
  <c r="M362" i="34"/>
  <c r="M365" i="34"/>
  <c r="M368" i="34"/>
  <c r="M371" i="34"/>
  <c r="M374" i="34"/>
  <c r="M377" i="34"/>
  <c r="M380" i="34"/>
  <c r="M383" i="34"/>
  <c r="M386" i="34"/>
  <c r="M389" i="34"/>
  <c r="M396" i="34"/>
  <c r="M399" i="34"/>
  <c r="M402" i="34"/>
  <c r="M329" i="34"/>
  <c r="M306" i="34"/>
  <c r="M309" i="34"/>
  <c r="M312" i="34"/>
  <c r="M315" i="34"/>
  <c r="M318" i="34"/>
  <c r="M321" i="34"/>
  <c r="M324" i="34"/>
  <c r="M290" i="34"/>
  <c r="M267" i="34"/>
  <c r="M270" i="34"/>
  <c r="M273" i="34"/>
  <c r="M276" i="34"/>
  <c r="M279" i="34"/>
  <c r="M282" i="34"/>
  <c r="M285" i="34"/>
  <c r="M264" i="34"/>
  <c r="M224" i="34"/>
  <c r="M241" i="34"/>
  <c r="M259" i="34"/>
  <c r="M221" i="34"/>
  <c r="M198" i="34"/>
  <c r="M201" i="34"/>
  <c r="M204" i="34"/>
  <c r="M207" i="34"/>
  <c r="M210" i="34"/>
  <c r="M213" i="34"/>
  <c r="M216" i="34"/>
  <c r="M195" i="34"/>
  <c r="M175" i="34"/>
  <c r="M178" i="34"/>
  <c r="M181" i="34"/>
  <c r="M184" i="34"/>
  <c r="M187" i="34"/>
  <c r="M190" i="34"/>
  <c r="M172" i="34"/>
  <c r="M169" i="34"/>
  <c r="M166" i="34"/>
  <c r="M163" i="34"/>
  <c r="M160" i="34"/>
  <c r="A10" i="34"/>
  <c r="A564" i="34"/>
  <c r="B564" i="34"/>
  <c r="A568" i="34"/>
  <c r="B568" i="34"/>
  <c r="B569" i="34"/>
  <c r="A570" i="34"/>
  <c r="B570" i="34"/>
  <c r="A573" i="34"/>
  <c r="B573" i="34"/>
  <c r="A575" i="34"/>
  <c r="B575" i="34"/>
  <c r="A578" i="34"/>
  <c r="B578" i="34"/>
  <c r="A580" i="34"/>
  <c r="B580" i="34"/>
  <c r="A583" i="34"/>
  <c r="B583" i="34"/>
  <c r="A586" i="34"/>
  <c r="B586" i="34"/>
  <c r="A589" i="34"/>
  <c r="B589" i="34"/>
  <c r="A592" i="34"/>
  <c r="B592" i="34"/>
  <c r="A594" i="34"/>
  <c r="B594" i="34"/>
  <c r="A597" i="34"/>
  <c r="B597" i="34"/>
  <c r="A600" i="34"/>
  <c r="B600" i="34"/>
  <c r="A603" i="34"/>
  <c r="B603" i="34"/>
  <c r="A605" i="34"/>
  <c r="B605" i="34"/>
  <c r="A608" i="34"/>
  <c r="B608" i="34"/>
  <c r="A611" i="34"/>
  <c r="B611" i="34"/>
  <c r="A614" i="34"/>
  <c r="B614" i="34"/>
  <c r="A616" i="34"/>
  <c r="B616" i="34"/>
  <c r="A619" i="34"/>
  <c r="B619" i="34"/>
  <c r="A622" i="34"/>
  <c r="B622" i="34"/>
  <c r="A625" i="34"/>
  <c r="B625" i="34"/>
  <c r="A628" i="34"/>
  <c r="B628" i="34"/>
  <c r="A119" i="34"/>
  <c r="B119" i="34"/>
  <c r="A146" i="34"/>
  <c r="B146" i="34"/>
  <c r="A154" i="34"/>
  <c r="B154" i="34"/>
  <c r="A158" i="34"/>
  <c r="B158" i="34"/>
  <c r="A160" i="34"/>
  <c r="B160" i="34"/>
  <c r="A163" i="34"/>
  <c r="B163" i="34"/>
  <c r="A166" i="34"/>
  <c r="B166" i="34"/>
  <c r="A169" i="34"/>
  <c r="B169" i="34"/>
  <c r="A172" i="34"/>
  <c r="B172" i="34"/>
  <c r="A175" i="34"/>
  <c r="B175" i="34"/>
  <c r="A178" i="34"/>
  <c r="B178" i="34"/>
  <c r="A181" i="34"/>
  <c r="B181" i="34"/>
  <c r="A184" i="34"/>
  <c r="B184" i="34"/>
  <c r="A187" i="34"/>
  <c r="B187" i="34"/>
  <c r="A190" i="34"/>
  <c r="B190" i="34"/>
  <c r="A193" i="34"/>
  <c r="B193" i="34"/>
  <c r="A195" i="34"/>
  <c r="B195" i="34"/>
  <c r="A198" i="34"/>
  <c r="B198" i="34"/>
  <c r="A201" i="34"/>
  <c r="B201" i="34"/>
  <c r="A204" i="34"/>
  <c r="B204" i="34"/>
  <c r="A207" i="34"/>
  <c r="B207" i="34"/>
  <c r="A210" i="34"/>
  <c r="B210" i="34"/>
  <c r="A213" i="34"/>
  <c r="B213" i="34"/>
  <c r="A216" i="34"/>
  <c r="B216" i="34"/>
  <c r="A219" i="34"/>
  <c r="B219" i="34"/>
  <c r="A221" i="34"/>
  <c r="B221" i="34"/>
  <c r="A224" i="34"/>
  <c r="B224" i="34"/>
  <c r="A241" i="34"/>
  <c r="B241" i="34"/>
  <c r="A259" i="34"/>
  <c r="B259" i="34"/>
  <c r="A262" i="34"/>
  <c r="B262" i="34"/>
  <c r="A264" i="34"/>
  <c r="B264" i="34"/>
  <c r="A267" i="34"/>
  <c r="B267" i="34"/>
  <c r="A270" i="34"/>
  <c r="B270" i="34"/>
  <c r="A273" i="34"/>
  <c r="B273" i="34"/>
  <c r="A276" i="34"/>
  <c r="B276" i="34"/>
  <c r="A279" i="34"/>
  <c r="B279" i="34"/>
  <c r="A282" i="34"/>
  <c r="B282" i="34"/>
  <c r="A285" i="34"/>
  <c r="B285" i="34"/>
  <c r="A288" i="34"/>
  <c r="B288" i="34"/>
  <c r="A290" i="34"/>
  <c r="B290" i="34"/>
  <c r="A306" i="34"/>
  <c r="B306" i="34"/>
  <c r="A309" i="34"/>
  <c r="B309" i="34"/>
  <c r="A312" i="34"/>
  <c r="B312" i="34"/>
  <c r="A315" i="34"/>
  <c r="B315" i="34"/>
  <c r="A318" i="34"/>
  <c r="B318" i="34"/>
  <c r="A321" i="34"/>
  <c r="B321" i="34"/>
  <c r="A324" i="34"/>
  <c r="B324" i="34"/>
  <c r="A327" i="34"/>
  <c r="B327" i="34"/>
  <c r="A329" i="34"/>
  <c r="B329" i="34"/>
  <c r="A332" i="34"/>
  <c r="B332" i="34"/>
  <c r="A335" i="34"/>
  <c r="B335" i="34"/>
  <c r="A338" i="34"/>
  <c r="B338" i="34"/>
  <c r="A341" i="34"/>
  <c r="B341" i="34"/>
  <c r="A344" i="34"/>
  <c r="B344" i="34"/>
  <c r="A347" i="34"/>
  <c r="B347" i="34"/>
  <c r="A350" i="34"/>
  <c r="B350" i="34"/>
  <c r="A353" i="34"/>
  <c r="B353" i="34"/>
  <c r="A356" i="34"/>
  <c r="B356" i="34"/>
  <c r="A359" i="34"/>
  <c r="B359" i="34"/>
  <c r="A362" i="34"/>
  <c r="B362" i="34"/>
  <c r="A365" i="34"/>
  <c r="B365" i="34"/>
  <c r="A368" i="34"/>
  <c r="B368" i="34"/>
  <c r="A371" i="34"/>
  <c r="B371" i="34"/>
  <c r="A374" i="34"/>
  <c r="B374" i="34"/>
  <c r="A377" i="34"/>
  <c r="B377" i="34"/>
  <c r="A380" i="34"/>
  <c r="B380" i="34"/>
  <c r="A383" i="34"/>
  <c r="B383" i="34"/>
  <c r="A386" i="34"/>
  <c r="B386" i="34"/>
  <c r="A389" i="34"/>
  <c r="B389" i="34"/>
  <c r="A396" i="34"/>
  <c r="B396" i="34"/>
  <c r="A399" i="34"/>
  <c r="A402" i="34"/>
  <c r="B402" i="34"/>
  <c r="A405" i="34"/>
  <c r="B405" i="34"/>
  <c r="A407" i="34"/>
  <c r="B407" i="34"/>
  <c r="A410" i="34"/>
  <c r="B410" i="34"/>
  <c r="A413" i="34"/>
  <c r="B413" i="34"/>
  <c r="A416" i="34"/>
  <c r="B416" i="34"/>
  <c r="A419" i="34"/>
  <c r="B419" i="34"/>
  <c r="A422" i="34"/>
  <c r="B422" i="34"/>
  <c r="A426" i="34"/>
  <c r="B426" i="34"/>
  <c r="A430" i="34"/>
  <c r="B430" i="34"/>
  <c r="A433" i="34"/>
  <c r="B433" i="34"/>
  <c r="A435" i="34"/>
  <c r="B435" i="34"/>
  <c r="A438" i="34"/>
  <c r="B438" i="34"/>
  <c r="A441" i="34"/>
  <c r="B441" i="34"/>
  <c r="A444" i="34"/>
  <c r="B444" i="34"/>
  <c r="A447" i="34"/>
  <c r="B447" i="34"/>
  <c r="A450" i="34"/>
  <c r="B450" i="34"/>
  <c r="A453" i="34"/>
  <c r="B453" i="34"/>
  <c r="A456" i="34"/>
  <c r="B456" i="34"/>
  <c r="A459" i="34"/>
  <c r="B459" i="34"/>
  <c r="A462" i="34"/>
  <c r="B462" i="34"/>
  <c r="A465" i="34"/>
  <c r="B465" i="34"/>
  <c r="A468" i="34"/>
  <c r="B468" i="34"/>
  <c r="A471" i="34"/>
  <c r="B471" i="34"/>
  <c r="A474" i="34"/>
  <c r="B474" i="34"/>
  <c r="A477" i="34"/>
  <c r="B477" i="34"/>
  <c r="A480" i="34"/>
  <c r="B480" i="34"/>
  <c r="A483" i="34"/>
  <c r="B483" i="34"/>
  <c r="A486" i="34"/>
  <c r="B486" i="34"/>
  <c r="A489" i="34"/>
  <c r="B489" i="34"/>
  <c r="A492" i="34"/>
  <c r="B492" i="34"/>
  <c r="A495" i="34"/>
  <c r="B495" i="34"/>
  <c r="A498" i="34"/>
  <c r="B498" i="34"/>
  <c r="A501" i="34"/>
  <c r="B501" i="34"/>
  <c r="A504" i="34"/>
  <c r="B504" i="34"/>
  <c r="A507" i="34"/>
  <c r="B507" i="34"/>
  <c r="A509" i="34"/>
  <c r="B509" i="34"/>
  <c r="A512" i="34"/>
  <c r="B512" i="34"/>
  <c r="A515" i="34"/>
  <c r="B515" i="34"/>
  <c r="A518" i="34"/>
  <c r="B518" i="34"/>
  <c r="A521" i="34"/>
  <c r="B521" i="34"/>
  <c r="A524" i="34"/>
  <c r="B524" i="34"/>
  <c r="A527" i="34"/>
  <c r="B527" i="34"/>
  <c r="A530" i="34"/>
  <c r="B530" i="34"/>
  <c r="A532" i="34"/>
  <c r="B532" i="34"/>
  <c r="A535" i="34"/>
  <c r="B535" i="34"/>
  <c r="A538" i="34"/>
  <c r="A540" i="34"/>
  <c r="B540" i="34"/>
  <c r="A542" i="34"/>
  <c r="B542" i="34"/>
  <c r="A545" i="34"/>
  <c r="B545" i="34"/>
  <c r="A547" i="34"/>
  <c r="B547" i="34"/>
  <c r="A552" i="34"/>
  <c r="B552" i="34"/>
  <c r="A556" i="34"/>
  <c r="B556" i="34"/>
  <c r="A558" i="34"/>
  <c r="B558" i="34"/>
  <c r="A561" i="34"/>
  <c r="B561" i="34"/>
  <c r="B117" i="34"/>
  <c r="A117" i="34"/>
  <c r="M114" i="34"/>
  <c r="M111" i="34"/>
  <c r="M106" i="34"/>
  <c r="B114" i="34"/>
  <c r="B111" i="34"/>
  <c r="B106" i="34"/>
  <c r="A114" i="34"/>
  <c r="A111" i="34"/>
  <c r="A106" i="34"/>
  <c r="M68" i="34"/>
  <c r="B68" i="34"/>
  <c r="A68" i="34"/>
  <c r="A66" i="34"/>
  <c r="B66" i="34"/>
  <c r="M63" i="34"/>
  <c r="M60" i="34"/>
  <c r="M57" i="34"/>
  <c r="B63" i="34"/>
  <c r="B60" i="34"/>
  <c r="B57" i="34"/>
  <c r="A63" i="34"/>
  <c r="A60" i="34"/>
  <c r="A57" i="34"/>
  <c r="M54" i="34"/>
  <c r="B54" i="34"/>
  <c r="A54" i="34"/>
  <c r="M51" i="34"/>
  <c r="B51" i="34"/>
  <c r="A51" i="34"/>
  <c r="B49" i="34"/>
  <c r="A49" i="34"/>
  <c r="M46" i="34"/>
  <c r="M43" i="34"/>
  <c r="B46" i="34"/>
  <c r="B43" i="34"/>
  <c r="A46" i="34"/>
  <c r="A43" i="34"/>
  <c r="M40" i="34"/>
  <c r="B40" i="34"/>
  <c r="A40" i="34"/>
  <c r="B38" i="34"/>
  <c r="M35" i="34"/>
  <c r="M32" i="34"/>
  <c r="M29" i="34"/>
  <c r="M26" i="34"/>
  <c r="M23" i="34"/>
  <c r="M20" i="34"/>
  <c r="M17" i="34"/>
  <c r="B35" i="34"/>
  <c r="B32" i="34"/>
  <c r="B29" i="34"/>
  <c r="B26" i="34"/>
  <c r="B23" i="34"/>
  <c r="B20" i="34"/>
  <c r="B17" i="34"/>
  <c r="A38" i="34"/>
  <c r="A35" i="34"/>
  <c r="A32" i="34"/>
  <c r="A29" i="34"/>
  <c r="A26" i="34"/>
  <c r="A23" i="34"/>
  <c r="A20" i="34"/>
  <c r="A17" i="34"/>
  <c r="M14" i="34"/>
  <c r="B14" i="34"/>
  <c r="A14" i="34"/>
  <c r="F272" i="35"/>
  <c r="F252" i="35"/>
  <c r="F251" i="35"/>
  <c r="F250" i="35"/>
  <c r="F249" i="35"/>
  <c r="F248" i="35"/>
  <c r="F244" i="35"/>
  <c r="F243" i="35"/>
  <c r="F242" i="35"/>
  <c r="F238" i="35"/>
  <c r="F237" i="35"/>
  <c r="F236" i="35"/>
  <c r="F232" i="35"/>
  <c r="F231" i="35"/>
  <c r="F230" i="35"/>
  <c r="F229" i="35"/>
  <c r="K223" i="35"/>
  <c r="F225" i="35"/>
  <c r="F223" i="35" s="1"/>
  <c r="L219" i="35"/>
  <c r="F221" i="35"/>
  <c r="F219" i="35" s="1"/>
  <c r="F217" i="35"/>
  <c r="F216" i="35"/>
  <c r="F215" i="35"/>
  <c r="F211" i="35"/>
  <c r="F210" i="35"/>
  <c r="L204" i="35"/>
  <c r="F206" i="35"/>
  <c r="F204" i="35" s="1"/>
  <c r="F200" i="35"/>
  <c r="F199" i="35"/>
  <c r="F195" i="35"/>
  <c r="F194" i="35"/>
  <c r="F193" i="35"/>
  <c r="F192" i="35"/>
  <c r="F191" i="35"/>
  <c r="F190" i="35"/>
  <c r="F189" i="35"/>
  <c r="F185" i="35"/>
  <c r="F184" i="35"/>
  <c r="F183" i="35"/>
  <c r="F182" i="35"/>
  <c r="F181" i="35"/>
  <c r="F180" i="35"/>
  <c r="F179" i="35"/>
  <c r="F178" i="35"/>
  <c r="F177" i="35"/>
  <c r="F176" i="35"/>
  <c r="F175" i="35"/>
  <c r="F174" i="35"/>
  <c r="F173" i="35"/>
  <c r="F172" i="35"/>
  <c r="F171" i="35"/>
  <c r="F170" i="35"/>
  <c r="F169" i="35"/>
  <c r="F168" i="35"/>
  <c r="F167" i="35"/>
  <c r="F166" i="35"/>
  <c r="F165" i="35"/>
  <c r="F164" i="35"/>
  <c r="F163" i="35"/>
  <c r="F162" i="35"/>
  <c r="F158" i="35"/>
  <c r="F157" i="35"/>
  <c r="F156" i="35"/>
  <c r="F155" i="35"/>
  <c r="F154" i="35"/>
  <c r="F153" i="35"/>
  <c r="F152" i="35"/>
  <c r="F151" i="35"/>
  <c r="F147" i="35"/>
  <c r="F146" i="35"/>
  <c r="F145" i="35"/>
  <c r="F144" i="35"/>
  <c r="F143" i="35"/>
  <c r="F142" i="35"/>
  <c r="F141" i="35"/>
  <c r="F140" i="35"/>
  <c r="F139" i="35"/>
  <c r="F138" i="35"/>
  <c r="F137" i="35"/>
  <c r="F136" i="35"/>
  <c r="F135" i="35"/>
  <c r="F134" i="35"/>
  <c r="F133" i="35"/>
  <c r="F132" i="35"/>
  <c r="F131" i="35"/>
  <c r="F130" i="35"/>
  <c r="F129" i="35"/>
  <c r="F128" i="35"/>
  <c r="F127" i="35"/>
  <c r="F126" i="35"/>
  <c r="F125" i="35"/>
  <c r="F124" i="35"/>
  <c r="F120" i="35"/>
  <c r="F119" i="35"/>
  <c r="F118" i="35"/>
  <c r="F117" i="35"/>
  <c r="F116" i="35"/>
  <c r="F115" i="35"/>
  <c r="F114" i="35"/>
  <c r="F113" i="35"/>
  <c r="F109" i="35"/>
  <c r="F108" i="35"/>
  <c r="F107" i="35"/>
  <c r="F106" i="35"/>
  <c r="F105" i="35"/>
  <c r="F104" i="35"/>
  <c r="F103" i="35"/>
  <c r="F102" i="35"/>
  <c r="F98" i="35"/>
  <c r="F97" i="35"/>
  <c r="F96" i="35"/>
  <c r="F95" i="35"/>
  <c r="F91" i="35"/>
  <c r="F90" i="35"/>
  <c r="F89" i="35"/>
  <c r="F88" i="35"/>
  <c r="F87" i="35"/>
  <c r="F86" i="35"/>
  <c r="F85" i="35"/>
  <c r="F84" i="35"/>
  <c r="F80" i="35"/>
  <c r="F79" i="35"/>
  <c r="F78" i="35"/>
  <c r="F77" i="35"/>
  <c r="F76" i="35"/>
  <c r="F75" i="35"/>
  <c r="F74" i="35"/>
  <c r="F73" i="35"/>
  <c r="F72" i="35"/>
  <c r="F71" i="35"/>
  <c r="F70" i="35"/>
  <c r="F66" i="35"/>
  <c r="F65" i="35"/>
  <c r="F64" i="35"/>
  <c r="F60" i="35"/>
  <c r="F59" i="35"/>
  <c r="F58" i="35"/>
  <c r="F57" i="35"/>
  <c r="F53" i="35"/>
  <c r="F52" i="35"/>
  <c r="F51" i="35"/>
  <c r="F50" i="35"/>
  <c r="F49" i="35"/>
  <c r="F45" i="35"/>
  <c r="F44" i="35"/>
  <c r="F43" i="35"/>
  <c r="K39" i="35"/>
  <c r="L39" i="35" s="1"/>
  <c r="F39" i="35"/>
  <c r="K38" i="35"/>
  <c r="L38" i="35" s="1"/>
  <c r="F38" i="35"/>
  <c r="K37" i="35"/>
  <c r="L37" i="35" s="1"/>
  <c r="F37" i="35"/>
  <c r="K36" i="35"/>
  <c r="L36" i="35" s="1"/>
  <c r="F36" i="35"/>
  <c r="K35" i="35"/>
  <c r="L35" i="35" s="1"/>
  <c r="F35" i="35"/>
  <c r="K34" i="35"/>
  <c r="L34" i="35" s="1"/>
  <c r="F34" i="35"/>
  <c r="K33" i="35"/>
  <c r="L33" i="35" s="1"/>
  <c r="F33" i="35"/>
  <c r="K32" i="35"/>
  <c r="L32" i="35" s="1"/>
  <c r="F32" i="35"/>
  <c r="AN26" i="35"/>
  <c r="N22" i="35"/>
  <c r="L114" i="34"/>
  <c r="L111" i="34"/>
  <c r="K109" i="34"/>
  <c r="L109" i="34" s="1"/>
  <c r="K108" i="34"/>
  <c r="L108" i="34" s="1"/>
  <c r="K107" i="34"/>
  <c r="L107" i="34" s="1"/>
  <c r="L64" i="34"/>
  <c r="L63" i="34" s="1"/>
  <c r="L61" i="34"/>
  <c r="L58" i="34"/>
  <c r="L55" i="34"/>
  <c r="L52" i="34"/>
  <c r="L36" i="34"/>
  <c r="L33" i="34"/>
  <c r="L30" i="34"/>
  <c r="L29" i="34" s="1"/>
  <c r="L27" i="34"/>
  <c r="L26" i="34" s="1"/>
  <c r="L24" i="34"/>
  <c r="L23" i="34" s="1"/>
  <c r="L21" i="34"/>
  <c r="L20" i="34" s="1"/>
  <c r="L18" i="34"/>
  <c r="L17" i="34" s="1"/>
  <c r="L15" i="34"/>
  <c r="L14" i="34" s="1"/>
  <c r="B12" i="34"/>
  <c r="F246" i="35" l="1"/>
  <c r="F213" i="35"/>
  <c r="K234" i="35"/>
  <c r="F187" i="35"/>
  <c r="F149" i="35"/>
  <c r="L234" i="35"/>
  <c r="K246" i="35"/>
  <c r="L246" i="35"/>
  <c r="L223" i="35"/>
  <c r="F197" i="35"/>
  <c r="F234" i="35"/>
  <c r="F100" i="35"/>
  <c r="F41" i="35"/>
  <c r="F30" i="35"/>
  <c r="F62" i="35"/>
  <c r="F82" i="35"/>
  <c r="K240" i="35"/>
  <c r="F47" i="35"/>
  <c r="K82" i="35"/>
  <c r="F122" i="35"/>
  <c r="F160" i="35"/>
  <c r="F240" i="35"/>
  <c r="F68" i="35"/>
  <c r="F208" i="35"/>
  <c r="F55" i="35"/>
  <c r="F93" i="35"/>
  <c r="K111" i="35"/>
  <c r="F111" i="35"/>
  <c r="F227" i="35"/>
  <c r="K227" i="35"/>
  <c r="K204" i="35"/>
  <c r="K149" i="35"/>
  <c r="K219" i="35"/>
  <c r="K213" i="35"/>
  <c r="L213" i="35"/>
  <c r="K208" i="35"/>
  <c r="L149" i="35"/>
  <c r="K93" i="35"/>
  <c r="K62" i="35"/>
  <c r="K160" i="35"/>
  <c r="L62" i="35"/>
  <c r="K30" i="35"/>
  <c r="K187" i="35"/>
  <c r="K100" i="35"/>
  <c r="L100" i="35"/>
  <c r="L111" i="35"/>
  <c r="L187" i="35"/>
  <c r="K68" i="35"/>
  <c r="L82" i="35"/>
  <c r="K122" i="35"/>
  <c r="K197" i="35"/>
  <c r="L46" i="34"/>
  <c r="L106" i="34"/>
  <c r="H58" i="35" s="1"/>
  <c r="L40" i="34"/>
  <c r="L57" i="34"/>
  <c r="K41" i="35"/>
  <c r="L41" i="35"/>
  <c r="K47" i="35"/>
  <c r="L47" i="35"/>
  <c r="L240" i="35"/>
  <c r="L93" i="35"/>
  <c r="L197" i="35"/>
  <c r="L30" i="35"/>
  <c r="L68" i="35"/>
  <c r="L122" i="35"/>
  <c r="L160" i="35"/>
  <c r="L208" i="35"/>
  <c r="L227" i="35"/>
  <c r="L54" i="34"/>
  <c r="L43" i="34"/>
  <c r="L51" i="34"/>
  <c r="L60" i="34"/>
  <c r="L32" i="34"/>
  <c r="L35" i="34"/>
  <c r="G53" i="32"/>
  <c r="K55" i="33"/>
  <c r="L55" i="33" s="1"/>
  <c r="K54" i="33"/>
  <c r="L54" i="33" s="1"/>
  <c r="L141" i="33"/>
  <c r="K110" i="33"/>
  <c r="K102" i="33"/>
  <c r="L53" i="33" l="1"/>
  <c r="K58" i="35"/>
  <c r="I58" i="35"/>
  <c r="F254" i="35"/>
  <c r="L21" i="35" s="1"/>
  <c r="M22" i="35" s="1"/>
  <c r="K204" i="33"/>
  <c r="L58" i="35" l="1"/>
  <c r="L55" i="35" s="1"/>
  <c r="L254" i="35" s="1"/>
  <c r="K55" i="35"/>
  <c r="K254" i="35" s="1"/>
  <c r="L24" i="35" s="1"/>
  <c r="F103" i="32"/>
  <c r="F104" i="32"/>
  <c r="F105" i="32"/>
  <c r="F106" i="32"/>
  <c r="F107" i="32"/>
  <c r="F108" i="32"/>
  <c r="F109" i="32"/>
  <c r="F102" i="32"/>
  <c r="L204" i="33" l="1"/>
  <c r="K206" i="33"/>
  <c r="L206" i="33" s="1"/>
  <c r="K205" i="33"/>
  <c r="L205" i="33" s="1"/>
  <c r="K155" i="33"/>
  <c r="L155" i="33" s="1"/>
  <c r="K154" i="33"/>
  <c r="L154" i="33" s="1"/>
  <c r="K153" i="33"/>
  <c r="L153" i="33" s="1"/>
  <c r="K152" i="33"/>
  <c r="L152" i="33" s="1"/>
  <c r="K151" i="33"/>
  <c r="L151" i="33" s="1"/>
  <c r="K148" i="33"/>
  <c r="L148" i="33" s="1"/>
  <c r="K147" i="33"/>
  <c r="L147" i="33" s="1"/>
  <c r="K146" i="33"/>
  <c r="L146" i="33" s="1"/>
  <c r="K145" i="33"/>
  <c r="L145" i="33" s="1"/>
  <c r="K144" i="33"/>
  <c r="L144" i="33" s="1"/>
  <c r="K51" i="33"/>
  <c r="L51" i="33" s="1"/>
  <c r="K50" i="33"/>
  <c r="L50" i="33" s="1"/>
  <c r="K49" i="33"/>
  <c r="L49" i="33" s="1"/>
  <c r="K48" i="33"/>
  <c r="L48" i="33" s="1"/>
  <c r="K47" i="33"/>
  <c r="L47" i="33" s="1"/>
  <c r="K41" i="33"/>
  <c r="L41" i="33" s="1"/>
  <c r="K40" i="33"/>
  <c r="L40" i="33" s="1"/>
  <c r="K42" i="33"/>
  <c r="L42" i="33" s="1"/>
  <c r="K43" i="33"/>
  <c r="L43" i="33" s="1"/>
  <c r="K44" i="33"/>
  <c r="L44" i="33" s="1"/>
  <c r="K39" i="33"/>
  <c r="L203" i="33" l="1"/>
  <c r="L150" i="33"/>
  <c r="L46" i="33"/>
  <c r="G44" i="32" s="1"/>
  <c r="L143" i="33"/>
  <c r="K140" i="33"/>
  <c r="L140" i="33" s="1"/>
  <c r="K103" i="33"/>
  <c r="L103" i="33" s="1"/>
  <c r="K104" i="33"/>
  <c r="L104" i="33" s="1"/>
  <c r="K105" i="33"/>
  <c r="L105" i="33" s="1"/>
  <c r="K106" i="33"/>
  <c r="L106" i="33" s="1"/>
  <c r="K107" i="33"/>
  <c r="L107" i="33" s="1"/>
  <c r="K108" i="33"/>
  <c r="L108" i="33" s="1"/>
  <c r="K109" i="33"/>
  <c r="L109" i="33" s="1"/>
  <c r="L110" i="33"/>
  <c r="K111" i="33"/>
  <c r="L111" i="33" s="1"/>
  <c r="K112" i="33"/>
  <c r="L112" i="33" s="1"/>
  <c r="K113" i="33"/>
  <c r="L113" i="33" s="1"/>
  <c r="K114" i="33"/>
  <c r="L114" i="33" s="1"/>
  <c r="K115" i="33"/>
  <c r="L115" i="33" s="1"/>
  <c r="K116" i="33"/>
  <c r="L116" i="33" s="1"/>
  <c r="K117" i="33"/>
  <c r="L117" i="33" s="1"/>
  <c r="K118" i="33"/>
  <c r="L118" i="33" s="1"/>
  <c r="K119" i="33"/>
  <c r="L119" i="33" s="1"/>
  <c r="K120" i="33"/>
  <c r="L120" i="33" s="1"/>
  <c r="K121" i="33"/>
  <c r="L121" i="33" s="1"/>
  <c r="K122" i="33"/>
  <c r="L122" i="33" s="1"/>
  <c r="K123" i="33"/>
  <c r="L123" i="33" s="1"/>
  <c r="K124" i="33"/>
  <c r="L124" i="33" s="1"/>
  <c r="K125" i="33"/>
  <c r="L125" i="33" s="1"/>
  <c r="K126" i="33"/>
  <c r="L126" i="33" s="1"/>
  <c r="K127" i="33"/>
  <c r="L127" i="33" s="1"/>
  <c r="K128" i="33"/>
  <c r="L128" i="33" s="1"/>
  <c r="K129" i="33"/>
  <c r="L129" i="33" s="1"/>
  <c r="K130" i="33"/>
  <c r="L130" i="33" s="1"/>
  <c r="K131" i="33"/>
  <c r="L131" i="33" s="1"/>
  <c r="K132" i="33"/>
  <c r="L132" i="33" s="1"/>
  <c r="K133" i="33"/>
  <c r="L133" i="33" s="1"/>
  <c r="K134" i="33"/>
  <c r="L134" i="33" s="1"/>
  <c r="K135" i="33"/>
  <c r="L135" i="33" s="1"/>
  <c r="K136" i="33"/>
  <c r="L136" i="33" s="1"/>
  <c r="K137" i="33"/>
  <c r="L137" i="33" s="1"/>
  <c r="K138" i="33"/>
  <c r="L138" i="33" s="1"/>
  <c r="K139" i="33"/>
  <c r="L139" i="33" s="1"/>
  <c r="L102" i="33"/>
  <c r="K99" i="33"/>
  <c r="L99" i="33" s="1"/>
  <c r="K98" i="33"/>
  <c r="L98" i="33" s="1"/>
  <c r="K97" i="33"/>
  <c r="L97" i="33" s="1"/>
  <c r="K96" i="33"/>
  <c r="L96" i="33" s="1"/>
  <c r="K95" i="33"/>
  <c r="L95" i="33" s="1"/>
  <c r="K94" i="33"/>
  <c r="L94" i="33" s="1"/>
  <c r="K93" i="33"/>
  <c r="L93" i="33" s="1"/>
  <c r="K92" i="33"/>
  <c r="L92" i="33" s="1"/>
  <c r="K91" i="33"/>
  <c r="L91" i="33" s="1"/>
  <c r="K90" i="33"/>
  <c r="L90" i="33" s="1"/>
  <c r="K89" i="33"/>
  <c r="L89" i="33" s="1"/>
  <c r="K88" i="33"/>
  <c r="L88" i="33" s="1"/>
  <c r="K87" i="33"/>
  <c r="L87" i="33" s="1"/>
  <c r="K86" i="33"/>
  <c r="L86" i="33" s="1"/>
  <c r="K85" i="33"/>
  <c r="L85" i="33" s="1"/>
  <c r="K84" i="33"/>
  <c r="L84" i="33" s="1"/>
  <c r="K83" i="33"/>
  <c r="L83" i="33" s="1"/>
  <c r="K82" i="33"/>
  <c r="L82" i="33" s="1"/>
  <c r="K81" i="33"/>
  <c r="L81" i="33" s="1"/>
  <c r="K80" i="33"/>
  <c r="L80" i="33" s="1"/>
  <c r="K79" i="33"/>
  <c r="L79" i="33" s="1"/>
  <c r="K78" i="33"/>
  <c r="L78" i="33" s="1"/>
  <c r="K77" i="33"/>
  <c r="L77" i="33" s="1"/>
  <c r="K76" i="33"/>
  <c r="L76" i="33" s="1"/>
  <c r="K75" i="33"/>
  <c r="L75" i="33" s="1"/>
  <c r="K74" i="33"/>
  <c r="L74" i="33" s="1"/>
  <c r="K73" i="33"/>
  <c r="L73" i="33" s="1"/>
  <c r="K72" i="33"/>
  <c r="L72" i="33" s="1"/>
  <c r="K71" i="33"/>
  <c r="L71" i="33" s="1"/>
  <c r="K70" i="33"/>
  <c r="L70" i="33" s="1"/>
  <c r="K69" i="33"/>
  <c r="L69" i="33" s="1"/>
  <c r="K68" i="33"/>
  <c r="L68" i="33" s="1"/>
  <c r="K67" i="33"/>
  <c r="L67" i="33" s="1"/>
  <c r="K66" i="33"/>
  <c r="L66" i="33" s="1"/>
  <c r="K65" i="33"/>
  <c r="L65" i="33" s="1"/>
  <c r="K64" i="33"/>
  <c r="L64" i="33" s="1"/>
  <c r="K63" i="33"/>
  <c r="L63" i="33" s="1"/>
  <c r="K62" i="33"/>
  <c r="L62" i="33" s="1"/>
  <c r="K61" i="33"/>
  <c r="L61" i="33" s="1"/>
  <c r="K194" i="33"/>
  <c r="L194" i="33" s="1"/>
  <c r="K195" i="33"/>
  <c r="L195" i="33" s="1"/>
  <c r="K196" i="33"/>
  <c r="L196" i="33" s="1"/>
  <c r="K192" i="33"/>
  <c r="L192" i="33" s="1"/>
  <c r="K193" i="33"/>
  <c r="L193" i="33" s="1"/>
  <c r="K184" i="33"/>
  <c r="L184" i="33" s="1"/>
  <c r="K185" i="33"/>
  <c r="L185" i="33" s="1"/>
  <c r="K186" i="33"/>
  <c r="L186" i="33" s="1"/>
  <c r="K187" i="33"/>
  <c r="L187" i="33" s="1"/>
  <c r="K188" i="33"/>
  <c r="L188" i="33" s="1"/>
  <c r="K189" i="33"/>
  <c r="L189" i="33" s="1"/>
  <c r="K190" i="33"/>
  <c r="L190" i="33" s="1"/>
  <c r="K191" i="33"/>
  <c r="L191" i="33" s="1"/>
  <c r="K176" i="33"/>
  <c r="L176" i="33" s="1"/>
  <c r="K177" i="33"/>
  <c r="L177" i="33" s="1"/>
  <c r="K178" i="33"/>
  <c r="L178" i="33" s="1"/>
  <c r="K179" i="33"/>
  <c r="L179" i="33" s="1"/>
  <c r="K180" i="33"/>
  <c r="L180" i="33" s="1"/>
  <c r="K181" i="33"/>
  <c r="L181" i="33" s="1"/>
  <c r="K182" i="33"/>
  <c r="L182" i="33" s="1"/>
  <c r="K183" i="33"/>
  <c r="L183" i="33" s="1"/>
  <c r="K174" i="33"/>
  <c r="L174" i="33" s="1"/>
  <c r="K173" i="33"/>
  <c r="L173" i="33" s="1"/>
  <c r="K172" i="33"/>
  <c r="L172" i="33" s="1"/>
  <c r="K171" i="33"/>
  <c r="L171" i="33" s="1"/>
  <c r="K170" i="33"/>
  <c r="L170" i="33" s="1"/>
  <c r="K169" i="33"/>
  <c r="L169" i="33" s="1"/>
  <c r="K168" i="33"/>
  <c r="L168" i="33" s="1"/>
  <c r="K167" i="33"/>
  <c r="L167" i="33" s="1"/>
  <c r="K166" i="33"/>
  <c r="L166" i="33" s="1"/>
  <c r="K165" i="33"/>
  <c r="L165" i="33" s="1"/>
  <c r="K175" i="33"/>
  <c r="L175" i="33" s="1"/>
  <c r="K164" i="33"/>
  <c r="L164" i="33" s="1"/>
  <c r="K163" i="33"/>
  <c r="L163" i="33" s="1"/>
  <c r="K162" i="33"/>
  <c r="L162" i="33" s="1"/>
  <c r="K161" i="33"/>
  <c r="L161" i="33" s="1"/>
  <c r="K160" i="33"/>
  <c r="L160" i="33" s="1"/>
  <c r="K159" i="33"/>
  <c r="L159" i="33" s="1"/>
  <c r="K158" i="33"/>
  <c r="L158" i="33" s="1"/>
  <c r="L101" i="33" l="1"/>
  <c r="L60" i="33"/>
  <c r="G49" i="32" s="1"/>
  <c r="L157" i="33"/>
  <c r="B211" i="33" l="1"/>
  <c r="B208" i="33"/>
  <c r="B203" i="33"/>
  <c r="B200" i="33"/>
  <c r="B198" i="33"/>
  <c r="B157" i="33"/>
  <c r="B150" i="33"/>
  <c r="B143" i="33"/>
  <c r="B101" i="33"/>
  <c r="B60" i="33"/>
  <c r="B58" i="33"/>
  <c r="B53" i="33"/>
  <c r="B46" i="33"/>
  <c r="B38" i="33"/>
  <c r="B36" i="33"/>
  <c r="K16" i="33"/>
  <c r="L16" i="33" s="1"/>
  <c r="K19" i="33"/>
  <c r="B33" i="33"/>
  <c r="B30" i="33"/>
  <c r="B27" i="33"/>
  <c r="B24" i="33"/>
  <c r="B21" i="33"/>
  <c r="B18" i="33"/>
  <c r="B15" i="33"/>
  <c r="B12" i="33"/>
  <c r="K251" i="33"/>
  <c r="L251" i="33" s="1"/>
  <c r="L250" i="33" s="1"/>
  <c r="M250" i="33"/>
  <c r="B250" i="33"/>
  <c r="A250" i="33"/>
  <c r="K248" i="33"/>
  <c r="L248" i="33" s="1"/>
  <c r="L247" i="33" s="1"/>
  <c r="M247" i="33"/>
  <c r="B247" i="33"/>
  <c r="A247" i="33"/>
  <c r="K245" i="33"/>
  <c r="L245" i="33" s="1"/>
  <c r="M244" i="33"/>
  <c r="B244" i="33"/>
  <c r="A244" i="33"/>
  <c r="K242" i="33"/>
  <c r="L242" i="33" s="1"/>
  <c r="M241" i="33"/>
  <c r="B241" i="33"/>
  <c r="A241" i="33"/>
  <c r="K239" i="33"/>
  <c r="L238" i="33" s="1"/>
  <c r="M238" i="33"/>
  <c r="B238" i="33"/>
  <c r="A238" i="33"/>
  <c r="K236" i="33"/>
  <c r="L236" i="33" s="1"/>
  <c r="M235" i="33"/>
  <c r="B235" i="33"/>
  <c r="A235" i="33"/>
  <c r="K233" i="33"/>
  <c r="L232" i="33" s="1"/>
  <c r="M232" i="33"/>
  <c r="B232" i="33"/>
  <c r="A232" i="33"/>
  <c r="K230" i="33"/>
  <c r="L230" i="33" s="1"/>
  <c r="M229" i="33"/>
  <c r="B229" i="33"/>
  <c r="A229" i="33"/>
  <c r="E227" i="33"/>
  <c r="K227" i="33" s="1"/>
  <c r="L226" i="33" s="1"/>
  <c r="M226" i="33"/>
  <c r="B226" i="33"/>
  <c r="A226" i="33"/>
  <c r="E224" i="33"/>
  <c r="K224" i="33" s="1"/>
  <c r="M223" i="33"/>
  <c r="B223" i="33"/>
  <c r="A223" i="33"/>
  <c r="K221" i="33"/>
  <c r="L221" i="33" s="1"/>
  <c r="M220" i="33"/>
  <c r="B220" i="33"/>
  <c r="A220" i="33"/>
  <c r="K218" i="33"/>
  <c r="L217" i="33" s="1"/>
  <c r="M217" i="33"/>
  <c r="B217" i="33"/>
  <c r="A217" i="33"/>
  <c r="E215" i="33"/>
  <c r="K215" i="33" s="1"/>
  <c r="L215" i="33" s="1"/>
  <c r="L214" i="33" s="1"/>
  <c r="M214" i="33"/>
  <c r="B214" i="33"/>
  <c r="A214" i="33"/>
  <c r="L211" i="33"/>
  <c r="M211" i="33"/>
  <c r="L208" i="33"/>
  <c r="M208" i="33"/>
  <c r="L200" i="33"/>
  <c r="B10" i="33"/>
  <c r="L241" i="33" l="1"/>
  <c r="L220" i="33"/>
  <c r="L229" i="33"/>
  <c r="L235" i="33"/>
  <c r="L224" i="33"/>
  <c r="L223" i="33"/>
  <c r="L218" i="33"/>
  <c r="L227" i="33"/>
  <c r="L233" i="33"/>
  <c r="L239" i="33"/>
  <c r="L244" i="33"/>
  <c r="A157" i="33" l="1"/>
  <c r="A150" i="33"/>
  <c r="A143" i="33"/>
  <c r="M101" i="33"/>
  <c r="L39" i="33"/>
  <c r="L38" i="33" s="1"/>
  <c r="G43" i="32" s="1"/>
  <c r="K34" i="33"/>
  <c r="L33" i="33" s="1"/>
  <c r="K31" i="33"/>
  <c r="L31" i="33" s="1"/>
  <c r="K28" i="33"/>
  <c r="L28" i="33" s="1"/>
  <c r="L27" i="33" s="1"/>
  <c r="K25" i="33"/>
  <c r="L25" i="33" s="1"/>
  <c r="L24" i="33" s="1"/>
  <c r="K22" i="33"/>
  <c r="L22" i="33" s="1"/>
  <c r="L21" i="33" s="1"/>
  <c r="L19" i="33"/>
  <c r="L18" i="33" s="1"/>
  <c r="M18" i="33"/>
  <c r="L15" i="33"/>
  <c r="K13" i="33"/>
  <c r="L13" i="33" s="1"/>
  <c r="L12" i="33" s="1"/>
  <c r="M12" i="33"/>
  <c r="L30" i="33" l="1"/>
  <c r="L34" i="33"/>
  <c r="G32" i="32" l="1"/>
  <c r="G113" i="32" l="1"/>
  <c r="G52" i="32"/>
  <c r="G51" i="32"/>
  <c r="G50" i="32"/>
  <c r="L22" i="32"/>
  <c r="G34" i="32"/>
  <c r="G33" i="32"/>
  <c r="H33" i="32" s="1"/>
  <c r="F272" i="32"/>
  <c r="F100" i="32"/>
  <c r="H109" i="32"/>
  <c r="H108" i="32"/>
  <c r="H156" i="32"/>
  <c r="H157" i="32"/>
  <c r="H158" i="32"/>
  <c r="F250" i="32" l="1"/>
  <c r="H250" i="32"/>
  <c r="I250" i="32"/>
  <c r="J250" i="32" s="1"/>
  <c r="F251" i="32"/>
  <c r="H251" i="32"/>
  <c r="I251" i="32"/>
  <c r="J251" i="32" s="1"/>
  <c r="F252" i="32"/>
  <c r="H252" i="32"/>
  <c r="I252" i="32"/>
  <c r="J252" i="32" s="1"/>
  <c r="I249" i="32"/>
  <c r="J249" i="32" s="1"/>
  <c r="H249" i="32"/>
  <c r="F249" i="32"/>
  <c r="I248" i="32"/>
  <c r="H248" i="32"/>
  <c r="F248" i="32"/>
  <c r="I244" i="32"/>
  <c r="J244" i="32" s="1"/>
  <c r="H244" i="32"/>
  <c r="F244" i="32"/>
  <c r="I243" i="32"/>
  <c r="J243" i="32" s="1"/>
  <c r="H243" i="32"/>
  <c r="F243" i="32"/>
  <c r="I242" i="32"/>
  <c r="H242" i="32"/>
  <c r="F242" i="32"/>
  <c r="F240" i="32" s="1"/>
  <c r="I238" i="32"/>
  <c r="J238" i="32" s="1"/>
  <c r="H238" i="32"/>
  <c r="F238" i="32"/>
  <c r="I237" i="32"/>
  <c r="J237" i="32" s="1"/>
  <c r="H237" i="32"/>
  <c r="F237" i="32"/>
  <c r="I236" i="32"/>
  <c r="H236" i="32"/>
  <c r="F236" i="32"/>
  <c r="I232" i="32"/>
  <c r="J232" i="32" s="1"/>
  <c r="H232" i="32"/>
  <c r="F232" i="32"/>
  <c r="I231" i="32"/>
  <c r="J231" i="32" s="1"/>
  <c r="H231" i="32"/>
  <c r="F231" i="32"/>
  <c r="I230" i="32"/>
  <c r="J230" i="32" s="1"/>
  <c r="H230" i="32"/>
  <c r="F230" i="32"/>
  <c r="I229" i="32"/>
  <c r="H229" i="32"/>
  <c r="F229" i="32"/>
  <c r="I225" i="32"/>
  <c r="H225" i="32"/>
  <c r="F225" i="32"/>
  <c r="F223" i="32" s="1"/>
  <c r="F221" i="32"/>
  <c r="F219" i="32" s="1"/>
  <c r="H221" i="32"/>
  <c r="I221" i="32"/>
  <c r="F217" i="32"/>
  <c r="H217" i="32"/>
  <c r="I217" i="32"/>
  <c r="J217" i="32" s="1"/>
  <c r="F215" i="32"/>
  <c r="H215" i="32"/>
  <c r="I215" i="32"/>
  <c r="F216" i="32"/>
  <c r="H216" i="32"/>
  <c r="I216" i="32"/>
  <c r="J216" i="32" s="1"/>
  <c r="H211" i="32"/>
  <c r="I211" i="32"/>
  <c r="J211" i="32" s="1"/>
  <c r="F211" i="32"/>
  <c r="I206" i="32"/>
  <c r="H206" i="32"/>
  <c r="F206" i="32"/>
  <c r="F204" i="32" s="1"/>
  <c r="F158" i="32"/>
  <c r="I158" i="32"/>
  <c r="J158" i="32" s="1"/>
  <c r="F157" i="32"/>
  <c r="I157" i="32"/>
  <c r="J157" i="32" s="1"/>
  <c r="F156" i="32"/>
  <c r="I156" i="32"/>
  <c r="J156" i="32" s="1"/>
  <c r="F147" i="32"/>
  <c r="I147" i="32"/>
  <c r="J147" i="32" s="1"/>
  <c r="F146" i="32"/>
  <c r="I146" i="32"/>
  <c r="J146" i="32" s="1"/>
  <c r="F145" i="32"/>
  <c r="I145" i="32"/>
  <c r="J145" i="32" s="1"/>
  <c r="F144" i="32"/>
  <c r="I144" i="32"/>
  <c r="J144" i="32" s="1"/>
  <c r="F143" i="32"/>
  <c r="I143" i="32"/>
  <c r="J143" i="32" s="1"/>
  <c r="F142" i="32"/>
  <c r="I142" i="32"/>
  <c r="F141" i="32"/>
  <c r="I141" i="32"/>
  <c r="J141" i="32" s="1"/>
  <c r="F140" i="32"/>
  <c r="I140" i="32"/>
  <c r="J140" i="32" s="1"/>
  <c r="F139" i="32"/>
  <c r="I139" i="32"/>
  <c r="J139" i="32" s="1"/>
  <c r="F138" i="32"/>
  <c r="I138" i="32"/>
  <c r="J138" i="32" s="1"/>
  <c r="F137" i="32"/>
  <c r="I137" i="32"/>
  <c r="J137" i="32" s="1"/>
  <c r="F136" i="32"/>
  <c r="I136" i="32"/>
  <c r="J136" i="32" s="1"/>
  <c r="F135" i="32"/>
  <c r="I135" i="32"/>
  <c r="J135" i="32" s="1"/>
  <c r="F134" i="32"/>
  <c r="I134" i="32"/>
  <c r="J134" i="32" s="1"/>
  <c r="F125" i="32"/>
  <c r="F126" i="32"/>
  <c r="F127" i="32"/>
  <c r="F128" i="32"/>
  <c r="F129" i="32"/>
  <c r="F130" i="32"/>
  <c r="F131" i="32"/>
  <c r="F132" i="32"/>
  <c r="F133" i="32"/>
  <c r="H125" i="32"/>
  <c r="I125" i="32"/>
  <c r="J125" i="32" s="1"/>
  <c r="H126" i="32"/>
  <c r="I126" i="32"/>
  <c r="J126" i="32" s="1"/>
  <c r="H127" i="32"/>
  <c r="I127" i="32"/>
  <c r="J127" i="32" s="1"/>
  <c r="H128" i="32"/>
  <c r="I128" i="32"/>
  <c r="J128" i="32" s="1"/>
  <c r="H129" i="32"/>
  <c r="I129" i="32"/>
  <c r="J129" i="32" s="1"/>
  <c r="H130" i="32"/>
  <c r="I130" i="32"/>
  <c r="J130" i="32" s="1"/>
  <c r="H131" i="32"/>
  <c r="I131" i="32"/>
  <c r="J131" i="32" s="1"/>
  <c r="H132" i="32"/>
  <c r="I132" i="32"/>
  <c r="J132" i="32" s="1"/>
  <c r="H133" i="32"/>
  <c r="I133" i="32"/>
  <c r="J133" i="32" s="1"/>
  <c r="I109" i="32"/>
  <c r="I108" i="32"/>
  <c r="J108" i="32" s="1"/>
  <c r="F71" i="32"/>
  <c r="H71" i="32"/>
  <c r="I71" i="32"/>
  <c r="J71" i="32" s="1"/>
  <c r="F72" i="32"/>
  <c r="H72" i="32"/>
  <c r="I72" i="32"/>
  <c r="J72" i="32" s="1"/>
  <c r="F73" i="32"/>
  <c r="H73" i="32"/>
  <c r="I73" i="32"/>
  <c r="J73" i="32" s="1"/>
  <c r="F74" i="32"/>
  <c r="H74" i="32"/>
  <c r="I74" i="32"/>
  <c r="J74" i="32" s="1"/>
  <c r="F75" i="32"/>
  <c r="H75" i="32"/>
  <c r="I75" i="32"/>
  <c r="J75" i="32" s="1"/>
  <c r="F76" i="32"/>
  <c r="H76" i="32"/>
  <c r="I76" i="32"/>
  <c r="J76" i="32" s="1"/>
  <c r="F77" i="32"/>
  <c r="H77" i="32"/>
  <c r="I77" i="32"/>
  <c r="J77" i="32" s="1"/>
  <c r="F78" i="32"/>
  <c r="H78" i="32"/>
  <c r="I78" i="32"/>
  <c r="J78" i="32" s="1"/>
  <c r="F79" i="32"/>
  <c r="H79" i="32"/>
  <c r="I79" i="32"/>
  <c r="J79" i="32" s="1"/>
  <c r="F80" i="32"/>
  <c r="H80" i="32"/>
  <c r="I80" i="32"/>
  <c r="J80" i="32" s="1"/>
  <c r="H60" i="32"/>
  <c r="I60" i="32"/>
  <c r="J60" i="32" s="1"/>
  <c r="F60" i="32"/>
  <c r="H59" i="32"/>
  <c r="I59" i="32"/>
  <c r="J59" i="32" s="1"/>
  <c r="F59" i="32"/>
  <c r="F39" i="32"/>
  <c r="I39" i="32"/>
  <c r="J39" i="32" s="1"/>
  <c r="F38" i="32"/>
  <c r="I38" i="32"/>
  <c r="J38" i="32" s="1"/>
  <c r="F37" i="32"/>
  <c r="I37" i="32"/>
  <c r="J37" i="32" s="1"/>
  <c r="F36" i="32"/>
  <c r="I36" i="32"/>
  <c r="J36" i="32" s="1"/>
  <c r="F246" i="32" l="1"/>
  <c r="F213" i="32"/>
  <c r="J221" i="32"/>
  <c r="J219" i="32" s="1"/>
  <c r="I219" i="32"/>
  <c r="J229" i="32"/>
  <c r="J227" i="32" s="1"/>
  <c r="I227" i="32"/>
  <c r="J225" i="32"/>
  <c r="J223" i="32" s="1"/>
  <c r="I223" i="32"/>
  <c r="J242" i="32"/>
  <c r="J240" i="32" s="1"/>
  <c r="I240" i="32"/>
  <c r="J206" i="32"/>
  <c r="J204" i="32" s="1"/>
  <c r="I204" i="32"/>
  <c r="F234" i="32"/>
  <c r="J248" i="32"/>
  <c r="J246" i="32" s="1"/>
  <c r="I246" i="32"/>
  <c r="J236" i="32"/>
  <c r="J234" i="32" s="1"/>
  <c r="I234" i="32"/>
  <c r="J215" i="32"/>
  <c r="J213" i="32" s="1"/>
  <c r="I213" i="32"/>
  <c r="J142" i="32"/>
  <c r="J109" i="32"/>
  <c r="F227" i="32"/>
  <c r="F210" i="32" l="1"/>
  <c r="F208" i="32" s="1"/>
  <c r="F200" i="32"/>
  <c r="F199" i="32"/>
  <c r="F195" i="32"/>
  <c r="F194" i="32"/>
  <c r="F193" i="32"/>
  <c r="F192" i="32"/>
  <c r="F191" i="32"/>
  <c r="F190" i="32"/>
  <c r="F189" i="32"/>
  <c r="F185" i="32"/>
  <c r="F184" i="32"/>
  <c r="F183" i="32"/>
  <c r="F182" i="32"/>
  <c r="F181" i="32"/>
  <c r="F180" i="32"/>
  <c r="F179" i="32"/>
  <c r="F178" i="32"/>
  <c r="F177" i="32"/>
  <c r="F176" i="32"/>
  <c r="F175" i="32"/>
  <c r="F174" i="32"/>
  <c r="F173" i="32"/>
  <c r="F172" i="32"/>
  <c r="F171" i="32"/>
  <c r="F170" i="32"/>
  <c r="F169" i="32"/>
  <c r="F168" i="32"/>
  <c r="F167" i="32"/>
  <c r="F166" i="32"/>
  <c r="F165" i="32"/>
  <c r="F164" i="32"/>
  <c r="F163" i="32"/>
  <c r="F162" i="32"/>
  <c r="F155" i="32"/>
  <c r="F154" i="32"/>
  <c r="F153" i="32"/>
  <c r="F152" i="32"/>
  <c r="F151" i="32"/>
  <c r="F124" i="32"/>
  <c r="F120" i="32"/>
  <c r="F119" i="32"/>
  <c r="F118" i="32"/>
  <c r="F117" i="32"/>
  <c r="F116" i="32"/>
  <c r="F115" i="32"/>
  <c r="F114" i="32"/>
  <c r="F113" i="32"/>
  <c r="F98" i="32"/>
  <c r="F97" i="32"/>
  <c r="F96" i="32"/>
  <c r="F95" i="32"/>
  <c r="F91" i="32"/>
  <c r="F90" i="32"/>
  <c r="F89" i="32"/>
  <c r="F88" i="32"/>
  <c r="F87" i="32"/>
  <c r="F86" i="32"/>
  <c r="F85" i="32"/>
  <c r="F84" i="32"/>
  <c r="F70" i="32"/>
  <c r="F68" i="32" s="1"/>
  <c r="F66" i="32"/>
  <c r="F65" i="32"/>
  <c r="F64" i="32"/>
  <c r="F58" i="32"/>
  <c r="F57" i="32"/>
  <c r="F53" i="32"/>
  <c r="F52" i="32"/>
  <c r="F51" i="32"/>
  <c r="F50" i="32"/>
  <c r="F49" i="32"/>
  <c r="F45" i="32"/>
  <c r="F44" i="32"/>
  <c r="F43" i="32"/>
  <c r="F33" i="32"/>
  <c r="F34" i="32"/>
  <c r="F35" i="32"/>
  <c r="F32" i="32"/>
  <c r="F62" i="32" l="1"/>
  <c r="F111" i="32"/>
  <c r="F149" i="32"/>
  <c r="F55" i="32"/>
  <c r="F187" i="32"/>
  <c r="F197" i="32"/>
  <c r="F30" i="32"/>
  <c r="F47" i="32"/>
  <c r="F41" i="32"/>
  <c r="F82" i="32"/>
  <c r="F122" i="32"/>
  <c r="F93" i="32"/>
  <c r="F160" i="32"/>
  <c r="F254" i="32" l="1"/>
  <c r="J21" i="32" s="1"/>
  <c r="K22" i="32" l="1"/>
  <c r="AL26" i="32"/>
  <c r="I210" i="32" l="1"/>
  <c r="I200" i="32"/>
  <c r="J200" i="32" s="1"/>
  <c r="I199" i="32"/>
  <c r="I190" i="32"/>
  <c r="J190" i="32" s="1"/>
  <c r="I191" i="32"/>
  <c r="J191" i="32" s="1"/>
  <c r="I192" i="32"/>
  <c r="J192" i="32" s="1"/>
  <c r="I193" i="32"/>
  <c r="J193" i="32" s="1"/>
  <c r="I194" i="32"/>
  <c r="J194" i="32" s="1"/>
  <c r="I195" i="32"/>
  <c r="J195" i="32" s="1"/>
  <c r="I189" i="32"/>
  <c r="I163" i="32"/>
  <c r="J163" i="32" s="1"/>
  <c r="I164" i="32"/>
  <c r="J164" i="32" s="1"/>
  <c r="I165" i="32"/>
  <c r="J165" i="32" s="1"/>
  <c r="I166" i="32"/>
  <c r="J166" i="32" s="1"/>
  <c r="I167" i="32"/>
  <c r="J167" i="32" s="1"/>
  <c r="I168" i="32"/>
  <c r="J168" i="32" s="1"/>
  <c r="I169" i="32"/>
  <c r="J169" i="32" s="1"/>
  <c r="I170" i="32"/>
  <c r="J170" i="32" s="1"/>
  <c r="I171" i="32"/>
  <c r="J171" i="32" s="1"/>
  <c r="I172" i="32"/>
  <c r="J172" i="32" s="1"/>
  <c r="I173" i="32"/>
  <c r="J173" i="32" s="1"/>
  <c r="I174" i="32"/>
  <c r="J174" i="32" s="1"/>
  <c r="I175" i="32"/>
  <c r="J175" i="32" s="1"/>
  <c r="I176" i="32"/>
  <c r="J176" i="32" s="1"/>
  <c r="I177" i="32"/>
  <c r="J177" i="32" s="1"/>
  <c r="I178" i="32"/>
  <c r="J178" i="32" s="1"/>
  <c r="I179" i="32"/>
  <c r="J179" i="32" s="1"/>
  <c r="I180" i="32"/>
  <c r="J180" i="32" s="1"/>
  <c r="I181" i="32"/>
  <c r="J181" i="32" s="1"/>
  <c r="I182" i="32"/>
  <c r="J182" i="32" s="1"/>
  <c r="I183" i="32"/>
  <c r="J183" i="32" s="1"/>
  <c r="I184" i="32"/>
  <c r="J184" i="32" s="1"/>
  <c r="I185" i="32"/>
  <c r="J185" i="32" s="1"/>
  <c r="I162" i="32"/>
  <c r="I152" i="32"/>
  <c r="J152" i="32" s="1"/>
  <c r="I153" i="32"/>
  <c r="J153" i="32" s="1"/>
  <c r="I154" i="32"/>
  <c r="I155" i="32"/>
  <c r="J155" i="32" s="1"/>
  <c r="I151" i="32"/>
  <c r="I114" i="32"/>
  <c r="J114" i="32" s="1"/>
  <c r="I115" i="32"/>
  <c r="J115" i="32" s="1"/>
  <c r="I116" i="32"/>
  <c r="J116" i="32" s="1"/>
  <c r="I117" i="32"/>
  <c r="J117" i="32" s="1"/>
  <c r="I118" i="32"/>
  <c r="J118" i="32" s="1"/>
  <c r="I119" i="32"/>
  <c r="J119" i="32" s="1"/>
  <c r="I120" i="32"/>
  <c r="J120" i="32" s="1"/>
  <c r="I113" i="32"/>
  <c r="I103" i="32"/>
  <c r="J103" i="32" s="1"/>
  <c r="I104" i="32"/>
  <c r="J104" i="32" s="1"/>
  <c r="I105" i="32"/>
  <c r="J105" i="32" s="1"/>
  <c r="I106" i="32"/>
  <c r="J106" i="32" s="1"/>
  <c r="I107" i="32"/>
  <c r="J107" i="32" s="1"/>
  <c r="I102" i="32"/>
  <c r="I96" i="32"/>
  <c r="J96" i="32" s="1"/>
  <c r="I97" i="32"/>
  <c r="J97" i="32" s="1"/>
  <c r="I98" i="32"/>
  <c r="J98" i="32" s="1"/>
  <c r="I95" i="32"/>
  <c r="I85" i="32"/>
  <c r="J85" i="32" s="1"/>
  <c r="I86" i="32"/>
  <c r="J86" i="32" s="1"/>
  <c r="I87" i="32"/>
  <c r="J87" i="32" s="1"/>
  <c r="I88" i="32"/>
  <c r="J88" i="32" s="1"/>
  <c r="I89" i="32"/>
  <c r="J89" i="32" s="1"/>
  <c r="I90" i="32"/>
  <c r="J90" i="32" s="1"/>
  <c r="I91" i="32"/>
  <c r="J91" i="32" s="1"/>
  <c r="I84" i="32"/>
  <c r="I65" i="32"/>
  <c r="J65" i="32" s="1"/>
  <c r="I66" i="32"/>
  <c r="J66" i="32" s="1"/>
  <c r="I64" i="32"/>
  <c r="I58" i="32"/>
  <c r="I57" i="32"/>
  <c r="I52" i="32"/>
  <c r="J52" i="32" s="1"/>
  <c r="I53" i="32"/>
  <c r="J53" i="32" s="1"/>
  <c r="I51" i="32"/>
  <c r="I50" i="32"/>
  <c r="I49" i="32"/>
  <c r="I45" i="32"/>
  <c r="I44" i="32"/>
  <c r="I43" i="32"/>
  <c r="H210" i="32"/>
  <c r="H200" i="32"/>
  <c r="H199" i="32"/>
  <c r="H190" i="32"/>
  <c r="H191" i="32"/>
  <c r="H192" i="32"/>
  <c r="H193" i="32"/>
  <c r="H194" i="32"/>
  <c r="H195" i="32"/>
  <c r="H189" i="32"/>
  <c r="H164" i="32"/>
  <c r="H165" i="32"/>
  <c r="H166" i="32"/>
  <c r="H167" i="32"/>
  <c r="H168" i="32"/>
  <c r="H169" i="32"/>
  <c r="H170" i="32"/>
  <c r="H171" i="32"/>
  <c r="H172" i="32"/>
  <c r="H173" i="32"/>
  <c r="H174" i="32"/>
  <c r="H175" i="32"/>
  <c r="H176" i="32"/>
  <c r="H177" i="32"/>
  <c r="H178" i="32"/>
  <c r="H179" i="32"/>
  <c r="H180" i="32"/>
  <c r="H181" i="32"/>
  <c r="H182" i="32"/>
  <c r="H183" i="32"/>
  <c r="H184" i="32"/>
  <c r="H185" i="32"/>
  <c r="H163" i="32"/>
  <c r="H162" i="32"/>
  <c r="H152" i="32"/>
  <c r="H153" i="32"/>
  <c r="H154" i="32"/>
  <c r="H155" i="32"/>
  <c r="H151" i="32"/>
  <c r="I124" i="32"/>
  <c r="I122" i="32" s="1"/>
  <c r="H114" i="32"/>
  <c r="H115" i="32"/>
  <c r="H116" i="32"/>
  <c r="H117" i="32"/>
  <c r="H118" i="32"/>
  <c r="H119" i="32"/>
  <c r="H120" i="32"/>
  <c r="H113" i="32"/>
  <c r="H103" i="32"/>
  <c r="H104" i="32"/>
  <c r="H105" i="32"/>
  <c r="H106" i="32"/>
  <c r="H107" i="32"/>
  <c r="H102" i="32"/>
  <c r="H96" i="32"/>
  <c r="H97" i="32"/>
  <c r="H98" i="32"/>
  <c r="H95" i="32"/>
  <c r="H44" i="32"/>
  <c r="H45" i="32"/>
  <c r="H43" i="32"/>
  <c r="H50" i="32"/>
  <c r="H51" i="32"/>
  <c r="H52" i="32"/>
  <c r="H53" i="32"/>
  <c r="H49" i="32"/>
  <c r="H58" i="32"/>
  <c r="H57" i="32"/>
  <c r="H65" i="32"/>
  <c r="H66" i="32"/>
  <c r="H64" i="32"/>
  <c r="H85" i="32"/>
  <c r="H86" i="32"/>
  <c r="H87" i="32"/>
  <c r="H88" i="32"/>
  <c r="H89" i="32"/>
  <c r="H90" i="32"/>
  <c r="H91" i="32"/>
  <c r="H84" i="32"/>
  <c r="I41" i="32" l="1"/>
  <c r="J58" i="32"/>
  <c r="I55" i="32"/>
  <c r="I47" i="32"/>
  <c r="I62" i="32"/>
  <c r="J162" i="32"/>
  <c r="J160" i="32" s="1"/>
  <c r="I160" i="32"/>
  <c r="I187" i="32"/>
  <c r="J199" i="32"/>
  <c r="J197" i="32" s="1"/>
  <c r="I197" i="32"/>
  <c r="J84" i="32"/>
  <c r="J82" i="32" s="1"/>
  <c r="I82" i="32"/>
  <c r="J95" i="32"/>
  <c r="J93" i="32" s="1"/>
  <c r="I93" i="32"/>
  <c r="J210" i="32"/>
  <c r="J208" i="32" s="1"/>
  <c r="I208" i="32"/>
  <c r="J154" i="32"/>
  <c r="I149" i="32"/>
  <c r="J113" i="32"/>
  <c r="J111" i="32" s="1"/>
  <c r="I111" i="32"/>
  <c r="J102" i="32"/>
  <c r="J100" i="32" s="1"/>
  <c r="I100" i="32"/>
  <c r="J57" i="32"/>
  <c r="J55" i="32" s="1"/>
  <c r="J151" i="32"/>
  <c r="J124" i="32"/>
  <c r="J122" i="32" s="1"/>
  <c r="J64" i="32"/>
  <c r="J62" i="32" s="1"/>
  <c r="J189" i="32"/>
  <c r="J187" i="32" s="1"/>
  <c r="H124" i="32"/>
  <c r="J51" i="32"/>
  <c r="J50" i="32"/>
  <c r="J49" i="32"/>
  <c r="J45" i="32"/>
  <c r="J44" i="32"/>
  <c r="J43" i="32"/>
  <c r="J149" i="32" l="1"/>
  <c r="J47" i="32"/>
  <c r="J41" i="32"/>
  <c r="I33" i="32"/>
  <c r="I34" i="32"/>
  <c r="I35" i="32"/>
  <c r="I32" i="32"/>
  <c r="H34" i="32"/>
  <c r="H35" i="32"/>
  <c r="H32" i="32"/>
  <c r="I30" i="32" l="1"/>
  <c r="J32" i="32"/>
  <c r="J35" i="32"/>
  <c r="J34" i="32"/>
  <c r="J33" i="32"/>
  <c r="J30" i="32" l="1"/>
  <c r="I70" i="32" l="1"/>
  <c r="H70" i="32"/>
  <c r="I68" i="32" l="1"/>
  <c r="I254" i="32" s="1"/>
  <c r="J24" i="32" s="1"/>
  <c r="J70" i="32"/>
  <c r="J68" i="32" s="1"/>
  <c r="J254" i="32" s="1"/>
  <c r="J22" i="32" l="1"/>
  <c r="L23" i="35"/>
  <c r="L22" i="35" s="1"/>
</calcChain>
</file>

<file path=xl/sharedStrings.xml><?xml version="1.0" encoding="utf-8"?>
<sst xmlns="http://schemas.openxmlformats.org/spreadsheetml/2006/main" count="4440" uniqueCount="812">
  <si>
    <t>SERVIÇOS PRELIMINARES</t>
  </si>
  <si>
    <t>1.1</t>
  </si>
  <si>
    <t>ESTRUTURA</t>
  </si>
  <si>
    <t>COBERTA</t>
  </si>
  <si>
    <t>PAVIMENTAÇÃO</t>
  </si>
  <si>
    <t>m</t>
  </si>
  <si>
    <t xml:space="preserve">m </t>
  </si>
  <si>
    <t>un</t>
  </si>
  <si>
    <t>PINTURA</t>
  </si>
  <si>
    <t>Total</t>
  </si>
  <si>
    <t>Item</t>
  </si>
  <si>
    <t>2.1</t>
  </si>
  <si>
    <t>MOVIMENTO DE TERRA</t>
  </si>
  <si>
    <t>2.2</t>
  </si>
  <si>
    <t>ITEM</t>
  </si>
  <si>
    <t>QUANT</t>
  </si>
  <si>
    <t>m²</t>
  </si>
  <si>
    <t>m³</t>
  </si>
  <si>
    <t>FUNDAÇÃO</t>
  </si>
  <si>
    <t>1.2</t>
  </si>
  <si>
    <t>1.3</t>
  </si>
  <si>
    <t>1.4</t>
  </si>
  <si>
    <t>Muro em alvenaria bloco cerâmico, e= 0,09m, c/ alv de pedra 0,35 x 0,60m, colunas (9x20cm) e cintamento (9x15cm) superior e inferior concreto armado fck = 15,0 Mpa cada 3,00m, chapisco e reboco</t>
  </si>
  <si>
    <t>Bancada em granito cinza andorinha, e=2cm</t>
  </si>
  <si>
    <t>2.3</t>
  </si>
  <si>
    <t xml:space="preserve"> </t>
  </si>
  <si>
    <t>DESCRIÇÃO DOS SERVIÇOS</t>
  </si>
  <si>
    <t>UND</t>
  </si>
  <si>
    <t xml:space="preserve">PREÇO UNITÁRIO </t>
  </si>
  <si>
    <t>BM 01</t>
  </si>
  <si>
    <t>ACUMULADO</t>
  </si>
  <si>
    <t>QUANTIDADE</t>
  </si>
  <si>
    <t>ORGÃO / PREFEITRURA MUNICIPAL DE SOUSA</t>
  </si>
  <si>
    <t>DATA DA MEDIÇÃO</t>
  </si>
  <si>
    <t>SALDO DO CONTRATO (R$)</t>
  </si>
  <si>
    <t>VALOR DAS MEDIÇÕES ANTERIORES (R$)</t>
  </si>
  <si>
    <t xml:space="preserve">VALOR DESTA MEDIÇÃO (R$) </t>
  </si>
  <si>
    <t>MEDIDO NO PERÍODO</t>
  </si>
  <si>
    <t>VALOR CONTRATADO</t>
  </si>
  <si>
    <t>ACUMULADO INCLUINDO O PERÍODO</t>
  </si>
  <si>
    <t>ETAPA 01: CONSTRUÇÃO DA ESCOLA</t>
  </si>
  <si>
    <t>1.1.1</t>
  </si>
  <si>
    <t>1.1.2</t>
  </si>
  <si>
    <t>M</t>
  </si>
  <si>
    <t>1.1.3</t>
  </si>
  <si>
    <t>1.1.4</t>
  </si>
  <si>
    <t>1.1.5</t>
  </si>
  <si>
    <t>1.1.6</t>
  </si>
  <si>
    <t>1.1.7</t>
  </si>
  <si>
    <t>1.1.8</t>
  </si>
  <si>
    <t>mês</t>
  </si>
  <si>
    <t>1.2.1</t>
  </si>
  <si>
    <t>ESCAVACAO MECANICA DE VALA EM MATERIAL DE 2A. CATEGORIA ATE 2 M DE PROFUNDIDADE COM UTILIZACAO DE ESCAVADEIRA HIDRAULICA</t>
  </si>
  <si>
    <t>1.2.2</t>
  </si>
  <si>
    <t>REATERRO MANUAL DE VALAS COM COMPACTAÇÃO MECANIZADA. AF_04/2016</t>
  </si>
  <si>
    <t>1.2.3</t>
  </si>
  <si>
    <t>ATERRO MANUAL DE VALAS COM SOLO ARGILO-ARENOSO E COMPACTAÇÃO MECANIZADA. AF_05/2016</t>
  </si>
  <si>
    <t>INFRAESTRUTURA</t>
  </si>
  <si>
    <t>1.3.1</t>
  </si>
  <si>
    <t>EMBASAMENTO C/PEDRA ARGAMASSADA UTILIZADO ARG.CIM/AREIA 1:4 (ADAPTADO SINAPI 95467)</t>
  </si>
  <si>
    <t>1.3.2</t>
  </si>
  <si>
    <t>ALVENARIA DE VEDAÇÃO DE BLOCOS CERÂMICOS FURADOS NA HORIZONTAL DE 9X19X19CM (ESPESSURA 9CM) DE PAREDES COM ÁREA LÍQUIDA MAIOR OU IGUAL A 6M² COM VÃOS E ARGAMASSA DE ASSENTAMENTO COM PREPARO MANUAL. AF_06/2014</t>
  </si>
  <si>
    <t>1.3.3</t>
  </si>
  <si>
    <t>LASTRO DE CONCRETO MAGRO, APLICADO EM BLOCOS DE COROAMENTO OU SAPATAS. AF_08/2017</t>
  </si>
  <si>
    <t>1.3.4</t>
  </si>
  <si>
    <t>CONCRETO ARMADO (PREPARO E LANÇAMENTO) PARA SAPATAS COM FCK=25MPA COM FORMA DE TABUA COM APROVEITAMENTO DE 2 VEZES COM BETONEIRA</t>
  </si>
  <si>
    <t>1.3.5</t>
  </si>
  <si>
    <t>CONCRETO ARMADO (PREPARO E LANÇAMENTO) PARA RADIER COM FCK=25MPA COM TABUA DE MADEIRA COM APROVEITAMENTO DE 3 VEZES COM BETONEIRA</t>
  </si>
  <si>
    <t>SUPERESTRUTURA</t>
  </si>
  <si>
    <t>1.4.1</t>
  </si>
  <si>
    <t>CONCRETO ARMADO (PREPARO E LANÇAMENTO) PARA VIGA COM FCK=25MPA, COM FORMA EM CHAPA DE MADEIRA COMPENSADA RESINADA, COM APROVEITAMENTO DE 3 VEZES COM BETONEIRA</t>
  </si>
  <si>
    <t>1.4.2</t>
  </si>
  <si>
    <t>CONCRETO ARMADO (PREPARO E LANÇAMENTO) PARA PILARES COM FCK=25MPA, COM FORMA EM CHAPA DE MADEIRA COMPENSADA RESINADA, COM APROVEITAMENTO DE 3 VEZES COM BETONEIRA</t>
  </si>
  <si>
    <t>1.4.3</t>
  </si>
  <si>
    <t>Prateleira em granito cinza andorinha, esp= 2cm</t>
  </si>
  <si>
    <t>1.4.4</t>
  </si>
  <si>
    <t>LAJE PRÉ-MOLDADA UNIDIRECIONAL, BIAPOIADA, PARA FORRO, ENCHIMENTO EM CERÂMICA, VIGOTA CONVENCIONAL, ALTURA TOTAL DA LAJE (ENCHIMENTO+CAPA) = (8+3). AF_11/2020</t>
  </si>
  <si>
    <t>1.5</t>
  </si>
  <si>
    <t>PAREDES E PAINEIS</t>
  </si>
  <si>
    <t>1.5.1</t>
  </si>
  <si>
    <t>ALVENARIA DE VEDAÇÃO DE BLOCOS CERÂMICOS FURADOS NA HORIZONTAL DE 9X19X19CM (ESPESSURA 9CM) DE PAREDES COM ÁREA LÍQUIDA MAIOR OU IGUAL A 6M² SEM VÃOS E ARGAMASSA DE ASSENTAMENTO COM PREPARO MANUAL. AF_06/2014</t>
  </si>
  <si>
    <t>M²</t>
  </si>
  <si>
    <t>1.5.2</t>
  </si>
  <si>
    <t>COBOGO DE CONCRETO (ELEMENTO VAZADO)10X29X39CM ABERTURA COM VIDRO, ASSENTADO COM ARGAMASSA TRAÇO 1:4 (CIMENTO E AREIA MEDIA NÃO PNEIRADA)</t>
  </si>
  <si>
    <t>1.5.3</t>
  </si>
  <si>
    <t>1.6</t>
  </si>
  <si>
    <t>ESQUADRIAS, FERRAGENS E VIDROS</t>
  </si>
  <si>
    <t>1.6.1</t>
  </si>
  <si>
    <t>KIT DE PORTA DE MADEIRA FRISADA, SEMI-OCA (LEVE OU MÉDIA), PADRÃO POPULAR, 70X210CM, ESPESSURA DE 3CM, ITENS INCLUSOS: DOBRADIÇAS, MONTAGEM E INSTALAÇÃO DO BATENTE, SEM FECHADURA - FORNECIMENTO E INSTALAÇÃO. AF_12/2019</t>
  </si>
  <si>
    <t>1.6.2</t>
  </si>
  <si>
    <t>KIT DE PORTA DE MADEIRA FRISADA, SEMI-OCA (LEVE OU MÉDIA), PADRÃO MÉDIO, 80X210CM, ESPESSURA DE 3,5CM, ITENS INCLUSOS: DOBRADIÇAS, MONTAGEM E INSTALAÇÃO DO BATENTE, SEM FECHADURA - FORNECIMENTO E INSTALAÇÃO. AF_12/2019</t>
  </si>
  <si>
    <t>1.6.3</t>
  </si>
  <si>
    <t>KIT DE PORTA DE MADEIRA FRISADA, SEMI-OCA (LEVE OU MÉDIA), PADRÃO MÉDIO, 190X210CM, ESPESSURA DE 3,5CM, ITENS INCLUSOS: DOBRADIÇAS, MONTAGEM E INSTALAÇÃO DO BATENTE, SEM FECHADURA - FORNECIMENTO E INSTALAÇÃO. AF_12/2019</t>
  </si>
  <si>
    <t>1.6.4</t>
  </si>
  <si>
    <t>JANELA DE AÇO TIPO BASCULANTE PARA VIDROS, COM BATENTE, FERRAGENS E PINTURA ANTICORROSIVA. EXCLUSIVE VIDROS, ACABAMENTO, ALIZAR E CONTRAMARCO. FORNECIMENTO E INSTALAÇÃO. AF_12/2019</t>
  </si>
  <si>
    <t>1.6.5</t>
  </si>
  <si>
    <t>Gradil Nylofor 3D, malha 20x5cm, Ø 5mm 250x103 cm, pintura branca, Belgo ou similar, inclusive postes e acessórios</t>
  </si>
  <si>
    <t>1.6.6</t>
  </si>
  <si>
    <t>Portão em ferro, em gradil metálico, padrão belgo ou equivalente, de correr</t>
  </si>
  <si>
    <t>1.6.7</t>
  </si>
  <si>
    <t>Barra de apoio, reta, fixa, em aço inox, l=90cm, d=1 1/2", Jackwal ou similar</t>
  </si>
  <si>
    <t>1.6.8</t>
  </si>
  <si>
    <t>1.6.9</t>
  </si>
  <si>
    <t>VIDRO FANTASIA CANELADO 4MM</t>
  </si>
  <si>
    <t>1.6.10</t>
  </si>
  <si>
    <t>FECHADURA DE EMBUTIR COM CILINDRO, EXTERNA, COMPLETA, ACABAMENTO PADRÃO MÉDIO, INCLUSO EXECUÇÃO DE FURO - FORNECIMENTO E INSTALAÇÃO. AF_12/2019</t>
  </si>
  <si>
    <t>1.6.11</t>
  </si>
  <si>
    <t>FECHADURA DE EMBUTIR COM CILINDRO, EXTERNA, COMPLETA, ACABAMENTO PADRÃO POPULAR, INCLUSO EXECUÇÃO DE FURO - FORNECIMENTO E INSTALAÇÃO. AF_12/2019</t>
  </si>
  <si>
    <t>1.7</t>
  </si>
  <si>
    <t>1.7.1</t>
  </si>
  <si>
    <t>FABRICAÇÃO E INSTALAÇÃO DE ESTRUTURA PONTALETADA DE MADEIRA NÃO APARELHADA PARA TELHADOS COM ATÉ 2 ÁGUAS E PARA TELHA CERÂMICA OU DE CONCRETO, INCLUSO TRANSPORTE VERTICAL. AF_12/2015</t>
  </si>
  <si>
    <t>1.7.2</t>
  </si>
  <si>
    <t>TRAMA DE MADEIRA COMPOSTA POR RIPAS, CAIBROS E TERÇAS PARA TELHADOS DE ATÉ 2 ÁGUAS PARA TELHA CERÂMICA CAPA-CANAL, INCLUSO TRANSPORTE VERTICAL. AF_07/2019</t>
  </si>
  <si>
    <t>1.7.3</t>
  </si>
  <si>
    <t>TELHAMENTO COM TELHA CERÂMICA CAPA-CANAL, TIPO PLAN, COM ATÉ 2 ÁGUAS, INCLUSO TRANSPORTE VERTICAL. AF_07/2019</t>
  </si>
  <si>
    <t>1.7.4</t>
  </si>
  <si>
    <t>CUMEEIRA PARA TELHA CERÂMICA EMBOÇADA COM ARGAMASSA TRAÇO 1:2:9 (CIMENTO, CAL E AREIA) PARA TELHADOS COM ATÉ 2 ÁGUAS, INCLUSO TRANSPORTE VERTICAL. AF_07/2019</t>
  </si>
  <si>
    <t>1.7.5</t>
  </si>
  <si>
    <t>ALGEROZ (RUFO) DE CONCRETO ARMADO FCK=20MPA L=40CM E H=5CM - ORSE (00304)</t>
  </si>
  <si>
    <t>1.7.6</t>
  </si>
  <si>
    <t>EMBOÇAMENTO COM ARGAMASSA TRAÇO 1:2:9 (CIMENTO, CAL E AREIA). AF_07/2019</t>
  </si>
  <si>
    <t>1.7.7</t>
  </si>
  <si>
    <t>Impermeabilização com aplicação de argamassa polimérica tipo Denvertec 100 ou similar</t>
  </si>
  <si>
    <t>1.7.8</t>
  </si>
  <si>
    <t>FORRO EM RÉGUAS DE PVC, FRISADO, PARA AMBIENTES RESIDENCIAIS, INCLUSIVE ESTRUTURA DE FIXAÇÃO. AF_05/2017_P</t>
  </si>
  <si>
    <t>1.8</t>
  </si>
  <si>
    <t>REVESTIMENTO E FORRO</t>
  </si>
  <si>
    <t>1.8.1</t>
  </si>
  <si>
    <t>CHAPISCO APLICADO EM ALVENARIAS E ESTRUTURAS DE CONCRETO INTERNAS, COM COLHER DE PEDREIRO. ARGAMASSA TRAÇO 1:3 COM PREPARO EM BETONEIRA 400L. AF_06/2014</t>
  </si>
  <si>
    <t>1.8.2</t>
  </si>
  <si>
    <t>MASSA ÚNICA, PARA RECEBIMENTO DE PINTURA, EM ARGAMASSA TRAÇO 1:2:8, PREPARO MECÂNICO COM BETONEIRA 400L, APLICADA MANUALMENTE EM FACES INTERNAS DE PAREDES, ESPESSURA DE 20MM, COM EXECUÇÃO DE TALISCAS. AF_06/2014</t>
  </si>
  <si>
    <t>1.8.3</t>
  </si>
  <si>
    <t>EMBOÇO, PARA RECEBIMENTO DE CERÂMICA, EM ARGAMASSA TRAÇO 1:2:8, PREPARO MANUAL, APLICADO MANUALMENTE EM FACES INTERNAS DE PAREDES, PARA AMBIENTE COM ÁREA MAIOR QUE 10M2, ESPESSURA DE 20MM, COM EXECUÇÃO DE TALISCAS. AF_06/2014</t>
  </si>
  <si>
    <t>1.8.4</t>
  </si>
  <si>
    <t>Revestimento cerâmico para parede, 10 x 10 cm, Eliane, linha galeria chumbo mesh ou similar, pei - 2, aplicado com argamassa industrializada ac-ii, rejuntado, exclusive regularização de base ou emboço - Rev 01</t>
  </si>
  <si>
    <t>1.9</t>
  </si>
  <si>
    <t>1.9.1</t>
  </si>
  <si>
    <t>APLICAÇÃO DE FUNDO SELADOR ACRÍLICO EM PAREDES, UMA DEMÃO. AF_06/2014</t>
  </si>
  <si>
    <t>1.9.2</t>
  </si>
  <si>
    <t>APLICAÇÃO E LIXAMENTO DE MASSA LÁTEX EM PAREDES, DUAS DEMÃOS. AF_06/2014</t>
  </si>
  <si>
    <t>1.9.3</t>
  </si>
  <si>
    <t>APLICAÇÃO MANUAL DE MASSA ACRÍLICA EM PANOS DE FACHADA SEM PRESENÇA DE VÃOS, DE EDIFÍCIOS DE MÚLTIPLOS PAVIMENTOS, DUAS DEMÃOS. AF_05/2017</t>
  </si>
  <si>
    <t>1.9.4</t>
  </si>
  <si>
    <t>APLICAÇÃO MANUAL DE PINTURA COM TINTA LÁTEX ACRÍLICA EM PAREDES, DUAS DEMÃOS. AF_06/2014</t>
  </si>
  <si>
    <t>1.9.5</t>
  </si>
  <si>
    <t>PINTURA TINTA DE ACABAMENTO (PIGMENTADA) ESMALTE SINTÉTICO FOSCO EM MADEIRA, 3 DEMÃOS. AF_01/2021</t>
  </si>
  <si>
    <t>1.9.6</t>
  </si>
  <si>
    <t>PINTURA COM TINTA ALQUÍDICA DE FUNDO E ACABAMENTO (ESMALTE SINTÉTICO GRAFITE) APLICADA A ROLO OU PINCEL SOBRE SUPERFÍCIES METÁLICAS (EXCETO PERFIL) EXECUTADO EM OBRA (POR DEMÃO). AF_01/2020</t>
  </si>
  <si>
    <t>1.9.7</t>
  </si>
  <si>
    <t>APLICAÇÃO MANUAL DE PINTURA COM TINTA LÁTEX PVA EM PAREDES, DUAS DEMÃOS. AF_06/2014</t>
  </si>
  <si>
    <t>1.9.8</t>
  </si>
  <si>
    <t>PINTURA IMUNIZANTE PARA MADEIRA, 1 DEMÃO. AF_01/2021</t>
  </si>
  <si>
    <t>1.10</t>
  </si>
  <si>
    <t>1.10.1</t>
  </si>
  <si>
    <t>LASTRO DE CONCRETO MAGRO, APLICADO EM PISOS OU RADIERS, ESPESSURA DE 5 CM. AF_07/2016</t>
  </si>
  <si>
    <t>1.10.2</t>
  </si>
  <si>
    <t>Regularização de base para revest. de pisos com arg. traço t4, esp. média = 2,5cm</t>
  </si>
  <si>
    <t>1.10.3</t>
  </si>
  <si>
    <t>REVESTIMENTO CERÂMICO PARA PISO COM PLACAS TIPO ESMALTADA EXTRA DE DIMENSÕES 45X45 CM APLICADA EM AMBIENTES DE ÁREA MENOR QUE 5 M2. AF_06/2014</t>
  </si>
  <si>
    <t>1.10.4</t>
  </si>
  <si>
    <t>PISO EM GRANILITE, MARMORITE OU GRANITINA EM AMBIENTES INTERNOS. AF_09/2020</t>
  </si>
  <si>
    <t>1.10.5</t>
  </si>
  <si>
    <t>EXECUÇÃO DE PASSEIO (CALÇADA) OU PISO DE CONCRETO COM CONCRETO MOLDADO IN LOCO, FEITO EM OBRA, ACABAMENTO CONVENCIONAL, ESPESSURA 6 CM, ARMADO. AF_07/2016</t>
  </si>
  <si>
    <t>1.10.6</t>
  </si>
  <si>
    <t>1.10.7</t>
  </si>
  <si>
    <t>EXECUÇÃO DE PASSEIO EM PISO INTERTRAVADO, COM BLOCO RETANGULAR COR NATURAL DE 20 X 10 CM, ESPESSURA 6 CM. AF_12/2015</t>
  </si>
  <si>
    <t>1.10.8</t>
  </si>
  <si>
    <t>RAMPA DE CALÇADA DE PASSEIO EM CONCRETO PARA ACESSIBILIDADE DE PORTADORES DE NECESSIDADES ESPECIAIS (PNE) EXECUTADA CONCRETO ESTRUTURAL INCLUSIVE SINALIZAÇÃO TATIL DE ALERTA (25X25CM) E SINALIZAÇÃO UNIVERSAL EM TINTA ACRILICA-ESTIRENADA (0,80 X 1,60)M</t>
  </si>
  <si>
    <t>1.11</t>
  </si>
  <si>
    <t>INSTALAÇÕES HIDRAULICAS - LOUÇAS E METAIS</t>
  </si>
  <si>
    <t>1.11.1</t>
  </si>
  <si>
    <t>1.11.2</t>
  </si>
  <si>
    <t>VASO SANITARIO SIFONADO CONVENCIONAL PARA PCD SEM FURO FRONTAL COM LOUÇA BRANCA SEM ASSENTO, INCLUSO CONJUNTO DE LIGAÇÃO PARA BACIA SANITÁRIA AJUSTÁVEL - FORNECIMENTO E INSTALAÇÃO. AF_01/2020</t>
  </si>
  <si>
    <t>1.11.3</t>
  </si>
  <si>
    <t>Lavatório louça de canto (Deca-Izy, ref L-10117 ou similar) sem coluna, c/ sifão cromado, válvula cromada, engate cromado, exclusive torneira</t>
  </si>
  <si>
    <t>1.11.4</t>
  </si>
  <si>
    <t>Lavatório louça (Deca-Ravena ref L-915) sem coluna, c/válvula, sifão, engate e torneira (herc ref 1994) todos de plástico, conj. de fixação (deca ref sp7) ou similares</t>
  </si>
  <si>
    <t>1.11.5</t>
  </si>
  <si>
    <t>REGISTRO DE GAVETA BRUTO, LATÃO, ROSCÁVEL, 1 1/2, COM ACABAMENTO E CANOPLA CROMADOS, INSTALADO EM RESERVAÇÃO DE ÁGUA DE EDIFICAÇÃO QUE POSSUA RESERVATÓRIO DE FIBRA/FIBROCIMENTO FORNECIMENTO E INSTALAÇÃO. AF_06/2016</t>
  </si>
  <si>
    <t>1.11.6</t>
  </si>
  <si>
    <t>REGISTRO DE PRESSÃO BRUTO, LATÃO, ROSCÁVEL, 3/4", COM ACABAMENTO E CANOPLA CROMADOS. FORNECIDO E INSTALADO EM RAMAL DE ÁGUA. AF_12/2014</t>
  </si>
  <si>
    <t>1.11.7</t>
  </si>
  <si>
    <t>TORNEIRA CROMADA TUBO MÓVEL, DE PAREDE, 1/2 OU 3/4, PARA PIA DE COZINHA, PADRÃO MÉDIO - FORNECIMENTO E INSTALAÇÃO. AF_01/2020</t>
  </si>
  <si>
    <t>1.11.8</t>
  </si>
  <si>
    <t>TORNEIRA CROMADA DE MESA, 1/2 OU 3/4, PARA LAVATÓRIO, PADRÃO MÉDIO - FORNECIMENTO E INSTALAÇÃO. AF_01/2020</t>
  </si>
  <si>
    <t>1.11.9</t>
  </si>
  <si>
    <t>TORNEIRA CROMADA 1/2 OU 3/4 PARA TANQUE, PADRÃO MÉDIO - FORNECIMENTO E INSTALAÇÃO. AF_01/2020</t>
  </si>
  <si>
    <t>1.11.10</t>
  </si>
  <si>
    <t>Cabide em aço inox, MOLDENOX, linha stylus 108 RSL ou similar</t>
  </si>
  <si>
    <t>1.11.11</t>
  </si>
  <si>
    <t>Chuveiro plástico sem registro</t>
  </si>
  <si>
    <t>1.11.12</t>
  </si>
  <si>
    <t>SABONETEIRA PLASTICA TIPO DISPENSER PARA SABONETE LIQUIDO COM RESERVATORIO 800 A 1500 ML, INCLUSO FIXAÇÃO. AF_01/2020</t>
  </si>
  <si>
    <t>1.11.13</t>
  </si>
  <si>
    <t>Dispenser para toalha interfolhada</t>
  </si>
  <si>
    <t>1.11.14</t>
  </si>
  <si>
    <t>Dispenser, em plástico, para papel higiênico em rolo</t>
  </si>
  <si>
    <t>1.11.15</t>
  </si>
  <si>
    <t>RALO SIFONADO, PVC, DN 100 X 40 MM, JUNTA SOLDÁVEL, FORNECIDO E INSTALADO EM RAMAL DE DESCARGA OU EM RAMAL DE ESGOTO SANITÁRIO. AF_12/2014</t>
  </si>
  <si>
    <t>1.11.16</t>
  </si>
  <si>
    <t>TANQUE DE MÁRMORE SINTÉTICO SUSPENSO, 22L OU EQUIVALENTE - FORNECIMENTO E INSTALAÇÃO. AF_01/2020</t>
  </si>
  <si>
    <t>1.11.17</t>
  </si>
  <si>
    <t>BANCADA DE MÁRMORE SINTÉTICO, DE 120 X 60CM, COM CUBA INTEGRADA - FORNECIMENTO E INSTALAÇÃO. AF_01/2020</t>
  </si>
  <si>
    <t>1.11.18</t>
  </si>
  <si>
    <t>ESPELHO CRISTAL ESPESSURA 4MM</t>
  </si>
  <si>
    <t>1.11.19</t>
  </si>
  <si>
    <t>BANCO ARTICULADO, EM ACO INOX, PARA PCD, FIXADO NA PAREDE - FORNECIMENTO E INSTALAÇÃO. AF_01/2020</t>
  </si>
  <si>
    <t>1.11.20</t>
  </si>
  <si>
    <t>1.11.21</t>
  </si>
  <si>
    <t>PONTO DE CONSUMO TERMINAL DE ÁGUA FRIA (SUBRAMAL) COM TUBULAÇÃO DE PVC, DN 25 MM, INSTALADO EM RAMAL DE ÁGUA, INCLUSOS RASGO E CHUMBAMENTO EM ALVENARIA. AF_12/2014</t>
  </si>
  <si>
    <t>1.11.22</t>
  </si>
  <si>
    <t>CAIXA ENTERRADA HIDRÁULICA RETANGULAR EM ALVENARIA COM TIJOLOS CERÂMICOS MACIÇOS, DIMENSÕES INTERNAS: 0,4X0,4X0,4 M PARA REDE DE ESGOTO. AF_12/2020</t>
  </si>
  <si>
    <t>1.11.23</t>
  </si>
  <si>
    <t>BEBEDOURO INDUSTRIAL (CENTRAL E AGUA GELADA) EM CHAPA DE AÇO VARBONO GALVANIZADA COM CAPACIDADEDE 200 LITROS CONTROLE DE TEMPERATURA ENTRE -5C E 15C CARTUCHO FILTRANTE EM FIBRA DE CELULOSE, APARADOR COM 04 TORNEIRAS EM AÇO INOX 304, UNIDADE CONDENSADORA COM BAIXO CONSUMO DE ENERGIA E RUIDO E CAPACIDADE DE 1/5 HP E TUBULAÇÃO FRIGORIFICA PARA GARANTIR A QUALIDADE DA AGUA - FORNECIMENTO E INSTALAÇÃO</t>
  </si>
  <si>
    <t>1.11.24</t>
  </si>
  <si>
    <t>Caixa d´água em fibra de vidro - instalada, sem estrutura de suporte cap. 10.000 litros</t>
  </si>
  <si>
    <t>1.12</t>
  </si>
  <si>
    <t>INSTALAÇÕES SANITÁRIAS</t>
  </si>
  <si>
    <t>1.12.1</t>
  </si>
  <si>
    <t>1.12.2</t>
  </si>
  <si>
    <t>(COMPOSIÇÃO REPRESENTATIVA) DO SERVIÇO DE INST. TUBO PVC, SÉRIE N, ESGOTO PREDIAL, 100 MM (INST. RAMAL DESCARGA, RAMAL DE ESG. SANIT., PRUMADA ESG. SANIT., VENTILAÇÃO OU SUB-COLETOR AÉREO), INCL. CONEXÕES E CORTES, FIXAÇÕES, P/ PRÉDIOS. AF_10/2015</t>
  </si>
  <si>
    <t>1.12.3</t>
  </si>
  <si>
    <t>Caixa de inspeção 0.60 x 0.60 x 0.60m</t>
  </si>
  <si>
    <t>1.12.4</t>
  </si>
  <si>
    <t>Caixa de inspeção 0,30 x 0,30 x 0,40m</t>
  </si>
  <si>
    <t>1.12.5</t>
  </si>
  <si>
    <t>Caixa de passagem em alvenaria de tijolos maciços esp. = 0,12m, dim. int. = 0.50 x 0.50 x 0.50m</t>
  </si>
  <si>
    <t>1.12.6</t>
  </si>
  <si>
    <t>Ponto de esgoto com tubo de pvc rígido soldável de Ø 40 mm (lavatórios, mictórios, ralos sifonados, etc...)</t>
  </si>
  <si>
    <t>1.12.7</t>
  </si>
  <si>
    <t>Ponto de esgoto com tubo de pvc rígido soldável de Ø 50 mm (pias de cozinha, máquinas de lavar, etc...)</t>
  </si>
  <si>
    <t>Ponto de esgoto com tubo de pvc rígido soldável de Ø 100 mm (vaso sanitário)</t>
  </si>
  <si>
    <t>pt</t>
  </si>
  <si>
    <t>1.12.8</t>
  </si>
  <si>
    <t>1.13</t>
  </si>
  <si>
    <t>INSTALAÇÕES ELÉTRICAS, TELEFONICAS E MECANICAS</t>
  </si>
  <si>
    <t>1.13.1</t>
  </si>
  <si>
    <t>1.13.2</t>
  </si>
  <si>
    <t>Caixa de passagem em alvenaria de tijolos maciços esp. = 0,12m, dim. int. = 0.60 x 0.60 x 0.60m</t>
  </si>
  <si>
    <t>1.13.3</t>
  </si>
  <si>
    <t>DISJUNTOR TRIPOLAR TIPO DIN, CORRENTE NOMINAL DE 10A - FORNECIMENTO E INSTALAÇÃO. AF_10/2020</t>
  </si>
  <si>
    <t>1.13.4</t>
  </si>
  <si>
    <t>DISJUNTOR TRIPOLAR TIPO DIN, CORRENTE NOMINAL DE 25A - FORNECIMENTO E INSTALAÇÃO. AF_10/2020</t>
  </si>
  <si>
    <t>1.13.5</t>
  </si>
  <si>
    <t>DISPOSITIVO DPS CLASSE II, 1 POLO, TENSÃO MAXIMA DE 220/380V, CORRENTE NOMINAL &gt; 20KA TIPO AC - SINAPI (74130/001)</t>
  </si>
  <si>
    <t>1.13.6</t>
  </si>
  <si>
    <t>DISJUNTOR BIPOLAR TIPO DIN, CORRENTE NOMINAL DE 50A - FORNECIMENTO E INSTALAÇÃO. AF_10/2020</t>
  </si>
  <si>
    <t>1.13.7</t>
  </si>
  <si>
    <t>DISJUNTOR TRIPOLAR TIPO NEMA, CORRENTE NOMINAL DE 10 ATÉ 50A - FORNECIMENTO E INSTALAÇÃO. AF_10/2020</t>
  </si>
  <si>
    <t>1.13.8</t>
  </si>
  <si>
    <t>INTERRUPTOR SIMPLES (1 MÓDULO), 10A/250V, INCLUINDO SUPORTE E PLACA - FORNECIMENTO E INSTALAÇÃO. AF_12/2015</t>
  </si>
  <si>
    <t>1.13.9</t>
  </si>
  <si>
    <t>INTERRUPTOR SIMPLES (2 MÓDULOS), 10A/250V, INCLUINDO SUPORTE E PLACA - FORNECIMENTO E INSTALAÇÃO. AF_12/2015</t>
  </si>
  <si>
    <t>1.13.10</t>
  </si>
  <si>
    <t>LUMINÁRIA TIPO CALHA, DE SOBREPOR, COM 2 LÂMPADAS TUBULARES FLUORESCENTES DE 18 W, COM REATOR DE PARTIDA RÁPIDA - FORNECIMENTO E INSTALAÇÃO. AF_02/2020</t>
  </si>
  <si>
    <t>1.13.11</t>
  </si>
  <si>
    <t>LUMINÁRIA TIPO CALHA, DE SOBREPOR, COM 2 LÂMPADAS TUBULARES FLUORESCENTES DE 36 W, COM REATOR DE PARTIDA RÁPIDA - FORNECIMENTO E INSTALAÇÃO. AF_02/2020</t>
  </si>
  <si>
    <t>1.13.12</t>
  </si>
  <si>
    <t>LUMINÁRIA DE EMERGÊNCIA, COM 30 LÂMPADAS LED DE 2 W, SEM REATOR - FORNECIMENTO E INSTALAÇÃO. AF_02/2020</t>
  </si>
  <si>
    <t>1.13.13</t>
  </si>
  <si>
    <t>PONTO DE ILUMINAÇÃO RESIDENCIAL INCLUINDO INTERRUPTOR SIMPLES, CAIXA ELÉTRICA, ELETRODUTO, CABO, RASGO, QUEBRA E CHUMBAMENTO (EXCLUINDO LUMINÁRIA E LÂMPADA). AF_01/2016</t>
  </si>
  <si>
    <t>1.13.14</t>
  </si>
  <si>
    <t>PONTO DE TOMADA RESIDENCIAL INCLUINDO TOMADA 10A/250V, CAIXA ELÉTRICA, ELETRODUTO, CABO, RASGO, QUEBRA E CHUMBAMENTO. AF_01/2016</t>
  </si>
  <si>
    <t>1.13.15</t>
  </si>
  <si>
    <t>PONTO DE TOMADA RESIDENCIAL INCLUINDO TOMADA 20A/250V, CAIXA ELÉTRICA, ELETRODUTO, CABO, RASGO, QUEBRA E CHUMBAMENTO. AF_01/2016</t>
  </si>
  <si>
    <t>1.13.16</t>
  </si>
  <si>
    <t>PONTO DE UTILIZAÇÃO DE EQUIPAMENTOS ELÉTRICOS, RESIDENCIAL, INCLUINDO SUPORTE E PLACA, CAIXA ELÉTRICA, ELETRODUTO, CABO, RASGO, QUEBRA E CHUMBAMENTO. AF_01/2016</t>
  </si>
  <si>
    <t>1.13.17</t>
  </si>
  <si>
    <t>1.13.18</t>
  </si>
  <si>
    <t>QUADRO DE DISTRIBUIÇÃO DE ENERGIA EM CHAPA DE AÇO GALVANIZADO, DE EMBUTIR, COM BARRAMENTO TRIFÁSICO, PARA 24 DISJUNTORES DIN 100A - FORNECIMENTO E INSTALAÇÃO. AF_10/2020</t>
  </si>
  <si>
    <t>1.13.19</t>
  </si>
  <si>
    <t>QUADRO DE DISTRIBUIÇÃO DE ENERGIA EM CHAPA DE AÇO GALVANIZADO, DE EMBUTIR, COM BARRAMENTO TRIFÁSICO, PARA 12 DISJUNTORES DIN 100A - FORNECIMENTO E INSTALAÇÃO. AF_10/2020</t>
  </si>
  <si>
    <t>1.13.20</t>
  </si>
  <si>
    <t>Ponto de telefone, com eletroduto de pvc rígido embutido Ø 3/4"</t>
  </si>
  <si>
    <t>1.13.21</t>
  </si>
  <si>
    <t>Ponto para cabeamento estruturado embutido, com eletroduto pvc rígido Ø 3/4" c/cabo UTP 4 pares cat. 6</t>
  </si>
  <si>
    <t>1.13.22</t>
  </si>
  <si>
    <t>Conjunto moto-bomba com motor de 3/4 cv, trifásico, bomba centrífuga, sucção=1", recalque=1", pr. máx. 26 mca, alt. sucção 8 mca. faixas hm (m) - q (m3/h) : (23-3,4)(20-4,7)(17-5,7)(14-6,6)(11- 7,3), inclusive chave de partida direta</t>
  </si>
  <si>
    <t>1.13.23</t>
  </si>
  <si>
    <t>INTERRUPTOR PULSADOR CAMPAINHA (1 MÓDULO), 10A/250V, INCLUINDO SUPORTE E PLACA - FORNECIMENTO E INSTALAÇÃO. AF_09/2017</t>
  </si>
  <si>
    <t>1.13.24</t>
  </si>
  <si>
    <t>ENTRADA DE ENERGIA ELÉTRICA, AÉREA, TRIFÁSICA, COM CAIXA DE EMBUTIR, CABO DE 10 MM2 E DISJUNTOR DIN 50A (NÃO INCLUSO O POSTE DE CONCRETO). AF_07/2020</t>
  </si>
  <si>
    <t>1.14</t>
  </si>
  <si>
    <t>ELEMENTOS DECORATIVOS MOBILIARIO</t>
  </si>
  <si>
    <t>1.14.1</t>
  </si>
  <si>
    <t>Pintura de Letras - letreiro, sobre paredes, com lixamento, aplicação de 01 demão de líquido selador acrílico, 02 demãos de massa acrílica e 02 demãos de tinta pva latex convencional para exteriores</t>
  </si>
  <si>
    <t>1.14.2</t>
  </si>
  <si>
    <t>Placa de inauguração em alumínio com Acrilico, 80x60cm,com logomarca e moldura</t>
  </si>
  <si>
    <t>1.14.3</t>
  </si>
  <si>
    <t>Mastro simples em tubo ferro galvanizado, alt (útil)= 6m (3,80m x 2" + 2,20m x 1 1/2")</t>
  </si>
  <si>
    <t>1.14.4</t>
  </si>
  <si>
    <t>1.14.5</t>
  </si>
  <si>
    <t>Quadro escolar em fórmica branca com moldura</t>
  </si>
  <si>
    <t>1.14.6</t>
  </si>
  <si>
    <t>EXTINTOR DE INCÊNDIO PORTÁTIL COM CARGA DE ÁGUA PRESSURIZADA DE 10 L, CLASSE A - FORNECIMENTO E INSTALAÇÃO. AF_10/2020_P</t>
  </si>
  <si>
    <t>1.14.7</t>
  </si>
  <si>
    <t>EXTINTOR DE INCÊNDIO PORTÁTIL COM CARGA DE PQS DE 4 KG, CLASSE BC - FORNECIMENTO E INSTALAÇÃO. AF_10/2020_P</t>
  </si>
  <si>
    <t>1.15</t>
  </si>
  <si>
    <t>LIMPEZA, ENTREGA DA OBRA</t>
  </si>
  <si>
    <t>1.15.1</t>
  </si>
  <si>
    <t>Limpeza geral</t>
  </si>
  <si>
    <t>1.15.2</t>
  </si>
  <si>
    <t>bota-fora (carga manual, transporte e descarga mecanica, caminhão basculante de 10m³) ate 5,00km</t>
  </si>
  <si>
    <t>ETAPA 02: RECREIO COBERTO</t>
  </si>
  <si>
    <t>2.1.1</t>
  </si>
  <si>
    <t>LOCACAO CONVENCIONAL DE OBRA, UTILIZANDO GABARITO DE TÁBUAS CORRIDAS PONTALETADAS A CADA 2,00M - 2 UTILIZAÇÕES. AF_10/2018</t>
  </si>
  <si>
    <t>2.2.1</t>
  </si>
  <si>
    <t>2.2.2</t>
  </si>
  <si>
    <t>LOCACAO CONVENCIONAL DE OBRA, UTILIZANDO GABARITO DE TÁBUAS CORRIDAS PONTALETADAS A CADA 2,00M - 2 UTILIZAÇÕES. AF_10/2020</t>
  </si>
  <si>
    <t>2.3.1</t>
  </si>
  <si>
    <t>2.3.2</t>
  </si>
  <si>
    <t>2.3.3</t>
  </si>
  <si>
    <t>(COMPOSIÇÃO REPRESENTATIVA) EXECUÇÃO DE ESTRUTURAS DE CONCRETO ARMADO CONVENCIONAL, PARA EDIFICAÇÃO HABITACIONAL MULTIFAMILIAR (PRÉDIO), FCK = 25 MPA. AF_01/2017</t>
  </si>
  <si>
    <t>2.4</t>
  </si>
  <si>
    <t>2.4.1</t>
  </si>
  <si>
    <t>(COMPOSIÇÃO REPRESENTATIVA) EXECUÇÃO DE ESTRUTURAS DE CONCRETO ARMADO, PARA EDIFICAÇÃO HABITACIONAL UNIFAMILIAR COM DOIS PAVIMENTOS (CASA EM EMPREENDIMENTOS), FCK = 25 MPA. AF_01/2017</t>
  </si>
  <si>
    <t>2.5</t>
  </si>
  <si>
    <t>ALVENARIA</t>
  </si>
  <si>
    <t>2.5.1</t>
  </si>
  <si>
    <t>2.6</t>
  </si>
  <si>
    <t>COBERTURA</t>
  </si>
  <si>
    <t>2.6.1</t>
  </si>
  <si>
    <t>2.6.2</t>
  </si>
  <si>
    <t>INSTALAÇÃO DE TESOURA (INTEIRA OU MEIA), BIAPOIADA, EM MADEIRA NÃO APARELHADA, PARA VÃOS MAIORES OU IGUAIS A 6,0 M E MENORES QUE 8,0 M, INCLUSO IÇAMENTO. AF_07/2019</t>
  </si>
  <si>
    <t>2.6.3</t>
  </si>
  <si>
    <t>2.6.4</t>
  </si>
  <si>
    <t>2.7</t>
  </si>
  <si>
    <t>REVESTIMENTO</t>
  </si>
  <si>
    <t>2.7.1</t>
  </si>
  <si>
    <t>2.7.2</t>
  </si>
  <si>
    <t>2.7.3</t>
  </si>
  <si>
    <t>2.8</t>
  </si>
  <si>
    <t>PISOS</t>
  </si>
  <si>
    <t>2.8.1</t>
  </si>
  <si>
    <t>2.8.2</t>
  </si>
  <si>
    <t>2.8.3</t>
  </si>
  <si>
    <t>2.9</t>
  </si>
  <si>
    <t>INSTALAÇÃO ELÉTRICA</t>
  </si>
  <si>
    <t>2.9.1</t>
  </si>
  <si>
    <t>2.9.2</t>
  </si>
  <si>
    <t>2.9.3</t>
  </si>
  <si>
    <t>Refletor Slim LED 150W de potência, branco Frio, 6500k, Autovolt, marca G-light ou similar - Rev 01</t>
  </si>
  <si>
    <t>2.9.4</t>
  </si>
  <si>
    <t>CAIXA RETANGULAR 4" X 4" MÉDIA (1,30 M DO PISO), PVC, INSTALADA EM PAREDE - FORNECIMENTO E INSTALAÇÃO. AF_12/2015</t>
  </si>
  <si>
    <t>2.9.5</t>
  </si>
  <si>
    <t>CABO DE COBRE FLEXÍVEL ISOLADO, 2,5 MM², ANTI-CHAMA 0,6/1,0 KV, PARA CIRCUITOS TERMINAIS - FORNECIMENTO E INSTALAÇÃO. AF_12/2015</t>
  </si>
  <si>
    <t>receber + BDI</t>
  </si>
  <si>
    <t>TOTAL ORÇAMENTARIO</t>
  </si>
  <si>
    <t>Obra:</t>
  </si>
  <si>
    <t>Proprietário:</t>
  </si>
  <si>
    <t>Local:</t>
  </si>
  <si>
    <t>Responsável Técnico:</t>
  </si>
  <si>
    <t>Nivson Alessandre Freire Costa
CREA: 160148368-6</t>
  </si>
  <si>
    <t>Descrição</t>
  </si>
  <si>
    <t>Vez</t>
  </si>
  <si>
    <t>Dados</t>
  </si>
  <si>
    <t>Resultado</t>
  </si>
  <si>
    <t>Un.</t>
  </si>
  <si>
    <t>X1</t>
  </si>
  <si>
    <t>X2</t>
  </si>
  <si>
    <t>Y1</t>
  </si>
  <si>
    <t>Y2</t>
  </si>
  <si>
    <t>Z1</t>
  </si>
  <si>
    <t>Z2</t>
  </si>
  <si>
    <t>Parcial</t>
  </si>
  <si>
    <t>MEMÓRIA DE CÁLCULO - BM-01</t>
  </si>
  <si>
    <t xml:space="preserve">PLACA   DE   OBRA   EM   CHAPA   DE   ACO GALVANIZADO </t>
  </si>
  <si>
    <t>LIMPEZA MECANIZADA DE CAMADA VEGETAL, VEGETAÇÃO E PEQUENAS ÁRVORES DIÂMETRO DE TRONCO MENOR QUE 0,20 M), COM TRATOR DE ESTEIRAS.AF_05/2018</t>
  </si>
  <si>
    <t>LIGAÇÃO PREDIAL DE ÁGUA EM MURETA DE CONCRETO, PROVISÓRIA OU DEFINITIVA, COM FORNECIMENTO DE MATERIAL, INCLUSIVE MURETA E HIDRÔMETRO, REDE DN 50MM</t>
  </si>
  <si>
    <t>ENTRADA    DE    ENERGIA    ELETRICA MONOFASICA  COM  POSTE  DE  CONCRETO, INCLUSIVE   CABEAMENTO,   CAIXA   DE PROTECAO     PARA     MEDIDOR</t>
  </si>
  <si>
    <t>LIGACAO DOMICILIAR DE ESGOTO DN 100MM, DA  CASA  ATE  A  CAIXA,  COMPOSTO  POR 10,0M  TUBO  DE  PVC  ESGOTO  PREDIAL  DN
100MM E CAIXA DE ALVENARIA COM TAMPA DE   CONCRETO   -   FORNECIMENTO</t>
  </si>
  <si>
    <t>LOCAÇÃO DE CONTAINER - ALMOXARIFADO COM BANHEIRO - 6,00 X 2,30M</t>
  </si>
  <si>
    <t xml:space="preserve"> LOCAÇÃO DE CONTAINER - ESCRITÓRIO COM BANHEIRO - 6,20 X 2,20M</t>
  </si>
  <si>
    <t>und</t>
  </si>
  <si>
    <t>VB-1</t>
  </si>
  <si>
    <r>
      <t>m</t>
    </r>
    <r>
      <rPr>
        <b/>
        <vertAlign val="superscript"/>
        <sz val="10"/>
        <rFont val="Arial"/>
        <family val="2"/>
      </rPr>
      <t>3</t>
    </r>
  </si>
  <si>
    <t>VB-4</t>
  </si>
  <si>
    <t>VB-5</t>
  </si>
  <si>
    <t>VB-6</t>
  </si>
  <si>
    <t>VB-7</t>
  </si>
  <si>
    <t>VB-8</t>
  </si>
  <si>
    <t>VB-9</t>
  </si>
  <si>
    <t>VB-10</t>
  </si>
  <si>
    <t>VB-11</t>
  </si>
  <si>
    <t>VB-12</t>
  </si>
  <si>
    <t>VB-13</t>
  </si>
  <si>
    <t>VB-14</t>
  </si>
  <si>
    <t>VB-15</t>
  </si>
  <si>
    <t>VB-16</t>
  </si>
  <si>
    <t>VB-17</t>
  </si>
  <si>
    <t>VB-18</t>
  </si>
  <si>
    <t>VB-19</t>
  </si>
  <si>
    <t>VB-20</t>
  </si>
  <si>
    <t>VB-21</t>
  </si>
  <si>
    <t>VB-22</t>
  </si>
  <si>
    <t>VB-23</t>
  </si>
  <si>
    <t>VB-24</t>
  </si>
  <si>
    <t>VB-25</t>
  </si>
  <si>
    <t>VB-26</t>
  </si>
  <si>
    <t>VB-27</t>
  </si>
  <si>
    <t>VB-28</t>
  </si>
  <si>
    <t>VB-29</t>
  </si>
  <si>
    <t>VB-30</t>
  </si>
  <si>
    <t>VB-31</t>
  </si>
  <si>
    <t>VB-32</t>
  </si>
  <si>
    <t>VB-33</t>
  </si>
  <si>
    <t>VB-34</t>
  </si>
  <si>
    <t>VB-35</t>
  </si>
  <si>
    <t>VB-36</t>
  </si>
  <si>
    <t>VB-37</t>
  </si>
  <si>
    <t>VB-38</t>
  </si>
  <si>
    <t>VB-39</t>
  </si>
  <si>
    <t>VB-40</t>
  </si>
  <si>
    <t>VB-41</t>
  </si>
  <si>
    <t>Escavação alvenaria pedra</t>
  </si>
  <si>
    <t>S11=S12=S13=S15=S16=S17=S18=S19=S10=S14</t>
  </si>
  <si>
    <t>S20=S21=S22=S23=S24=S25=S26=S27=S28=S29=S30=S31</t>
  </si>
  <si>
    <t>S32=S50=S53=S54=S55=S56=S34=S48</t>
  </si>
  <si>
    <t>S3=S5=S7=S9=S45=S52= S40=S43=S38=S57</t>
  </si>
  <si>
    <t>S1=S2=S4=S6=S8=S33=S35=S36=S58=S51=S37=S44</t>
  </si>
  <si>
    <t>VALOR DA PLANILHA</t>
  </si>
  <si>
    <t>P1=P2=P3=P4=P5=P6=P7=P8=P9=P16=P17=P18=P29=P32=P33=P34=P37=P38=P39=P40=P41=P42=P43=P44=P45=P46=P51=P52=P53=P58</t>
  </si>
  <si>
    <t>P10=P14=P15=P47=P48=P49=P50=P54=P55=P56=P57=P11=P12=P13=P19=P35=P36</t>
  </si>
  <si>
    <t>P20=P21=P22=P23=P24=P25=P26=P28=P30=P31=P24</t>
  </si>
  <si>
    <t>BM - 01</t>
  </si>
  <si>
    <t>ESTADO DA PARAÍBA</t>
  </si>
  <si>
    <t>Contratante: CONSTRUTORA J. GALDINO EIRELI - EPP</t>
  </si>
  <si>
    <t xml:space="preserve"> PREFEITURA MUNICIPAL DE SOUSA</t>
  </si>
  <si>
    <t>Contratante: PREFEITURA MUNICIPAL DE SOUSA - PB</t>
  </si>
  <si>
    <t>OBRA:  CONSTRUÇÃO DE UMA UNIDADE ESCOLAR COM 4 SALAS DE AULA, NO NÚCLEO HABITACIONAL II,
MUNICÍPIO DE SOUSA/PB</t>
  </si>
  <si>
    <t>DESCONTO PILARES</t>
  </si>
  <si>
    <t>ÁREA SALAS DE AULA</t>
  </si>
  <si>
    <t>ÁREA ADMINISTRATIVA</t>
  </si>
  <si>
    <r>
      <t>VALOR POR EXTENSO DESTA MEDIÇÃO: SETENTA E SEIS</t>
    </r>
    <r>
      <rPr>
        <sz val="12"/>
        <color theme="1"/>
        <rFont val="Calibri"/>
        <family val="2"/>
        <scheme val="minor"/>
      </rPr>
      <t xml:space="preserve"> MIL, OITOCENTOS E OITENTA REAIS E QUARENTA E SEIS CENTAVOS</t>
    </r>
  </si>
  <si>
    <t>CONSTRUÇÃO DE UNIDADE ESCOLAR COM 04 SALAS DE AULA EM SOUSA- PB</t>
  </si>
  <si>
    <t>Prefeitura Municipal de Sousa</t>
  </si>
  <si>
    <t>Nucleo Habitacional II</t>
  </si>
  <si>
    <t>MEMÓRIA DE CÁLCULO - BM-02</t>
  </si>
  <si>
    <t>VT-1</t>
  </si>
  <si>
    <t>VT-2</t>
  </si>
  <si>
    <t>VT-3</t>
  </si>
  <si>
    <t>VT-4</t>
  </si>
  <si>
    <t>VT-5</t>
  </si>
  <si>
    <t>VT-6</t>
  </si>
  <si>
    <t>VT-7</t>
  </si>
  <si>
    <t>VT-8</t>
  </si>
  <si>
    <t>VT-9</t>
  </si>
  <si>
    <t>VT-10</t>
  </si>
  <si>
    <t>VT-11</t>
  </si>
  <si>
    <t>VT-12</t>
  </si>
  <si>
    <t>VT-13</t>
  </si>
  <si>
    <t>VT-14</t>
  </si>
  <si>
    <t>VT-15</t>
  </si>
  <si>
    <t>VT-16</t>
  </si>
  <si>
    <t>VT-17</t>
  </si>
  <si>
    <t>VT-19</t>
  </si>
  <si>
    <t>VT-20</t>
  </si>
  <si>
    <t>VT-21</t>
  </si>
  <si>
    <t>VT-23</t>
  </si>
  <si>
    <t>VT-24</t>
  </si>
  <si>
    <t>VT-25</t>
  </si>
  <si>
    <t>VT-26</t>
  </si>
  <si>
    <t>VT-27</t>
  </si>
  <si>
    <t>VT-28</t>
  </si>
  <si>
    <t>VT-29</t>
  </si>
  <si>
    <t>VT-30</t>
  </si>
  <si>
    <t>VT-31</t>
  </si>
  <si>
    <t>VT-32</t>
  </si>
  <si>
    <t>VT-33</t>
  </si>
  <si>
    <t>VT-34</t>
  </si>
  <si>
    <t>VT-35</t>
  </si>
  <si>
    <t>VT-36</t>
  </si>
  <si>
    <t>VT-37</t>
  </si>
  <si>
    <t>VT-38</t>
  </si>
  <si>
    <t>Salas de aula</t>
  </si>
  <si>
    <t>Salas administrativas</t>
  </si>
  <si>
    <t>Circulações - Recreio e banheiros</t>
  </si>
  <si>
    <t>Entrada</t>
  </si>
  <si>
    <t>Banheiros e depósitos</t>
  </si>
  <si>
    <t>Cozinha e área de serviço</t>
  </si>
  <si>
    <t>Fundos</t>
  </si>
  <si>
    <t>DESCONTO PORTAS = (10*0,80*2,10 + 9*0,70*2,10 + 2*0,80*2,10)</t>
  </si>
  <si>
    <t>DESCONTO JANELAS E GRADIS = (6*3,37*1,30 + 2*3,30*1,30 + 3*1,20*1,30 + 5*1,20*0,30 + 1,0*0,30 + 1,0*1,0 + 2*1,50*1,0)</t>
  </si>
  <si>
    <t>DESCONTO COBOGÓS</t>
  </si>
  <si>
    <t>C1</t>
  </si>
  <si>
    <t>C2</t>
  </si>
  <si>
    <t>C4</t>
  </si>
  <si>
    <t>C5</t>
  </si>
  <si>
    <t>C6</t>
  </si>
  <si>
    <t>C7</t>
  </si>
  <si>
    <t>LATERAIS</t>
  </si>
  <si>
    <t>FUNDOS</t>
  </si>
  <si>
    <t>2x ALVENARIAS</t>
  </si>
  <si>
    <t>SALAS DE AULA</t>
  </si>
  <si>
    <t>SECRETARIA</t>
  </si>
  <si>
    <t>DIRETORIA</t>
  </si>
  <si>
    <t>ARQUIVO</t>
  </si>
  <si>
    <t>SALA DOS PROFESSORES</t>
  </si>
  <si>
    <t>CIRCULAÇÕES (7,45*4+0,95*4+2,0+2,15+1,95+5,40+6,35+5,48+2,70+ 4,48+6,56*2+1,35*4)</t>
  </si>
  <si>
    <t>PILARES</t>
  </si>
  <si>
    <t>DEPÓSITO</t>
  </si>
  <si>
    <t>DML</t>
  </si>
  <si>
    <t>DESCONTO PORTAS DE 1,50 ATÉ 2,10m
((7*2+3)*(0,80) + (2*2+3)*(0,70))</t>
  </si>
  <si>
    <t>FACHADA LATERAL - BLOCO PEDAGÓGICO</t>
  </si>
  <si>
    <t>FUNDOS
(9,95+4,18+3,15+2,15*2)</t>
  </si>
  <si>
    <t>MURO INTERNO
(2,55+9,74)</t>
  </si>
  <si>
    <t>PAREDE EXTERNA DA COZINHA</t>
  </si>
  <si>
    <t>DESCONTO JANELAS = (6*3,37*1,30 + 2*3,30*1,30 + 1,20*0,30 + 1,0*0,30)</t>
  </si>
  <si>
    <t>COZINHA</t>
  </si>
  <si>
    <t>ALIMENTOS</t>
  </si>
  <si>
    <t>ÁREA DE SERVIÇO</t>
  </si>
  <si>
    <t>BWC/VESTIÁRIO</t>
  </si>
  <si>
    <t>SHAFT</t>
  </si>
  <si>
    <t>DESCONTO PORTAS ATÉ 2,10m:
((1)*(0,80) + (3*2+1)*(0,70))</t>
  </si>
  <si>
    <t>DESCONTO PORTAS ATÉ 1,50m:
((7*2+3)*(0,80) + (2*2+3)*(0,70))</t>
  </si>
  <si>
    <t>LAVATÓRIOS</t>
  </si>
  <si>
    <t>VASOS SANITÁRIOS</t>
  </si>
  <si>
    <t>CHUVEIRO</t>
  </si>
  <si>
    <t>PIA DA COZINHA</t>
  </si>
  <si>
    <t>TANQUES DA ÁREA DE SERVIÇO</t>
  </si>
  <si>
    <t>RALOS</t>
  </si>
  <si>
    <t>SAPATAS</t>
  </si>
  <si>
    <t>BALDRAME</t>
  </si>
  <si>
    <t>50% DO BALDRAME INTERMEDIÁRIO</t>
  </si>
  <si>
    <t>ARRANQUES</t>
  </si>
  <si>
    <t>BM - 02</t>
  </si>
  <si>
    <t>Contratada: CONSTRUTORA J. GALDINO EIRELI - EPP</t>
  </si>
  <si>
    <t>CORREDOR DAS SALAS</t>
  </si>
  <si>
    <t>W.C.F.</t>
  </si>
  <si>
    <t>W.C.F. PNE</t>
  </si>
  <si>
    <t>W.C.M.</t>
  </si>
  <si>
    <t>W.C.M. PNE</t>
  </si>
  <si>
    <t>JÁ MEDIDO</t>
  </si>
  <si>
    <t>ACUMULADO ATÉ O PERÍODO</t>
  </si>
  <si>
    <r>
      <t xml:space="preserve">VALOR POR EXTENSO DESTA MEDIÇÃO: </t>
    </r>
    <r>
      <rPr>
        <sz val="12"/>
        <color theme="1"/>
        <rFont val="Calibri"/>
        <family val="2"/>
        <scheme val="minor"/>
      </rPr>
      <t>CENTO E SESSENTA E DOIS MIL, NOVECENTOS E DOZE REAIS E SETENTA E CINCO CENTAVOS</t>
    </r>
  </si>
  <si>
    <t>BM - 03</t>
  </si>
  <si>
    <t>MEMÓRIA DE CÁLCULO - BM-03</t>
  </si>
  <si>
    <t>DESCONTO PORTAS ATÉ 2,10m:
((2)*(0,80) + (2)*(0,70))</t>
  </si>
  <si>
    <t>DESCONTO JANELAS = (4*1,20*0,30)</t>
  </si>
  <si>
    <t>QUANTIDADES</t>
  </si>
  <si>
    <t>VALORES TOTAIS (R$)</t>
  </si>
  <si>
    <t>BLOCO PEDAGÓGICO</t>
  </si>
  <si>
    <t>Hall de entrada</t>
  </si>
  <si>
    <t>Portal</t>
  </si>
  <si>
    <t>Empenas - bloco pedagógico</t>
  </si>
  <si>
    <t>Beirais laterais - bloco pedagógico</t>
  </si>
  <si>
    <t>Pilaretes de alvenaria - bloco pedagógico (tijolo deitado)
2*(11*(1,50 + 1,0*2 + 0,60*2)*0,20)</t>
  </si>
  <si>
    <t>Portal (tijolo deitado)</t>
  </si>
  <si>
    <t>Hall de entrada (tijolo deitado)</t>
  </si>
  <si>
    <t>Item 1.8.1</t>
  </si>
  <si>
    <t>CIRCULAÇÕES (7,45*4+0,95*4+2,0+2,15+1,75*2+1,60*2+2,25*2+1,95+5,40+6,35+5,48+8,45+6,56*2+1,35*4)</t>
  </si>
  <si>
    <t>WC F.</t>
  </si>
  <si>
    <t>WC M.</t>
  </si>
  <si>
    <t>WC F. PNE</t>
  </si>
  <si>
    <t>WC M. PNE</t>
  </si>
  <si>
    <t>DESCONTO PORTAS ATÉ 1,70m 
((3)*(0,80) + (3*2+3)*(0,70))</t>
  </si>
  <si>
    <t>DESCONTO PORTAS ATÉ 1,40m 
((7*2+3)*(0,80) + (2*2+3)*(0,70) + (1*2)*(1,90))</t>
  </si>
  <si>
    <t>Pastilha branca:</t>
  </si>
  <si>
    <t>CIRCULAÇÕES - Recreio e banheiros</t>
  </si>
  <si>
    <t>PISO DA FRENTE ENTRE O GRADIL E A ESCOLA</t>
  </si>
  <si>
    <t>Ligações entre as caixas de esgoto</t>
  </si>
  <si>
    <t>Caixas dos banheiros</t>
  </si>
  <si>
    <t>Caixa de gordura</t>
  </si>
  <si>
    <t>Restante de caixas de esgoto (3) + Caixa de areia (1)</t>
  </si>
  <si>
    <t>Padrão de entrada</t>
  </si>
  <si>
    <t>2/3 da área do recreio</t>
  </si>
  <si>
    <t>LAJE DA ENTRADA</t>
  </si>
  <si>
    <t>BLOCO ADM E SERVIÇO (19,81*8,65) - (1,27*2,0)</t>
  </si>
  <si>
    <t>MURO INTERNO (PARTE DE TRÁS)</t>
  </si>
  <si>
    <t>FACHADA LATERAL - BLOCO ADM</t>
  </si>
  <si>
    <t>DESCONTO JANELAS = (2*1,20*1,30 + 2*1,20*0,30)</t>
  </si>
  <si>
    <t>DESCONTO PORTAS ATÉ 2,10m:
((2)*(0,80) + (1)*(0,70))</t>
  </si>
  <si>
    <t>DESCONTO 2x COBOGÓS</t>
  </si>
  <si>
    <t>Beirais laterais - Bloco administrativo e de serviço</t>
  </si>
  <si>
    <t>Pilaretes de alvenaria - Bloco administrativo e de serviço (tijolo deitado)
2*(7*(1,50 + 1,0*2 + 0,60*2)*0,20)</t>
  </si>
  <si>
    <t>VT-22</t>
  </si>
  <si>
    <t>VT-18</t>
  </si>
  <si>
    <t>Empenas - bloco administrativo e de serviço</t>
  </si>
  <si>
    <r>
      <t>VALOR POR EXTENSO DESTA MEDIÇÃO:</t>
    </r>
    <r>
      <rPr>
        <sz val="12"/>
        <rFont val="Calibri"/>
        <family val="2"/>
        <scheme val="minor"/>
      </rPr>
      <t xml:space="preserve"> NOVENTA E SETE MIL, OITOCENTOS E VINTE REAIS E TRINTA E DOIS CENTAVOS</t>
    </r>
  </si>
  <si>
    <t>BM - 04</t>
  </si>
  <si>
    <t>MEMÓRIA DE CÁLCULO - BM-04</t>
  </si>
  <si>
    <t>1.1.9</t>
  </si>
  <si>
    <t>EXECUÇÃO DE DEPÓSITO EM CANTEIRO DE OBRA EM ALVENARIA</t>
  </si>
  <si>
    <t>1.2.4</t>
  </si>
  <si>
    <t>t</t>
  </si>
  <si>
    <t>Transporte de material, por peso, com caminhão basculante, com ciclo definido e dmt 2001 a 3000m. Rev 01</t>
  </si>
  <si>
    <t>1.3.6</t>
  </si>
  <si>
    <t>IMPERMEABILIZAÇÃO DE SUPERFÍCIE COM EMULSÃO ASFÁLTICA, 2 DEMÃOS AF_06/2018</t>
  </si>
  <si>
    <t>1.5.4</t>
  </si>
  <si>
    <t>VERGA MOLDADA IN LOCO EM CONCRETO PARA PORTAS COM ATÉ 1,5 M DE VÃO. AF_03/2016</t>
  </si>
  <si>
    <t>1.5.5</t>
  </si>
  <si>
    <t>VERGA MOLDADA IN LOCO EM CONCRETO PARA PORTAS COM MAIS DE 1,5 M DE VÃO. AF_03/2016</t>
  </si>
  <si>
    <t>1.5.6</t>
  </si>
  <si>
    <t>VERGA MOLDADA IN LOCO EM CONCRETO PARA JANELAS COM ATÉ 1,5 M DE VÃO. AF_03/2016</t>
  </si>
  <si>
    <t>1.5.7</t>
  </si>
  <si>
    <t>VERGA MOLDADA IN LOCO EM CONCRETO PARA JANELAS COM MAIS DE 1,5 M DE VÃO. AF_03/2016</t>
  </si>
  <si>
    <t>1.5.8</t>
  </si>
  <si>
    <t>CONTRAVERGA MOLDADA IN LOCO EM CONCRETO PARA VÃOS DE ATÉ 1,5 M DE COMPRIMENTO. AF_03/2016</t>
  </si>
  <si>
    <t>1.5.9</t>
  </si>
  <si>
    <t>CONTRAVERGA MOLDADA IN LOCO EM CONCRETO PARA VÃOS DE MAIS DE 1,5 M DE COMPRIMENTO. AF_03/2016</t>
  </si>
  <si>
    <t>1.6.12</t>
  </si>
  <si>
    <t>PORTA EM AÇO DE ABRIR TIPO VENEZIANA SEM GUARNIÇÃO, 87X210CM, FIXAÇÃO COM PARAFUSOS - FORNECIMENTO E INSTALAÇÃO. AF_12/2019</t>
  </si>
  <si>
    <t>UN</t>
  </si>
  <si>
    <t>1.6.13</t>
  </si>
  <si>
    <t>Gradil de ferro em barra chata 3/16"</t>
  </si>
  <si>
    <t>1.7.9</t>
  </si>
  <si>
    <t>FORRO EM PLACAS DE GESSO, PARA AMBIENTES COMERCIAIS. AF_05/2017_P</t>
  </si>
  <si>
    <t>1.7.10</t>
  </si>
  <si>
    <t>Emassamento de beiral de telha ceramica</t>
  </si>
  <si>
    <t>1.9.9</t>
  </si>
  <si>
    <t>APLICAÇÃO DE FUNDO SELADOR LÁTEX PVA EM TETO, UMA DEMÃO. AF_06/2014</t>
  </si>
  <si>
    <t>1.9.10</t>
  </si>
  <si>
    <t>APLICAÇÃO E LIXAMENTO DE MASSA LÁTEX EM TETO, UMA DEMÃO. AF_06/2014</t>
  </si>
  <si>
    <t>1.9.11</t>
  </si>
  <si>
    <t>APLICAÇÃO MANUAL DE PINTURA COM TINTA LÁTEX PVA EM TETO, DUAS DEMÃOS. AF_06/2014</t>
  </si>
  <si>
    <t>1.11.25</t>
  </si>
  <si>
    <t>CUBA DE EMBUTIR RETANGULAR DE AÇO INOXIDÁVEL, 46 X 30 X 12 CM - FORNECIMENTO E INSTALAÇÃO. AF_01/2020</t>
  </si>
  <si>
    <t>1.11.26</t>
  </si>
  <si>
    <t>TUBO, PVC, SOLDÁVEL, DN 25MM, INSTALADO EM DRENO DE AR-CONDICIONADO - FORNECIMENTO E INSTALAÇÃO. AF_12/2014</t>
  </si>
  <si>
    <t>1.11.27</t>
  </si>
  <si>
    <t>JOELHO 90 GRAUS, PVC, SOLDÁVEL, DN 25MM, INSTALADO EM DRENO DE AR-CONDICIONADO - FORNECIMENTO E INSTALAÇÃO. AF_12/2014</t>
  </si>
  <si>
    <t>1.12.9</t>
  </si>
  <si>
    <t>TANQUE SÉPTICO RETANGULAR, EM ALVENARIA DE TIJOLOS CERÂMICOS, VOLUME ÚTIL: 6272 L</t>
  </si>
  <si>
    <t>1.12.10</t>
  </si>
  <si>
    <t>SUMIDOURO EM ALVENARIA DE TIJOLOS CERÂMICOS, ÁREA DE INFILTRAÇÃO: 32,9 M²</t>
  </si>
  <si>
    <t>1.12.11</t>
  </si>
  <si>
    <t>Calha de concreto e alvenaria, revestida internamente, com grelha de ferro, seção 0,20 x 0,15m</t>
  </si>
  <si>
    <t>1.13.25</t>
  </si>
  <si>
    <t>Fornecimento e instalação de luminária braço de tempo com lâmpada fluorescente eletônica PL 23w</t>
  </si>
  <si>
    <t>2.3.4</t>
  </si>
  <si>
    <t>ALVENARIA DE VEDAÇÃO DE BLOCOS CERÂMICOS FURADOS NA HORIZONTAL DE 9X19X19CM (ESPESSURA 19CM) DE PAREDES COM ÁREA LÍQUIDA MAIOR OU IGUAL A 6M² COM VÃOS E ARGAMASSA DE ASSENTAMENTO COM PREPARO MANUAL. AF_06/2014</t>
  </si>
  <si>
    <t>2.6.5</t>
  </si>
  <si>
    <t>FABRICAÇÃO E INSTALAÇÃO DE TESOURA INTEIRA EM MADEIRA NÃO APARELHADA, VÃO DE 6 M, PARA TELHA CERÂMICA OU DE CONCRETO, INCLUSO IÇAMENTO. AF_12/2015</t>
  </si>
  <si>
    <t>2.6.6</t>
  </si>
  <si>
    <t>TRAMA DE MADEIRA COMPOSTA POR RIPAS, CAIBROS E TERÇAS PARA TELHADOS DE ATÉ 2 ÁGUAS PARA TELHA CERÂMICA CAPA-CANAL, INCLUSO TRANSPORTE VERTICAL. AF_12/2015</t>
  </si>
  <si>
    <t>2.7.4</t>
  </si>
  <si>
    <t>EMBOCO, PARA RECEBIMENTO DE CERAMICA, EM ARGAMASSA TRAO 1:2:8, PREPARO MECANICO COM BETONEIRA 400L, APLICADO MANUALMENTE, ESPESSURA DE</t>
  </si>
  <si>
    <t>2.8.4</t>
  </si>
  <si>
    <t>EXECUÇÃO DE PASSEIO (CALÇADA) OU PISO DE CONCRETO COM CONCRETO MOLDADO IN LOCO, FEITO EM OBRA, ACABAMENTO CONVENCIONAL, ESPESSURA 6 CM, ARMADO. AF_07/2016 (LARGURA = 60 CM)</t>
  </si>
  <si>
    <t>2.10</t>
  </si>
  <si>
    <t>2.10.1</t>
  </si>
  <si>
    <t>2.10.2</t>
  </si>
  <si>
    <t>2.10.3</t>
  </si>
  <si>
    <t>Caixa d'água</t>
  </si>
  <si>
    <t>2*(Item 1.5.1)</t>
  </si>
  <si>
    <t>Barracão</t>
  </si>
  <si>
    <t>ÁREA PEDAGÓGICA</t>
  </si>
  <si>
    <t>ÁREA VERDE E PERMEÁVEL</t>
  </si>
  <si>
    <t>ÁREA DE APOIO E VIVÊNCIA</t>
  </si>
  <si>
    <t>FRENTE</t>
  </si>
  <si>
    <t>LATERAL ESQUERDA</t>
  </si>
  <si>
    <t>LATERAL DIREITA</t>
  </si>
  <si>
    <t>DESCONTO REATERRO (VOLUME DE CONCRETO DE FUNDAÇÃO) = (84,24 + 5,0 + 15,01)</t>
  </si>
  <si>
    <t>DESCONTO DO VOLUME JÁ MEDIDO (142,01 m³)</t>
  </si>
  <si>
    <t>Igual ao volume de aterro x densidade do solo argilo-arenoso:
(Item 1.2.3)*(1,1 t/m³) = (1072,40*1,1)</t>
  </si>
  <si>
    <t>ENTRADA</t>
  </si>
  <si>
    <t>SALAS ADMINISTRATIVO</t>
  </si>
  <si>
    <t>CIRCULAÇÃO</t>
  </si>
  <si>
    <t>WCS E DEPÓSITOS</t>
  </si>
  <si>
    <t>CALÇADA DE CONTORNO</t>
  </si>
  <si>
    <t>DESCONTO QUANTITATIVO JÁ MEDIDO (28,19 m²)</t>
  </si>
  <si>
    <t>DESCONTO VOLUME JÁ MEDIDO (9,73 m³)</t>
  </si>
  <si>
    <t>VB-2</t>
  </si>
  <si>
    <t>VB-3</t>
  </si>
  <si>
    <t>Cálculo dos perímetros das vigas: Volume das vigas baldrames dividido por (0,19*0,19)= (9,73)/(0,19*0,19)= (269,53 m) multiplicado pelos lados e parte superior da viga</t>
  </si>
  <si>
    <t>Vigas do fundo e cobertura do reservatório, conforme projeto estrutural (1,23 + 0,67 m³)</t>
  </si>
  <si>
    <t>Acréscimo médio de 0,75m nos arranques dos pilares</t>
  </si>
  <si>
    <t>Pilares do reservatório, conforme projeto estrutural (0,69 m³)</t>
  </si>
  <si>
    <t>Acréscimo de 0,60m de altura na murada</t>
  </si>
  <si>
    <t>Vãos + 0,15m de cada lado:
P1 (0,80+0,15*2)*10 + P2 (0,70+0,15*2)*9 + PF1 (0,80+0,15*2)*2</t>
  </si>
  <si>
    <t>Vãos + 0,20m de cada lado:
P3 (1,90+0,15*2)</t>
  </si>
  <si>
    <t>Vãos + 0,20m de cada lado:
JB3 (1,20+0,20*2)*3 + JB4 (1,20+0,20*2)*5 + JB5 (1,0+0,20*2) + J1 (1,0+0,20*2) + Gradis (1,50+0,20*2)*2</t>
  </si>
  <si>
    <t>Vãos + 0,20m de cada lado:
JB1 (3,37+0,20*2)*6 + JB2 (3,30+0,20*2)*2</t>
  </si>
  <si>
    <t>Vãos + 0,45m de cada lado:
JB3 (1,20+0,45*2)*3 + JB4 (1,20+0,45*2)*5 + JB5 (1,0+0,45*2) + J1 (1,0+0,45*2) + Gradis (1,50+0,45*2)*2</t>
  </si>
  <si>
    <t>Vãos + 0,60m de cada lado:
JB1 (3,37+0,60*2)*6 + JB2 (3,30+0,60*2)*2</t>
  </si>
  <si>
    <t>JB-1</t>
  </si>
  <si>
    <t>JB-2</t>
  </si>
  <si>
    <t>JB-3</t>
  </si>
  <si>
    <t>JB-4</t>
  </si>
  <si>
    <t>JB-5</t>
  </si>
  <si>
    <t>J1</t>
  </si>
  <si>
    <t>Portas de ferro instaladas</t>
  </si>
  <si>
    <t>Porta da entrada</t>
  </si>
  <si>
    <t>Porta do depósito</t>
  </si>
  <si>
    <t>Porta da saída lateral</t>
  </si>
  <si>
    <t>Porta de saída da área de serviço</t>
  </si>
  <si>
    <t>QNT = BLOCO PEDAGÓGICO (11,0*30,20) + BLOCO ADMINISTRATIVO ((9,73*20,51) - (6,24*3,30))</t>
  </si>
  <si>
    <t>Igual ao item 1.7.2</t>
  </si>
  <si>
    <t>BLOCO ADMINISTRATIVO</t>
  </si>
  <si>
    <t>Parede da caixa d'água</t>
  </si>
  <si>
    <t>Laje da entrada</t>
  </si>
  <si>
    <t>Sala de aula 01</t>
  </si>
  <si>
    <t>BEIRA E BICO - Bloco pedagógico</t>
  </si>
  <si>
    <t>BEIRA E BICO - Bloco administrativo</t>
  </si>
  <si>
    <t>Corredor descoberto</t>
  </si>
  <si>
    <t>Calçada externa</t>
  </si>
  <si>
    <t>Calçada de contorno da escola: (29,70+19,81+10,84+9,74+ 12,35)</t>
  </si>
  <si>
    <t>Drenos de ar-condicionados: (Salas de aula (4) + Salas administrativas (3))*(3,0m)</t>
  </si>
  <si>
    <t>Salas de aula (4) + Salas administrativas (3)</t>
  </si>
  <si>
    <t>Banheiros (5) + Cozinha (1) + Área de serviço (1)</t>
  </si>
  <si>
    <t>Fossa</t>
  </si>
  <si>
    <t>Sumidouro</t>
  </si>
  <si>
    <t>Caixas de passagem para os quadros de distribuição</t>
  </si>
  <si>
    <t>RESTANTE DO BALDRAME</t>
  </si>
  <si>
    <t>ALVENARIAS TRANSVERSAIS</t>
  </si>
  <si>
    <t>ALVENARIAS LONGITUDINAIS</t>
  </si>
  <si>
    <t>QUANTITATIVO JÁ MEDIDO (0,70 m³)</t>
  </si>
  <si>
    <t>PAREDE DOS FUNDOS (5,80*2,60 + 5,80*(1,20/2))</t>
  </si>
  <si>
    <t>Área coberta</t>
  </si>
  <si>
    <t>Cumeeira</t>
  </si>
  <si>
    <t>Tesouras</t>
  </si>
  <si>
    <t>2x Alvenarias</t>
  </si>
  <si>
    <t>Calçada de contorno</t>
  </si>
  <si>
    <t>Chapisco - Emboço</t>
  </si>
  <si>
    <r>
      <t>VALOR POR EXTENSO DESTA MEDIÇÃO:</t>
    </r>
    <r>
      <rPr>
        <sz val="12"/>
        <rFont val="Calibri"/>
        <family val="2"/>
        <scheme val="minor"/>
      </rPr>
      <t xml:space="preserve"> DUZENTOS E TRINTA E SETE MIL, OITOCENTOS E SETENTA E SETE REAIS E TRÊS CENTAVOS</t>
    </r>
  </si>
  <si>
    <t>MEMÓRIA DE CÁLCULO - BM-05</t>
  </si>
  <si>
    <t>BM - 05</t>
  </si>
  <si>
    <t>Gradil da frente da escola</t>
  </si>
  <si>
    <t>Sala de aula 02</t>
  </si>
  <si>
    <t>Sala de aula 03</t>
  </si>
  <si>
    <t>Sala de aula 04</t>
  </si>
  <si>
    <t>Corredor das salas de aula</t>
  </si>
  <si>
    <t>Circulação/recreio</t>
  </si>
  <si>
    <t>Circulação/banheiros</t>
  </si>
  <si>
    <t>Secretaria</t>
  </si>
  <si>
    <t>Diretoria</t>
  </si>
  <si>
    <t>Arquivo</t>
  </si>
  <si>
    <t>Sala dos professores</t>
  </si>
  <si>
    <t>WCF</t>
  </si>
  <si>
    <t>WCF PNE</t>
  </si>
  <si>
    <t>WCM</t>
  </si>
  <si>
    <t>WCM PNE</t>
  </si>
  <si>
    <t>Depósito</t>
  </si>
  <si>
    <t>Cozinha</t>
  </si>
  <si>
    <t>Alimentos</t>
  </si>
  <si>
    <t>BWC/Vestiário</t>
  </si>
  <si>
    <t>Área de serviço</t>
  </si>
  <si>
    <t>Faixa de pastilha azul:</t>
  </si>
  <si>
    <t>Empenas - bloco pedagógico (lado externo)</t>
  </si>
  <si>
    <t>Beirais laterais - bloco pedagógico (lado externo)</t>
  </si>
  <si>
    <t>Empenas - bloco administrativo e de serviço (lado externo)</t>
  </si>
  <si>
    <t>Beirais laterais - Bloco administrativo e de serviço (lado externo)</t>
  </si>
  <si>
    <t>DESCONTO PORTAS = (10*0,80*2,10 + 9*0,70*2,10 + 2*0,80*2,10)*2</t>
  </si>
  <si>
    <t>DESCONTO JANELAS E GRADIS = (6*3,37*1,30 + 2*3,30*1,30 + 3*1,20*1,30 + 5*1,20*0,30 + 1,0*0,30 + 1,0*1,0 + 2*1,50*1,0)*2</t>
  </si>
  <si>
    <t>DESCONTO REV. CERÂMICO (item 1.8.4)</t>
  </si>
  <si>
    <t>2x Alvenarias menos revestimento cerâmico:</t>
  </si>
  <si>
    <t>Área total de gesso aplicado (Item 1.7.9)</t>
  </si>
  <si>
    <t>Marquise da entrada</t>
  </si>
  <si>
    <t>Shaft (1,0*2,85m)</t>
  </si>
  <si>
    <t>VASO SANITARIO SIFONADO COM CAIXA ACOPLADA LOUCA BRANCA, INCLUSO ENGAT E FLEXIVEL EM PLASTICO BRANCO, 1/2 X 40CM - FORNECIMENTO E INSTALACAO . AF_12/2013</t>
  </si>
  <si>
    <t>Shaft</t>
  </si>
  <si>
    <t>Fachada frontal bloco administrativo (8,75*3,0) + ((8,75*1,40)/2)</t>
  </si>
  <si>
    <t>Fachada frontal bloco pedagógico (9,95*3,0) + ((9,95*1,40)/2)</t>
  </si>
  <si>
    <t xml:space="preserve">Portal (1,40*3,60)*2 </t>
  </si>
  <si>
    <t>Fachada lateral esquerda (29,70*3,0)</t>
  </si>
  <si>
    <t>Desconto esquadrias (8*3,37*1,30 + 2*1,20*0,30 + 3*1,20*1,30)</t>
  </si>
  <si>
    <t>Fachada lateral direita (2,15+6,66+5,48+5,55)*3,0</t>
  </si>
  <si>
    <t>Total de selador menos total de massa acrílica externa (item 1.9.1 - 1.9.3)</t>
  </si>
  <si>
    <t>Igual ao item 1.9.9</t>
  </si>
  <si>
    <t>2x Janelas de ferro</t>
  </si>
  <si>
    <t>Chuveiro BWC/Vestiário</t>
  </si>
  <si>
    <t>Reservatório superior</t>
  </si>
  <si>
    <t>Calha para drenagem do corredor descoberto</t>
  </si>
  <si>
    <t>Disjuntores instalados</t>
  </si>
  <si>
    <t>Interruptores instalados</t>
  </si>
  <si>
    <t>Pontos instalados (66 luminárias internas + 10 arandelas externas)</t>
  </si>
  <si>
    <t>Tomadas instaladas</t>
  </si>
  <si>
    <t>Pontos de ar-condicionado</t>
  </si>
  <si>
    <t>Quadro instalado</t>
  </si>
  <si>
    <t>Pulsador campainha instalado</t>
  </si>
  <si>
    <t>Arandelas externas</t>
  </si>
  <si>
    <t>Restante do piso (12,0*6,0 - 47,30 m²)</t>
  </si>
  <si>
    <t>Pontos de luz instalados</t>
  </si>
  <si>
    <t>Fiação utilizada</t>
  </si>
  <si>
    <t>não pago por está com declividade errada</t>
  </si>
  <si>
    <t>não pago por necessitar correções em acabamentos</t>
  </si>
  <si>
    <t>não identificado esse vaso sanitário</t>
  </si>
  <si>
    <r>
      <t>VALOR POR EXTENSO DESTA MEDIÇÃO:</t>
    </r>
    <r>
      <rPr>
        <sz val="12"/>
        <rFont val="Calibri"/>
        <family val="2"/>
        <scheme val="minor"/>
      </rPr>
      <t xml:space="preserve"> OITENTA E SEIS MIL, TREZENTOS E QUARENTA E QUATRO REAIS E TRINTA E SETE CENTAVOS</t>
    </r>
  </si>
  <si>
    <t>BM - 06</t>
  </si>
  <si>
    <t>MEMÓRIA DE CÁLCULO - BM-06</t>
  </si>
  <si>
    <t>Peitoril do gradil da secretaria</t>
  </si>
  <si>
    <t>Passa-prato da cozinha</t>
  </si>
  <si>
    <t>Paneleiro</t>
  </si>
  <si>
    <t>Alimentos (1,80+1,20)</t>
  </si>
  <si>
    <t>DML (2,00+0,880)</t>
  </si>
  <si>
    <t>Portas internas P2</t>
  </si>
  <si>
    <t>Portas internas P1</t>
  </si>
  <si>
    <t>Igual a área de janelas (Item 1.6.4)</t>
  </si>
  <si>
    <t>Portas de madeira</t>
  </si>
  <si>
    <t>Caixa d'água (6,85*2+3,30*2)*2,90</t>
  </si>
  <si>
    <t>Fundos (7,65+4,85+9,74+ 4,18+2,15*2+1,27+2,85)*3,0 + ((9,95*1,40)/2) + ((8,75*1,40)/2)</t>
  </si>
  <si>
    <t>Desconto esquadrias (1,20*0,30 + 2*0,80*2,10 + 0,70*2,10)</t>
  </si>
  <si>
    <t>Desconto esquadrias (8*3,37*1,30 + 3*1,20*0,30 + 3*1,20*1,30 + 2*0,80*2,10 + 0,70*2,10)</t>
  </si>
  <si>
    <t>PORTAS P1 x 2,5 (Folhas + guarnição)</t>
  </si>
  <si>
    <t>PORTAS P2 x 2,5 (Folhas + guarnição)</t>
  </si>
  <si>
    <t>Igual ao item 1.9.2 (Pintura interna)</t>
  </si>
  <si>
    <t>Banheiros</t>
  </si>
  <si>
    <t>Pia da cozinha</t>
  </si>
  <si>
    <t>Balcão</t>
  </si>
  <si>
    <t>Luminárias instaladas (20)</t>
  </si>
  <si>
    <t>Luminárias instaladas (46)</t>
  </si>
  <si>
    <t>Luminárias instaladas (5)</t>
  </si>
  <si>
    <t>Mastro simples em tubo ferro galvanizado, alt (útil)= 5,50m (3,80m x 2" + 2,20m x 1 1/2")</t>
  </si>
  <si>
    <t>Mastros instalados</t>
  </si>
  <si>
    <t>Mastro instalado</t>
  </si>
  <si>
    <t>Área do recreio</t>
  </si>
  <si>
    <t>Fundos do recreio (5,80*2,60 + 5,80*(1,20/2))</t>
  </si>
  <si>
    <t>Área do telhado x 1,5</t>
  </si>
  <si>
    <t>Rampa da entrada</t>
  </si>
  <si>
    <t>Área construída</t>
  </si>
  <si>
    <t>Remoção de entulhos</t>
  </si>
  <si>
    <r>
      <t>VALOR POR EXTENSO DESTA MEDIÇÃO:</t>
    </r>
    <r>
      <rPr>
        <sz val="12"/>
        <rFont val="Calibri"/>
        <family val="2"/>
        <scheme val="minor"/>
      </rPr>
      <t xml:space="preserve"> CINQUENTA E NOVE MIL, SEISCENTOS E NOVE REAIS E TRINTA E OITO CENTAVOS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</si>
</sst>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#,##0.00&quot; &quot;;&quot; (&quot;#,##0.00&quot;)&quot;;&quot; -&quot;#&quot; &quot;;@&quot; &quot;"/>
    <numFmt numFmtId="167" formatCode="#,#00"/>
    <numFmt numFmtId="168" formatCode="General_)"/>
    <numFmt numFmtId="169" formatCode="%#,#00"/>
    <numFmt numFmtId="170" formatCode="#.##000"/>
    <numFmt numFmtId="171" formatCode="[$R$-416]&quot; &quot;#,##0.00;[Red]&quot;-&quot;[$R$-416]&quot; &quot;#,##0.00"/>
    <numFmt numFmtId="172" formatCode="#,"/>
    <numFmt numFmtId="173" formatCode="* #,##0.00\ ;* \(#,##0.00\);* \-#\ ;@\ "/>
    <numFmt numFmtId="174" formatCode="#,##0.0000"/>
    <numFmt numFmtId="175" formatCode="_-* #,##0.00000_-;\-* #,##0.00000_-;_-* &quot;-&quot;??_-;_-@_-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2"/>
      <name val="Arial Narrow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"/>
      <color indexed="8"/>
      <name val="Courier"/>
      <family val="3"/>
    </font>
    <font>
      <sz val="10"/>
      <color indexed="8"/>
      <name val="Arial1"/>
    </font>
    <font>
      <b/>
      <i/>
      <sz val="16"/>
      <color indexed="8"/>
      <name val="Arial"/>
      <family val="2"/>
    </font>
    <font>
      <u/>
      <sz val="11"/>
      <color indexed="12"/>
      <name val="Arial"/>
      <family val="2"/>
    </font>
    <font>
      <sz val="12"/>
      <name val="Courier"/>
      <family val="3"/>
    </font>
    <font>
      <b/>
      <i/>
      <u/>
      <sz val="11"/>
      <color indexed="8"/>
      <name val="Arial"/>
      <family val="2"/>
    </font>
    <font>
      <b/>
      <sz val="1"/>
      <color indexed="8"/>
      <name val="Courier"/>
      <family val="3"/>
    </font>
    <font>
      <b/>
      <sz val="18"/>
      <color theme="3"/>
      <name val="Cambria"/>
      <family val="2"/>
    </font>
    <font>
      <sz val="8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FF00"/>
      <name val="Times New Roman"/>
      <family val="1"/>
    </font>
    <font>
      <b/>
      <sz val="12"/>
      <color theme="0" tint="-4.9989318521683403E-2"/>
      <name val="Times New Roman"/>
      <family val="1"/>
    </font>
    <font>
      <sz val="12"/>
      <color rgb="FFFF0000"/>
      <name val="Times New Roman"/>
      <family val="1"/>
    </font>
    <font>
      <sz val="12"/>
      <color rgb="FFFFFF00"/>
      <name val="Times New Roman"/>
      <family val="1"/>
    </font>
    <font>
      <sz val="12"/>
      <color rgb="FF9F9F9F"/>
      <name val="Times New Roman"/>
      <family val="1"/>
    </font>
    <font>
      <b/>
      <sz val="12"/>
      <color theme="0"/>
      <name val="Times New Roman"/>
      <family val="1"/>
    </font>
    <font>
      <b/>
      <sz val="12"/>
      <color rgb="FFFF0000"/>
      <name val="Times New Roman"/>
      <family val="1"/>
    </font>
    <font>
      <sz val="12"/>
      <color theme="1"/>
      <name val="Calibri"/>
      <family val="2"/>
      <scheme val="minor"/>
    </font>
    <font>
      <sz val="12"/>
      <name val="Arial Narrow"/>
      <family val="2"/>
    </font>
    <font>
      <b/>
      <sz val="12"/>
      <color theme="1"/>
      <name val="Arial Narrow"/>
      <family val="2"/>
    </font>
    <font>
      <b/>
      <i/>
      <sz val="12"/>
      <name val="Arial Narrow"/>
      <family val="2"/>
    </font>
    <font>
      <b/>
      <sz val="12"/>
      <color rgb="FF9F9F9F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vertAlign val="superscript"/>
      <sz val="10"/>
      <name val="Arial"/>
      <family val="2"/>
    </font>
    <font>
      <b/>
      <sz val="14"/>
      <name val="Arial"/>
      <family val="2"/>
    </font>
    <font>
      <sz val="10"/>
      <name val="Times New Roman"/>
      <family val="1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rgb="FFFF000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1362A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DotDot">
        <color indexed="64"/>
      </left>
      <right/>
      <top style="dashDotDot">
        <color indexed="64"/>
      </top>
      <bottom style="dashDotDot">
        <color indexed="64"/>
      </bottom>
      <diagonal/>
    </border>
    <border>
      <left/>
      <right/>
      <top style="dashDotDot">
        <color indexed="64"/>
      </top>
      <bottom style="dashDotDot">
        <color indexed="64"/>
      </bottom>
      <diagonal/>
    </border>
    <border>
      <left/>
      <right style="dashDotDot">
        <color indexed="64"/>
      </right>
      <top style="dashDotDot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auto="1"/>
      </left>
      <right style="hair">
        <color indexed="64"/>
      </right>
      <top style="hair">
        <color indexed="64"/>
      </top>
      <bottom/>
      <diagonal/>
    </border>
    <border>
      <left style="medium">
        <color auto="1"/>
      </left>
      <right style="hair">
        <color indexed="64"/>
      </right>
      <top/>
      <bottom style="hair">
        <color indexed="64"/>
      </bottom>
      <diagonal/>
    </border>
    <border>
      <left style="medium">
        <color auto="1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dashDotDot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3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4" fontId="2" fillId="0" borderId="0" applyFill="0" applyBorder="0" applyProtection="0">
      <alignment vertical="top"/>
    </xf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6" fillId="0" borderId="9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10" applyNumberFormat="0" applyAlignment="0" applyProtection="0"/>
    <xf numFmtId="0" fontId="11" fillId="7" borderId="11" applyNumberFormat="0" applyAlignment="0" applyProtection="0"/>
    <xf numFmtId="0" fontId="12" fillId="7" borderId="10" applyNumberFormat="0" applyAlignment="0" applyProtection="0"/>
    <xf numFmtId="0" fontId="13" fillId="0" borderId="12" applyNumberFormat="0" applyFill="0" applyAlignment="0" applyProtection="0"/>
    <xf numFmtId="0" fontId="14" fillId="8" borderId="13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5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22" fillId="0" borderId="0">
      <protection locked="0"/>
    </xf>
    <xf numFmtId="166" fontId="23" fillId="0" borderId="0"/>
    <xf numFmtId="167" fontId="22" fillId="0" borderId="0">
      <protection locked="0"/>
    </xf>
    <xf numFmtId="0" fontId="24" fillId="0" borderId="0">
      <alignment horizontal="center"/>
    </xf>
    <xf numFmtId="0" fontId="24" fillId="0" borderId="0">
      <alignment horizontal="center" textRotation="90"/>
    </xf>
    <xf numFmtId="0" fontId="25" fillId="0" borderId="0" applyNumberFormat="0" applyFill="0" applyBorder="0" applyAlignment="0" applyProtection="0">
      <alignment vertical="top"/>
      <protection locked="0"/>
    </xf>
    <xf numFmtId="44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8" fontId="26" fillId="0" borderId="0"/>
    <xf numFmtId="0" fontId="21" fillId="0" borderId="0"/>
    <xf numFmtId="0" fontId="1" fillId="0" borderId="0"/>
    <xf numFmtId="0" fontId="20" fillId="9" borderId="14" applyNumberFormat="0" applyFont="0" applyAlignment="0" applyProtection="0"/>
    <xf numFmtId="169" fontId="22" fillId="0" borderId="0">
      <protection locked="0"/>
    </xf>
    <xf numFmtId="170" fontId="22" fillId="0" borderId="0">
      <protection locked="0"/>
    </xf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7" fillId="0" borderId="0"/>
    <xf numFmtId="171" fontId="27" fillId="0" borderId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172" fontId="28" fillId="0" borderId="0">
      <protection locked="0"/>
    </xf>
    <xf numFmtId="172" fontId="28" fillId="0" borderId="0">
      <protection locked="0"/>
    </xf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 applyFill="0" applyBorder="0" applyAlignment="0" applyProtection="0"/>
    <xf numFmtId="0" fontId="21" fillId="0" borderId="0"/>
    <xf numFmtId="173" fontId="21" fillId="0" borderId="0"/>
    <xf numFmtId="0" fontId="21" fillId="0" borderId="0">
      <alignment horizontal="justify" wrapText="1"/>
    </xf>
    <xf numFmtId="0" fontId="20" fillId="0" borderId="0"/>
    <xf numFmtId="0" fontId="1" fillId="0" borderId="0"/>
  </cellStyleXfs>
  <cellXfs count="300">
    <xf numFmtId="0" fontId="0" fillId="0" borderId="0" xfId="0"/>
    <xf numFmtId="0" fontId="3" fillId="34" borderId="0" xfId="4" applyFont="1" applyFill="1" applyAlignment="1">
      <alignment horizontal="center" vertical="center"/>
    </xf>
    <xf numFmtId="44" fontId="31" fillId="34" borderId="28" xfId="2" applyFont="1" applyFill="1" applyBorder="1" applyAlignment="1">
      <alignment horizontal="right" vertical="center"/>
    </xf>
    <xf numFmtId="44" fontId="32" fillId="41" borderId="28" xfId="2" applyFont="1" applyFill="1" applyBorder="1" applyAlignment="1">
      <alignment horizontal="right" vertical="center"/>
    </xf>
    <xf numFmtId="49" fontId="31" fillId="0" borderId="0" xfId="0" applyNumberFormat="1" applyFont="1" applyAlignment="1">
      <alignment vertical="center"/>
    </xf>
    <xf numFmtId="49" fontId="33" fillId="0" borderId="0" xfId="0" applyNumberFormat="1" applyFont="1" applyAlignment="1">
      <alignment horizontal="center" vertical="center"/>
    </xf>
    <xf numFmtId="49" fontId="34" fillId="0" borderId="0" xfId="0" applyNumberFormat="1" applyFont="1" applyAlignment="1">
      <alignment horizontal="center" vertical="center"/>
    </xf>
    <xf numFmtId="4" fontId="33" fillId="0" borderId="0" xfId="0" applyNumberFormat="1" applyFont="1" applyAlignment="1">
      <alignment horizontal="left" vertical="center"/>
    </xf>
    <xf numFmtId="43" fontId="35" fillId="0" borderId="0" xfId="1" applyFont="1" applyFill="1" applyAlignment="1">
      <alignment horizontal="right" vertical="center"/>
    </xf>
    <xf numFmtId="0" fontId="36" fillId="0" borderId="0" xfId="0" applyFont="1" applyAlignment="1">
      <alignment horizontal="center" vertical="center"/>
    </xf>
    <xf numFmtId="43" fontId="36" fillId="0" borderId="0" xfId="1" applyFont="1" applyAlignment="1">
      <alignment horizontal="center" vertical="center"/>
    </xf>
    <xf numFmtId="0" fontId="37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43" fontId="39" fillId="0" borderId="0" xfId="1" applyFont="1" applyFill="1" applyAlignment="1">
      <alignment horizontal="right" vertical="center"/>
    </xf>
    <xf numFmtId="43" fontId="33" fillId="0" borderId="0" xfId="1" applyFont="1" applyAlignment="1">
      <alignment horizontal="center" vertical="center"/>
    </xf>
    <xf numFmtId="49" fontId="31" fillId="0" borderId="22" xfId="0" applyNumberFormat="1" applyFont="1" applyBorder="1" applyAlignment="1">
      <alignment horizontal="center" vertical="center"/>
    </xf>
    <xf numFmtId="0" fontId="31" fillId="0" borderId="22" xfId="0" applyFont="1" applyBorder="1" applyAlignment="1">
      <alignment horizontal="justify" vertical="center" wrapText="1"/>
    </xf>
    <xf numFmtId="0" fontId="31" fillId="0" borderId="22" xfId="0" applyFont="1" applyBorder="1" applyAlignment="1">
      <alignment horizontal="center" vertical="center"/>
    </xf>
    <xf numFmtId="0" fontId="31" fillId="34" borderId="22" xfId="0" applyFont="1" applyFill="1" applyBorder="1" applyAlignment="1">
      <alignment horizontal="center" vertical="center"/>
    </xf>
    <xf numFmtId="0" fontId="31" fillId="37" borderId="22" xfId="0" applyFont="1" applyFill="1" applyBorder="1" applyAlignment="1">
      <alignment horizontal="center" vertical="center"/>
    </xf>
    <xf numFmtId="0" fontId="31" fillId="34" borderId="0" xfId="0" applyFont="1" applyFill="1" applyAlignment="1">
      <alignment horizontal="center" vertical="center"/>
    </xf>
    <xf numFmtId="0" fontId="31" fillId="0" borderId="0" xfId="0" applyFont="1" applyAlignment="1">
      <alignment horizontal="right" vertical="center"/>
    </xf>
    <xf numFmtId="49" fontId="32" fillId="0" borderId="22" xfId="0" quotePrefix="1" applyNumberFormat="1" applyFont="1" applyBorder="1" applyAlignment="1">
      <alignment horizontal="left" vertical="center"/>
    </xf>
    <xf numFmtId="49" fontId="32" fillId="0" borderId="22" xfId="0" applyNumberFormat="1" applyFont="1" applyBorder="1" applyAlignment="1">
      <alignment horizontal="left" vertical="center"/>
    </xf>
    <xf numFmtId="0" fontId="32" fillId="0" borderId="23" xfId="0" applyFont="1" applyBorder="1" applyAlignment="1">
      <alignment horizontal="left" vertical="center" wrapText="1"/>
    </xf>
    <xf numFmtId="0" fontId="32" fillId="0" borderId="23" xfId="0" applyFont="1" applyBorder="1" applyAlignment="1">
      <alignment horizontal="center" vertical="center"/>
    </xf>
    <xf numFmtId="43" fontId="31" fillId="0" borderId="22" xfId="0" applyNumberFormat="1" applyFont="1" applyBorder="1" applyAlignment="1">
      <alignment horizontal="center" vertical="center"/>
    </xf>
    <xf numFmtId="43" fontId="31" fillId="37" borderId="22" xfId="0" applyNumberFormat="1" applyFont="1" applyFill="1" applyBorder="1" applyAlignment="1">
      <alignment horizontal="center" vertical="center"/>
    </xf>
    <xf numFmtId="43" fontId="31" fillId="0" borderId="0" xfId="0" applyNumberFormat="1" applyFont="1" applyAlignment="1">
      <alignment horizontal="right" vertical="center"/>
    </xf>
    <xf numFmtId="4" fontId="31" fillId="0" borderId="0" xfId="0" applyNumberFormat="1" applyFont="1" applyAlignment="1">
      <alignment vertical="center"/>
    </xf>
    <xf numFmtId="0" fontId="32" fillId="0" borderId="22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/>
    </xf>
    <xf numFmtId="0" fontId="31" fillId="34" borderId="24" xfId="0" applyFont="1" applyFill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37" borderId="24" xfId="0" applyFont="1" applyFill="1" applyBorder="1" applyAlignment="1">
      <alignment horizontal="center" vertical="center"/>
    </xf>
    <xf numFmtId="49" fontId="32" fillId="0" borderId="0" xfId="0" applyNumberFormat="1" applyFont="1" applyAlignment="1">
      <alignment horizontal="left" vertical="center"/>
    </xf>
    <xf numFmtId="43" fontId="31" fillId="0" borderId="22" xfId="0" applyNumberFormat="1" applyFont="1" applyBorder="1" applyAlignment="1">
      <alignment horizontal="right" vertical="center" wrapText="1"/>
    </xf>
    <xf numFmtId="43" fontId="31" fillId="0" borderId="24" xfId="0" applyNumberFormat="1" applyFont="1" applyBorder="1" applyAlignment="1">
      <alignment horizontal="right" vertical="center"/>
    </xf>
    <xf numFmtId="43" fontId="31" fillId="0" borderId="24" xfId="0" applyNumberFormat="1" applyFont="1" applyBorder="1" applyAlignment="1">
      <alignment horizontal="right" vertical="center" wrapText="1"/>
    </xf>
    <xf numFmtId="43" fontId="31" fillId="0" borderId="24" xfId="0" applyNumberFormat="1" applyFont="1" applyBorder="1" applyAlignment="1">
      <alignment horizontal="center" vertical="center"/>
    </xf>
    <xf numFmtId="43" fontId="31" fillId="34" borderId="0" xfId="0" applyNumberFormat="1" applyFont="1" applyFill="1" applyAlignment="1">
      <alignment horizontal="right" vertical="center"/>
    </xf>
    <xf numFmtId="43" fontId="31" fillId="34" borderId="0" xfId="0" applyNumberFormat="1" applyFont="1" applyFill="1" applyAlignment="1">
      <alignment horizontal="right" vertical="center" wrapText="1"/>
    </xf>
    <xf numFmtId="43" fontId="31" fillId="34" borderId="0" xfId="0" applyNumberFormat="1" applyFont="1" applyFill="1" applyAlignment="1">
      <alignment horizontal="center" vertical="center"/>
    </xf>
    <xf numFmtId="0" fontId="32" fillId="34" borderId="0" xfId="0" applyFont="1" applyFill="1" applyAlignment="1">
      <alignment horizontal="center" vertical="center"/>
    </xf>
    <xf numFmtId="0" fontId="40" fillId="0" borderId="0" xfId="0" applyFont="1"/>
    <xf numFmtId="0" fontId="3" fillId="34" borderId="0" xfId="4" applyFont="1" applyFill="1" applyAlignment="1">
      <alignment vertical="center"/>
    </xf>
    <xf numFmtId="0" fontId="41" fillId="34" borderId="0" xfId="4" applyFont="1" applyFill="1" applyAlignment="1">
      <alignment horizontal="justify" vertical="center"/>
    </xf>
    <xf numFmtId="0" fontId="41" fillId="34" borderId="0" xfId="4" applyFont="1" applyFill="1" applyAlignment="1">
      <alignment horizontal="center" vertical="center"/>
    </xf>
    <xf numFmtId="164" fontId="41" fillId="34" borderId="0" xfId="5" applyFont="1" applyFill="1" applyBorder="1" applyAlignment="1">
      <alignment horizontal="center" vertical="center"/>
    </xf>
    <xf numFmtId="164" fontId="41" fillId="34" borderId="0" xfId="5" applyFont="1" applyFill="1" applyBorder="1" applyAlignment="1">
      <alignment vertical="center"/>
    </xf>
    <xf numFmtId="0" fontId="41" fillId="34" borderId="0" xfId="4" applyFont="1" applyFill="1" applyAlignment="1">
      <alignment vertical="center"/>
    </xf>
    <xf numFmtId="0" fontId="41" fillId="0" borderId="0" xfId="4" applyFont="1" applyAlignment="1">
      <alignment vertical="center"/>
    </xf>
    <xf numFmtId="0" fontId="42" fillId="34" borderId="26" xfId="0" applyFont="1" applyFill="1" applyBorder="1" applyAlignment="1">
      <alignment horizontal="left"/>
    </xf>
    <xf numFmtId="0" fontId="42" fillId="34" borderId="27" xfId="0" applyFont="1" applyFill="1" applyBorder="1" applyAlignment="1">
      <alignment horizontal="left"/>
    </xf>
    <xf numFmtId="14" fontId="41" fillId="34" borderId="28" xfId="2" applyNumberFormat="1" applyFont="1" applyFill="1" applyBorder="1" applyAlignment="1">
      <alignment horizontal="right" vertical="center"/>
    </xf>
    <xf numFmtId="44" fontId="41" fillId="0" borderId="0" xfId="2" applyFont="1" applyAlignment="1">
      <alignment vertical="center"/>
    </xf>
    <xf numFmtId="4" fontId="31" fillId="0" borderId="25" xfId="0" applyNumberFormat="1" applyFont="1" applyBorder="1" applyAlignment="1">
      <alignment horizontal="center" vertical="center"/>
    </xf>
    <xf numFmtId="10" fontId="31" fillId="0" borderId="25" xfId="3" applyNumberFormat="1" applyFont="1" applyBorder="1" applyAlignment="1">
      <alignment horizontal="center" vertical="center"/>
    </xf>
    <xf numFmtId="44" fontId="41" fillId="0" borderId="0" xfId="4" applyNumberFormat="1" applyFont="1" applyAlignment="1">
      <alignment vertical="center"/>
    </xf>
    <xf numFmtId="4" fontId="31" fillId="0" borderId="0" xfId="0" applyNumberFormat="1" applyFont="1" applyAlignment="1">
      <alignment horizontal="center" vertical="center"/>
    </xf>
    <xf numFmtId="0" fontId="42" fillId="41" borderId="26" xfId="0" applyFont="1" applyFill="1" applyBorder="1" applyAlignment="1">
      <alignment horizontal="left"/>
    </xf>
    <xf numFmtId="0" fontId="42" fillId="41" borderId="27" xfId="0" applyFont="1" applyFill="1" applyBorder="1" applyAlignment="1">
      <alignment horizontal="left"/>
    </xf>
    <xf numFmtId="10" fontId="43" fillId="34" borderId="0" xfId="3" applyNumberFormat="1" applyFont="1" applyFill="1" applyBorder="1" applyAlignment="1">
      <alignment horizontal="left" vertical="center"/>
    </xf>
    <xf numFmtId="164" fontId="41" fillId="34" borderId="16" xfId="5" applyFont="1" applyFill="1" applyBorder="1" applyAlignment="1">
      <alignment vertical="center"/>
    </xf>
    <xf numFmtId="43" fontId="41" fillId="34" borderId="0" xfId="1" applyFont="1" applyFill="1" applyAlignment="1">
      <alignment vertical="center"/>
    </xf>
    <xf numFmtId="49" fontId="32" fillId="39" borderId="20" xfId="0" applyNumberFormat="1" applyFont="1" applyFill="1" applyBorder="1" applyAlignment="1">
      <alignment horizontal="center" vertical="center"/>
    </xf>
    <xf numFmtId="0" fontId="32" fillId="39" borderId="20" xfId="0" applyFont="1" applyFill="1" applyBorder="1" applyAlignment="1">
      <alignment horizontal="left" vertical="center" wrapText="1"/>
    </xf>
    <xf numFmtId="0" fontId="32" fillId="39" borderId="20" xfId="0" applyFont="1" applyFill="1" applyBorder="1" applyAlignment="1">
      <alignment horizontal="center" vertical="center"/>
    </xf>
    <xf numFmtId="0" fontId="32" fillId="39" borderId="2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0" fontId="34" fillId="0" borderId="0" xfId="0" applyFont="1" applyAlignment="1">
      <alignment horizontal="center" vertical="center" wrapText="1"/>
    </xf>
    <xf numFmtId="49" fontId="32" fillId="39" borderId="0" xfId="0" applyNumberFormat="1" applyFont="1" applyFill="1" applyAlignment="1">
      <alignment horizontal="center" vertical="center"/>
    </xf>
    <xf numFmtId="0" fontId="32" fillId="39" borderId="0" xfId="0" applyFont="1" applyFill="1" applyAlignment="1">
      <alignment horizontal="left" vertical="center" wrapText="1"/>
    </xf>
    <xf numFmtId="0" fontId="32" fillId="39" borderId="0" xfId="0" applyFont="1" applyFill="1" applyAlignment="1">
      <alignment horizontal="center" vertical="center"/>
    </xf>
    <xf numFmtId="0" fontId="32" fillId="39" borderId="0" xfId="0" applyFont="1" applyFill="1" applyAlignment="1">
      <alignment horizontal="center" vertical="center" wrapText="1"/>
    </xf>
    <xf numFmtId="4" fontId="32" fillId="0" borderId="0" xfId="0" applyNumberFormat="1" applyFont="1" applyAlignment="1">
      <alignment horizontal="right" vertical="center"/>
    </xf>
    <xf numFmtId="4" fontId="33" fillId="0" borderId="0" xfId="0" applyNumberFormat="1" applyFont="1" applyAlignment="1">
      <alignment horizontal="center" vertical="center"/>
    </xf>
    <xf numFmtId="4" fontId="34" fillId="0" borderId="0" xfId="0" applyNumberFormat="1" applyFont="1" applyAlignment="1">
      <alignment horizontal="center" vertical="center"/>
    </xf>
    <xf numFmtId="43" fontId="33" fillId="0" borderId="0" xfId="0" applyNumberFormat="1" applyFont="1" applyAlignment="1">
      <alignment horizontal="center" vertical="center"/>
    </xf>
    <xf numFmtId="0" fontId="33" fillId="36" borderId="0" xfId="0" applyFont="1" applyFill="1" applyAlignment="1">
      <alignment horizontal="center" vertical="center"/>
    </xf>
    <xf numFmtId="43" fontId="33" fillId="36" borderId="0" xfId="1" applyFont="1" applyFill="1" applyAlignment="1">
      <alignment horizontal="center" vertical="center"/>
    </xf>
    <xf numFmtId="0" fontId="44" fillId="36" borderId="0" xfId="0" applyFont="1" applyFill="1" applyAlignment="1">
      <alignment vertical="center"/>
    </xf>
    <xf numFmtId="0" fontId="44" fillId="40" borderId="0" xfId="0" applyFont="1" applyFill="1" applyAlignment="1">
      <alignment vertical="center"/>
    </xf>
    <xf numFmtId="0" fontId="32" fillId="40" borderId="0" xfId="0" applyFont="1" applyFill="1" applyAlignment="1">
      <alignment vertical="center"/>
    </xf>
    <xf numFmtId="0" fontId="3" fillId="0" borderId="1" xfId="4" applyFont="1" applyBorder="1" applyAlignment="1">
      <alignment horizontal="center" vertical="center"/>
    </xf>
    <xf numFmtId="0" fontId="3" fillId="0" borderId="1" xfId="4" applyFont="1" applyBorder="1" applyAlignment="1">
      <alignment horizontal="justify" vertical="center" wrapText="1"/>
    </xf>
    <xf numFmtId="164" fontId="3" fillId="0" borderId="1" xfId="5" applyFont="1" applyFill="1" applyBorder="1" applyAlignment="1">
      <alignment horizontal="center" vertical="center"/>
    </xf>
    <xf numFmtId="4" fontId="31" fillId="0" borderId="0" xfId="0" applyNumberFormat="1" applyFont="1" applyAlignment="1">
      <alignment horizontal="right" vertical="center"/>
    </xf>
    <xf numFmtId="2" fontId="33" fillId="0" borderId="0" xfId="108" applyNumberFormat="1" applyFont="1" applyFill="1" applyAlignment="1">
      <alignment horizontal="center" vertical="center"/>
    </xf>
    <xf numFmtId="10" fontId="31" fillId="0" borderId="0" xfId="108" applyNumberFormat="1" applyFont="1" applyFill="1" applyAlignment="1">
      <alignment horizontal="right" vertical="center"/>
    </xf>
    <xf numFmtId="0" fontId="40" fillId="0" borderId="0" xfId="0" applyFont="1" applyAlignment="1">
      <alignment wrapText="1"/>
    </xf>
    <xf numFmtId="0" fontId="36" fillId="0" borderId="0" xfId="0" applyFont="1" applyAlignment="1">
      <alignment horizontal="left" vertical="center"/>
    </xf>
    <xf numFmtId="4" fontId="39" fillId="0" borderId="0" xfId="0" applyNumberFormat="1" applyFont="1" applyAlignment="1">
      <alignment horizontal="center" vertical="center"/>
    </xf>
    <xf numFmtId="4" fontId="32" fillId="0" borderId="0" xfId="0" applyNumberFormat="1" applyFont="1" applyAlignment="1">
      <alignment horizontal="center" vertical="top"/>
    </xf>
    <xf numFmtId="4" fontId="34" fillId="0" borderId="0" xfId="0" applyNumberFormat="1" applyFont="1" applyAlignment="1">
      <alignment horizontal="center" vertical="top"/>
    </xf>
    <xf numFmtId="0" fontId="36" fillId="0" borderId="0" xfId="0" applyFont="1" applyAlignment="1">
      <alignment vertical="center"/>
    </xf>
    <xf numFmtId="43" fontId="36" fillId="0" borderId="0" xfId="0" applyNumberFormat="1" applyFont="1" applyAlignment="1">
      <alignment vertical="center"/>
    </xf>
    <xf numFmtId="0" fontId="32" fillId="36" borderId="0" xfId="0" applyFont="1" applyFill="1" applyAlignment="1">
      <alignment vertical="center"/>
    </xf>
    <xf numFmtId="43" fontId="32" fillId="35" borderId="20" xfId="0" applyNumberFormat="1" applyFont="1" applyFill="1" applyBorder="1" applyAlignment="1">
      <alignment horizontal="center" vertical="center"/>
    </xf>
    <xf numFmtId="0" fontId="32" fillId="35" borderId="6" xfId="0" applyFont="1" applyFill="1" applyBorder="1" applyAlignment="1">
      <alignment vertical="center"/>
    </xf>
    <xf numFmtId="49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justify" vertical="center" wrapText="1"/>
    </xf>
    <xf numFmtId="0" fontId="31" fillId="0" borderId="0" xfId="0" applyFont="1" applyAlignment="1">
      <alignment horizontal="center" vertical="center"/>
    </xf>
    <xf numFmtId="0" fontId="31" fillId="37" borderId="0" xfId="0" applyFont="1" applyFill="1" applyAlignment="1">
      <alignment horizontal="center" vertical="center"/>
    </xf>
    <xf numFmtId="43" fontId="46" fillId="0" borderId="0" xfId="1" applyFont="1" applyAlignment="1">
      <alignment horizontal="left"/>
    </xf>
    <xf numFmtId="43" fontId="48" fillId="0" borderId="18" xfId="1" applyFont="1" applyBorder="1" applyAlignment="1">
      <alignment vertical="center"/>
    </xf>
    <xf numFmtId="43" fontId="48" fillId="0" borderId="4" xfId="1" applyFont="1" applyBorder="1" applyAlignment="1">
      <alignment vertical="center"/>
    </xf>
    <xf numFmtId="43" fontId="48" fillId="2" borderId="31" xfId="1" applyFont="1" applyFill="1" applyBorder="1" applyAlignment="1">
      <alignment vertical="center"/>
    </xf>
    <xf numFmtId="43" fontId="48" fillId="2" borderId="17" xfId="1" applyFont="1" applyFill="1" applyBorder="1" applyAlignment="1">
      <alignment vertical="center"/>
    </xf>
    <xf numFmtId="43" fontId="46" fillId="0" borderId="30" xfId="1" applyFont="1" applyBorder="1" applyAlignment="1">
      <alignment horizontal="left"/>
    </xf>
    <xf numFmtId="43" fontId="46" fillId="0" borderId="0" xfId="1" applyFont="1" applyBorder="1" applyAlignment="1">
      <alignment horizontal="left"/>
    </xf>
    <xf numFmtId="43" fontId="46" fillId="0" borderId="5" xfId="1" applyFont="1" applyBorder="1" applyAlignment="1">
      <alignment horizontal="left"/>
    </xf>
    <xf numFmtId="43" fontId="49" fillId="0" borderId="0" xfId="1" applyFont="1" applyBorder="1" applyAlignment="1" applyProtection="1">
      <alignment horizontal="left" vertical="center" wrapText="1"/>
    </xf>
    <xf numFmtId="43" fontId="49" fillId="0" borderId="44" xfId="1" applyFont="1" applyFill="1" applyBorder="1" applyAlignment="1">
      <alignment horizontal="center" vertical="center"/>
    </xf>
    <xf numFmtId="43" fontId="49" fillId="0" borderId="30" xfId="1" applyFont="1" applyFill="1" applyBorder="1" applyAlignment="1">
      <alignment vertical="center"/>
    </xf>
    <xf numFmtId="43" fontId="49" fillId="0" borderId="0" xfId="1" applyFont="1" applyFill="1" applyBorder="1" applyAlignment="1">
      <alignment vertical="center"/>
    </xf>
    <xf numFmtId="43" fontId="49" fillId="0" borderId="5" xfId="1" applyFont="1" applyFill="1" applyBorder="1" applyAlignment="1">
      <alignment vertical="center"/>
    </xf>
    <xf numFmtId="43" fontId="49" fillId="42" borderId="20" xfId="1" applyFont="1" applyFill="1" applyBorder="1" applyAlignment="1">
      <alignment horizontal="center" vertical="center"/>
    </xf>
    <xf numFmtId="43" fontId="49" fillId="42" borderId="6" xfId="1" applyFont="1" applyFill="1" applyBorder="1" applyAlignment="1">
      <alignment vertical="center"/>
    </xf>
    <xf numFmtId="43" fontId="49" fillId="42" borderId="3" xfId="1" applyFont="1" applyFill="1" applyBorder="1" applyAlignment="1">
      <alignment vertical="center"/>
    </xf>
    <xf numFmtId="43" fontId="21" fillId="0" borderId="30" xfId="1" applyFont="1" applyFill="1" applyBorder="1" applyAlignment="1">
      <alignment vertical="center"/>
    </xf>
    <xf numFmtId="43" fontId="21" fillId="0" borderId="0" xfId="1" applyFont="1" applyFill="1" applyBorder="1" applyAlignment="1">
      <alignment vertical="center"/>
    </xf>
    <xf numFmtId="43" fontId="49" fillId="0" borderId="0" xfId="1" applyFont="1" applyFill="1" applyBorder="1" applyAlignment="1">
      <alignment horizontal="center" vertical="center"/>
    </xf>
    <xf numFmtId="43" fontId="21" fillId="0" borderId="5" xfId="1" applyFont="1" applyFill="1" applyBorder="1" applyAlignment="1">
      <alignment vertical="center"/>
    </xf>
    <xf numFmtId="43" fontId="21" fillId="43" borderId="46" xfId="1" applyFont="1" applyFill="1" applyBorder="1" applyAlignment="1">
      <alignment horizontal="center" vertical="center"/>
    </xf>
    <xf numFmtId="43" fontId="49" fillId="43" borderId="47" xfId="1" applyFont="1" applyFill="1" applyBorder="1" applyAlignment="1">
      <alignment horizontal="center" vertical="center"/>
    </xf>
    <xf numFmtId="43" fontId="49" fillId="43" borderId="50" xfId="1" applyFont="1" applyFill="1" applyBorder="1" applyAlignment="1">
      <alignment horizontal="center" vertical="center"/>
    </xf>
    <xf numFmtId="43" fontId="21" fillId="0" borderId="0" xfId="1" applyFont="1" applyFill="1" applyAlignment="1">
      <alignment horizontal="left"/>
    </xf>
    <xf numFmtId="43" fontId="21" fillId="0" borderId="46" xfId="1" applyFont="1" applyFill="1" applyBorder="1" applyAlignment="1">
      <alignment horizontal="center" vertical="center"/>
    </xf>
    <xf numFmtId="0" fontId="21" fillId="0" borderId="49" xfId="1" applyNumberFormat="1" applyFont="1" applyFill="1" applyBorder="1" applyAlignment="1">
      <alignment horizontal="left" vertical="center" wrapText="1"/>
    </xf>
    <xf numFmtId="43" fontId="21" fillId="0" borderId="47" xfId="1" applyFont="1" applyFill="1" applyBorder="1" applyAlignment="1">
      <alignment horizontal="center" vertical="center"/>
    </xf>
    <xf numFmtId="164" fontId="21" fillId="0" borderId="47" xfId="1" applyNumberFormat="1" applyFont="1" applyFill="1" applyBorder="1" applyAlignment="1">
      <alignment horizontal="center" vertical="center"/>
    </xf>
    <xf numFmtId="43" fontId="21" fillId="0" borderId="50" xfId="1" applyFont="1" applyFill="1" applyBorder="1" applyAlignment="1">
      <alignment horizontal="center" vertical="center"/>
    </xf>
    <xf numFmtId="43" fontId="21" fillId="43" borderId="47" xfId="1" applyFont="1" applyFill="1" applyBorder="1" applyAlignment="1">
      <alignment vertical="center"/>
    </xf>
    <xf numFmtId="43" fontId="21" fillId="43" borderId="48" xfId="1" applyFont="1" applyFill="1" applyBorder="1" applyAlignment="1">
      <alignment vertical="center"/>
    </xf>
    <xf numFmtId="0" fontId="21" fillId="0" borderId="30" xfId="1" applyNumberFormat="1" applyFont="1" applyFill="1" applyBorder="1" applyAlignment="1">
      <alignment horizontal="center" vertical="center"/>
    </xf>
    <xf numFmtId="49" fontId="21" fillId="0" borderId="0" xfId="1" applyNumberFormat="1" applyFont="1" applyFill="1" applyBorder="1" applyAlignment="1">
      <alignment horizontal="left" vertical="center" indent="1"/>
    </xf>
    <xf numFmtId="49" fontId="21" fillId="0" borderId="0" xfId="1" applyNumberFormat="1" applyFont="1" applyFill="1" applyBorder="1" applyAlignment="1">
      <alignment horizontal="center" vertical="center"/>
    </xf>
    <xf numFmtId="43" fontId="21" fillId="0" borderId="0" xfId="1" applyFont="1" applyFill="1" applyBorder="1" applyAlignment="1">
      <alignment horizontal="center" vertical="center"/>
    </xf>
    <xf numFmtId="0" fontId="21" fillId="0" borderId="0" xfId="1" applyNumberFormat="1" applyFont="1" applyFill="1" applyBorder="1" applyAlignment="1">
      <alignment horizontal="center" vertical="center"/>
    </xf>
    <xf numFmtId="164" fontId="21" fillId="0" borderId="0" xfId="1" applyNumberFormat="1" applyFont="1" applyFill="1" applyBorder="1" applyAlignment="1">
      <alignment horizontal="center" vertical="center"/>
    </xf>
    <xf numFmtId="43" fontId="21" fillId="0" borderId="5" xfId="1" applyFont="1" applyFill="1" applyBorder="1" applyAlignment="1">
      <alignment horizontal="center" vertical="center"/>
    </xf>
    <xf numFmtId="43" fontId="21" fillId="0" borderId="30" xfId="1" applyFont="1" applyFill="1" applyBorder="1" applyAlignment="1">
      <alignment horizontal="center" vertical="center"/>
    </xf>
    <xf numFmtId="4" fontId="31" fillId="0" borderId="29" xfId="0" applyNumberFormat="1" applyFont="1" applyBorder="1" applyAlignment="1">
      <alignment horizontal="center" vertical="center"/>
    </xf>
    <xf numFmtId="3" fontId="32" fillId="39" borderId="1" xfId="0" applyNumberFormat="1" applyFont="1" applyFill="1" applyBorder="1" applyAlignment="1">
      <alignment horizontal="center" vertical="center"/>
    </xf>
    <xf numFmtId="4" fontId="32" fillId="39" borderId="1" xfId="0" applyNumberFormat="1" applyFont="1" applyFill="1" applyBorder="1" applyAlignment="1">
      <alignment horizontal="left" vertical="center" wrapText="1"/>
    </xf>
    <xf numFmtId="4" fontId="32" fillId="39" borderId="1" xfId="0" applyNumberFormat="1" applyFont="1" applyFill="1" applyBorder="1" applyAlignment="1">
      <alignment horizontal="center" vertical="center"/>
    </xf>
    <xf numFmtId="4" fontId="38" fillId="39" borderId="1" xfId="0" applyNumberFormat="1" applyFont="1" applyFill="1" applyBorder="1" applyAlignment="1">
      <alignment horizontal="center" vertical="center"/>
    </xf>
    <xf numFmtId="4" fontId="31" fillId="0" borderId="1" xfId="0" applyNumberFormat="1" applyFont="1" applyBorder="1" applyAlignment="1">
      <alignment horizontal="center" vertical="center"/>
    </xf>
    <xf numFmtId="0" fontId="50" fillId="34" borderId="1" xfId="0" applyFont="1" applyFill="1" applyBorder="1" applyAlignment="1">
      <alignment horizontal="center" vertical="center"/>
    </xf>
    <xf numFmtId="4" fontId="50" fillId="0" borderId="1" xfId="0" applyNumberFormat="1" applyFont="1" applyBorder="1" applyAlignment="1">
      <alignment horizontal="left" vertical="center" wrapText="1"/>
    </xf>
    <xf numFmtId="4" fontId="50" fillId="34" borderId="1" xfId="0" applyNumberFormat="1" applyFont="1" applyFill="1" applyBorder="1" applyAlignment="1">
      <alignment horizontal="center" vertical="center"/>
    </xf>
    <xf numFmtId="4" fontId="50" fillId="0" borderId="1" xfId="0" applyNumberFormat="1" applyFont="1" applyBorder="1" applyAlignment="1">
      <alignment horizontal="center" vertical="center"/>
    </xf>
    <xf numFmtId="0" fontId="51" fillId="0" borderId="1" xfId="0" applyFont="1" applyBorder="1" applyAlignment="1">
      <alignment wrapText="1"/>
    </xf>
    <xf numFmtId="0" fontId="51" fillId="0" borderId="1" xfId="0" applyFont="1" applyBorder="1"/>
    <xf numFmtId="4" fontId="50" fillId="34" borderId="1" xfId="0" applyNumberFormat="1" applyFont="1" applyFill="1" applyBorder="1" applyAlignment="1">
      <alignment horizontal="left" vertical="center" wrapText="1"/>
    </xf>
    <xf numFmtId="3" fontId="52" fillId="39" borderId="1" xfId="0" applyNumberFormat="1" applyFont="1" applyFill="1" applyBorder="1" applyAlignment="1">
      <alignment horizontal="center" vertical="center"/>
    </xf>
    <xf numFmtId="4" fontId="52" fillId="39" borderId="1" xfId="0" applyNumberFormat="1" applyFont="1" applyFill="1" applyBorder="1" applyAlignment="1">
      <alignment horizontal="left" vertical="center" wrapText="1"/>
    </xf>
    <xf numFmtId="4" fontId="52" fillId="39" borderId="1" xfId="0" applyNumberFormat="1" applyFont="1" applyFill="1" applyBorder="1" applyAlignment="1">
      <alignment horizontal="center" vertical="center"/>
    </xf>
    <xf numFmtId="4" fontId="53" fillId="39" borderId="1" xfId="0" applyNumberFormat="1" applyFont="1" applyFill="1" applyBorder="1" applyAlignment="1">
      <alignment horizontal="center" vertical="center"/>
    </xf>
    <xf numFmtId="3" fontId="52" fillId="35" borderId="1" xfId="0" applyNumberFormat="1" applyFont="1" applyFill="1" applyBorder="1" applyAlignment="1">
      <alignment horizontal="center" vertical="center"/>
    </xf>
    <xf numFmtId="4" fontId="52" fillId="35" borderId="1" xfId="0" applyNumberFormat="1" applyFont="1" applyFill="1" applyBorder="1" applyAlignment="1">
      <alignment horizontal="left" vertical="center" wrapText="1"/>
    </xf>
    <xf numFmtId="4" fontId="52" fillId="35" borderId="1" xfId="0" applyNumberFormat="1" applyFont="1" applyFill="1" applyBorder="1" applyAlignment="1">
      <alignment horizontal="center" vertical="center"/>
    </xf>
    <xf numFmtId="4" fontId="53" fillId="35" borderId="1" xfId="0" applyNumberFormat="1" applyFont="1" applyFill="1" applyBorder="1" applyAlignment="1">
      <alignment horizontal="center" vertical="center"/>
    </xf>
    <xf numFmtId="3" fontId="52" fillId="34" borderId="1" xfId="0" applyNumberFormat="1" applyFont="1" applyFill="1" applyBorder="1" applyAlignment="1">
      <alignment horizontal="center" vertical="center"/>
    </xf>
    <xf numFmtId="4" fontId="52" fillId="34" borderId="1" xfId="0" applyNumberFormat="1" applyFont="1" applyFill="1" applyBorder="1" applyAlignment="1">
      <alignment horizontal="left" vertical="center" wrapText="1"/>
    </xf>
    <xf numFmtId="4" fontId="52" fillId="34" borderId="1" xfId="0" applyNumberFormat="1" applyFont="1" applyFill="1" applyBorder="1" applyAlignment="1">
      <alignment horizontal="center" vertical="center"/>
    </xf>
    <xf numFmtId="4" fontId="53" fillId="34" borderId="1" xfId="0" applyNumberFormat="1" applyFont="1" applyFill="1" applyBorder="1" applyAlignment="1">
      <alignment horizontal="center" vertical="center"/>
    </xf>
    <xf numFmtId="4" fontId="50" fillId="0" borderId="1" xfId="0" applyNumberFormat="1" applyFont="1" applyBorder="1" applyAlignment="1">
      <alignment horizontal="center" vertical="center" wrapText="1"/>
    </xf>
    <xf numFmtId="4" fontId="52" fillId="0" borderId="1" xfId="0" applyNumberFormat="1" applyFont="1" applyBorder="1" applyAlignment="1">
      <alignment horizontal="center" vertical="center"/>
    </xf>
    <xf numFmtId="0" fontId="21" fillId="0" borderId="47" xfId="1" applyNumberFormat="1" applyFont="1" applyFill="1" applyBorder="1" applyAlignment="1">
      <alignment horizontal="left" vertical="center" wrapText="1"/>
    </xf>
    <xf numFmtId="0" fontId="21" fillId="0" borderId="48" xfId="1" applyNumberFormat="1" applyFont="1" applyFill="1" applyBorder="1" applyAlignment="1">
      <alignment horizontal="left" vertical="center" wrapText="1"/>
    </xf>
    <xf numFmtId="43" fontId="21" fillId="0" borderId="48" xfId="1" applyFont="1" applyFill="1" applyBorder="1" applyAlignment="1">
      <alignment horizontal="center" vertical="center"/>
    </xf>
    <xf numFmtId="164" fontId="21" fillId="0" borderId="48" xfId="1" applyNumberFormat="1" applyFont="1" applyFill="1" applyBorder="1" applyAlignment="1">
      <alignment horizontal="center" vertical="center"/>
    </xf>
    <xf numFmtId="0" fontId="21" fillId="0" borderId="47" xfId="1" applyNumberFormat="1" applyFont="1" applyFill="1" applyBorder="1" applyAlignment="1">
      <alignment vertical="center" wrapText="1"/>
    </xf>
    <xf numFmtId="0" fontId="21" fillId="0" borderId="49" xfId="1" applyNumberFormat="1" applyFont="1" applyFill="1" applyBorder="1" applyAlignment="1">
      <alignment vertical="center" wrapText="1"/>
    </xf>
    <xf numFmtId="43" fontId="49" fillId="0" borderId="50" xfId="1" applyFont="1" applyFill="1" applyBorder="1" applyAlignment="1">
      <alignment horizontal="center" vertical="center"/>
    </xf>
    <xf numFmtId="0" fontId="21" fillId="0" borderId="0" xfId="1" applyNumberFormat="1" applyFont="1" applyFill="1" applyBorder="1" applyAlignment="1">
      <alignment horizontal="left" vertical="center" wrapText="1"/>
    </xf>
    <xf numFmtId="0" fontId="21" fillId="0" borderId="0" xfId="1" applyNumberFormat="1" applyFont="1" applyFill="1" applyBorder="1" applyAlignment="1">
      <alignment vertical="center" wrapText="1"/>
    </xf>
    <xf numFmtId="43" fontId="49" fillId="0" borderId="5" xfId="1" applyFont="1" applyFill="1" applyBorder="1" applyAlignment="1">
      <alignment horizontal="center" vertical="center"/>
    </xf>
    <xf numFmtId="43" fontId="21" fillId="43" borderId="46" xfId="1" applyFont="1" applyFill="1" applyBorder="1" applyAlignment="1">
      <alignment horizontal="center" vertical="center" wrapText="1"/>
    </xf>
    <xf numFmtId="43" fontId="49" fillId="43" borderId="50" xfId="1" applyFont="1" applyFill="1" applyBorder="1" applyAlignment="1">
      <alignment horizontal="center" vertical="center" wrapText="1"/>
    </xf>
    <xf numFmtId="0" fontId="32" fillId="34" borderId="19" xfId="0" applyFont="1" applyFill="1" applyBorder="1" applyAlignment="1">
      <alignment horizontal="center" vertical="center"/>
    </xf>
    <xf numFmtId="43" fontId="32" fillId="35" borderId="6" xfId="0" applyNumberFormat="1" applyFont="1" applyFill="1" applyBorder="1" applyAlignment="1">
      <alignment horizontal="center" vertical="center"/>
    </xf>
    <xf numFmtId="10" fontId="32" fillId="0" borderId="0" xfId="3" applyNumberFormat="1" applyFont="1" applyFill="1" applyAlignment="1">
      <alignment horizontal="center" vertical="center"/>
    </xf>
    <xf numFmtId="0" fontId="32" fillId="39" borderId="1" xfId="0" applyFont="1" applyFill="1" applyBorder="1" applyAlignment="1">
      <alignment horizontal="center" vertical="center" wrapText="1"/>
    </xf>
    <xf numFmtId="0" fontId="21" fillId="0" borderId="53" xfId="1" applyNumberFormat="1" applyFont="1" applyFill="1" applyBorder="1" applyAlignment="1">
      <alignment horizontal="left" vertical="center" wrapText="1"/>
    </xf>
    <xf numFmtId="43" fontId="21" fillId="0" borderId="55" xfId="1" applyFont="1" applyFill="1" applyBorder="1" applyAlignment="1">
      <alignment horizontal="center" vertical="center"/>
    </xf>
    <xf numFmtId="43" fontId="21" fillId="0" borderId="63" xfId="1" applyFont="1" applyFill="1" applyBorder="1" applyAlignment="1">
      <alignment horizontal="center" vertical="center"/>
    </xf>
    <xf numFmtId="0" fontId="21" fillId="0" borderId="64" xfId="1" applyNumberFormat="1" applyFont="1" applyFill="1" applyBorder="1" applyAlignment="1">
      <alignment horizontal="left" vertical="center" wrapText="1"/>
    </xf>
    <xf numFmtId="174" fontId="33" fillId="0" borderId="0" xfId="0" applyNumberFormat="1" applyFont="1" applyAlignment="1">
      <alignment horizontal="left" vertical="center"/>
    </xf>
    <xf numFmtId="175" fontId="46" fillId="0" borderId="0" xfId="1" applyNumberFormat="1" applyFont="1" applyAlignment="1">
      <alignment horizontal="left"/>
    </xf>
    <xf numFmtId="43" fontId="59" fillId="0" borderId="0" xfId="1" applyFont="1" applyAlignment="1">
      <alignment horizontal="left"/>
    </xf>
    <xf numFmtId="4" fontId="38" fillId="0" borderId="0" xfId="0" applyNumberFormat="1" applyFont="1" applyAlignment="1">
      <alignment horizontal="center" vertical="center"/>
    </xf>
    <xf numFmtId="2" fontId="38" fillId="0" borderId="0" xfId="108" applyNumberFormat="1" applyFont="1" applyFill="1" applyAlignment="1">
      <alignment horizontal="center" vertical="center"/>
    </xf>
    <xf numFmtId="4" fontId="32" fillId="0" borderId="0" xfId="0" applyNumberFormat="1" applyFont="1" applyAlignment="1">
      <alignment horizontal="left" vertical="center"/>
    </xf>
    <xf numFmtId="4" fontId="50" fillId="0" borderId="1" xfId="0" applyNumberFormat="1" applyFont="1" applyFill="1" applyBorder="1" applyAlignment="1">
      <alignment horizontal="center" vertical="center"/>
    </xf>
    <xf numFmtId="43" fontId="49" fillId="0" borderId="33" xfId="1" applyFont="1" applyFill="1" applyBorder="1" applyAlignment="1">
      <alignment horizontal="center" vertical="center"/>
    </xf>
    <xf numFmtId="43" fontId="49" fillId="0" borderId="41" xfId="1" applyFont="1" applyFill="1" applyBorder="1" applyAlignment="1">
      <alignment horizontal="center" vertical="center"/>
    </xf>
    <xf numFmtId="43" fontId="49" fillId="0" borderId="34" xfId="1" applyFont="1" applyFill="1" applyBorder="1" applyAlignment="1">
      <alignment horizontal="center" vertical="center"/>
    </xf>
    <xf numFmtId="43" fontId="49" fillId="0" borderId="35" xfId="1" applyFont="1" applyFill="1" applyBorder="1" applyAlignment="1">
      <alignment horizontal="center" vertical="center"/>
    </xf>
    <xf numFmtId="43" fontId="49" fillId="0" borderId="42" xfId="1" applyFont="1" applyFill="1" applyBorder="1" applyAlignment="1">
      <alignment horizontal="center" vertical="center"/>
    </xf>
    <xf numFmtId="43" fontId="49" fillId="0" borderId="43" xfId="1" applyFont="1" applyFill="1" applyBorder="1" applyAlignment="1">
      <alignment horizontal="center" vertical="center"/>
    </xf>
    <xf numFmtId="43" fontId="49" fillId="0" borderId="36" xfId="1" applyFont="1" applyFill="1" applyBorder="1" applyAlignment="1">
      <alignment horizontal="center" vertical="center"/>
    </xf>
    <xf numFmtId="43" fontId="49" fillId="0" borderId="44" xfId="1" applyFont="1" applyFill="1" applyBorder="1" applyAlignment="1">
      <alignment horizontal="center" vertical="center"/>
    </xf>
    <xf numFmtId="0" fontId="21" fillId="0" borderId="47" xfId="1" applyNumberFormat="1" applyFont="1" applyFill="1" applyBorder="1" applyAlignment="1">
      <alignment horizontal="left" vertical="center" wrapText="1"/>
    </xf>
    <xf numFmtId="0" fontId="21" fillId="0" borderId="49" xfId="1" applyNumberFormat="1" applyFont="1" applyFill="1" applyBorder="1" applyAlignment="1">
      <alignment horizontal="left" vertical="center" wrapText="1"/>
    </xf>
    <xf numFmtId="43" fontId="21" fillId="43" borderId="47" xfId="1" applyFont="1" applyFill="1" applyBorder="1" applyAlignment="1">
      <alignment horizontal="left" vertical="center" wrapText="1"/>
    </xf>
    <xf numFmtId="43" fontId="21" fillId="43" borderId="48" xfId="1" applyFont="1" applyFill="1" applyBorder="1" applyAlignment="1">
      <alignment horizontal="left" vertical="center" wrapText="1"/>
    </xf>
    <xf numFmtId="43" fontId="21" fillId="43" borderId="49" xfId="1" applyFont="1" applyFill="1" applyBorder="1" applyAlignment="1">
      <alignment horizontal="left" vertical="center" wrapText="1"/>
    </xf>
    <xf numFmtId="43" fontId="49" fillId="0" borderId="37" xfId="1" applyFont="1" applyFill="1" applyBorder="1" applyAlignment="1">
      <alignment horizontal="center" vertical="center"/>
    </xf>
    <xf numFmtId="43" fontId="49" fillId="0" borderId="38" xfId="1" applyFont="1" applyFill="1" applyBorder="1" applyAlignment="1">
      <alignment horizontal="center" vertical="center"/>
    </xf>
    <xf numFmtId="43" fontId="49" fillId="0" borderId="39" xfId="1" applyFont="1" applyFill="1" applyBorder="1" applyAlignment="1">
      <alignment horizontal="center" vertical="center"/>
    </xf>
    <xf numFmtId="43" fontId="46" fillId="0" borderId="18" xfId="1" applyFont="1" applyBorder="1" applyAlignment="1">
      <alignment horizontal="center"/>
    </xf>
    <xf numFmtId="43" fontId="46" fillId="0" borderId="4" xfId="1" applyFont="1" applyBorder="1" applyAlignment="1">
      <alignment horizontal="center"/>
    </xf>
    <xf numFmtId="43" fontId="46" fillId="0" borderId="30" xfId="1" applyFont="1" applyBorder="1" applyAlignment="1">
      <alignment horizontal="center"/>
    </xf>
    <xf numFmtId="43" fontId="46" fillId="0" borderId="5" xfId="1" applyFont="1" applyBorder="1" applyAlignment="1">
      <alignment horizontal="center"/>
    </xf>
    <xf numFmtId="43" fontId="46" fillId="0" borderId="31" xfId="1" applyFont="1" applyBorder="1" applyAlignment="1">
      <alignment horizontal="center"/>
    </xf>
    <xf numFmtId="43" fontId="46" fillId="0" borderId="17" xfId="1" applyFont="1" applyBorder="1" applyAlignment="1">
      <alignment horizontal="center"/>
    </xf>
    <xf numFmtId="43" fontId="47" fillId="0" borderId="2" xfId="1" applyFont="1" applyBorder="1" applyAlignment="1">
      <alignment horizontal="center" vertical="center" wrapText="1"/>
    </xf>
    <xf numFmtId="43" fontId="47" fillId="0" borderId="6" xfId="1" applyFont="1" applyBorder="1" applyAlignment="1">
      <alignment horizontal="center" vertical="center" wrapText="1"/>
    </xf>
    <xf numFmtId="43" fontId="47" fillId="0" borderId="3" xfId="1" applyFont="1" applyBorder="1" applyAlignment="1">
      <alignment horizontal="center" vertical="center" wrapText="1"/>
    </xf>
    <xf numFmtId="43" fontId="46" fillId="0" borderId="18" xfId="1" applyFont="1" applyBorder="1" applyAlignment="1">
      <alignment horizontal="left"/>
    </xf>
    <xf numFmtId="43" fontId="46" fillId="0" borderId="19" xfId="1" applyFont="1" applyBorder="1" applyAlignment="1">
      <alignment horizontal="left"/>
    </xf>
    <xf numFmtId="43" fontId="46" fillId="0" borderId="4" xfId="1" applyFont="1" applyBorder="1" applyAlignment="1">
      <alignment horizontal="left"/>
    </xf>
    <xf numFmtId="43" fontId="48" fillId="2" borderId="31" xfId="1" applyFont="1" applyFill="1" applyBorder="1" applyAlignment="1">
      <alignment horizontal="left" wrapText="1"/>
    </xf>
    <xf numFmtId="43" fontId="48" fillId="2" borderId="32" xfId="1" applyFont="1" applyFill="1" applyBorder="1" applyAlignment="1">
      <alignment horizontal="left"/>
    </xf>
    <xf numFmtId="43" fontId="48" fillId="2" borderId="17" xfId="1" applyFont="1" applyFill="1" applyBorder="1" applyAlignment="1">
      <alignment horizontal="left"/>
    </xf>
    <xf numFmtId="43" fontId="48" fillId="2" borderId="31" xfId="1" applyFont="1" applyFill="1" applyBorder="1" applyAlignment="1">
      <alignment horizontal="left"/>
    </xf>
    <xf numFmtId="43" fontId="46" fillId="0" borderId="18" xfId="1" applyFont="1" applyBorder="1" applyAlignment="1">
      <alignment horizontal="left" vertical="center"/>
    </xf>
    <xf numFmtId="43" fontId="46" fillId="0" borderId="19" xfId="1" applyFont="1" applyBorder="1" applyAlignment="1">
      <alignment horizontal="left" vertical="center"/>
    </xf>
    <xf numFmtId="43" fontId="46" fillId="0" borderId="4" xfId="1" applyFont="1" applyBorder="1" applyAlignment="1">
      <alignment horizontal="left" vertical="center"/>
    </xf>
    <xf numFmtId="43" fontId="48" fillId="2" borderId="31" xfId="1" applyFont="1" applyFill="1" applyBorder="1" applyAlignment="1">
      <alignment horizontal="left" vertical="top" wrapText="1"/>
    </xf>
    <xf numFmtId="43" fontId="48" fillId="2" borderId="32" xfId="1" applyFont="1" applyFill="1" applyBorder="1" applyAlignment="1">
      <alignment horizontal="left" vertical="top" wrapText="1"/>
    </xf>
    <xf numFmtId="43" fontId="48" fillId="2" borderId="17" xfId="1" applyFont="1" applyFill="1" applyBorder="1" applyAlignment="1">
      <alignment horizontal="left" vertical="top" wrapText="1"/>
    </xf>
    <xf numFmtId="43" fontId="48" fillId="2" borderId="31" xfId="1" applyFont="1" applyFill="1" applyBorder="1" applyAlignment="1">
      <alignment horizontal="left" vertical="center" wrapText="1"/>
    </xf>
    <xf numFmtId="43" fontId="48" fillId="2" borderId="32" xfId="1" applyFont="1" applyFill="1" applyBorder="1" applyAlignment="1">
      <alignment horizontal="left" vertical="center" wrapText="1"/>
    </xf>
    <xf numFmtId="43" fontId="48" fillId="2" borderId="17" xfId="1" applyFont="1" applyFill="1" applyBorder="1" applyAlignment="1">
      <alignment horizontal="left" vertical="center" wrapText="1"/>
    </xf>
    <xf numFmtId="43" fontId="49" fillId="0" borderId="40" xfId="1" applyFont="1" applyFill="1" applyBorder="1" applyAlignment="1">
      <alignment horizontal="center" vertical="center"/>
    </xf>
    <xf numFmtId="43" fontId="49" fillId="0" borderId="45" xfId="1" applyFont="1" applyFill="1" applyBorder="1" applyAlignment="1">
      <alignment horizontal="center" vertical="center"/>
    </xf>
    <xf numFmtId="0" fontId="21" fillId="0" borderId="47" xfId="1" applyNumberFormat="1" applyFont="1" applyFill="1" applyBorder="1" applyAlignment="1">
      <alignment horizontal="left" vertical="center" wrapText="1" readingOrder="1"/>
    </xf>
    <xf numFmtId="0" fontId="21" fillId="0" borderId="49" xfId="1" applyNumberFormat="1" applyFont="1" applyFill="1" applyBorder="1" applyAlignment="1">
      <alignment horizontal="left" vertical="center" wrapText="1" readingOrder="1"/>
    </xf>
    <xf numFmtId="43" fontId="56" fillId="34" borderId="0" xfId="0" applyNumberFormat="1" applyFont="1" applyFill="1" applyAlignment="1">
      <alignment horizontal="center" vertical="center"/>
    </xf>
    <xf numFmtId="0" fontId="3" fillId="34" borderId="0" xfId="4" applyFont="1" applyFill="1" applyAlignment="1">
      <alignment horizontal="left" vertical="center"/>
    </xf>
    <xf numFmtId="0" fontId="45" fillId="0" borderId="0" xfId="0" applyFont="1" applyAlignment="1">
      <alignment horizontal="left" wrapText="1"/>
    </xf>
    <xf numFmtId="49" fontId="31" fillId="0" borderId="0" xfId="0" applyNumberFormat="1" applyFont="1" applyAlignment="1">
      <alignment horizontal="center" vertical="center"/>
    </xf>
    <xf numFmtId="0" fontId="38" fillId="38" borderId="0" xfId="0" applyFont="1" applyFill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34" borderId="18" xfId="0" applyFont="1" applyFill="1" applyBorder="1" applyAlignment="1">
      <alignment horizontal="center" vertical="center"/>
    </xf>
    <xf numFmtId="0" fontId="32" fillId="34" borderId="19" xfId="0" applyFont="1" applyFill="1" applyBorder="1" applyAlignment="1">
      <alignment horizontal="center" vertical="center"/>
    </xf>
    <xf numFmtId="0" fontId="32" fillId="35" borderId="2" xfId="0" applyFont="1" applyFill="1" applyBorder="1" applyAlignment="1">
      <alignment horizontal="center" vertical="center"/>
    </xf>
    <xf numFmtId="0" fontId="32" fillId="35" borderId="6" xfId="0" applyFont="1" applyFill="1" applyBorder="1" applyAlignment="1">
      <alignment horizontal="center" vertical="center"/>
    </xf>
    <xf numFmtId="0" fontId="32" fillId="35" borderId="3" xfId="0" applyFont="1" applyFill="1" applyBorder="1" applyAlignment="1">
      <alignment horizontal="center" vertical="center"/>
    </xf>
    <xf numFmtId="0" fontId="3" fillId="34" borderId="0" xfId="4" applyFont="1" applyFill="1" applyAlignment="1">
      <alignment horizontal="center" vertical="center"/>
    </xf>
    <xf numFmtId="0" fontId="55" fillId="34" borderId="0" xfId="0" applyFont="1" applyFill="1" applyAlignment="1">
      <alignment horizontal="center" vertical="center"/>
    </xf>
    <xf numFmtId="0" fontId="52" fillId="39" borderId="1" xfId="0" applyFont="1" applyFill="1" applyBorder="1" applyAlignment="1">
      <alignment horizontal="left" vertical="center" wrapText="1"/>
    </xf>
    <xf numFmtId="43" fontId="21" fillId="0" borderId="55" xfId="1" applyFont="1" applyFill="1" applyBorder="1" applyAlignment="1">
      <alignment horizontal="center" vertical="center"/>
    </xf>
    <xf numFmtId="43" fontId="21" fillId="0" borderId="56" xfId="1" applyFont="1" applyFill="1" applyBorder="1" applyAlignment="1">
      <alignment horizontal="center" vertical="center"/>
    </xf>
    <xf numFmtId="0" fontId="21" fillId="0" borderId="51" xfId="1" applyNumberFormat="1" applyFont="1" applyFill="1" applyBorder="1" applyAlignment="1">
      <alignment horizontal="center" vertical="center" wrapText="1"/>
    </xf>
    <xf numFmtId="0" fontId="21" fillId="0" borderId="52" xfId="1" applyNumberFormat="1" applyFont="1" applyFill="1" applyBorder="1" applyAlignment="1">
      <alignment horizontal="center" vertical="center" wrapText="1"/>
    </xf>
    <xf numFmtId="0" fontId="21" fillId="0" borderId="53" xfId="1" applyNumberFormat="1" applyFont="1" applyFill="1" applyBorder="1" applyAlignment="1">
      <alignment horizontal="center" vertical="center" wrapText="1"/>
    </xf>
    <xf numFmtId="0" fontId="21" fillId="0" borderId="54" xfId="1" applyNumberFormat="1" applyFont="1" applyFill="1" applyBorder="1" applyAlignment="1">
      <alignment horizontal="center" vertical="center" wrapText="1"/>
    </xf>
    <xf numFmtId="43" fontId="21" fillId="0" borderId="57" xfId="1" applyFont="1" applyFill="1" applyBorder="1" applyAlignment="1">
      <alignment horizontal="center" vertical="center"/>
    </xf>
    <xf numFmtId="0" fontId="21" fillId="0" borderId="58" xfId="1" applyNumberFormat="1" applyFont="1" applyFill="1" applyBorder="1" applyAlignment="1">
      <alignment horizontal="center" vertical="center" wrapText="1"/>
    </xf>
    <xf numFmtId="0" fontId="21" fillId="0" borderId="59" xfId="1" applyNumberFormat="1" applyFont="1" applyFill="1" applyBorder="1" applyAlignment="1">
      <alignment horizontal="center" vertical="center" wrapText="1"/>
    </xf>
    <xf numFmtId="43" fontId="49" fillId="42" borderId="2" xfId="1" applyFont="1" applyFill="1" applyBorder="1" applyAlignment="1">
      <alignment horizontal="left" vertical="center" wrapText="1"/>
    </xf>
    <xf numFmtId="43" fontId="49" fillId="42" borderId="6" xfId="1" applyFont="1" applyFill="1" applyBorder="1" applyAlignment="1">
      <alignment horizontal="left" vertical="center" wrapText="1"/>
    </xf>
    <xf numFmtId="43" fontId="49" fillId="42" borderId="3" xfId="1" applyFont="1" applyFill="1" applyBorder="1" applyAlignment="1">
      <alignment horizontal="left" vertical="center" wrapText="1"/>
    </xf>
    <xf numFmtId="0" fontId="21" fillId="0" borderId="51" xfId="1" applyNumberFormat="1" applyFont="1" applyFill="1" applyBorder="1" applyAlignment="1">
      <alignment horizontal="left" vertical="center" wrapText="1"/>
    </xf>
    <xf numFmtId="0" fontId="21" fillId="0" borderId="52" xfId="1" applyNumberFormat="1" applyFont="1" applyFill="1" applyBorder="1" applyAlignment="1">
      <alignment horizontal="left" vertical="center" wrapText="1"/>
    </xf>
    <xf numFmtId="0" fontId="21" fillId="0" borderId="53" xfId="1" applyNumberFormat="1" applyFont="1" applyFill="1" applyBorder="1" applyAlignment="1">
      <alignment horizontal="left" vertical="center" wrapText="1"/>
    </xf>
    <xf numFmtId="0" fontId="21" fillId="0" borderId="54" xfId="1" applyNumberFormat="1" applyFont="1" applyFill="1" applyBorder="1" applyAlignment="1">
      <alignment horizontal="left" vertical="center" wrapText="1"/>
    </xf>
    <xf numFmtId="0" fontId="21" fillId="43" borderId="47" xfId="1" applyNumberFormat="1" applyFont="1" applyFill="1" applyBorder="1" applyAlignment="1">
      <alignment horizontal="left" vertical="center" wrapText="1"/>
    </xf>
    <xf numFmtId="0" fontId="21" fillId="43" borderId="48" xfId="1" applyNumberFormat="1" applyFont="1" applyFill="1" applyBorder="1" applyAlignment="1">
      <alignment horizontal="left" vertical="center" wrapText="1"/>
    </xf>
    <xf numFmtId="0" fontId="21" fillId="43" borderId="49" xfId="1" applyNumberFormat="1" applyFont="1" applyFill="1" applyBorder="1" applyAlignment="1">
      <alignment horizontal="left" vertical="center" wrapText="1"/>
    </xf>
    <xf numFmtId="4" fontId="32" fillId="39" borderId="37" xfId="0" applyNumberFormat="1" applyFont="1" applyFill="1" applyBorder="1" applyAlignment="1">
      <alignment horizontal="left" vertical="center" wrapText="1"/>
    </xf>
    <xf numFmtId="4" fontId="32" fillId="39" borderId="38" xfId="0" applyNumberFormat="1" applyFont="1" applyFill="1" applyBorder="1" applyAlignment="1">
      <alignment horizontal="left" vertical="center" wrapText="1"/>
    </xf>
    <xf numFmtId="4" fontId="32" fillId="39" borderId="39" xfId="0" applyNumberFormat="1" applyFont="1" applyFill="1" applyBorder="1" applyAlignment="1">
      <alignment horizontal="left" vertical="center" wrapText="1"/>
    </xf>
    <xf numFmtId="0" fontId="55" fillId="34" borderId="60" xfId="0" applyFont="1" applyFill="1" applyBorder="1" applyAlignment="1">
      <alignment horizontal="center" vertical="center"/>
    </xf>
    <xf numFmtId="0" fontId="21" fillId="0" borderId="58" xfId="1" applyNumberFormat="1" applyFont="1" applyFill="1" applyBorder="1" applyAlignment="1">
      <alignment horizontal="left" vertical="center" wrapText="1"/>
    </xf>
    <xf numFmtId="0" fontId="21" fillId="0" borderId="59" xfId="1" applyNumberFormat="1" applyFont="1" applyFill="1" applyBorder="1" applyAlignment="1">
      <alignment horizontal="left" vertical="center" wrapText="1"/>
    </xf>
    <xf numFmtId="0" fontId="49" fillId="0" borderId="47" xfId="1" applyNumberFormat="1" applyFont="1" applyFill="1" applyBorder="1" applyAlignment="1">
      <alignment horizontal="left" vertical="center" wrapText="1"/>
    </xf>
    <xf numFmtId="0" fontId="49" fillId="0" borderId="49" xfId="1" applyNumberFormat="1" applyFont="1" applyFill="1" applyBorder="1" applyAlignment="1">
      <alignment horizontal="left" vertical="center" wrapText="1"/>
    </xf>
    <xf numFmtId="0" fontId="21" fillId="0" borderId="47" xfId="1" applyNumberFormat="1" applyFont="1" applyFill="1" applyBorder="1" applyAlignment="1">
      <alignment horizontal="center" vertical="center" wrapText="1"/>
    </xf>
    <xf numFmtId="0" fontId="21" fillId="0" borderId="49" xfId="1" applyNumberFormat="1" applyFont="1" applyFill="1" applyBorder="1" applyAlignment="1">
      <alignment horizontal="center" vertical="center" wrapText="1"/>
    </xf>
    <xf numFmtId="0" fontId="57" fillId="0" borderId="0" xfId="0" applyFont="1" applyAlignment="1">
      <alignment horizontal="left" wrapText="1"/>
    </xf>
    <xf numFmtId="0" fontId="32" fillId="39" borderId="1" xfId="0" applyFont="1" applyFill="1" applyBorder="1" applyAlignment="1">
      <alignment horizontal="center" vertical="center" wrapText="1"/>
    </xf>
    <xf numFmtId="0" fontId="32" fillId="39" borderId="1" xfId="0" applyFont="1" applyFill="1" applyBorder="1" applyAlignment="1">
      <alignment horizontal="center" vertical="center"/>
    </xf>
    <xf numFmtId="0" fontId="32" fillId="39" borderId="1" xfId="0" applyFont="1" applyFill="1" applyBorder="1" applyAlignment="1">
      <alignment horizontal="left" vertical="center" wrapText="1"/>
    </xf>
    <xf numFmtId="4" fontId="32" fillId="39" borderId="61" xfId="0" applyNumberFormat="1" applyFont="1" applyFill="1" applyBorder="1" applyAlignment="1">
      <alignment horizontal="left" vertical="center" wrapText="1"/>
    </xf>
    <xf numFmtId="4" fontId="32" fillId="39" borderId="16" xfId="0" applyNumberFormat="1" applyFont="1" applyFill="1" applyBorder="1" applyAlignment="1">
      <alignment horizontal="left" vertical="center" wrapText="1"/>
    </xf>
    <xf numFmtId="4" fontId="32" fillId="39" borderId="62" xfId="0" applyNumberFormat="1" applyFont="1" applyFill="1" applyBorder="1" applyAlignment="1">
      <alignment horizontal="left" vertical="center" wrapText="1"/>
    </xf>
    <xf numFmtId="49" fontId="32" fillId="39" borderId="1" xfId="0" applyNumberFormat="1" applyFont="1" applyFill="1" applyBorder="1" applyAlignment="1">
      <alignment horizontal="center" vertical="center"/>
    </xf>
  </cellXfs>
  <cellStyles count="137">
    <cellStyle name="20% - Ênfase1" xfId="22" builtinId="30" customBuiltin="1"/>
    <cellStyle name="20% - Ênfase2" xfId="26" builtinId="34" customBuiltin="1"/>
    <cellStyle name="20% - Ênfase3" xfId="30" builtinId="38" customBuiltin="1"/>
    <cellStyle name="20% - Ênfase4" xfId="34" builtinId="42" customBuiltin="1"/>
    <cellStyle name="20% - Ênfase5" xfId="38" builtinId="46" customBuiltin="1"/>
    <cellStyle name="20% - Ênfase6" xfId="42" builtinId="50" customBuiltin="1"/>
    <cellStyle name="40% - Ênfase1" xfId="23" builtinId="31" customBuiltin="1"/>
    <cellStyle name="40% - Ênfase2" xfId="27" builtinId="35" customBuiltin="1"/>
    <cellStyle name="40% - Ênfase3" xfId="31" builtinId="39" customBuiltin="1"/>
    <cellStyle name="40% - Ênfase4" xfId="35" builtinId="43" customBuiltin="1"/>
    <cellStyle name="40% - Ênfase5" xfId="39" builtinId="47" customBuiltin="1"/>
    <cellStyle name="40% - Ênfase6" xfId="43" builtinId="51" customBuiltin="1"/>
    <cellStyle name="60% - Ênfase1" xfId="24" builtinId="32" customBuiltin="1"/>
    <cellStyle name="60% - Ênfase2" xfId="28" builtinId="36" customBuiltin="1"/>
    <cellStyle name="60% - Ênfase3" xfId="32" builtinId="40" customBuiltin="1"/>
    <cellStyle name="60% - Ênfase4" xfId="36" builtinId="44" customBuiltin="1"/>
    <cellStyle name="60% - Ênfase5" xfId="40" builtinId="48" customBuiltin="1"/>
    <cellStyle name="60% - Ênfase6" xfId="44" builtinId="52" customBuiltin="1"/>
    <cellStyle name="Bom" xfId="10" builtinId="26" customBuiltin="1"/>
    <cellStyle name="Cálculo" xfId="15" builtinId="22" customBuiltin="1"/>
    <cellStyle name="Célula de Verificação" xfId="17" builtinId="23" customBuiltin="1"/>
    <cellStyle name="Célula Vinculada" xfId="16" builtinId="24" customBuiltin="1"/>
    <cellStyle name="Data" xfId="46"/>
    <cellStyle name="Ênfase1" xfId="21" builtinId="29" customBuiltin="1"/>
    <cellStyle name="Ênfase2" xfId="25" builtinId="33" customBuiltin="1"/>
    <cellStyle name="Ênfase3" xfId="29" builtinId="37" customBuiltin="1"/>
    <cellStyle name="Ênfase4" xfId="33" builtinId="41" customBuiltin="1"/>
    <cellStyle name="Ênfase5" xfId="37" builtinId="45" customBuiltin="1"/>
    <cellStyle name="Ênfase6" xfId="41" builtinId="49" customBuiltin="1"/>
    <cellStyle name="Entrada" xfId="13" builtinId="20" customBuiltin="1"/>
    <cellStyle name="Excel Built-in Normal 2 2 2" xfId="132"/>
    <cellStyle name="Excel Built-in Normal 3 6" xfId="135"/>
    <cellStyle name="Excel Built-in Normal_Acompanhamento - CHÃ GRANDE - GABARITO" xfId="134"/>
    <cellStyle name="Excel Built-in Vírgula 2" xfId="133"/>
    <cellStyle name="Excel_BuiltIn_Comma" xfId="47"/>
    <cellStyle name="Fixo" xfId="48"/>
    <cellStyle name="Heading" xfId="49"/>
    <cellStyle name="Heading1" xfId="50"/>
    <cellStyle name="Hyperlink 2" xfId="51"/>
    <cellStyle name="Incorreto" xfId="11" builtinId="27" customBuiltin="1"/>
    <cellStyle name="Moeda" xfId="2" builtinId="4"/>
    <cellStyle name="Moeda 2" xfId="53"/>
    <cellStyle name="Moeda 3" xfId="54"/>
    <cellStyle name="Moeda 3 2" xfId="55"/>
    <cellStyle name="Moeda 4" xfId="56"/>
    <cellStyle name="Moeda 5" xfId="52"/>
    <cellStyle name="Neutra" xfId="12" builtinId="28" customBuiltin="1"/>
    <cellStyle name="Normal" xfId="0" builtinId="0"/>
    <cellStyle name="Normal 2" xfId="45"/>
    <cellStyle name="Normal 2 10" xfId="57"/>
    <cellStyle name="Normal 2 11" xfId="58"/>
    <cellStyle name="Normal 2 12" xfId="59"/>
    <cellStyle name="Normal 2 13" xfId="60"/>
    <cellStyle name="Normal 2 14" xfId="61"/>
    <cellStyle name="Normal 2 15" xfId="62"/>
    <cellStyle name="Normal 2 16" xfId="63"/>
    <cellStyle name="Normal 2 17" xfId="64"/>
    <cellStyle name="Normal 2 18" xfId="65"/>
    <cellStyle name="Normal 2 19" xfId="66"/>
    <cellStyle name="Normal 2 2" xfId="67"/>
    <cellStyle name="Normal 2 20" xfId="68"/>
    <cellStyle name="Normal 2 21" xfId="69"/>
    <cellStyle name="Normal 2 3" xfId="70"/>
    <cellStyle name="Normal 2 4" xfId="71"/>
    <cellStyle name="Normal 2 5" xfId="72"/>
    <cellStyle name="Normal 2 6" xfId="73"/>
    <cellStyle name="Normal 2 7" xfId="74"/>
    <cellStyle name="Normal 2 8" xfId="75"/>
    <cellStyle name="Normal 2 9" xfId="76"/>
    <cellStyle name="Normal 23" xfId="77"/>
    <cellStyle name="Normal 24" xfId="78"/>
    <cellStyle name="Normal 25" xfId="79"/>
    <cellStyle name="Normal 26" xfId="80"/>
    <cellStyle name="Normal 27" xfId="81"/>
    <cellStyle name="Normal 28" xfId="82"/>
    <cellStyle name="Normal 29" xfId="83"/>
    <cellStyle name="Normal 30" xfId="84"/>
    <cellStyle name="Normal 31" xfId="85"/>
    <cellStyle name="Normal 32" xfId="86"/>
    <cellStyle name="Normal 33" xfId="87"/>
    <cellStyle name="Normal 34" xfId="88"/>
    <cellStyle name="Normal 35" xfId="89"/>
    <cellStyle name="Normal 36" xfId="90"/>
    <cellStyle name="Normal 37" xfId="91"/>
    <cellStyle name="Normal 38" xfId="92"/>
    <cellStyle name="Normal 39" xfId="93"/>
    <cellStyle name="Normal 40" xfId="94"/>
    <cellStyle name="Normal 41" xfId="95"/>
    <cellStyle name="Normal 42" xfId="96"/>
    <cellStyle name="Normal 43" xfId="97"/>
    <cellStyle name="Normal 44" xfId="98"/>
    <cellStyle name="Normal 45" xfId="99"/>
    <cellStyle name="Normal 46" xfId="100"/>
    <cellStyle name="Normal 47" xfId="101"/>
    <cellStyle name="Normal 48" xfId="102"/>
    <cellStyle name="Normal 5" xfId="136"/>
    <cellStyle name="Normal 6 2" xfId="103"/>
    <cellStyle name="Normal_MOD. DE OBRA" xfId="4"/>
    <cellStyle name="Nota 2" xfId="104"/>
    <cellStyle name="Percentual" xfId="105"/>
    <cellStyle name="Ponto" xfId="106"/>
    <cellStyle name="Porcentagem" xfId="3" builtinId="5"/>
    <cellStyle name="Porcentagem 2" xfId="108"/>
    <cellStyle name="Porcentagem 3" xfId="109"/>
    <cellStyle name="Porcentagem 3 2" xfId="110"/>
    <cellStyle name="Porcentagem 3 2 2" xfId="111"/>
    <cellStyle name="Porcentagem 3 3" xfId="112"/>
    <cellStyle name="Porcentagem 4" xfId="107"/>
    <cellStyle name="Result" xfId="113"/>
    <cellStyle name="Result2" xfId="114"/>
    <cellStyle name="Saída" xfId="14" builtinId="21" customBuiltin="1"/>
    <cellStyle name="Separador de milhares 2" xfId="116"/>
    <cellStyle name="Separador de milhares 2 2" xfId="117"/>
    <cellStyle name="Separador de milhares 2_ORÇAMENTO matureia corrigido (DEZ 2009)" xfId="131"/>
    <cellStyle name="Separador de milhares 3" xfId="118"/>
    <cellStyle name="Separador de milhares 3 2" xfId="119"/>
    <cellStyle name="Separador de milhares 4" xfId="120"/>
    <cellStyle name="Separador de milhares 6" xfId="121"/>
    <cellStyle name="Separador de milhares 7" xfId="122"/>
    <cellStyle name="Separador de milhares 8" xfId="123"/>
    <cellStyle name="Separador de milhares_MOD. DE OBRA" xfId="5"/>
    <cellStyle name="Texto de Aviso" xfId="18" builtinId="11" customBuiltin="1"/>
    <cellStyle name="Texto Explicativo" xfId="19" builtinId="53" customBuiltin="1"/>
    <cellStyle name="Título 1" xfId="6" builtinId="16" customBuiltin="1"/>
    <cellStyle name="Título 2" xfId="7" builtinId="17" customBuiltin="1"/>
    <cellStyle name="Título 3" xfId="8" builtinId="18" customBuiltin="1"/>
    <cellStyle name="Título 4" xfId="9" builtinId="19" customBuiltin="1"/>
    <cellStyle name="Título 5" xfId="124"/>
    <cellStyle name="Titulo1" xfId="125"/>
    <cellStyle name="Titulo2" xfId="126"/>
    <cellStyle name="Total" xfId="20" builtinId="25" customBuiltin="1"/>
    <cellStyle name="Vírgula" xfId="1" builtinId="3"/>
    <cellStyle name="Vírgula 2" xfId="127"/>
    <cellStyle name="Vírgula 3" xfId="128"/>
    <cellStyle name="Vírgula 3 2" xfId="129"/>
    <cellStyle name="Vírgula 4" xfId="130"/>
    <cellStyle name="Vírgula 5" xfId="1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202406</xdr:colOff>
      <xdr:row>11</xdr:row>
      <xdr:rowOff>0</xdr:rowOff>
    </xdr:from>
    <xdr:to>
      <xdr:col>3</xdr:col>
      <xdr:colOff>631032</xdr:colOff>
      <xdr:row>13</xdr:row>
      <xdr:rowOff>142876</xdr:rowOff>
    </xdr:to>
    <xdr:pic>
      <xdr:nvPicPr>
        <xdr:cNvPr id="3" name="Imagem 2" descr="teste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04813"/>
          <a:ext cx="833438" cy="547688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135731</xdr:colOff>
      <xdr:row>10</xdr:row>
      <xdr:rowOff>171450</xdr:rowOff>
    </xdr:from>
    <xdr:to>
      <xdr:col>5</xdr:col>
      <xdr:colOff>116682</xdr:colOff>
      <xdr:row>13</xdr:row>
      <xdr:rowOff>114301</xdr:rowOff>
    </xdr:to>
    <xdr:pic>
      <xdr:nvPicPr>
        <xdr:cNvPr id="2" name="Imagem 1" descr="teste">
          <a:extLst>
            <a:ext uri="{FF2B5EF4-FFF2-40B4-BE49-F238E27FC236}">
              <a16:creationId xmlns:a16="http://schemas.microsoft.com/office/drawing/2014/main" xmlns="" id="{B3C9A3A1-256B-4917-BAAB-8971EEE75A3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8606" y="371475"/>
          <a:ext cx="838201" cy="542926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135731</xdr:colOff>
      <xdr:row>10</xdr:row>
      <xdr:rowOff>171450</xdr:rowOff>
    </xdr:from>
    <xdr:to>
      <xdr:col>5</xdr:col>
      <xdr:colOff>116682</xdr:colOff>
      <xdr:row>13</xdr:row>
      <xdr:rowOff>114301</xdr:rowOff>
    </xdr:to>
    <xdr:pic>
      <xdr:nvPicPr>
        <xdr:cNvPr id="2" name="Imagem 1" descr="teste">
          <a:extLst>
            <a:ext uri="{FF2B5EF4-FFF2-40B4-BE49-F238E27FC236}">
              <a16:creationId xmlns:a16="http://schemas.microsoft.com/office/drawing/2014/main" xmlns="" id="{E40CC76F-1EF9-424C-898C-8E4B5AB82C2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2891" y="369570"/>
          <a:ext cx="842011" cy="537211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135731</xdr:colOff>
      <xdr:row>10</xdr:row>
      <xdr:rowOff>171450</xdr:rowOff>
    </xdr:from>
    <xdr:to>
      <xdr:col>5</xdr:col>
      <xdr:colOff>116682</xdr:colOff>
      <xdr:row>13</xdr:row>
      <xdr:rowOff>114301</xdr:rowOff>
    </xdr:to>
    <xdr:pic>
      <xdr:nvPicPr>
        <xdr:cNvPr id="2" name="Imagem 1" descr="teste">
          <a:extLst>
            <a:ext uri="{FF2B5EF4-FFF2-40B4-BE49-F238E27FC236}">
              <a16:creationId xmlns:a16="http://schemas.microsoft.com/office/drawing/2014/main" xmlns="" id="{8B93FEE8-3F99-4059-9A91-E266AAF17E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2891" y="369570"/>
          <a:ext cx="842011" cy="537211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135731</xdr:colOff>
      <xdr:row>10</xdr:row>
      <xdr:rowOff>171450</xdr:rowOff>
    </xdr:from>
    <xdr:to>
      <xdr:col>5</xdr:col>
      <xdr:colOff>116682</xdr:colOff>
      <xdr:row>13</xdr:row>
      <xdr:rowOff>114301</xdr:rowOff>
    </xdr:to>
    <xdr:pic>
      <xdr:nvPicPr>
        <xdr:cNvPr id="2" name="Imagem 1" descr="teste">
          <a:extLst>
            <a:ext uri="{FF2B5EF4-FFF2-40B4-BE49-F238E27FC236}">
              <a16:creationId xmlns:a16="http://schemas.microsoft.com/office/drawing/2014/main" xmlns="" id="{0C81DC21-497A-4298-9F1F-1EDB07B68D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2891" y="369570"/>
          <a:ext cx="842011" cy="537211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135731</xdr:colOff>
      <xdr:row>10</xdr:row>
      <xdr:rowOff>171450</xdr:rowOff>
    </xdr:from>
    <xdr:to>
      <xdr:col>5</xdr:col>
      <xdr:colOff>116682</xdr:colOff>
      <xdr:row>13</xdr:row>
      <xdr:rowOff>114301</xdr:rowOff>
    </xdr:to>
    <xdr:pic>
      <xdr:nvPicPr>
        <xdr:cNvPr id="2" name="Imagem 1" descr="teste">
          <a:extLst>
            <a:ext uri="{FF2B5EF4-FFF2-40B4-BE49-F238E27FC236}">
              <a16:creationId xmlns:a16="http://schemas.microsoft.com/office/drawing/2014/main" xmlns="" id="{D4CAAC44-531C-4DE8-AE9E-A434F9F932E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2891" y="369570"/>
          <a:ext cx="842011" cy="537211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QUIVOS/PLANEJ~1/desktop/ARQUIV~1/PREFSO~1/GESTO2~2/OBRASR~1/COBERT~1/LICITA~1/LICITA~1/Planilha%20Or&#231;amentaria%20COBERTA%20DA%20RODOVI&#193;RIA-R4%20(com%20forro%20mais%20resistente%20lis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null"/>
      <sheetName val="Cronograma (2)"/>
      <sheetName val="Orçamento Sintético - proj. (2)"/>
      <sheetName val="Memória de Cálculo (2)"/>
      <sheetName val="Treliça met. proj (3)"/>
      <sheetName val="Terça met. proj (3)"/>
      <sheetName val="Serv de içamento (2)"/>
      <sheetName val="BDI  (2)"/>
      <sheetName val="ENCARGOS SOCIAIS (2)"/>
    </sheetNames>
    <sheetDataSet>
      <sheetData sheetId="0"/>
      <sheetData sheetId="1"/>
      <sheetData sheetId="2">
        <row r="9">
          <cell r="C9" t="str">
            <v>m²</v>
          </cell>
        </row>
        <row r="11">
          <cell r="C11" t="str">
            <v>m²</v>
          </cell>
        </row>
        <row r="23">
          <cell r="C23" t="str">
            <v>m²</v>
          </cell>
        </row>
        <row r="24">
          <cell r="A24" t="str">
            <v>1.16</v>
          </cell>
        </row>
        <row r="25">
          <cell r="A25" t="str">
            <v>1.17</v>
          </cell>
        </row>
        <row r="26">
          <cell r="A26" t="str">
            <v>1.18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367"/>
  <sheetViews>
    <sheetView view="pageBreakPreview" topLeftCell="A204" zoomScaleNormal="100" zoomScaleSheetLayoutView="100" workbookViewId="0">
      <selection activeCell="D172" sqref="D172"/>
    </sheetView>
  </sheetViews>
  <sheetFormatPr defaultColWidth="2.28515625" defaultRowHeight="12.6" customHeight="1"/>
  <cols>
    <col min="1" max="1" width="6.7109375" style="108" bestFit="1" customWidth="1"/>
    <col min="2" max="2" width="16" style="108" customWidth="1"/>
    <col min="3" max="3" width="9.28515625" style="108" customWidth="1"/>
    <col min="4" max="4" width="8.28515625" style="108" customWidth="1"/>
    <col min="5" max="5" width="9.5703125" style="108" customWidth="1"/>
    <col min="6" max="6" width="9" style="108" customWidth="1"/>
    <col min="7" max="7" width="11.28515625" style="108" customWidth="1"/>
    <col min="8" max="8" width="10.7109375" style="108" customWidth="1"/>
    <col min="9" max="9" width="10.28515625" style="108" customWidth="1"/>
    <col min="10" max="10" width="11.5703125" style="108" customWidth="1"/>
    <col min="11" max="12" width="10.140625" style="108" bestFit="1" customWidth="1"/>
    <col min="13" max="13" width="6.140625" style="108" bestFit="1" customWidth="1"/>
    <col min="14" max="14" width="16.5703125" style="108" bestFit="1" customWidth="1"/>
    <col min="15" max="15" width="19.42578125" style="108" customWidth="1"/>
    <col min="16" max="16" width="11.28515625" style="108" customWidth="1"/>
    <col min="17" max="16384" width="2.28515625" style="108"/>
  </cols>
  <sheetData>
    <row r="1" spans="1:14" ht="16.5" thickBot="1">
      <c r="A1" s="217"/>
      <c r="B1" s="218"/>
      <c r="C1" s="223" t="s">
        <v>365</v>
      </c>
      <c r="D1" s="224"/>
      <c r="E1" s="224"/>
      <c r="F1" s="224"/>
      <c r="G1" s="224"/>
      <c r="H1" s="224"/>
      <c r="I1" s="224"/>
      <c r="J1" s="224"/>
      <c r="K1" s="224"/>
      <c r="L1" s="224"/>
      <c r="M1" s="225"/>
    </row>
    <row r="2" spans="1:14" ht="12.75">
      <c r="A2" s="219"/>
      <c r="B2" s="220"/>
      <c r="C2" s="226" t="s">
        <v>348</v>
      </c>
      <c r="D2" s="227"/>
      <c r="E2" s="227"/>
      <c r="F2" s="227"/>
      <c r="G2" s="228"/>
      <c r="H2" s="226" t="s">
        <v>349</v>
      </c>
      <c r="I2" s="227"/>
      <c r="J2" s="227"/>
      <c r="K2" s="227"/>
      <c r="L2" s="227"/>
      <c r="M2" s="228"/>
    </row>
    <row r="3" spans="1:14" ht="30.75" customHeight="1" thickBot="1">
      <c r="A3" s="219"/>
      <c r="B3" s="220"/>
      <c r="C3" s="229" t="s">
        <v>434</v>
      </c>
      <c r="D3" s="230"/>
      <c r="E3" s="230"/>
      <c r="F3" s="230"/>
      <c r="G3" s="231"/>
      <c r="H3" s="232" t="s">
        <v>435</v>
      </c>
      <c r="I3" s="230"/>
      <c r="J3" s="230"/>
      <c r="K3" s="230"/>
      <c r="L3" s="230"/>
      <c r="M3" s="231"/>
    </row>
    <row r="4" spans="1:14" ht="12.75">
      <c r="A4" s="219"/>
      <c r="B4" s="220"/>
      <c r="C4" s="226" t="s">
        <v>350</v>
      </c>
      <c r="D4" s="227"/>
      <c r="E4" s="227"/>
      <c r="F4" s="227"/>
      <c r="G4" s="228"/>
      <c r="H4" s="233" t="s">
        <v>351</v>
      </c>
      <c r="I4" s="234"/>
      <c r="J4" s="234"/>
      <c r="K4" s="235"/>
      <c r="L4" s="109"/>
      <c r="M4" s="110"/>
    </row>
    <row r="5" spans="1:14" ht="13.5" thickBot="1">
      <c r="A5" s="221"/>
      <c r="B5" s="222"/>
      <c r="C5" s="236" t="s">
        <v>436</v>
      </c>
      <c r="D5" s="237"/>
      <c r="E5" s="237"/>
      <c r="F5" s="237"/>
      <c r="G5" s="238"/>
      <c r="H5" s="239" t="s">
        <v>352</v>
      </c>
      <c r="I5" s="240"/>
      <c r="J5" s="240"/>
      <c r="K5" s="241"/>
      <c r="L5" s="111"/>
      <c r="M5" s="112"/>
    </row>
    <row r="6" spans="1:14" ht="13.5" thickBot="1">
      <c r="A6" s="113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5"/>
    </row>
    <row r="7" spans="1:14" ht="12.75">
      <c r="A7" s="201" t="s">
        <v>10</v>
      </c>
      <c r="B7" s="203" t="s">
        <v>353</v>
      </c>
      <c r="C7" s="204"/>
      <c r="D7" s="207" t="s">
        <v>354</v>
      </c>
      <c r="E7" s="214" t="s">
        <v>355</v>
      </c>
      <c r="F7" s="215"/>
      <c r="G7" s="215"/>
      <c r="H7" s="215"/>
      <c r="I7" s="215"/>
      <c r="J7" s="216"/>
      <c r="K7" s="214" t="s">
        <v>356</v>
      </c>
      <c r="L7" s="216"/>
      <c r="M7" s="242" t="s">
        <v>357</v>
      </c>
      <c r="N7" s="116"/>
    </row>
    <row r="8" spans="1:14" ht="13.5" thickBot="1">
      <c r="A8" s="202"/>
      <c r="B8" s="205"/>
      <c r="C8" s="206"/>
      <c r="D8" s="208"/>
      <c r="E8" s="117" t="s">
        <v>358</v>
      </c>
      <c r="F8" s="117" t="s">
        <v>359</v>
      </c>
      <c r="G8" s="117" t="s">
        <v>360</v>
      </c>
      <c r="H8" s="117" t="s">
        <v>361</v>
      </c>
      <c r="I8" s="117" t="s">
        <v>362</v>
      </c>
      <c r="J8" s="117" t="s">
        <v>363</v>
      </c>
      <c r="K8" s="117" t="s">
        <v>364</v>
      </c>
      <c r="L8" s="117" t="s">
        <v>9</v>
      </c>
      <c r="M8" s="243"/>
      <c r="N8" s="116"/>
    </row>
    <row r="9" spans="1:14" ht="13.5" thickBot="1">
      <c r="A9" s="118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20"/>
    </row>
    <row r="10" spans="1:14" ht="13.5" thickBot="1">
      <c r="A10" s="121" t="s">
        <v>1</v>
      </c>
      <c r="B10" s="122" t="str">
        <f>'BM01'!B30</f>
        <v>SERVIÇOS PRELIMINARES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3"/>
    </row>
    <row r="11" spans="1:14" ht="12.75">
      <c r="A11" s="124"/>
      <c r="B11" s="125"/>
      <c r="C11" s="125"/>
      <c r="D11" s="125"/>
      <c r="E11" s="125"/>
      <c r="F11" s="125"/>
      <c r="G11" s="125"/>
      <c r="H11" s="125"/>
      <c r="I11" s="125"/>
      <c r="J11" s="125"/>
      <c r="K11" s="126"/>
      <c r="L11" s="125"/>
      <c r="M11" s="127"/>
    </row>
    <row r="12" spans="1:14" s="131" customFormat="1" ht="12.75">
      <c r="A12" s="128" t="s">
        <v>41</v>
      </c>
      <c r="B12" s="211" t="str">
        <f>'BM01'!B32</f>
        <v xml:space="preserve">PLACA   DE   OBRA   EM   CHAPA   DE   ACO GALVANIZADO </v>
      </c>
      <c r="C12" s="212"/>
      <c r="D12" s="212"/>
      <c r="E12" s="212"/>
      <c r="F12" s="212"/>
      <c r="G12" s="212"/>
      <c r="H12" s="212"/>
      <c r="I12" s="212"/>
      <c r="J12" s="212"/>
      <c r="K12" s="213"/>
      <c r="L12" s="129">
        <f>L13</f>
        <v>6</v>
      </c>
      <c r="M12" s="130" t="str">
        <f>'[1]Orçamento Sintético - proj. (2)'!C9</f>
        <v>m²</v>
      </c>
    </row>
    <row r="13" spans="1:14" ht="12.75">
      <c r="A13" s="132"/>
      <c r="B13" s="209"/>
      <c r="C13" s="210"/>
      <c r="D13" s="134">
        <v>1</v>
      </c>
      <c r="E13" s="134">
        <v>2</v>
      </c>
      <c r="F13" s="134"/>
      <c r="G13" s="134">
        <v>3</v>
      </c>
      <c r="H13" s="134"/>
      <c r="I13" s="134"/>
      <c r="J13" s="135"/>
      <c r="K13" s="135">
        <f>ROUND(E13*G13,2)</f>
        <v>6</v>
      </c>
      <c r="L13" s="134">
        <f>ROUND(D13*K13,2)</f>
        <v>6</v>
      </c>
      <c r="M13" s="136"/>
    </row>
    <row r="14" spans="1:14" ht="12.75">
      <c r="A14" s="124"/>
      <c r="B14" s="125"/>
      <c r="C14" s="125"/>
      <c r="D14" s="125"/>
      <c r="E14" s="125"/>
      <c r="F14" s="125"/>
      <c r="G14" s="125"/>
      <c r="H14" s="125"/>
      <c r="I14" s="125"/>
      <c r="J14" s="125"/>
      <c r="K14" s="126"/>
      <c r="L14" s="125"/>
      <c r="M14" s="127"/>
    </row>
    <row r="15" spans="1:14" s="131" customFormat="1" ht="27.75" customHeight="1">
      <c r="A15" s="128" t="s">
        <v>42</v>
      </c>
      <c r="B15" s="211" t="str">
        <f>'BM01'!B33</f>
        <v>LOCACAO CONVENCIONAL DE OBRA, UTILIZANDO GABARITO DE TÁBUAS CORRIDAS PONTALETADAS A CADA 2,00M - 2 UTILIZAÇÕES. AF_10/2018</v>
      </c>
      <c r="C15" s="212"/>
      <c r="D15" s="212"/>
      <c r="E15" s="212"/>
      <c r="F15" s="212"/>
      <c r="G15" s="212"/>
      <c r="H15" s="212"/>
      <c r="I15" s="212"/>
      <c r="J15" s="212"/>
      <c r="K15" s="213"/>
      <c r="L15" s="129">
        <f>L16</f>
        <v>140</v>
      </c>
      <c r="M15" s="130" t="s">
        <v>5</v>
      </c>
    </row>
    <row r="16" spans="1:14" ht="12.75">
      <c r="A16" s="132"/>
      <c r="B16" s="209"/>
      <c r="C16" s="210"/>
      <c r="D16" s="134">
        <v>1</v>
      </c>
      <c r="E16" s="134">
        <v>25</v>
      </c>
      <c r="F16" s="134">
        <v>25</v>
      </c>
      <c r="G16" s="134">
        <v>45</v>
      </c>
      <c r="H16" s="134">
        <v>45</v>
      </c>
      <c r="I16" s="134"/>
      <c r="J16" s="135"/>
      <c r="K16" s="135">
        <f>ROUND(E16+F16+G16+H16,2)</f>
        <v>140</v>
      </c>
      <c r="L16" s="134">
        <f>ROUND(D16*K16,2)</f>
        <v>140</v>
      </c>
      <c r="M16" s="136"/>
    </row>
    <row r="17" spans="1:13" ht="12.75">
      <c r="A17" s="124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7"/>
    </row>
    <row r="18" spans="1:13" s="131" customFormat="1" ht="26.25" customHeight="1">
      <c r="A18" s="128" t="s">
        <v>44</v>
      </c>
      <c r="B18" s="211" t="str">
        <f>'BM01'!B34</f>
        <v>LIMPEZA MECANIZADA DE CAMADA VEGETAL, VEGETAÇÃO E PEQUENAS ÁRVORES DIÂMETRO DE TRONCO MENOR QUE 0,20 M), COM TRATOR DE ESTEIRAS.AF_05/2018</v>
      </c>
      <c r="C18" s="212"/>
      <c r="D18" s="212"/>
      <c r="E18" s="212"/>
      <c r="F18" s="212"/>
      <c r="G18" s="212"/>
      <c r="H18" s="212"/>
      <c r="I18" s="212"/>
      <c r="J18" s="212"/>
      <c r="K18" s="213"/>
      <c r="L18" s="129">
        <f>L19</f>
        <v>1500</v>
      </c>
      <c r="M18" s="130" t="str">
        <f>'[1]Orçamento Sintético - proj. (2)'!C11</f>
        <v>m²</v>
      </c>
    </row>
    <row r="19" spans="1:13" ht="12.75">
      <c r="A19" s="132"/>
      <c r="B19" s="209"/>
      <c r="C19" s="210"/>
      <c r="D19" s="134">
        <v>1</v>
      </c>
      <c r="E19" s="134">
        <v>30</v>
      </c>
      <c r="F19" s="134"/>
      <c r="G19" s="134">
        <v>50</v>
      </c>
      <c r="H19" s="134"/>
      <c r="I19" s="134"/>
      <c r="J19" s="135"/>
      <c r="K19" s="135">
        <f>ROUND(E19*G19,2)</f>
        <v>1500</v>
      </c>
      <c r="L19" s="134">
        <f>ROUND(D19*K19,2)</f>
        <v>1500</v>
      </c>
      <c r="M19" s="136"/>
    </row>
    <row r="20" spans="1:13" ht="12.75">
      <c r="A20" s="124"/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7"/>
    </row>
    <row r="21" spans="1:13" s="131" customFormat="1" ht="30" customHeight="1">
      <c r="A21" s="128" t="s">
        <v>45</v>
      </c>
      <c r="B21" s="211" t="str">
        <f>'BM01'!B35</f>
        <v>LIGAÇÃO PREDIAL DE ÁGUA EM MURETA DE CONCRETO, PROVISÓRIA OU DEFINITIVA, COM FORNECIMENTO DE MATERIAL, INCLUSIVE MURETA E HIDRÔMETRO, REDE DN 50MM</v>
      </c>
      <c r="C21" s="212"/>
      <c r="D21" s="212"/>
      <c r="E21" s="212"/>
      <c r="F21" s="212"/>
      <c r="G21" s="212"/>
      <c r="H21" s="212"/>
      <c r="I21" s="212"/>
      <c r="J21" s="212"/>
      <c r="K21" s="213"/>
      <c r="L21" s="129">
        <f>L22</f>
        <v>1</v>
      </c>
      <c r="M21" s="130" t="s">
        <v>373</v>
      </c>
    </row>
    <row r="22" spans="1:13" ht="12.75">
      <c r="A22" s="132"/>
      <c r="B22" s="209"/>
      <c r="C22" s="210"/>
      <c r="D22" s="134">
        <v>1</v>
      </c>
      <c r="E22" s="134">
        <v>1</v>
      </c>
      <c r="F22" s="134"/>
      <c r="G22" s="134"/>
      <c r="H22" s="134"/>
      <c r="I22" s="134"/>
      <c r="J22" s="135"/>
      <c r="K22" s="135">
        <f>ROUND(E22,2)</f>
        <v>1</v>
      </c>
      <c r="L22" s="134">
        <f>ROUND(D22*K22,2)</f>
        <v>1</v>
      </c>
      <c r="M22" s="136"/>
    </row>
    <row r="23" spans="1:13" ht="12.75">
      <c r="A23" s="124"/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7"/>
    </row>
    <row r="24" spans="1:13" s="131" customFormat="1" ht="36" customHeight="1">
      <c r="A24" s="128" t="s">
        <v>46</v>
      </c>
      <c r="B24" s="211" t="str">
        <f>'BM01'!B36</f>
        <v>ENTRADA    DE    ENERGIA    ELETRICA MONOFASICA  COM  POSTE  DE  CONCRETO, INCLUSIVE   CABEAMENTO,   CAIXA   DE PROTECAO     PARA     MEDIDOR</v>
      </c>
      <c r="C24" s="212"/>
      <c r="D24" s="212"/>
      <c r="E24" s="212"/>
      <c r="F24" s="212"/>
      <c r="G24" s="212"/>
      <c r="H24" s="212"/>
      <c r="I24" s="212"/>
      <c r="J24" s="212"/>
      <c r="K24" s="213"/>
      <c r="L24" s="129">
        <f>L25</f>
        <v>0</v>
      </c>
      <c r="M24" s="130" t="s">
        <v>373</v>
      </c>
    </row>
    <row r="25" spans="1:13" ht="12.75">
      <c r="A25" s="132"/>
      <c r="B25" s="209"/>
      <c r="C25" s="210"/>
      <c r="D25" s="134">
        <v>1</v>
      </c>
      <c r="E25" s="134">
        <v>0</v>
      </c>
      <c r="F25" s="134"/>
      <c r="G25" s="134"/>
      <c r="H25" s="134"/>
      <c r="I25" s="134"/>
      <c r="J25" s="135"/>
      <c r="K25" s="135">
        <f>ROUND(E25,2)</f>
        <v>0</v>
      </c>
      <c r="L25" s="134">
        <f>ROUND(D25*K25,2)</f>
        <v>0</v>
      </c>
      <c r="M25" s="136"/>
    </row>
    <row r="26" spans="1:13" ht="12.75">
      <c r="A26" s="139"/>
      <c r="B26" s="140"/>
      <c r="C26" s="141"/>
      <c r="D26" s="142"/>
      <c r="E26" s="143"/>
      <c r="F26" s="142"/>
      <c r="G26" s="142"/>
      <c r="H26" s="143"/>
      <c r="I26" s="143"/>
      <c r="J26" s="144"/>
      <c r="K26" s="144"/>
      <c r="L26" s="142"/>
      <c r="M26" s="145"/>
    </row>
    <row r="27" spans="1:13" s="131" customFormat="1" ht="26.25" customHeight="1">
      <c r="A27" s="128" t="s">
        <v>47</v>
      </c>
      <c r="B27" s="211" t="str">
        <f>'BM01'!B37</f>
        <v>LIGACAO DOMICILIAR DE ESGOTO DN 100MM, DA  CASA  ATE  A  CAIXA,  COMPOSTO  POR 10,0M  TUBO  DE  PVC  ESGOTO  PREDIAL  DN
100MM E CAIXA DE ALVENARIA COM TAMPA DE   CONCRETO   -   FORNECIMENTO</v>
      </c>
      <c r="C27" s="212"/>
      <c r="D27" s="212"/>
      <c r="E27" s="212"/>
      <c r="F27" s="212"/>
      <c r="G27" s="212"/>
      <c r="H27" s="212"/>
      <c r="I27" s="212"/>
      <c r="J27" s="212"/>
      <c r="K27" s="213"/>
      <c r="L27" s="129">
        <f>SUM(L28)</f>
        <v>0</v>
      </c>
      <c r="M27" s="130" t="s">
        <v>373</v>
      </c>
    </row>
    <row r="28" spans="1:13" ht="12.75">
      <c r="A28" s="132"/>
      <c r="B28" s="209"/>
      <c r="C28" s="210"/>
      <c r="D28" s="134">
        <v>1</v>
      </c>
      <c r="E28" s="134">
        <v>0</v>
      </c>
      <c r="F28" s="134"/>
      <c r="G28" s="134"/>
      <c r="H28" s="134"/>
      <c r="I28" s="134"/>
      <c r="J28" s="135"/>
      <c r="K28" s="135">
        <f>ROUND(E28,2)</f>
        <v>0</v>
      </c>
      <c r="L28" s="134">
        <f>ROUND(D28*K28,2)</f>
        <v>0</v>
      </c>
      <c r="M28" s="136"/>
    </row>
    <row r="29" spans="1:13" ht="12.75">
      <c r="A29" s="146"/>
      <c r="B29" s="140"/>
      <c r="C29" s="143"/>
      <c r="D29" s="142"/>
      <c r="E29" s="142"/>
      <c r="F29" s="142"/>
      <c r="G29" s="142"/>
      <c r="H29" s="142"/>
      <c r="I29" s="142"/>
      <c r="J29" s="144"/>
      <c r="K29" s="144"/>
      <c r="L29" s="142"/>
      <c r="M29" s="145"/>
    </row>
    <row r="30" spans="1:13" s="131" customFormat="1" ht="12.75">
      <c r="A30" s="128" t="s">
        <v>48</v>
      </c>
      <c r="B30" s="211" t="str">
        <f>'BM01'!B38</f>
        <v>LOCAÇÃO DE CONTAINER - ALMOXARIFADO COM BANHEIRO - 6,00 X 2,30M</v>
      </c>
      <c r="C30" s="212"/>
      <c r="D30" s="212"/>
      <c r="E30" s="212"/>
      <c r="F30" s="212"/>
      <c r="G30" s="212"/>
      <c r="H30" s="212"/>
      <c r="I30" s="212"/>
      <c r="J30" s="212"/>
      <c r="K30" s="213"/>
      <c r="L30" s="129">
        <f>K31</f>
        <v>0</v>
      </c>
      <c r="M30" s="130" t="s">
        <v>50</v>
      </c>
    </row>
    <row r="31" spans="1:13" ht="12.75">
      <c r="A31" s="132"/>
      <c r="B31" s="209"/>
      <c r="C31" s="210"/>
      <c r="D31" s="134">
        <v>1</v>
      </c>
      <c r="E31" s="134">
        <v>0</v>
      </c>
      <c r="F31" s="134"/>
      <c r="G31" s="134"/>
      <c r="H31" s="134"/>
      <c r="I31" s="134"/>
      <c r="J31" s="135"/>
      <c r="K31" s="135">
        <f>ROUND(E31,2)</f>
        <v>0</v>
      </c>
      <c r="L31" s="134">
        <f>ROUND(D31*K31,2)</f>
        <v>0</v>
      </c>
      <c r="M31" s="136"/>
    </row>
    <row r="32" spans="1:13" ht="12.75">
      <c r="A32" s="146"/>
      <c r="B32" s="140"/>
      <c r="C32" s="143"/>
      <c r="D32" s="142"/>
      <c r="E32" s="142"/>
      <c r="F32" s="142"/>
      <c r="G32" s="142"/>
      <c r="H32" s="142"/>
      <c r="I32" s="142"/>
      <c r="J32" s="144"/>
      <c r="K32" s="144"/>
      <c r="L32" s="142"/>
      <c r="M32" s="145"/>
    </row>
    <row r="33" spans="1:13" s="131" customFormat="1" ht="12.75">
      <c r="A33" s="128" t="s">
        <v>49</v>
      </c>
      <c r="B33" s="211" t="str">
        <f>'BM01'!B39</f>
        <v xml:space="preserve"> LOCAÇÃO DE CONTAINER - ESCRITÓRIO COM BANHEIRO - 6,20 X 2,20M</v>
      </c>
      <c r="C33" s="212"/>
      <c r="D33" s="212"/>
      <c r="E33" s="212"/>
      <c r="F33" s="212"/>
      <c r="G33" s="212"/>
      <c r="H33" s="212"/>
      <c r="I33" s="212"/>
      <c r="J33" s="212"/>
      <c r="K33" s="213"/>
      <c r="L33" s="129">
        <f>K34</f>
        <v>0</v>
      </c>
      <c r="M33" s="130" t="s">
        <v>50</v>
      </c>
    </row>
    <row r="34" spans="1:13" ht="12.75">
      <c r="A34" s="132"/>
      <c r="B34" s="209"/>
      <c r="C34" s="210"/>
      <c r="D34" s="134">
        <v>1</v>
      </c>
      <c r="E34" s="134">
        <v>0</v>
      </c>
      <c r="F34" s="134"/>
      <c r="G34" s="134"/>
      <c r="H34" s="134"/>
      <c r="I34" s="134"/>
      <c r="J34" s="135"/>
      <c r="K34" s="135">
        <f>ROUND(E34,2)</f>
        <v>0</v>
      </c>
      <c r="L34" s="134">
        <f>ROUND(D34*K34,2)</f>
        <v>0</v>
      </c>
      <c r="M34" s="136"/>
    </row>
    <row r="35" spans="1:13" ht="13.5" thickBot="1">
      <c r="A35" s="146"/>
      <c r="B35" s="140"/>
      <c r="C35" s="143"/>
      <c r="D35" s="142"/>
      <c r="E35" s="142"/>
      <c r="F35" s="142"/>
      <c r="G35" s="142"/>
      <c r="H35" s="142"/>
      <c r="I35" s="142"/>
      <c r="J35" s="144"/>
      <c r="K35" s="144"/>
      <c r="L35" s="142"/>
      <c r="M35" s="145"/>
    </row>
    <row r="36" spans="1:13" s="131" customFormat="1" ht="13.5" thickBot="1">
      <c r="A36" s="121" t="s">
        <v>19</v>
      </c>
      <c r="B36" s="122" t="str">
        <f>'BM01'!B41</f>
        <v>MOVIMENTO DE TERRA</v>
      </c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3"/>
    </row>
    <row r="37" spans="1:13" ht="12.75">
      <c r="A37" s="146"/>
      <c r="B37" s="140"/>
      <c r="C37" s="143"/>
      <c r="D37" s="142"/>
      <c r="E37" s="142"/>
      <c r="F37" s="142"/>
      <c r="G37" s="142"/>
      <c r="H37" s="142"/>
      <c r="I37" s="142"/>
      <c r="J37" s="144"/>
      <c r="K37" s="144"/>
      <c r="L37" s="142"/>
      <c r="M37" s="145"/>
    </row>
    <row r="38" spans="1:13" s="131" customFormat="1" ht="36" customHeight="1">
      <c r="A38" s="128" t="s">
        <v>51</v>
      </c>
      <c r="B38" s="211" t="str">
        <f>'BM01'!B43</f>
        <v>ESCAVACAO MECANICA DE VALA EM MATERIAL DE 2A. CATEGORIA ATE 2 M DE PROFUNDIDADE COM UTILIZACAO DE ESCAVADEIRA HIDRAULICA</v>
      </c>
      <c r="C38" s="212"/>
      <c r="D38" s="212"/>
      <c r="E38" s="212"/>
      <c r="F38" s="212"/>
      <c r="G38" s="212"/>
      <c r="H38" s="212"/>
      <c r="I38" s="212"/>
      <c r="J38" s="212"/>
      <c r="K38" s="213"/>
      <c r="L38" s="129">
        <f>SUM(L39:L44)</f>
        <v>83.940000000000012</v>
      </c>
      <c r="M38" s="130" t="s">
        <v>375</v>
      </c>
    </row>
    <row r="39" spans="1:13" ht="12.75">
      <c r="A39" s="132"/>
      <c r="B39" s="209" t="s">
        <v>414</v>
      </c>
      <c r="C39" s="210"/>
      <c r="D39" s="134">
        <v>1</v>
      </c>
      <c r="E39" s="134">
        <v>250.3</v>
      </c>
      <c r="F39" s="134"/>
      <c r="G39" s="134">
        <v>0.4</v>
      </c>
      <c r="H39" s="134"/>
      <c r="I39" s="134">
        <v>0.4</v>
      </c>
      <c r="J39" s="135"/>
      <c r="K39" s="135">
        <f>I39*G39*E39</f>
        <v>40.048000000000009</v>
      </c>
      <c r="L39" s="134">
        <f>ROUND(D39*K39,2)</f>
        <v>40.049999999999997</v>
      </c>
      <c r="M39" s="136"/>
    </row>
    <row r="40" spans="1:13" ht="47.25" customHeight="1">
      <c r="A40" s="132"/>
      <c r="B40" s="244" t="s">
        <v>416</v>
      </c>
      <c r="C40" s="245"/>
      <c r="D40" s="134">
        <v>12</v>
      </c>
      <c r="E40" s="134">
        <v>1.1000000000000001</v>
      </c>
      <c r="F40" s="134"/>
      <c r="G40" s="134">
        <v>1</v>
      </c>
      <c r="H40" s="134"/>
      <c r="I40" s="134">
        <v>0.8</v>
      </c>
      <c r="J40" s="135"/>
      <c r="K40" s="135">
        <f t="shared" ref="K40:K44" si="0">I40*G40*E40</f>
        <v>0.88000000000000012</v>
      </c>
      <c r="L40" s="134">
        <f t="shared" ref="L40:L44" si="1">ROUND(D40*K40,2)</f>
        <v>10.56</v>
      </c>
      <c r="M40" s="136"/>
    </row>
    <row r="41" spans="1:13" ht="44.25" customHeight="1">
      <c r="A41" s="132"/>
      <c r="B41" s="209" t="s">
        <v>415</v>
      </c>
      <c r="C41" s="210"/>
      <c r="D41" s="134">
        <v>10</v>
      </c>
      <c r="E41" s="134">
        <v>1.35</v>
      </c>
      <c r="F41" s="134"/>
      <c r="G41" s="134">
        <v>1.2</v>
      </c>
      <c r="H41" s="134"/>
      <c r="I41" s="134">
        <v>0.8</v>
      </c>
      <c r="J41" s="135"/>
      <c r="K41" s="135">
        <f>I41*G41*E41</f>
        <v>1.296</v>
      </c>
      <c r="L41" s="134">
        <f t="shared" si="1"/>
        <v>12.96</v>
      </c>
      <c r="M41" s="136"/>
    </row>
    <row r="42" spans="1:13" ht="32.25" customHeight="1">
      <c r="A42" s="132"/>
      <c r="B42" s="209" t="s">
        <v>417</v>
      </c>
      <c r="C42" s="210"/>
      <c r="D42" s="134">
        <v>8</v>
      </c>
      <c r="E42" s="134">
        <v>1.1000000000000001</v>
      </c>
      <c r="F42" s="134"/>
      <c r="G42" s="134">
        <v>0.95</v>
      </c>
      <c r="H42" s="134"/>
      <c r="I42" s="134">
        <v>0.8</v>
      </c>
      <c r="J42" s="135"/>
      <c r="K42" s="135">
        <f t="shared" si="0"/>
        <v>0.83600000000000008</v>
      </c>
      <c r="L42" s="134">
        <f t="shared" si="1"/>
        <v>6.69</v>
      </c>
      <c r="M42" s="136"/>
    </row>
    <row r="43" spans="1:13" ht="48" customHeight="1">
      <c r="A43" s="132"/>
      <c r="B43" s="209" t="s">
        <v>418</v>
      </c>
      <c r="C43" s="210"/>
      <c r="D43" s="134">
        <v>10</v>
      </c>
      <c r="E43" s="134">
        <v>1</v>
      </c>
      <c r="F43" s="134"/>
      <c r="G43" s="134">
        <v>0.9</v>
      </c>
      <c r="H43" s="134"/>
      <c r="I43" s="134">
        <v>0.8</v>
      </c>
      <c r="J43" s="135"/>
      <c r="K43" s="135">
        <f t="shared" si="0"/>
        <v>0.72000000000000008</v>
      </c>
      <c r="L43" s="134">
        <f t="shared" si="1"/>
        <v>7.2</v>
      </c>
      <c r="M43" s="136"/>
    </row>
    <row r="44" spans="1:13" ht="28.5" customHeight="1">
      <c r="A44" s="132"/>
      <c r="B44" s="209" t="s">
        <v>419</v>
      </c>
      <c r="C44" s="210"/>
      <c r="D44" s="134">
        <v>12</v>
      </c>
      <c r="E44" s="134">
        <v>0.9</v>
      </c>
      <c r="F44" s="134"/>
      <c r="G44" s="134">
        <v>0.75</v>
      </c>
      <c r="H44" s="134"/>
      <c r="I44" s="134">
        <v>0.8</v>
      </c>
      <c r="J44" s="135"/>
      <c r="K44" s="135">
        <f t="shared" si="0"/>
        <v>0.54000000000000015</v>
      </c>
      <c r="L44" s="134">
        <f t="shared" si="1"/>
        <v>6.48</v>
      </c>
      <c r="M44" s="136"/>
    </row>
    <row r="45" spans="1:13" ht="12.75">
      <c r="A45" s="146"/>
      <c r="B45" s="140"/>
      <c r="C45" s="143"/>
      <c r="D45" s="142"/>
      <c r="E45" s="142"/>
      <c r="F45" s="142"/>
      <c r="G45" s="142"/>
      <c r="H45" s="142"/>
      <c r="I45" s="142"/>
      <c r="J45" s="144"/>
      <c r="K45" s="144"/>
      <c r="L45" s="142"/>
      <c r="M45" s="145"/>
    </row>
    <row r="46" spans="1:13" s="131" customFormat="1" ht="28.5" customHeight="1">
      <c r="A46" s="128" t="s">
        <v>53</v>
      </c>
      <c r="B46" s="211" t="str">
        <f>'BM01'!B44</f>
        <v>REATERRO MANUAL DE VALAS COM COMPACTAÇÃO MECANIZADA. AF_04/2016</v>
      </c>
      <c r="C46" s="212"/>
      <c r="D46" s="212"/>
      <c r="E46" s="212"/>
      <c r="F46" s="212"/>
      <c r="G46" s="212"/>
      <c r="H46" s="212"/>
      <c r="I46" s="212"/>
      <c r="J46" s="212"/>
      <c r="K46" s="213"/>
      <c r="L46" s="129">
        <f>SUM(L47:L51)</f>
        <v>21.940000000000005</v>
      </c>
      <c r="M46" s="130" t="s">
        <v>375</v>
      </c>
    </row>
    <row r="47" spans="1:13" ht="38.25" customHeight="1">
      <c r="A47" s="132"/>
      <c r="B47" s="244" t="s">
        <v>416</v>
      </c>
      <c r="C47" s="245"/>
      <c r="D47" s="134">
        <v>12</v>
      </c>
      <c r="E47" s="134">
        <v>1.1000000000000001</v>
      </c>
      <c r="F47" s="134"/>
      <c r="G47" s="134">
        <v>1</v>
      </c>
      <c r="H47" s="134"/>
      <c r="I47" s="134">
        <v>0.4</v>
      </c>
      <c r="J47" s="135"/>
      <c r="K47" s="135">
        <f t="shared" ref="K47" si="2">I47*G47*E47</f>
        <v>0.44000000000000006</v>
      </c>
      <c r="L47" s="134">
        <f t="shared" ref="L47:L51" si="3">ROUND(D47*K47,2)</f>
        <v>5.28</v>
      </c>
      <c r="M47" s="136"/>
    </row>
    <row r="48" spans="1:13" ht="27" customHeight="1">
      <c r="A48" s="132"/>
      <c r="B48" s="209" t="s">
        <v>415</v>
      </c>
      <c r="C48" s="210"/>
      <c r="D48" s="134">
        <v>10</v>
      </c>
      <c r="E48" s="134">
        <v>1.35</v>
      </c>
      <c r="F48" s="134"/>
      <c r="G48" s="134">
        <v>1.2</v>
      </c>
      <c r="H48" s="134"/>
      <c r="I48" s="134">
        <v>0.4</v>
      </c>
      <c r="J48" s="135"/>
      <c r="K48" s="135">
        <f>I48*G48*E48</f>
        <v>0.64800000000000002</v>
      </c>
      <c r="L48" s="134">
        <f t="shared" si="3"/>
        <v>6.48</v>
      </c>
      <c r="M48" s="136"/>
    </row>
    <row r="49" spans="1:13" ht="24" customHeight="1">
      <c r="A49" s="132"/>
      <c r="B49" s="209" t="s">
        <v>417</v>
      </c>
      <c r="C49" s="210"/>
      <c r="D49" s="134">
        <v>8</v>
      </c>
      <c r="E49" s="134">
        <v>1.1000000000000001</v>
      </c>
      <c r="F49" s="134"/>
      <c r="G49" s="134">
        <v>0.95</v>
      </c>
      <c r="H49" s="134"/>
      <c r="I49" s="134">
        <v>0.4</v>
      </c>
      <c r="J49" s="135"/>
      <c r="K49" s="135">
        <f t="shared" ref="K49:K51" si="4">I49*G49*E49</f>
        <v>0.41800000000000004</v>
      </c>
      <c r="L49" s="134">
        <f t="shared" si="3"/>
        <v>3.34</v>
      </c>
      <c r="M49" s="136"/>
    </row>
    <row r="50" spans="1:13" ht="33" customHeight="1">
      <c r="A50" s="132"/>
      <c r="B50" s="209" t="s">
        <v>418</v>
      </c>
      <c r="C50" s="210"/>
      <c r="D50" s="134">
        <v>10</v>
      </c>
      <c r="E50" s="134">
        <v>1</v>
      </c>
      <c r="F50" s="134"/>
      <c r="G50" s="134">
        <v>0.9</v>
      </c>
      <c r="H50" s="134"/>
      <c r="I50" s="134">
        <v>0.4</v>
      </c>
      <c r="J50" s="135"/>
      <c r="K50" s="135">
        <f t="shared" si="4"/>
        <v>0.36000000000000004</v>
      </c>
      <c r="L50" s="134">
        <f t="shared" si="3"/>
        <v>3.6</v>
      </c>
      <c r="M50" s="136"/>
    </row>
    <row r="51" spans="1:13" ht="30.75" customHeight="1">
      <c r="A51" s="132"/>
      <c r="B51" s="209" t="s">
        <v>419</v>
      </c>
      <c r="C51" s="210"/>
      <c r="D51" s="134">
        <v>12</v>
      </c>
      <c r="E51" s="134">
        <v>0.9</v>
      </c>
      <c r="F51" s="134"/>
      <c r="G51" s="134">
        <v>0.75</v>
      </c>
      <c r="H51" s="134"/>
      <c r="I51" s="134">
        <v>0.4</v>
      </c>
      <c r="J51" s="135"/>
      <c r="K51" s="135">
        <f t="shared" si="4"/>
        <v>0.27000000000000007</v>
      </c>
      <c r="L51" s="134">
        <f t="shared" si="3"/>
        <v>3.24</v>
      </c>
      <c r="M51" s="136"/>
    </row>
    <row r="52" spans="1:13" ht="12.75">
      <c r="A52" s="146"/>
      <c r="B52" s="140"/>
      <c r="C52" s="143"/>
      <c r="D52" s="142"/>
      <c r="E52" s="142"/>
      <c r="F52" s="142"/>
      <c r="G52" s="142"/>
      <c r="H52" s="142"/>
      <c r="I52" s="142"/>
      <c r="J52" s="144"/>
      <c r="K52" s="144"/>
      <c r="L52" s="142"/>
      <c r="M52" s="145"/>
    </row>
    <row r="53" spans="1:13" s="131" customFormat="1" ht="14.25">
      <c r="A53" s="128" t="s">
        <v>55</v>
      </c>
      <c r="B53" s="137" t="str">
        <f>'BM01'!B45</f>
        <v>ATERRO MANUAL DE VALAS COM SOLO ARGILO-ARENOSO E COMPACTAÇÃO MECANIZADA. AF_05/2016</v>
      </c>
      <c r="C53" s="138"/>
      <c r="D53" s="138"/>
      <c r="E53" s="138"/>
      <c r="F53" s="138"/>
      <c r="G53" s="138"/>
      <c r="H53" s="138"/>
      <c r="I53" s="138"/>
      <c r="J53" s="138"/>
      <c r="K53" s="138"/>
      <c r="L53" s="129">
        <f>SUM(L54:L55)</f>
        <v>587.81000000000006</v>
      </c>
      <c r="M53" s="130" t="s">
        <v>375</v>
      </c>
    </row>
    <row r="54" spans="1:13" ht="12.75">
      <c r="A54" s="132"/>
      <c r="B54" s="209" t="s">
        <v>431</v>
      </c>
      <c r="C54" s="210"/>
      <c r="D54" s="134">
        <v>1</v>
      </c>
      <c r="E54" s="134">
        <v>11.9</v>
      </c>
      <c r="F54" s="134"/>
      <c r="G54" s="134">
        <v>28.6</v>
      </c>
      <c r="H54" s="134"/>
      <c r="I54" s="134">
        <v>1</v>
      </c>
      <c r="J54" s="135">
        <v>1.4</v>
      </c>
      <c r="K54" s="135">
        <f>ROUND(E54*G54*((I54+J54)/2),2)</f>
        <v>408.41</v>
      </c>
      <c r="L54" s="134">
        <f>ROUND(D54*K54,2)</f>
        <v>408.41</v>
      </c>
      <c r="M54" s="136"/>
    </row>
    <row r="55" spans="1:13" ht="12.75">
      <c r="A55" s="146"/>
      <c r="B55" s="209" t="s">
        <v>432</v>
      </c>
      <c r="C55" s="210"/>
      <c r="D55" s="134">
        <v>1</v>
      </c>
      <c r="E55" s="134">
        <v>8</v>
      </c>
      <c r="F55" s="134"/>
      <c r="G55" s="134">
        <v>19.5</v>
      </c>
      <c r="H55" s="134"/>
      <c r="I55" s="134">
        <v>1</v>
      </c>
      <c r="J55" s="135">
        <v>1.3</v>
      </c>
      <c r="K55" s="135">
        <f>ROUND(E55*G55*((I55+J55)/2),2)</f>
        <v>179.4</v>
      </c>
      <c r="L55" s="134">
        <f t="shared" ref="L55" si="5">ROUND(D55*K55,2)</f>
        <v>179.4</v>
      </c>
      <c r="M55" s="145"/>
    </row>
    <row r="56" spans="1:13" ht="12.75">
      <c r="A56" s="146"/>
      <c r="B56" s="209"/>
      <c r="C56" s="210"/>
      <c r="D56" s="134"/>
      <c r="E56" s="134"/>
      <c r="F56" s="134"/>
      <c r="G56" s="134"/>
      <c r="H56" s="134"/>
      <c r="I56" s="134"/>
      <c r="J56" s="135"/>
      <c r="K56" s="135"/>
      <c r="L56" s="134"/>
      <c r="M56" s="145"/>
    </row>
    <row r="57" spans="1:13" ht="13.5" thickBot="1">
      <c r="A57" s="146"/>
      <c r="B57" s="140"/>
      <c r="C57" s="143"/>
      <c r="D57" s="142"/>
      <c r="E57" s="142"/>
      <c r="F57" s="142"/>
      <c r="G57" s="142"/>
      <c r="H57" s="142"/>
      <c r="I57" s="142"/>
      <c r="J57" s="144"/>
      <c r="K57" s="144"/>
      <c r="L57" s="142"/>
      <c r="M57" s="145"/>
    </row>
    <row r="58" spans="1:13" s="131" customFormat="1" ht="13.5" thickBot="1">
      <c r="A58" s="121" t="s">
        <v>20</v>
      </c>
      <c r="B58" s="122" t="str">
        <f>'BM01'!B47</f>
        <v>INFRAESTRUTURA</v>
      </c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M58" s="123"/>
    </row>
    <row r="59" spans="1:13" ht="12.75">
      <c r="A59" s="146"/>
      <c r="B59" s="140"/>
      <c r="C59" s="143"/>
      <c r="D59" s="142"/>
      <c r="E59" s="142"/>
      <c r="F59" s="142"/>
      <c r="G59" s="142"/>
      <c r="H59" s="142"/>
      <c r="I59" s="142"/>
      <c r="J59" s="144"/>
      <c r="K59" s="144"/>
      <c r="L59" s="142"/>
      <c r="M59" s="145"/>
    </row>
    <row r="60" spans="1:13" s="131" customFormat="1" ht="31.5" customHeight="1">
      <c r="A60" s="128" t="s">
        <v>58</v>
      </c>
      <c r="B60" s="211" t="str">
        <f>'BM01'!B49</f>
        <v>EMBASAMENTO C/PEDRA ARGAMASSADA UTILIZADO ARG.CIM/AREIA 1:4 (ADAPTADO SINAPI 95467)</v>
      </c>
      <c r="C60" s="212"/>
      <c r="D60" s="212"/>
      <c r="E60" s="212"/>
      <c r="F60" s="212"/>
      <c r="G60" s="212"/>
      <c r="H60" s="212"/>
      <c r="I60" s="212"/>
      <c r="J60" s="212"/>
      <c r="K60" s="213"/>
      <c r="L60" s="129">
        <f>SUM(L61:L99)</f>
        <v>40.07</v>
      </c>
      <c r="M60" s="130" t="s">
        <v>375</v>
      </c>
    </row>
    <row r="61" spans="1:13" s="131" customFormat="1" ht="12.75">
      <c r="A61" s="132"/>
      <c r="B61" s="209" t="s">
        <v>374</v>
      </c>
      <c r="C61" s="210"/>
      <c r="D61" s="134">
        <v>1</v>
      </c>
      <c r="E61" s="134">
        <v>29.65</v>
      </c>
      <c r="F61" s="134"/>
      <c r="G61" s="134">
        <v>0.4</v>
      </c>
      <c r="H61" s="134"/>
      <c r="I61" s="134">
        <v>0.4</v>
      </c>
      <c r="J61" s="135"/>
      <c r="K61" s="135">
        <f>ROUND(E61*G61*I61,2)</f>
        <v>4.74</v>
      </c>
      <c r="L61" s="134">
        <f>ROUND(D61*K61,2)</f>
        <v>4.74</v>
      </c>
      <c r="M61" s="180"/>
    </row>
    <row r="62" spans="1:13" s="131" customFormat="1" ht="12.75">
      <c r="A62" s="132"/>
      <c r="B62" s="209" t="s">
        <v>376</v>
      </c>
      <c r="C62" s="210"/>
      <c r="D62" s="134">
        <v>1</v>
      </c>
      <c r="E62" s="134">
        <v>1.75</v>
      </c>
      <c r="F62" s="134"/>
      <c r="G62" s="134">
        <v>0.4</v>
      </c>
      <c r="H62" s="134"/>
      <c r="I62" s="134">
        <v>0.4</v>
      </c>
      <c r="J62" s="135"/>
      <c r="K62" s="135">
        <f>ROUND(E62*G62*I62,2)</f>
        <v>0.28000000000000003</v>
      </c>
      <c r="L62" s="134">
        <f t="shared" ref="L62:L99" si="6">ROUND(D62*K62,2)</f>
        <v>0.28000000000000003</v>
      </c>
      <c r="M62" s="180"/>
    </row>
    <row r="63" spans="1:13" s="131" customFormat="1" ht="12.75">
      <c r="A63" s="132"/>
      <c r="B63" s="209" t="s">
        <v>377</v>
      </c>
      <c r="C63" s="210"/>
      <c r="D63" s="134">
        <v>1</v>
      </c>
      <c r="E63" s="134">
        <v>1.75</v>
      </c>
      <c r="F63" s="134"/>
      <c r="G63" s="134">
        <v>0.4</v>
      </c>
      <c r="H63" s="134"/>
      <c r="I63" s="134">
        <v>0.4</v>
      </c>
      <c r="J63" s="135"/>
      <c r="K63" s="135">
        <f>ROUND(E63*G63*I63,2)</f>
        <v>0.28000000000000003</v>
      </c>
      <c r="L63" s="134">
        <f t="shared" si="6"/>
        <v>0.28000000000000003</v>
      </c>
      <c r="M63" s="180"/>
    </row>
    <row r="64" spans="1:13" s="131" customFormat="1" ht="12.75">
      <c r="A64" s="132"/>
      <c r="B64" s="174" t="s">
        <v>378</v>
      </c>
      <c r="C64" s="133"/>
      <c r="D64" s="134">
        <v>1</v>
      </c>
      <c r="E64" s="134">
        <v>29.65</v>
      </c>
      <c r="F64" s="134"/>
      <c r="G64" s="134">
        <v>0.4</v>
      </c>
      <c r="H64" s="134"/>
      <c r="I64" s="134">
        <v>0.4</v>
      </c>
      <c r="J64" s="135"/>
      <c r="K64" s="135">
        <f t="shared" ref="K64:K99" si="7">ROUND(E64*G64*I64,2)</f>
        <v>4.74</v>
      </c>
      <c r="L64" s="134">
        <f t="shared" si="6"/>
        <v>4.74</v>
      </c>
      <c r="M64" s="180"/>
    </row>
    <row r="65" spans="1:13" s="131" customFormat="1" ht="12.75">
      <c r="A65" s="132"/>
      <c r="B65" s="174" t="s">
        <v>379</v>
      </c>
      <c r="C65" s="133"/>
      <c r="D65" s="134">
        <v>1</v>
      </c>
      <c r="E65" s="134">
        <v>5.6</v>
      </c>
      <c r="F65" s="134"/>
      <c r="G65" s="134">
        <v>0.4</v>
      </c>
      <c r="H65" s="134"/>
      <c r="I65" s="134">
        <v>0.4</v>
      </c>
      <c r="J65" s="135"/>
      <c r="K65" s="135">
        <f t="shared" si="7"/>
        <v>0.9</v>
      </c>
      <c r="L65" s="134">
        <f t="shared" si="6"/>
        <v>0.9</v>
      </c>
      <c r="M65" s="180"/>
    </row>
    <row r="66" spans="1:13" s="131" customFormat="1" ht="12.75">
      <c r="A66" s="132"/>
      <c r="B66" s="174" t="s">
        <v>380</v>
      </c>
      <c r="C66" s="133"/>
      <c r="D66" s="134">
        <v>1</v>
      </c>
      <c r="E66" s="134">
        <v>5.15</v>
      </c>
      <c r="F66" s="134"/>
      <c r="G66" s="134">
        <v>0.4</v>
      </c>
      <c r="H66" s="134"/>
      <c r="I66" s="134">
        <v>0.4</v>
      </c>
      <c r="J66" s="135"/>
      <c r="K66" s="135">
        <f t="shared" si="7"/>
        <v>0.82</v>
      </c>
      <c r="L66" s="134">
        <f t="shared" si="6"/>
        <v>0.82</v>
      </c>
      <c r="M66" s="180"/>
    </row>
    <row r="67" spans="1:13" s="131" customFormat="1" ht="12.75">
      <c r="A67" s="132"/>
      <c r="B67" s="209" t="s">
        <v>381</v>
      </c>
      <c r="C67" s="210"/>
      <c r="D67" s="134">
        <v>1</v>
      </c>
      <c r="E67" s="134">
        <v>8.85</v>
      </c>
      <c r="F67" s="134"/>
      <c r="G67" s="134">
        <v>0.4</v>
      </c>
      <c r="H67" s="134"/>
      <c r="I67" s="134">
        <v>0.4</v>
      </c>
      <c r="J67" s="135"/>
      <c r="K67" s="135">
        <f t="shared" si="7"/>
        <v>1.42</v>
      </c>
      <c r="L67" s="134">
        <f t="shared" si="6"/>
        <v>1.42</v>
      </c>
      <c r="M67" s="180"/>
    </row>
    <row r="68" spans="1:13" s="131" customFormat="1" ht="12.75">
      <c r="A68" s="132"/>
      <c r="B68" s="178" t="s">
        <v>382</v>
      </c>
      <c r="C68" s="179"/>
      <c r="D68" s="134">
        <v>1</v>
      </c>
      <c r="E68" s="134">
        <v>5.6</v>
      </c>
      <c r="F68" s="134"/>
      <c r="G68" s="134">
        <v>0.4</v>
      </c>
      <c r="H68" s="134"/>
      <c r="I68" s="134">
        <v>0.4</v>
      </c>
      <c r="J68" s="135"/>
      <c r="K68" s="135">
        <f t="shared" si="7"/>
        <v>0.9</v>
      </c>
      <c r="L68" s="134">
        <f t="shared" si="6"/>
        <v>0.9</v>
      </c>
      <c r="M68" s="180"/>
    </row>
    <row r="69" spans="1:13" s="131" customFormat="1" ht="12.75">
      <c r="A69" s="132"/>
      <c r="B69" s="178" t="s">
        <v>383</v>
      </c>
      <c r="C69" s="179"/>
      <c r="D69" s="134">
        <v>1</v>
      </c>
      <c r="E69" s="134">
        <v>8.85</v>
      </c>
      <c r="F69" s="134"/>
      <c r="G69" s="134">
        <v>0.4</v>
      </c>
      <c r="H69" s="134"/>
      <c r="I69" s="134">
        <v>0.4</v>
      </c>
      <c r="J69" s="135"/>
      <c r="K69" s="135">
        <f t="shared" si="7"/>
        <v>1.42</v>
      </c>
      <c r="L69" s="134">
        <f t="shared" si="6"/>
        <v>1.42</v>
      </c>
      <c r="M69" s="180"/>
    </row>
    <row r="70" spans="1:13" s="131" customFormat="1" ht="12.75">
      <c r="A70" s="132"/>
      <c r="B70" s="178" t="s">
        <v>384</v>
      </c>
      <c r="C70" s="179"/>
      <c r="D70" s="134">
        <v>1</v>
      </c>
      <c r="E70" s="134">
        <v>2.7</v>
      </c>
      <c r="F70" s="134"/>
      <c r="G70" s="134">
        <v>0.4</v>
      </c>
      <c r="H70" s="134"/>
      <c r="I70" s="134">
        <v>0.4</v>
      </c>
      <c r="J70" s="135"/>
      <c r="K70" s="135">
        <f t="shared" si="7"/>
        <v>0.43</v>
      </c>
      <c r="L70" s="134">
        <f t="shared" si="6"/>
        <v>0.43</v>
      </c>
      <c r="M70" s="180"/>
    </row>
    <row r="71" spans="1:13" s="131" customFormat="1" ht="12.75">
      <c r="A71" s="132"/>
      <c r="B71" s="178" t="s">
        <v>385</v>
      </c>
      <c r="C71" s="179"/>
      <c r="D71" s="134">
        <v>1</v>
      </c>
      <c r="E71" s="134">
        <v>5.05</v>
      </c>
      <c r="F71" s="134"/>
      <c r="G71" s="134">
        <v>0.4</v>
      </c>
      <c r="H71" s="134"/>
      <c r="I71" s="134">
        <v>0.4</v>
      </c>
      <c r="J71" s="135"/>
      <c r="K71" s="135">
        <f t="shared" si="7"/>
        <v>0.81</v>
      </c>
      <c r="L71" s="134">
        <f t="shared" si="6"/>
        <v>0.81</v>
      </c>
      <c r="M71" s="180"/>
    </row>
    <row r="72" spans="1:13" s="131" customFormat="1" ht="12.75">
      <c r="A72" s="132"/>
      <c r="B72" s="178" t="s">
        <v>386</v>
      </c>
      <c r="C72" s="179"/>
      <c r="D72" s="134">
        <v>1</v>
      </c>
      <c r="E72" s="134">
        <v>11.25</v>
      </c>
      <c r="F72" s="134"/>
      <c r="G72" s="134">
        <v>0.4</v>
      </c>
      <c r="H72" s="134"/>
      <c r="I72" s="134">
        <v>0.4</v>
      </c>
      <c r="J72" s="135"/>
      <c r="K72" s="135">
        <f t="shared" si="7"/>
        <v>1.8</v>
      </c>
      <c r="L72" s="134">
        <f t="shared" si="6"/>
        <v>1.8</v>
      </c>
      <c r="M72" s="180"/>
    </row>
    <row r="73" spans="1:13" s="131" customFormat="1" ht="12.75">
      <c r="A73" s="132"/>
      <c r="B73" s="178" t="s">
        <v>387</v>
      </c>
      <c r="C73" s="179"/>
      <c r="D73" s="134">
        <v>1</v>
      </c>
      <c r="E73" s="134">
        <v>2.2000000000000002</v>
      </c>
      <c r="F73" s="134"/>
      <c r="G73" s="134">
        <v>0.4</v>
      </c>
      <c r="H73" s="134"/>
      <c r="I73" s="134">
        <v>0.4</v>
      </c>
      <c r="J73" s="135"/>
      <c r="K73" s="135">
        <f t="shared" si="7"/>
        <v>0.35</v>
      </c>
      <c r="L73" s="134">
        <f t="shared" si="6"/>
        <v>0.35</v>
      </c>
      <c r="M73" s="180"/>
    </row>
    <row r="74" spans="1:13" s="131" customFormat="1" ht="12.75">
      <c r="A74" s="132"/>
      <c r="B74" s="178" t="s">
        <v>388</v>
      </c>
      <c r="C74" s="179"/>
      <c r="D74" s="134">
        <v>1</v>
      </c>
      <c r="E74" s="134">
        <v>6.6</v>
      </c>
      <c r="F74" s="134"/>
      <c r="G74" s="134">
        <v>0.4</v>
      </c>
      <c r="H74" s="134"/>
      <c r="I74" s="134">
        <v>0.4</v>
      </c>
      <c r="J74" s="135"/>
      <c r="K74" s="135">
        <f t="shared" si="7"/>
        <v>1.06</v>
      </c>
      <c r="L74" s="134">
        <f t="shared" si="6"/>
        <v>1.06</v>
      </c>
      <c r="M74" s="180"/>
    </row>
    <row r="75" spans="1:13" s="131" customFormat="1" ht="12.75">
      <c r="A75" s="132"/>
      <c r="B75" s="178" t="s">
        <v>389</v>
      </c>
      <c r="C75" s="179"/>
      <c r="D75" s="134">
        <v>1</v>
      </c>
      <c r="E75" s="134">
        <v>7.9</v>
      </c>
      <c r="F75" s="134"/>
      <c r="G75" s="134">
        <v>0.4</v>
      </c>
      <c r="H75" s="134"/>
      <c r="I75" s="134">
        <v>0.4</v>
      </c>
      <c r="J75" s="135"/>
      <c r="K75" s="135">
        <f t="shared" si="7"/>
        <v>1.26</v>
      </c>
      <c r="L75" s="134">
        <f t="shared" si="6"/>
        <v>1.26</v>
      </c>
      <c r="M75" s="180"/>
    </row>
    <row r="76" spans="1:13" s="131" customFormat="1" ht="12.75">
      <c r="A76" s="132"/>
      <c r="B76" s="178" t="s">
        <v>390</v>
      </c>
      <c r="C76" s="179"/>
      <c r="D76" s="134">
        <v>1</v>
      </c>
      <c r="E76" s="134">
        <v>9.1999999999999993</v>
      </c>
      <c r="F76" s="134"/>
      <c r="G76" s="134">
        <v>0.4</v>
      </c>
      <c r="H76" s="134"/>
      <c r="I76" s="134">
        <v>0.4</v>
      </c>
      <c r="J76" s="135"/>
      <c r="K76" s="135">
        <f t="shared" si="7"/>
        <v>1.47</v>
      </c>
      <c r="L76" s="134">
        <f t="shared" si="6"/>
        <v>1.47</v>
      </c>
      <c r="M76" s="180"/>
    </row>
    <row r="77" spans="1:13" s="131" customFormat="1" ht="12.75">
      <c r="A77" s="132"/>
      <c r="B77" s="178" t="s">
        <v>391</v>
      </c>
      <c r="C77" s="179"/>
      <c r="D77" s="134">
        <v>1</v>
      </c>
      <c r="E77" s="134">
        <v>2.35</v>
      </c>
      <c r="F77" s="134"/>
      <c r="G77" s="134">
        <v>0.4</v>
      </c>
      <c r="H77" s="134"/>
      <c r="I77" s="134">
        <v>0.4</v>
      </c>
      <c r="J77" s="135"/>
      <c r="K77" s="135">
        <f t="shared" si="7"/>
        <v>0.38</v>
      </c>
      <c r="L77" s="134">
        <f t="shared" si="6"/>
        <v>0.38</v>
      </c>
      <c r="M77" s="180"/>
    </row>
    <row r="78" spans="1:13" s="131" customFormat="1" ht="12.75">
      <c r="A78" s="132"/>
      <c r="B78" s="178" t="s">
        <v>392</v>
      </c>
      <c r="C78" s="179"/>
      <c r="D78" s="134">
        <v>1</v>
      </c>
      <c r="E78" s="134">
        <v>2.5</v>
      </c>
      <c r="F78" s="134"/>
      <c r="G78" s="134">
        <v>0.4</v>
      </c>
      <c r="H78" s="134"/>
      <c r="I78" s="134">
        <v>0.4</v>
      </c>
      <c r="J78" s="135"/>
      <c r="K78" s="135">
        <f t="shared" si="7"/>
        <v>0.4</v>
      </c>
      <c r="L78" s="134">
        <f t="shared" si="6"/>
        <v>0.4</v>
      </c>
      <c r="M78" s="180"/>
    </row>
    <row r="79" spans="1:13" s="131" customFormat="1" ht="12.75">
      <c r="A79" s="132"/>
      <c r="B79" s="178" t="s">
        <v>393</v>
      </c>
      <c r="C79" s="179"/>
      <c r="D79" s="134">
        <v>1</v>
      </c>
      <c r="E79" s="134">
        <v>3.45</v>
      </c>
      <c r="F79" s="134"/>
      <c r="G79" s="134">
        <v>0.4</v>
      </c>
      <c r="H79" s="134"/>
      <c r="I79" s="134">
        <v>0.4</v>
      </c>
      <c r="J79" s="135"/>
      <c r="K79" s="135">
        <f t="shared" si="7"/>
        <v>0.55000000000000004</v>
      </c>
      <c r="L79" s="134">
        <f t="shared" si="6"/>
        <v>0.55000000000000004</v>
      </c>
      <c r="M79" s="180"/>
    </row>
    <row r="80" spans="1:13" s="131" customFormat="1" ht="12.75">
      <c r="A80" s="132"/>
      <c r="B80" s="178" t="s">
        <v>394</v>
      </c>
      <c r="C80" s="179"/>
      <c r="D80" s="134">
        <v>1</v>
      </c>
      <c r="E80" s="134">
        <v>0</v>
      </c>
      <c r="F80" s="134"/>
      <c r="G80" s="134">
        <v>0.4</v>
      </c>
      <c r="H80" s="134"/>
      <c r="I80" s="134">
        <v>0.4</v>
      </c>
      <c r="J80" s="135"/>
      <c r="K80" s="135">
        <f t="shared" si="7"/>
        <v>0</v>
      </c>
      <c r="L80" s="134">
        <f t="shared" si="6"/>
        <v>0</v>
      </c>
      <c r="M80" s="180"/>
    </row>
    <row r="81" spans="1:13" s="131" customFormat="1" ht="12.75">
      <c r="A81" s="132"/>
      <c r="B81" s="178" t="s">
        <v>395</v>
      </c>
      <c r="C81" s="179"/>
      <c r="D81" s="134">
        <v>1</v>
      </c>
      <c r="E81" s="134">
        <v>6</v>
      </c>
      <c r="F81" s="134"/>
      <c r="G81" s="134">
        <v>0.4</v>
      </c>
      <c r="H81" s="134"/>
      <c r="I81" s="134">
        <v>0.4</v>
      </c>
      <c r="J81" s="135"/>
      <c r="K81" s="135">
        <f t="shared" si="7"/>
        <v>0.96</v>
      </c>
      <c r="L81" s="134">
        <f t="shared" si="6"/>
        <v>0.96</v>
      </c>
      <c r="M81" s="180"/>
    </row>
    <row r="82" spans="1:13" s="131" customFormat="1" ht="12.75">
      <c r="A82" s="132"/>
      <c r="B82" s="178" t="s">
        <v>396</v>
      </c>
      <c r="C82" s="179"/>
      <c r="D82" s="134">
        <v>1</v>
      </c>
      <c r="E82" s="134">
        <v>7.2</v>
      </c>
      <c r="F82" s="134"/>
      <c r="G82" s="134">
        <v>0.4</v>
      </c>
      <c r="H82" s="134"/>
      <c r="I82" s="134">
        <v>0.4</v>
      </c>
      <c r="J82" s="135"/>
      <c r="K82" s="135">
        <f t="shared" si="7"/>
        <v>1.1499999999999999</v>
      </c>
      <c r="L82" s="134">
        <f t="shared" si="6"/>
        <v>1.1499999999999999</v>
      </c>
      <c r="M82" s="180"/>
    </row>
    <row r="83" spans="1:13" s="131" customFormat="1" ht="12.75">
      <c r="A83" s="132"/>
      <c r="B83" s="178" t="s">
        <v>397</v>
      </c>
      <c r="C83" s="179"/>
      <c r="D83" s="134">
        <v>1</v>
      </c>
      <c r="E83" s="134">
        <v>7.6</v>
      </c>
      <c r="F83" s="134"/>
      <c r="G83" s="134">
        <v>0.4</v>
      </c>
      <c r="H83" s="134"/>
      <c r="I83" s="134">
        <v>0.4</v>
      </c>
      <c r="J83" s="135"/>
      <c r="K83" s="135">
        <f t="shared" si="7"/>
        <v>1.22</v>
      </c>
      <c r="L83" s="134">
        <f t="shared" si="6"/>
        <v>1.22</v>
      </c>
      <c r="M83" s="180"/>
    </row>
    <row r="84" spans="1:13" s="131" customFormat="1" ht="12.75">
      <c r="A84" s="132"/>
      <c r="B84" s="178" t="s">
        <v>398</v>
      </c>
      <c r="C84" s="179"/>
      <c r="D84" s="134">
        <v>1</v>
      </c>
      <c r="E84" s="134">
        <v>1.1499999999999999</v>
      </c>
      <c r="F84" s="134"/>
      <c r="G84" s="134">
        <v>0.4</v>
      </c>
      <c r="H84" s="134"/>
      <c r="I84" s="134">
        <v>0.4</v>
      </c>
      <c r="J84" s="135"/>
      <c r="K84" s="135">
        <f t="shared" si="7"/>
        <v>0.18</v>
      </c>
      <c r="L84" s="134">
        <f t="shared" si="6"/>
        <v>0.18</v>
      </c>
      <c r="M84" s="180"/>
    </row>
    <row r="85" spans="1:13" s="131" customFormat="1" ht="12.75">
      <c r="A85" s="132"/>
      <c r="B85" s="178" t="s">
        <v>399</v>
      </c>
      <c r="C85" s="179"/>
      <c r="D85" s="134">
        <v>1</v>
      </c>
      <c r="E85" s="134">
        <v>2.6</v>
      </c>
      <c r="F85" s="134"/>
      <c r="G85" s="134">
        <v>0.4</v>
      </c>
      <c r="H85" s="134"/>
      <c r="I85" s="134">
        <v>0.4</v>
      </c>
      <c r="J85" s="135"/>
      <c r="K85" s="135">
        <f t="shared" si="7"/>
        <v>0.42</v>
      </c>
      <c r="L85" s="134">
        <f t="shared" si="6"/>
        <v>0.42</v>
      </c>
      <c r="M85" s="180"/>
    </row>
    <row r="86" spans="1:13" s="131" customFormat="1" ht="12.75">
      <c r="A86" s="132"/>
      <c r="B86" s="178" t="s">
        <v>400</v>
      </c>
      <c r="C86" s="179"/>
      <c r="D86" s="134">
        <v>1</v>
      </c>
      <c r="E86" s="134">
        <v>1.75</v>
      </c>
      <c r="F86" s="134"/>
      <c r="G86" s="134">
        <v>0.4</v>
      </c>
      <c r="H86" s="134"/>
      <c r="I86" s="134">
        <v>0.4</v>
      </c>
      <c r="J86" s="135"/>
      <c r="K86" s="135">
        <f t="shared" si="7"/>
        <v>0.28000000000000003</v>
      </c>
      <c r="L86" s="134">
        <f t="shared" si="6"/>
        <v>0.28000000000000003</v>
      </c>
      <c r="M86" s="180"/>
    </row>
    <row r="87" spans="1:13" s="131" customFormat="1" ht="12.75">
      <c r="A87" s="132"/>
      <c r="B87" s="178" t="s">
        <v>401</v>
      </c>
      <c r="C87" s="179"/>
      <c r="D87" s="134">
        <v>1</v>
      </c>
      <c r="E87" s="134">
        <v>7.2</v>
      </c>
      <c r="F87" s="134"/>
      <c r="G87" s="134">
        <v>0.4</v>
      </c>
      <c r="H87" s="134"/>
      <c r="I87" s="134">
        <v>0.4</v>
      </c>
      <c r="J87" s="135"/>
      <c r="K87" s="135">
        <f t="shared" si="7"/>
        <v>1.1499999999999999</v>
      </c>
      <c r="L87" s="134">
        <f t="shared" si="6"/>
        <v>1.1499999999999999</v>
      </c>
      <c r="M87" s="180"/>
    </row>
    <row r="88" spans="1:13" s="131" customFormat="1" ht="12.75">
      <c r="A88" s="132"/>
      <c r="B88" s="178" t="s">
        <v>402</v>
      </c>
      <c r="C88" s="179"/>
      <c r="D88" s="134">
        <v>1</v>
      </c>
      <c r="E88" s="134">
        <v>2.6</v>
      </c>
      <c r="F88" s="134"/>
      <c r="G88" s="134">
        <v>0.4</v>
      </c>
      <c r="H88" s="134"/>
      <c r="I88" s="134">
        <v>0.4</v>
      </c>
      <c r="J88" s="135"/>
      <c r="K88" s="135">
        <f t="shared" si="7"/>
        <v>0.42</v>
      </c>
      <c r="L88" s="134">
        <f t="shared" si="6"/>
        <v>0.42</v>
      </c>
      <c r="M88" s="180"/>
    </row>
    <row r="89" spans="1:13" s="131" customFormat="1" ht="12.75">
      <c r="A89" s="132"/>
      <c r="B89" s="178" t="s">
        <v>403</v>
      </c>
      <c r="C89" s="179"/>
      <c r="D89" s="134">
        <v>1</v>
      </c>
      <c r="E89" s="134">
        <v>3.8</v>
      </c>
      <c r="F89" s="134"/>
      <c r="G89" s="134">
        <v>0.4</v>
      </c>
      <c r="H89" s="134"/>
      <c r="I89" s="134">
        <v>0.4</v>
      </c>
      <c r="J89" s="135"/>
      <c r="K89" s="135">
        <f t="shared" si="7"/>
        <v>0.61</v>
      </c>
      <c r="L89" s="134">
        <f t="shared" si="6"/>
        <v>0.61</v>
      </c>
      <c r="M89" s="180"/>
    </row>
    <row r="90" spans="1:13" s="131" customFormat="1" ht="12.75">
      <c r="A90" s="132"/>
      <c r="B90" s="178" t="s">
        <v>404</v>
      </c>
      <c r="C90" s="179"/>
      <c r="D90" s="134">
        <v>1</v>
      </c>
      <c r="E90" s="134">
        <v>3.55</v>
      </c>
      <c r="F90" s="134"/>
      <c r="G90" s="134">
        <v>0.4</v>
      </c>
      <c r="H90" s="134"/>
      <c r="I90" s="134">
        <v>0.4</v>
      </c>
      <c r="J90" s="135"/>
      <c r="K90" s="135">
        <f t="shared" si="7"/>
        <v>0.56999999999999995</v>
      </c>
      <c r="L90" s="134">
        <f t="shared" si="6"/>
        <v>0.56999999999999995</v>
      </c>
      <c r="M90" s="180"/>
    </row>
    <row r="91" spans="1:13" s="131" customFormat="1" ht="12.75">
      <c r="A91" s="132"/>
      <c r="B91" s="178" t="s">
        <v>405</v>
      </c>
      <c r="C91" s="179"/>
      <c r="D91" s="134">
        <v>1</v>
      </c>
      <c r="E91" s="134">
        <v>1.75</v>
      </c>
      <c r="F91" s="134"/>
      <c r="G91" s="134">
        <v>0.4</v>
      </c>
      <c r="H91" s="134"/>
      <c r="I91" s="134">
        <v>0.4</v>
      </c>
      <c r="J91" s="135"/>
      <c r="K91" s="135">
        <f t="shared" si="7"/>
        <v>0.28000000000000003</v>
      </c>
      <c r="L91" s="134">
        <f t="shared" si="6"/>
        <v>0.28000000000000003</v>
      </c>
      <c r="M91" s="180"/>
    </row>
    <row r="92" spans="1:13" s="131" customFormat="1" ht="12.75">
      <c r="A92" s="132"/>
      <c r="B92" s="178" t="s">
        <v>406</v>
      </c>
      <c r="C92" s="179"/>
      <c r="D92" s="134">
        <v>1</v>
      </c>
      <c r="E92" s="134">
        <v>2.6</v>
      </c>
      <c r="F92" s="134"/>
      <c r="G92" s="134">
        <v>0.4</v>
      </c>
      <c r="H92" s="134"/>
      <c r="I92" s="134">
        <v>0.4</v>
      </c>
      <c r="J92" s="135"/>
      <c r="K92" s="135">
        <f t="shared" si="7"/>
        <v>0.42</v>
      </c>
      <c r="L92" s="134">
        <f t="shared" si="6"/>
        <v>0.42</v>
      </c>
      <c r="M92" s="180"/>
    </row>
    <row r="93" spans="1:13" s="131" customFormat="1" ht="12.75">
      <c r="A93" s="132"/>
      <c r="B93" s="178" t="s">
        <v>407</v>
      </c>
      <c r="C93" s="179"/>
      <c r="D93" s="134">
        <v>1</v>
      </c>
      <c r="E93" s="134">
        <v>3.8</v>
      </c>
      <c r="F93" s="134"/>
      <c r="G93" s="134">
        <v>0.4</v>
      </c>
      <c r="H93" s="134"/>
      <c r="I93" s="134">
        <v>0.4</v>
      </c>
      <c r="J93" s="135"/>
      <c r="K93" s="135">
        <f t="shared" si="7"/>
        <v>0.61</v>
      </c>
      <c r="L93" s="134">
        <f t="shared" si="6"/>
        <v>0.61</v>
      </c>
      <c r="M93" s="180"/>
    </row>
    <row r="94" spans="1:13" s="131" customFormat="1" ht="12.75">
      <c r="A94" s="132"/>
      <c r="B94" s="178" t="s">
        <v>408</v>
      </c>
      <c r="C94" s="179"/>
      <c r="D94" s="134">
        <v>1</v>
      </c>
      <c r="E94" s="134">
        <v>7.2</v>
      </c>
      <c r="F94" s="134"/>
      <c r="G94" s="134">
        <v>0.4</v>
      </c>
      <c r="H94" s="134"/>
      <c r="I94" s="134">
        <v>0.4</v>
      </c>
      <c r="J94" s="135"/>
      <c r="K94" s="135">
        <f t="shared" si="7"/>
        <v>1.1499999999999999</v>
      </c>
      <c r="L94" s="134">
        <f t="shared" si="6"/>
        <v>1.1499999999999999</v>
      </c>
      <c r="M94" s="180"/>
    </row>
    <row r="95" spans="1:13" s="131" customFormat="1" ht="12.75">
      <c r="A95" s="132"/>
      <c r="B95" s="178" t="s">
        <v>409</v>
      </c>
      <c r="C95" s="179"/>
      <c r="D95" s="134">
        <v>1</v>
      </c>
      <c r="E95" s="134">
        <v>11.75</v>
      </c>
      <c r="F95" s="134"/>
      <c r="G95" s="134">
        <v>0.4</v>
      </c>
      <c r="H95" s="134"/>
      <c r="I95" s="134">
        <v>0.4</v>
      </c>
      <c r="J95" s="135"/>
      <c r="K95" s="135">
        <f t="shared" si="7"/>
        <v>1.88</v>
      </c>
      <c r="L95" s="134">
        <f t="shared" si="6"/>
        <v>1.88</v>
      </c>
      <c r="M95" s="180"/>
    </row>
    <row r="96" spans="1:13" s="131" customFormat="1" ht="12.75">
      <c r="A96" s="132"/>
      <c r="B96" s="178" t="s">
        <v>410</v>
      </c>
      <c r="C96" s="179"/>
      <c r="D96" s="134">
        <v>1</v>
      </c>
      <c r="E96" s="134">
        <v>7.45</v>
      </c>
      <c r="F96" s="134"/>
      <c r="G96" s="134">
        <v>0.4</v>
      </c>
      <c r="H96" s="134"/>
      <c r="I96" s="134">
        <v>0.4</v>
      </c>
      <c r="J96" s="135"/>
      <c r="K96" s="135">
        <f t="shared" si="7"/>
        <v>1.19</v>
      </c>
      <c r="L96" s="134">
        <f t="shared" si="6"/>
        <v>1.19</v>
      </c>
      <c r="M96" s="180"/>
    </row>
    <row r="97" spans="1:13" s="131" customFormat="1" ht="12.75">
      <c r="A97" s="132"/>
      <c r="B97" s="178" t="s">
        <v>411</v>
      </c>
      <c r="C97" s="179"/>
      <c r="D97" s="134">
        <v>1</v>
      </c>
      <c r="E97" s="134">
        <v>7.45</v>
      </c>
      <c r="F97" s="134"/>
      <c r="G97" s="134">
        <v>0.4</v>
      </c>
      <c r="H97" s="134"/>
      <c r="I97" s="134">
        <v>0.4</v>
      </c>
      <c r="J97" s="135"/>
      <c r="K97" s="135">
        <f t="shared" si="7"/>
        <v>1.19</v>
      </c>
      <c r="L97" s="134">
        <f t="shared" si="6"/>
        <v>1.19</v>
      </c>
      <c r="M97" s="180"/>
    </row>
    <row r="98" spans="1:13" s="131" customFormat="1" ht="12.75">
      <c r="A98" s="132"/>
      <c r="B98" s="178" t="s">
        <v>412</v>
      </c>
      <c r="C98" s="179"/>
      <c r="D98" s="134">
        <v>1</v>
      </c>
      <c r="E98" s="134">
        <v>7.45</v>
      </c>
      <c r="F98" s="134"/>
      <c r="G98" s="134">
        <v>0.4</v>
      </c>
      <c r="H98" s="134"/>
      <c r="I98" s="134">
        <v>0.4</v>
      </c>
      <c r="J98" s="135"/>
      <c r="K98" s="135">
        <f t="shared" si="7"/>
        <v>1.19</v>
      </c>
      <c r="L98" s="134">
        <f t="shared" si="6"/>
        <v>1.19</v>
      </c>
      <c r="M98" s="180"/>
    </row>
    <row r="99" spans="1:13" s="131" customFormat="1" ht="12.75">
      <c r="A99" s="132"/>
      <c r="B99" s="178" t="s">
        <v>413</v>
      </c>
      <c r="C99" s="179"/>
      <c r="D99" s="134">
        <v>1</v>
      </c>
      <c r="E99" s="134">
        <v>7.45</v>
      </c>
      <c r="F99" s="134"/>
      <c r="G99" s="134">
        <v>0.4</v>
      </c>
      <c r="H99" s="134"/>
      <c r="I99" s="134">
        <v>0.4</v>
      </c>
      <c r="J99" s="135"/>
      <c r="K99" s="135">
        <f t="shared" si="7"/>
        <v>1.19</v>
      </c>
      <c r="L99" s="134">
        <f t="shared" si="6"/>
        <v>1.19</v>
      </c>
      <c r="M99" s="180"/>
    </row>
    <row r="100" spans="1:13" ht="12.75">
      <c r="A100" s="146"/>
      <c r="B100" s="140"/>
      <c r="C100" s="143"/>
      <c r="D100" s="142"/>
      <c r="E100" s="142"/>
      <c r="F100" s="142"/>
      <c r="G100" s="142"/>
      <c r="H100" s="142"/>
      <c r="I100" s="142"/>
      <c r="J100" s="144"/>
      <c r="K100" s="144"/>
      <c r="L100" s="142"/>
      <c r="M100" s="145"/>
    </row>
    <row r="101" spans="1:13" s="131" customFormat="1" ht="51.75" customHeight="1">
      <c r="A101" s="128" t="s">
        <v>60</v>
      </c>
      <c r="B101" s="211" t="str">
        <f>'BM01'!B50</f>
        <v>ALVENARIA DE VEDAÇÃO DE BLOCOS CERÂMICOS FURADOS NA HORIZONTAL DE 9X19X19CM (ESPESSURA 9CM) DE PAREDES COM ÁREA LÍQUIDA MAIOR OU IGUAL A 6M² COM VÃOS E ARGAMASSA DE ASSENTAMENTO COM PREPARO MANUAL. AF_06/2014</v>
      </c>
      <c r="C101" s="212"/>
      <c r="D101" s="212"/>
      <c r="E101" s="212"/>
      <c r="F101" s="212"/>
      <c r="G101" s="212"/>
      <c r="H101" s="212"/>
      <c r="I101" s="212"/>
      <c r="J101" s="212"/>
      <c r="K101" s="213"/>
      <c r="L101" s="129">
        <f>SUM(L102:L141)</f>
        <v>197.65999999999997</v>
      </c>
      <c r="M101" s="130" t="str">
        <f>'[1]Orçamento Sintético - proj. (2)'!C23</f>
        <v>m²</v>
      </c>
    </row>
    <row r="102" spans="1:13" ht="12.75">
      <c r="A102" s="132"/>
      <c r="B102" s="209" t="s">
        <v>374</v>
      </c>
      <c r="C102" s="210"/>
      <c r="D102" s="134">
        <v>1</v>
      </c>
      <c r="E102" s="134">
        <v>29.65</v>
      </c>
      <c r="F102" s="134"/>
      <c r="G102" s="134"/>
      <c r="H102" s="134"/>
      <c r="I102" s="134">
        <v>0.6</v>
      </c>
      <c r="J102" s="135">
        <v>1.2</v>
      </c>
      <c r="K102" s="135">
        <f>ROUND(E102*((I102+J102)/2),2)</f>
        <v>26.69</v>
      </c>
      <c r="L102" s="134">
        <f>ROUND(D102*K102,2)</f>
        <v>26.69</v>
      </c>
      <c r="M102" s="180"/>
    </row>
    <row r="103" spans="1:13" ht="12.75">
      <c r="A103" s="132"/>
      <c r="B103" s="209" t="s">
        <v>376</v>
      </c>
      <c r="C103" s="210"/>
      <c r="D103" s="134">
        <v>1</v>
      </c>
      <c r="E103" s="134">
        <v>1.75</v>
      </c>
      <c r="F103" s="134"/>
      <c r="G103" s="134"/>
      <c r="H103" s="134"/>
      <c r="I103" s="134">
        <v>0.6</v>
      </c>
      <c r="J103" s="135">
        <v>0.6</v>
      </c>
      <c r="K103" s="135">
        <f t="shared" ref="K103:K139" si="8">ROUND(E103*((I103+J103)/2),2)</f>
        <v>1.05</v>
      </c>
      <c r="L103" s="134">
        <f t="shared" ref="L103:L140" si="9">ROUND(D103*K103,2)</f>
        <v>1.05</v>
      </c>
      <c r="M103" s="180"/>
    </row>
    <row r="104" spans="1:13" s="131" customFormat="1" ht="12.75">
      <c r="A104" s="132"/>
      <c r="B104" s="209" t="s">
        <v>377</v>
      </c>
      <c r="C104" s="210"/>
      <c r="D104" s="134">
        <v>1</v>
      </c>
      <c r="E104" s="134">
        <v>1.75</v>
      </c>
      <c r="F104" s="134"/>
      <c r="G104" s="134"/>
      <c r="H104" s="134"/>
      <c r="I104" s="134">
        <v>0.6</v>
      </c>
      <c r="J104" s="135">
        <v>0.6</v>
      </c>
      <c r="K104" s="135">
        <f t="shared" si="8"/>
        <v>1.05</v>
      </c>
      <c r="L104" s="134">
        <f t="shared" si="9"/>
        <v>1.05</v>
      </c>
      <c r="M104" s="180"/>
    </row>
    <row r="105" spans="1:13" ht="12.75">
      <c r="A105" s="132"/>
      <c r="B105" s="174" t="s">
        <v>378</v>
      </c>
      <c r="C105" s="133"/>
      <c r="D105" s="134">
        <v>1</v>
      </c>
      <c r="E105" s="134">
        <v>29.65</v>
      </c>
      <c r="F105" s="134"/>
      <c r="G105" s="134"/>
      <c r="H105" s="134"/>
      <c r="I105" s="134">
        <v>0.8</v>
      </c>
      <c r="J105" s="135">
        <v>1.2</v>
      </c>
      <c r="K105" s="135">
        <f t="shared" si="8"/>
        <v>29.65</v>
      </c>
      <c r="L105" s="134">
        <f t="shared" si="9"/>
        <v>29.65</v>
      </c>
      <c r="M105" s="180"/>
    </row>
    <row r="106" spans="1:13" ht="12.75">
      <c r="A106" s="132"/>
      <c r="B106" s="174" t="s">
        <v>379</v>
      </c>
      <c r="C106" s="133"/>
      <c r="D106" s="134">
        <v>1</v>
      </c>
      <c r="E106" s="134">
        <v>5.6</v>
      </c>
      <c r="F106" s="134"/>
      <c r="G106" s="134"/>
      <c r="H106" s="134"/>
      <c r="I106" s="134">
        <v>0.6</v>
      </c>
      <c r="J106" s="135">
        <v>0.7</v>
      </c>
      <c r="K106" s="135">
        <f t="shared" si="8"/>
        <v>3.64</v>
      </c>
      <c r="L106" s="134">
        <f t="shared" si="9"/>
        <v>3.64</v>
      </c>
      <c r="M106" s="180"/>
    </row>
    <row r="107" spans="1:13" s="131" customFormat="1" ht="27" customHeight="1">
      <c r="A107" s="132"/>
      <c r="B107" s="174" t="s">
        <v>380</v>
      </c>
      <c r="C107" s="133"/>
      <c r="D107" s="134">
        <v>1</v>
      </c>
      <c r="E107" s="134">
        <v>5.15</v>
      </c>
      <c r="F107" s="134"/>
      <c r="G107" s="134"/>
      <c r="H107" s="134"/>
      <c r="I107" s="134">
        <v>0.8</v>
      </c>
      <c r="J107" s="135">
        <v>1</v>
      </c>
      <c r="K107" s="135">
        <f t="shared" si="8"/>
        <v>4.6399999999999997</v>
      </c>
      <c r="L107" s="134">
        <f t="shared" si="9"/>
        <v>4.6399999999999997</v>
      </c>
      <c r="M107" s="180"/>
    </row>
    <row r="108" spans="1:13" ht="12.75">
      <c r="A108" s="132"/>
      <c r="B108" s="209" t="s">
        <v>381</v>
      </c>
      <c r="C108" s="210"/>
      <c r="D108" s="134">
        <v>1</v>
      </c>
      <c r="E108" s="134">
        <v>8.85</v>
      </c>
      <c r="F108" s="134"/>
      <c r="G108" s="134"/>
      <c r="H108" s="134"/>
      <c r="I108" s="134">
        <v>0.8</v>
      </c>
      <c r="J108" s="135">
        <v>1</v>
      </c>
      <c r="K108" s="135">
        <f t="shared" si="8"/>
        <v>7.97</v>
      </c>
      <c r="L108" s="134">
        <f t="shared" si="9"/>
        <v>7.97</v>
      </c>
      <c r="M108" s="180"/>
    </row>
    <row r="109" spans="1:13" ht="12.75">
      <c r="A109" s="132"/>
      <c r="B109" s="178" t="s">
        <v>382</v>
      </c>
      <c r="C109" s="179"/>
      <c r="D109" s="134">
        <v>1</v>
      </c>
      <c r="E109" s="134">
        <v>5.6</v>
      </c>
      <c r="F109" s="134"/>
      <c r="G109" s="134"/>
      <c r="H109" s="134"/>
      <c r="I109" s="134">
        <v>0.6</v>
      </c>
      <c r="J109" s="135">
        <v>0.6</v>
      </c>
      <c r="K109" s="135">
        <f t="shared" si="8"/>
        <v>3.36</v>
      </c>
      <c r="L109" s="134">
        <f t="shared" si="9"/>
        <v>3.36</v>
      </c>
      <c r="M109" s="180"/>
    </row>
    <row r="110" spans="1:13" s="131" customFormat="1" ht="27.75" customHeight="1">
      <c r="A110" s="132"/>
      <c r="B110" s="178" t="s">
        <v>383</v>
      </c>
      <c r="C110" s="179"/>
      <c r="D110" s="134">
        <v>1</v>
      </c>
      <c r="E110" s="134">
        <v>8.85</v>
      </c>
      <c r="F110" s="134"/>
      <c r="G110" s="134"/>
      <c r="H110" s="134"/>
      <c r="I110" s="134">
        <v>0.8</v>
      </c>
      <c r="J110" s="135">
        <v>1</v>
      </c>
      <c r="K110" s="135">
        <f t="shared" si="8"/>
        <v>7.97</v>
      </c>
      <c r="L110" s="134">
        <f t="shared" si="9"/>
        <v>7.97</v>
      </c>
      <c r="M110" s="180"/>
    </row>
    <row r="111" spans="1:13" s="131" customFormat="1" ht="12.75">
      <c r="A111" s="132"/>
      <c r="B111" s="178" t="s">
        <v>384</v>
      </c>
      <c r="C111" s="179"/>
      <c r="D111" s="134">
        <v>1</v>
      </c>
      <c r="E111" s="134">
        <v>2.7</v>
      </c>
      <c r="F111" s="134"/>
      <c r="G111" s="134"/>
      <c r="H111" s="134"/>
      <c r="I111" s="134">
        <v>0.8</v>
      </c>
      <c r="J111" s="135">
        <v>0.8</v>
      </c>
      <c r="K111" s="135">
        <f t="shared" si="8"/>
        <v>2.16</v>
      </c>
      <c r="L111" s="134">
        <f t="shared" si="9"/>
        <v>2.16</v>
      </c>
      <c r="M111" s="180"/>
    </row>
    <row r="112" spans="1:13" s="131" customFormat="1" ht="12.75">
      <c r="A112" s="132"/>
      <c r="B112" s="178" t="s">
        <v>385</v>
      </c>
      <c r="C112" s="179"/>
      <c r="D112" s="134">
        <v>1</v>
      </c>
      <c r="E112" s="134">
        <v>5.05</v>
      </c>
      <c r="F112" s="134"/>
      <c r="G112" s="134"/>
      <c r="H112" s="134"/>
      <c r="I112" s="134">
        <v>0.9</v>
      </c>
      <c r="J112" s="135">
        <v>1</v>
      </c>
      <c r="K112" s="135">
        <f t="shared" si="8"/>
        <v>4.8</v>
      </c>
      <c r="L112" s="134">
        <f t="shared" si="9"/>
        <v>4.8</v>
      </c>
      <c r="M112" s="180"/>
    </row>
    <row r="113" spans="1:13" s="131" customFormat="1" ht="12.75">
      <c r="A113" s="132"/>
      <c r="B113" s="178" t="s">
        <v>386</v>
      </c>
      <c r="C113" s="179"/>
      <c r="D113" s="134">
        <v>1</v>
      </c>
      <c r="E113" s="134">
        <v>11.25</v>
      </c>
      <c r="F113" s="134"/>
      <c r="G113" s="134"/>
      <c r="H113" s="134"/>
      <c r="I113" s="134">
        <v>0.6</v>
      </c>
      <c r="J113" s="135">
        <v>0.8</v>
      </c>
      <c r="K113" s="135">
        <f t="shared" si="8"/>
        <v>7.88</v>
      </c>
      <c r="L113" s="134">
        <f t="shared" si="9"/>
        <v>7.88</v>
      </c>
      <c r="M113" s="180"/>
    </row>
    <row r="114" spans="1:13" s="131" customFormat="1" ht="12.75">
      <c r="A114" s="132"/>
      <c r="B114" s="178" t="s">
        <v>387</v>
      </c>
      <c r="C114" s="179"/>
      <c r="D114" s="134">
        <v>1</v>
      </c>
      <c r="E114" s="134">
        <v>2.2000000000000002</v>
      </c>
      <c r="F114" s="134"/>
      <c r="G114" s="134"/>
      <c r="H114" s="134"/>
      <c r="I114" s="134">
        <v>1</v>
      </c>
      <c r="J114" s="135">
        <v>1</v>
      </c>
      <c r="K114" s="135">
        <f t="shared" si="8"/>
        <v>2.2000000000000002</v>
      </c>
      <c r="L114" s="134">
        <f t="shared" si="9"/>
        <v>2.2000000000000002</v>
      </c>
      <c r="M114" s="180"/>
    </row>
    <row r="115" spans="1:13" s="131" customFormat="1" ht="12.75">
      <c r="A115" s="132"/>
      <c r="B115" s="178" t="s">
        <v>388</v>
      </c>
      <c r="C115" s="179"/>
      <c r="D115" s="134">
        <v>1</v>
      </c>
      <c r="E115" s="134">
        <v>6.6</v>
      </c>
      <c r="F115" s="134"/>
      <c r="G115" s="134"/>
      <c r="H115" s="134"/>
      <c r="I115" s="134">
        <v>0.8</v>
      </c>
      <c r="J115" s="135">
        <v>1</v>
      </c>
      <c r="K115" s="135">
        <f t="shared" si="8"/>
        <v>5.94</v>
      </c>
      <c r="L115" s="134">
        <f t="shared" si="9"/>
        <v>5.94</v>
      </c>
      <c r="M115" s="180"/>
    </row>
    <row r="116" spans="1:13" s="131" customFormat="1" ht="12.75">
      <c r="A116" s="132"/>
      <c r="B116" s="178" t="s">
        <v>389</v>
      </c>
      <c r="C116" s="179"/>
      <c r="D116" s="134">
        <v>1</v>
      </c>
      <c r="E116" s="134">
        <v>7.9</v>
      </c>
      <c r="F116" s="134"/>
      <c r="G116" s="134"/>
      <c r="H116" s="134"/>
      <c r="I116" s="134">
        <v>0.6</v>
      </c>
      <c r="J116" s="135">
        <v>0.6</v>
      </c>
      <c r="K116" s="135">
        <f t="shared" si="8"/>
        <v>4.74</v>
      </c>
      <c r="L116" s="134">
        <f t="shared" si="9"/>
        <v>4.74</v>
      </c>
      <c r="M116" s="180"/>
    </row>
    <row r="117" spans="1:13" s="131" customFormat="1" ht="12.75">
      <c r="A117" s="132"/>
      <c r="B117" s="178" t="s">
        <v>390</v>
      </c>
      <c r="C117" s="179"/>
      <c r="D117" s="134">
        <v>1</v>
      </c>
      <c r="E117" s="134">
        <v>9.1999999999999993</v>
      </c>
      <c r="F117" s="134"/>
      <c r="G117" s="134"/>
      <c r="H117" s="134"/>
      <c r="I117" s="134">
        <v>0.6</v>
      </c>
      <c r="J117" s="135">
        <v>0.6</v>
      </c>
      <c r="K117" s="135">
        <f t="shared" si="8"/>
        <v>5.52</v>
      </c>
      <c r="L117" s="134">
        <f t="shared" si="9"/>
        <v>5.52</v>
      </c>
      <c r="M117" s="180"/>
    </row>
    <row r="118" spans="1:13" s="131" customFormat="1" ht="12.75">
      <c r="A118" s="132"/>
      <c r="B118" s="178" t="s">
        <v>391</v>
      </c>
      <c r="C118" s="179"/>
      <c r="D118" s="134">
        <v>1</v>
      </c>
      <c r="E118" s="134">
        <v>2.35</v>
      </c>
      <c r="F118" s="134"/>
      <c r="G118" s="134"/>
      <c r="H118" s="134"/>
      <c r="I118" s="134">
        <v>0.6</v>
      </c>
      <c r="J118" s="135">
        <v>0.6</v>
      </c>
      <c r="K118" s="135">
        <f t="shared" si="8"/>
        <v>1.41</v>
      </c>
      <c r="L118" s="134">
        <f t="shared" si="9"/>
        <v>1.41</v>
      </c>
      <c r="M118" s="180"/>
    </row>
    <row r="119" spans="1:13" s="131" customFormat="1" ht="12.75">
      <c r="A119" s="132"/>
      <c r="B119" s="178" t="s">
        <v>392</v>
      </c>
      <c r="C119" s="179"/>
      <c r="D119" s="134">
        <v>1</v>
      </c>
      <c r="E119" s="134">
        <v>2.5</v>
      </c>
      <c r="F119" s="134"/>
      <c r="G119" s="134"/>
      <c r="H119" s="134"/>
      <c r="I119" s="134">
        <v>0.6</v>
      </c>
      <c r="J119" s="135">
        <v>0.6</v>
      </c>
      <c r="K119" s="135">
        <f t="shared" si="8"/>
        <v>1.5</v>
      </c>
      <c r="L119" s="134">
        <f t="shared" si="9"/>
        <v>1.5</v>
      </c>
      <c r="M119" s="180"/>
    </row>
    <row r="120" spans="1:13" s="131" customFormat="1" ht="12.75">
      <c r="A120" s="132"/>
      <c r="B120" s="178" t="s">
        <v>393</v>
      </c>
      <c r="C120" s="179"/>
      <c r="D120" s="134">
        <v>1</v>
      </c>
      <c r="E120" s="134">
        <v>3.45</v>
      </c>
      <c r="F120" s="134"/>
      <c r="G120" s="134"/>
      <c r="H120" s="134"/>
      <c r="I120" s="134">
        <v>0.6</v>
      </c>
      <c r="J120" s="135">
        <v>0.6</v>
      </c>
      <c r="K120" s="135">
        <f t="shared" si="8"/>
        <v>2.0699999999999998</v>
      </c>
      <c r="L120" s="134">
        <f t="shared" si="9"/>
        <v>2.0699999999999998</v>
      </c>
      <c r="M120" s="180"/>
    </row>
    <row r="121" spans="1:13" s="131" customFormat="1" ht="12.75">
      <c r="A121" s="132"/>
      <c r="B121" s="178" t="s">
        <v>394</v>
      </c>
      <c r="C121" s="179"/>
      <c r="D121" s="134"/>
      <c r="E121" s="134">
        <v>0</v>
      </c>
      <c r="F121" s="134"/>
      <c r="G121" s="134"/>
      <c r="H121" s="134"/>
      <c r="I121" s="134"/>
      <c r="J121" s="135"/>
      <c r="K121" s="135">
        <f t="shared" si="8"/>
        <v>0</v>
      </c>
      <c r="L121" s="134">
        <f t="shared" si="9"/>
        <v>0</v>
      </c>
      <c r="M121" s="180"/>
    </row>
    <row r="122" spans="1:13" s="131" customFormat="1" ht="12.75">
      <c r="A122" s="132"/>
      <c r="B122" s="178" t="s">
        <v>395</v>
      </c>
      <c r="C122" s="179"/>
      <c r="D122" s="134">
        <v>1</v>
      </c>
      <c r="E122" s="134">
        <v>6</v>
      </c>
      <c r="F122" s="134"/>
      <c r="G122" s="134"/>
      <c r="H122" s="134"/>
      <c r="I122" s="134">
        <v>0.7</v>
      </c>
      <c r="J122" s="135">
        <v>1</v>
      </c>
      <c r="K122" s="135">
        <f t="shared" si="8"/>
        <v>5.0999999999999996</v>
      </c>
      <c r="L122" s="134">
        <f t="shared" si="9"/>
        <v>5.0999999999999996</v>
      </c>
      <c r="M122" s="180"/>
    </row>
    <row r="123" spans="1:13" s="131" customFormat="1" ht="12.75">
      <c r="A123" s="132"/>
      <c r="B123" s="178" t="s">
        <v>396</v>
      </c>
      <c r="C123" s="179"/>
      <c r="D123" s="134">
        <v>1</v>
      </c>
      <c r="E123" s="134">
        <v>7.2</v>
      </c>
      <c r="F123" s="134"/>
      <c r="G123" s="134"/>
      <c r="H123" s="134"/>
      <c r="I123" s="134">
        <v>0.8</v>
      </c>
      <c r="J123" s="135">
        <v>0.8</v>
      </c>
      <c r="K123" s="135">
        <f t="shared" si="8"/>
        <v>5.76</v>
      </c>
      <c r="L123" s="134">
        <f t="shared" si="9"/>
        <v>5.76</v>
      </c>
      <c r="M123" s="180"/>
    </row>
    <row r="124" spans="1:13" s="131" customFormat="1" ht="12.75">
      <c r="A124" s="132"/>
      <c r="B124" s="178" t="s">
        <v>397</v>
      </c>
      <c r="C124" s="179"/>
      <c r="D124" s="134">
        <v>1</v>
      </c>
      <c r="E124" s="134">
        <v>7.6</v>
      </c>
      <c r="F124" s="134"/>
      <c r="G124" s="134"/>
      <c r="H124" s="134"/>
      <c r="I124" s="134">
        <v>0.8</v>
      </c>
      <c r="J124" s="135">
        <v>0.8</v>
      </c>
      <c r="K124" s="135">
        <f t="shared" si="8"/>
        <v>6.08</v>
      </c>
      <c r="L124" s="134">
        <f t="shared" si="9"/>
        <v>6.08</v>
      </c>
      <c r="M124" s="180"/>
    </row>
    <row r="125" spans="1:13" s="131" customFormat="1" ht="12.75">
      <c r="A125" s="132"/>
      <c r="B125" s="178" t="s">
        <v>398</v>
      </c>
      <c r="C125" s="179"/>
      <c r="D125" s="134">
        <v>1</v>
      </c>
      <c r="E125" s="134">
        <v>1.1499999999999999</v>
      </c>
      <c r="F125" s="134"/>
      <c r="G125" s="134"/>
      <c r="H125" s="134"/>
      <c r="I125" s="134">
        <v>0.8</v>
      </c>
      <c r="J125" s="135">
        <v>0.8</v>
      </c>
      <c r="K125" s="135">
        <f t="shared" si="8"/>
        <v>0.92</v>
      </c>
      <c r="L125" s="134">
        <f t="shared" si="9"/>
        <v>0.92</v>
      </c>
      <c r="M125" s="180"/>
    </row>
    <row r="126" spans="1:13" s="131" customFormat="1" ht="12.75">
      <c r="A126" s="132"/>
      <c r="B126" s="178" t="s">
        <v>399</v>
      </c>
      <c r="C126" s="179"/>
      <c r="D126" s="134">
        <v>1</v>
      </c>
      <c r="E126" s="134">
        <v>2.6</v>
      </c>
      <c r="F126" s="134"/>
      <c r="G126" s="134"/>
      <c r="H126" s="134"/>
      <c r="I126" s="134">
        <v>0.8</v>
      </c>
      <c r="J126" s="135">
        <v>0.8</v>
      </c>
      <c r="K126" s="135">
        <f t="shared" si="8"/>
        <v>2.08</v>
      </c>
      <c r="L126" s="134">
        <f t="shared" si="9"/>
        <v>2.08</v>
      </c>
      <c r="M126" s="180"/>
    </row>
    <row r="127" spans="1:13" s="131" customFormat="1" ht="12.75">
      <c r="A127" s="132"/>
      <c r="B127" s="178" t="s">
        <v>400</v>
      </c>
      <c r="C127" s="179"/>
      <c r="D127" s="134">
        <v>1</v>
      </c>
      <c r="E127" s="134">
        <v>1.75</v>
      </c>
      <c r="F127" s="134"/>
      <c r="G127" s="134"/>
      <c r="H127" s="134"/>
      <c r="I127" s="134">
        <v>0.8</v>
      </c>
      <c r="J127" s="135">
        <v>0.8</v>
      </c>
      <c r="K127" s="135">
        <f t="shared" si="8"/>
        <v>1.4</v>
      </c>
      <c r="L127" s="134">
        <f t="shared" si="9"/>
        <v>1.4</v>
      </c>
      <c r="M127" s="180"/>
    </row>
    <row r="128" spans="1:13" s="131" customFormat="1" ht="12.75">
      <c r="A128" s="132"/>
      <c r="B128" s="178" t="s">
        <v>401</v>
      </c>
      <c r="C128" s="179"/>
      <c r="D128" s="134">
        <v>1</v>
      </c>
      <c r="E128" s="134">
        <v>7.2</v>
      </c>
      <c r="F128" s="134"/>
      <c r="G128" s="134"/>
      <c r="H128" s="134"/>
      <c r="I128" s="134">
        <v>0.9</v>
      </c>
      <c r="J128" s="134">
        <v>0.9</v>
      </c>
      <c r="K128" s="135">
        <f t="shared" si="8"/>
        <v>6.48</v>
      </c>
      <c r="L128" s="134">
        <f t="shared" si="9"/>
        <v>6.48</v>
      </c>
      <c r="M128" s="180"/>
    </row>
    <row r="129" spans="1:13" s="131" customFormat="1" ht="12.75">
      <c r="A129" s="132"/>
      <c r="B129" s="178" t="s">
        <v>402</v>
      </c>
      <c r="C129" s="179"/>
      <c r="D129" s="134">
        <v>1</v>
      </c>
      <c r="E129" s="134">
        <v>2.6</v>
      </c>
      <c r="F129" s="134"/>
      <c r="G129" s="134"/>
      <c r="H129" s="134"/>
      <c r="I129" s="134">
        <v>1</v>
      </c>
      <c r="J129" s="135">
        <v>1</v>
      </c>
      <c r="K129" s="135">
        <f t="shared" si="8"/>
        <v>2.6</v>
      </c>
      <c r="L129" s="134">
        <f t="shared" si="9"/>
        <v>2.6</v>
      </c>
      <c r="M129" s="180"/>
    </row>
    <row r="130" spans="1:13" s="131" customFormat="1" ht="12.75">
      <c r="A130" s="132"/>
      <c r="B130" s="178" t="s">
        <v>403</v>
      </c>
      <c r="C130" s="179"/>
      <c r="D130" s="134">
        <v>1</v>
      </c>
      <c r="E130" s="134">
        <v>3.8</v>
      </c>
      <c r="F130" s="134"/>
      <c r="G130" s="134"/>
      <c r="H130" s="134"/>
      <c r="I130" s="134">
        <v>1</v>
      </c>
      <c r="J130" s="135">
        <v>1</v>
      </c>
      <c r="K130" s="135">
        <f t="shared" si="8"/>
        <v>3.8</v>
      </c>
      <c r="L130" s="134">
        <f t="shared" si="9"/>
        <v>3.8</v>
      </c>
      <c r="M130" s="180"/>
    </row>
    <row r="131" spans="1:13" s="131" customFormat="1" ht="12.75">
      <c r="A131" s="132"/>
      <c r="B131" s="178" t="s">
        <v>404</v>
      </c>
      <c r="C131" s="179"/>
      <c r="D131" s="134">
        <v>1</v>
      </c>
      <c r="E131" s="134">
        <v>3.55</v>
      </c>
      <c r="F131" s="134"/>
      <c r="G131" s="134"/>
      <c r="H131" s="134"/>
      <c r="I131" s="134">
        <v>1</v>
      </c>
      <c r="J131" s="135">
        <v>1</v>
      </c>
      <c r="K131" s="135">
        <f t="shared" si="8"/>
        <v>3.55</v>
      </c>
      <c r="L131" s="134">
        <f t="shared" si="9"/>
        <v>3.55</v>
      </c>
      <c r="M131" s="180"/>
    </row>
    <row r="132" spans="1:13" s="131" customFormat="1" ht="12.75">
      <c r="A132" s="132"/>
      <c r="B132" s="178" t="s">
        <v>405</v>
      </c>
      <c r="C132" s="179"/>
      <c r="D132" s="134">
        <v>1</v>
      </c>
      <c r="E132" s="134">
        <v>1.75</v>
      </c>
      <c r="F132" s="134"/>
      <c r="G132" s="134"/>
      <c r="H132" s="134"/>
      <c r="I132" s="134">
        <v>1</v>
      </c>
      <c r="J132" s="135">
        <v>1</v>
      </c>
      <c r="K132" s="135">
        <f t="shared" si="8"/>
        <v>1.75</v>
      </c>
      <c r="L132" s="134">
        <f t="shared" si="9"/>
        <v>1.75</v>
      </c>
      <c r="M132" s="180"/>
    </row>
    <row r="133" spans="1:13" s="131" customFormat="1" ht="12.75">
      <c r="A133" s="132"/>
      <c r="B133" s="178" t="s">
        <v>406</v>
      </c>
      <c r="C133" s="179"/>
      <c r="D133" s="134">
        <v>1</v>
      </c>
      <c r="E133" s="134">
        <v>2.6</v>
      </c>
      <c r="F133" s="134"/>
      <c r="G133" s="134"/>
      <c r="H133" s="134"/>
      <c r="I133" s="134">
        <v>1</v>
      </c>
      <c r="J133" s="135">
        <v>1</v>
      </c>
      <c r="K133" s="135">
        <f t="shared" si="8"/>
        <v>2.6</v>
      </c>
      <c r="L133" s="134">
        <f t="shared" si="9"/>
        <v>2.6</v>
      </c>
      <c r="M133" s="180"/>
    </row>
    <row r="134" spans="1:13" s="131" customFormat="1" ht="12.75">
      <c r="A134" s="132"/>
      <c r="B134" s="178" t="s">
        <v>407</v>
      </c>
      <c r="C134" s="179"/>
      <c r="D134" s="134">
        <v>1</v>
      </c>
      <c r="E134" s="134">
        <v>3.8</v>
      </c>
      <c r="F134" s="134"/>
      <c r="G134" s="134"/>
      <c r="H134" s="134"/>
      <c r="I134" s="134">
        <v>1</v>
      </c>
      <c r="J134" s="135">
        <v>1</v>
      </c>
      <c r="K134" s="135">
        <f t="shared" si="8"/>
        <v>3.8</v>
      </c>
      <c r="L134" s="134">
        <f t="shared" si="9"/>
        <v>3.8</v>
      </c>
      <c r="M134" s="180"/>
    </row>
    <row r="135" spans="1:13" s="131" customFormat="1" ht="12.75">
      <c r="A135" s="132"/>
      <c r="B135" s="178" t="s">
        <v>408</v>
      </c>
      <c r="C135" s="179"/>
      <c r="D135" s="134">
        <v>1</v>
      </c>
      <c r="E135" s="134">
        <v>7.2</v>
      </c>
      <c r="F135" s="134"/>
      <c r="G135" s="134"/>
      <c r="H135" s="134"/>
      <c r="I135" s="134">
        <v>1</v>
      </c>
      <c r="J135" s="135">
        <v>1</v>
      </c>
      <c r="K135" s="135">
        <f t="shared" si="8"/>
        <v>7.2</v>
      </c>
      <c r="L135" s="134">
        <f t="shared" si="9"/>
        <v>7.2</v>
      </c>
      <c r="M135" s="180"/>
    </row>
    <row r="136" spans="1:13" s="131" customFormat="1" ht="12.75">
      <c r="A136" s="132"/>
      <c r="B136" s="178" t="s">
        <v>409</v>
      </c>
      <c r="C136" s="179"/>
      <c r="D136" s="134">
        <v>1</v>
      </c>
      <c r="E136" s="134">
        <v>11.75</v>
      </c>
      <c r="F136" s="134"/>
      <c r="G136" s="134"/>
      <c r="H136" s="134"/>
      <c r="I136" s="134">
        <v>1.2</v>
      </c>
      <c r="J136" s="135">
        <v>1.2</v>
      </c>
      <c r="K136" s="135">
        <f t="shared" si="8"/>
        <v>14.1</v>
      </c>
      <c r="L136" s="134">
        <f t="shared" si="9"/>
        <v>14.1</v>
      </c>
      <c r="M136" s="180"/>
    </row>
    <row r="137" spans="1:13" s="131" customFormat="1" ht="12.75">
      <c r="A137" s="132"/>
      <c r="B137" s="178" t="s">
        <v>410</v>
      </c>
      <c r="C137" s="179"/>
      <c r="D137" s="134">
        <v>1</v>
      </c>
      <c r="E137" s="134">
        <v>7.45</v>
      </c>
      <c r="F137" s="134"/>
      <c r="G137" s="134"/>
      <c r="H137" s="134"/>
      <c r="I137" s="134">
        <v>0.6</v>
      </c>
      <c r="J137" s="135">
        <v>0.8</v>
      </c>
      <c r="K137" s="135">
        <f t="shared" si="8"/>
        <v>5.22</v>
      </c>
      <c r="L137" s="134">
        <f t="shared" si="9"/>
        <v>5.22</v>
      </c>
      <c r="M137" s="180"/>
    </row>
    <row r="138" spans="1:13" s="131" customFormat="1" ht="12.75">
      <c r="A138" s="132"/>
      <c r="B138" s="178" t="s">
        <v>411</v>
      </c>
      <c r="C138" s="179"/>
      <c r="D138" s="134">
        <v>1</v>
      </c>
      <c r="E138" s="134">
        <v>7.45</v>
      </c>
      <c r="F138" s="134"/>
      <c r="G138" s="134"/>
      <c r="H138" s="134"/>
      <c r="I138" s="134">
        <v>0.8</v>
      </c>
      <c r="J138" s="135">
        <v>0.8</v>
      </c>
      <c r="K138" s="135">
        <f t="shared" si="8"/>
        <v>5.96</v>
      </c>
      <c r="L138" s="134">
        <f t="shared" si="9"/>
        <v>5.96</v>
      </c>
      <c r="M138" s="180"/>
    </row>
    <row r="139" spans="1:13" s="131" customFormat="1" ht="12.75">
      <c r="A139" s="132"/>
      <c r="B139" s="178" t="s">
        <v>412</v>
      </c>
      <c r="C139" s="179"/>
      <c r="D139" s="134">
        <v>1</v>
      </c>
      <c r="E139" s="134">
        <v>7.45</v>
      </c>
      <c r="F139" s="134"/>
      <c r="G139" s="134"/>
      <c r="H139" s="134"/>
      <c r="I139" s="134">
        <v>1</v>
      </c>
      <c r="J139" s="135">
        <v>1.1000000000000001</v>
      </c>
      <c r="K139" s="135">
        <f t="shared" si="8"/>
        <v>7.82</v>
      </c>
      <c r="L139" s="134">
        <f t="shared" si="9"/>
        <v>7.82</v>
      </c>
      <c r="M139" s="180"/>
    </row>
    <row r="140" spans="1:13" s="131" customFormat="1" ht="12.75">
      <c r="A140" s="132"/>
      <c r="B140" s="178" t="s">
        <v>413</v>
      </c>
      <c r="C140" s="179"/>
      <c r="D140" s="134">
        <v>1</v>
      </c>
      <c r="E140" s="134">
        <v>7.45</v>
      </c>
      <c r="F140" s="134"/>
      <c r="G140" s="134"/>
      <c r="H140" s="134"/>
      <c r="I140" s="134">
        <v>1</v>
      </c>
      <c r="J140" s="135">
        <v>1.2</v>
      </c>
      <c r="K140" s="135">
        <f>ROUND(E140*((I140+J140)/2),2)</f>
        <v>8.1999999999999993</v>
      </c>
      <c r="L140" s="134">
        <f t="shared" si="9"/>
        <v>8.1999999999999993</v>
      </c>
      <c r="M140" s="180"/>
    </row>
    <row r="141" spans="1:13" s="131" customFormat="1" ht="25.5">
      <c r="A141" s="146"/>
      <c r="B141" s="182" t="s">
        <v>430</v>
      </c>
      <c r="C141" s="182"/>
      <c r="D141" s="142">
        <v>50</v>
      </c>
      <c r="E141" s="142">
        <v>0.35</v>
      </c>
      <c r="F141" s="142"/>
      <c r="G141" s="142"/>
      <c r="H141" s="142"/>
      <c r="I141" s="142">
        <v>1.2</v>
      </c>
      <c r="J141" s="144"/>
      <c r="K141" s="144"/>
      <c r="L141" s="144">
        <f>-(D141*E141*I141)</f>
        <v>-21</v>
      </c>
      <c r="M141" s="183"/>
    </row>
    <row r="142" spans="1:13" s="131" customFormat="1" ht="12.75">
      <c r="A142" s="146"/>
      <c r="B142" s="140"/>
      <c r="C142" s="143"/>
      <c r="D142" s="142"/>
      <c r="E142" s="142"/>
      <c r="F142" s="142"/>
      <c r="G142" s="142"/>
      <c r="H142" s="142"/>
      <c r="I142" s="142"/>
      <c r="J142" s="144"/>
      <c r="K142" s="144"/>
      <c r="L142" s="142"/>
      <c r="M142" s="145"/>
    </row>
    <row r="143" spans="1:13" s="131" customFormat="1" ht="32.25" customHeight="1">
      <c r="A143" s="128" t="str">
        <f>'[1]Orçamento Sintético - proj. (2)'!A24</f>
        <v>1.16</v>
      </c>
      <c r="B143" s="211" t="str">
        <f>'BM01'!B51</f>
        <v>LASTRO DE CONCRETO MAGRO, APLICADO EM BLOCOS DE COROAMENTO OU SAPATAS. AF_08/2017</v>
      </c>
      <c r="C143" s="212"/>
      <c r="D143" s="212"/>
      <c r="E143" s="212"/>
      <c r="F143" s="212"/>
      <c r="G143" s="212"/>
      <c r="H143" s="212"/>
      <c r="I143" s="212"/>
      <c r="J143" s="212"/>
      <c r="K143" s="213"/>
      <c r="L143" s="129">
        <f>SUM(L144:L148)</f>
        <v>5.08</v>
      </c>
      <c r="M143" s="130" t="s">
        <v>375</v>
      </c>
    </row>
    <row r="144" spans="1:13" s="131" customFormat="1" ht="39" customHeight="1">
      <c r="A144" s="132"/>
      <c r="B144" s="244" t="s">
        <v>416</v>
      </c>
      <c r="C144" s="245"/>
      <c r="D144" s="134">
        <v>12</v>
      </c>
      <c r="E144" s="134">
        <v>1.05</v>
      </c>
      <c r="F144" s="134"/>
      <c r="G144" s="134">
        <v>0.95</v>
      </c>
      <c r="H144" s="134"/>
      <c r="I144" s="134">
        <v>0.1</v>
      </c>
      <c r="J144" s="135"/>
      <c r="K144" s="135">
        <f t="shared" ref="K144" si="10">I144*G144*E144</f>
        <v>9.9750000000000005E-2</v>
      </c>
      <c r="L144" s="134">
        <f t="shared" ref="L144:L148" si="11">ROUND(D144*K144,2)</f>
        <v>1.2</v>
      </c>
      <c r="M144" s="136"/>
    </row>
    <row r="145" spans="1:13" s="131" customFormat="1" ht="26.25" customHeight="1">
      <c r="A145" s="132"/>
      <c r="B145" s="209" t="s">
        <v>415</v>
      </c>
      <c r="C145" s="210"/>
      <c r="D145" s="134">
        <v>10</v>
      </c>
      <c r="E145" s="134">
        <v>1.3</v>
      </c>
      <c r="F145" s="134"/>
      <c r="G145" s="134">
        <v>1.1499999999999999</v>
      </c>
      <c r="H145" s="134"/>
      <c r="I145" s="134">
        <v>0.1</v>
      </c>
      <c r="J145" s="135"/>
      <c r="K145" s="135">
        <f>I145*G145*E145</f>
        <v>0.14949999999999999</v>
      </c>
      <c r="L145" s="134">
        <f t="shared" si="11"/>
        <v>1.5</v>
      </c>
      <c r="M145" s="136"/>
    </row>
    <row r="146" spans="1:13" s="131" customFormat="1" ht="27" customHeight="1">
      <c r="A146" s="132"/>
      <c r="B146" s="209" t="s">
        <v>417</v>
      </c>
      <c r="C146" s="210"/>
      <c r="D146" s="134">
        <v>8</v>
      </c>
      <c r="E146" s="134">
        <v>1.05</v>
      </c>
      <c r="F146" s="134"/>
      <c r="G146" s="134">
        <v>0.9</v>
      </c>
      <c r="H146" s="134"/>
      <c r="I146" s="134">
        <v>0.1</v>
      </c>
      <c r="J146" s="135"/>
      <c r="K146" s="135">
        <f t="shared" ref="K146:K148" si="12">I146*G146*E146</f>
        <v>9.4500000000000015E-2</v>
      </c>
      <c r="L146" s="134">
        <f t="shared" si="11"/>
        <v>0.76</v>
      </c>
      <c r="M146" s="136"/>
    </row>
    <row r="147" spans="1:13" s="131" customFormat="1" ht="28.5" customHeight="1">
      <c r="A147" s="132"/>
      <c r="B147" s="209" t="s">
        <v>418</v>
      </c>
      <c r="C147" s="210"/>
      <c r="D147" s="134">
        <v>10</v>
      </c>
      <c r="E147" s="134">
        <v>0.95</v>
      </c>
      <c r="F147" s="134"/>
      <c r="G147" s="134">
        <v>0.85</v>
      </c>
      <c r="H147" s="134"/>
      <c r="I147" s="134">
        <v>0.1</v>
      </c>
      <c r="J147" s="135"/>
      <c r="K147" s="135">
        <f t="shared" si="12"/>
        <v>8.0750000000000002E-2</v>
      </c>
      <c r="L147" s="134">
        <f t="shared" si="11"/>
        <v>0.81</v>
      </c>
      <c r="M147" s="136"/>
    </row>
    <row r="148" spans="1:13" s="131" customFormat="1" ht="31.5" customHeight="1">
      <c r="A148" s="132"/>
      <c r="B148" s="209" t="s">
        <v>419</v>
      </c>
      <c r="C148" s="210"/>
      <c r="D148" s="134">
        <v>12</v>
      </c>
      <c r="E148" s="134">
        <v>0.9</v>
      </c>
      <c r="F148" s="134"/>
      <c r="G148" s="134">
        <v>0.75</v>
      </c>
      <c r="H148" s="134"/>
      <c r="I148" s="134">
        <v>0.1</v>
      </c>
      <c r="J148" s="135"/>
      <c r="K148" s="135">
        <f t="shared" si="12"/>
        <v>6.7500000000000018E-2</v>
      </c>
      <c r="L148" s="134">
        <f t="shared" si="11"/>
        <v>0.81</v>
      </c>
      <c r="M148" s="136"/>
    </row>
    <row r="149" spans="1:13" s="131" customFormat="1" ht="12.75">
      <c r="A149" s="146"/>
      <c r="B149" s="140"/>
      <c r="C149" s="143"/>
      <c r="D149" s="142"/>
      <c r="E149" s="142"/>
      <c r="F149" s="142"/>
      <c r="G149" s="142"/>
      <c r="H149" s="142"/>
      <c r="I149" s="142"/>
      <c r="J149" s="144"/>
      <c r="K149" s="144"/>
      <c r="L149" s="142"/>
      <c r="M149" s="145"/>
    </row>
    <row r="150" spans="1:13" s="131" customFormat="1" ht="37.5" customHeight="1">
      <c r="A150" s="128" t="str">
        <f>'[1]Orçamento Sintético - proj. (2)'!A25</f>
        <v>1.17</v>
      </c>
      <c r="B150" s="211" t="str">
        <f>'BM01'!B52</f>
        <v>CONCRETO ARMADO (PREPARO E LANÇAMENTO) PARA SAPATAS COM FCK=25MPA COM FORMA DE TABUA COM APROVEITAMENTO DE 2 VEZES COM BETONEIRA</v>
      </c>
      <c r="C150" s="212"/>
      <c r="D150" s="212"/>
      <c r="E150" s="212"/>
      <c r="F150" s="212"/>
      <c r="G150" s="212"/>
      <c r="H150" s="212"/>
      <c r="I150" s="212"/>
      <c r="J150" s="212"/>
      <c r="K150" s="213"/>
      <c r="L150" s="129">
        <f>SUM(L151:L155)</f>
        <v>15.2</v>
      </c>
      <c r="M150" s="130" t="s">
        <v>375</v>
      </c>
    </row>
    <row r="151" spans="1:13" s="131" customFormat="1" ht="36" customHeight="1">
      <c r="A151" s="132"/>
      <c r="B151" s="244" t="s">
        <v>416</v>
      </c>
      <c r="C151" s="245"/>
      <c r="D151" s="134">
        <v>12</v>
      </c>
      <c r="E151" s="134">
        <v>1.05</v>
      </c>
      <c r="F151" s="134"/>
      <c r="G151" s="134">
        <v>0.95</v>
      </c>
      <c r="H151" s="134"/>
      <c r="I151" s="134">
        <v>0.3</v>
      </c>
      <c r="J151" s="135"/>
      <c r="K151" s="135">
        <f t="shared" ref="K151" si="13">I151*G151*E151</f>
        <v>0.29924999999999996</v>
      </c>
      <c r="L151" s="134">
        <f t="shared" ref="L151:L155" si="14">ROUND(D151*K151,2)</f>
        <v>3.59</v>
      </c>
      <c r="M151" s="136"/>
    </row>
    <row r="152" spans="1:13" s="131" customFormat="1" ht="27" customHeight="1">
      <c r="A152" s="132"/>
      <c r="B152" s="209" t="s">
        <v>415</v>
      </c>
      <c r="C152" s="210"/>
      <c r="D152" s="134">
        <v>10</v>
      </c>
      <c r="E152" s="134">
        <v>1.3</v>
      </c>
      <c r="F152" s="134"/>
      <c r="G152" s="134">
        <v>1.1499999999999999</v>
      </c>
      <c r="H152" s="134"/>
      <c r="I152" s="134">
        <v>0.3</v>
      </c>
      <c r="J152" s="135"/>
      <c r="K152" s="135">
        <f>I152*G152*E152</f>
        <v>0.44849999999999995</v>
      </c>
      <c r="L152" s="134">
        <f t="shared" si="14"/>
        <v>4.49</v>
      </c>
      <c r="M152" s="136"/>
    </row>
    <row r="153" spans="1:13" s="131" customFormat="1" ht="27" customHeight="1">
      <c r="A153" s="132"/>
      <c r="B153" s="209" t="s">
        <v>417</v>
      </c>
      <c r="C153" s="210"/>
      <c r="D153" s="134">
        <v>8</v>
      </c>
      <c r="E153" s="134">
        <v>1.05</v>
      </c>
      <c r="F153" s="134"/>
      <c r="G153" s="134">
        <v>0.9</v>
      </c>
      <c r="H153" s="134"/>
      <c r="I153" s="134">
        <v>0.3</v>
      </c>
      <c r="J153" s="135"/>
      <c r="K153" s="135">
        <f t="shared" ref="K153:K155" si="15">I153*G153*E153</f>
        <v>0.28350000000000003</v>
      </c>
      <c r="L153" s="134">
        <f t="shared" si="14"/>
        <v>2.27</v>
      </c>
      <c r="M153" s="136"/>
    </row>
    <row r="154" spans="1:13" s="131" customFormat="1" ht="24.75" customHeight="1">
      <c r="A154" s="132"/>
      <c r="B154" s="209" t="s">
        <v>418</v>
      </c>
      <c r="C154" s="210"/>
      <c r="D154" s="134">
        <v>10</v>
      </c>
      <c r="E154" s="134">
        <v>0.95</v>
      </c>
      <c r="F154" s="134"/>
      <c r="G154" s="134">
        <v>0.85</v>
      </c>
      <c r="H154" s="134"/>
      <c r="I154" s="134">
        <v>0.3</v>
      </c>
      <c r="J154" s="135"/>
      <c r="K154" s="135">
        <f t="shared" si="15"/>
        <v>0.24224999999999999</v>
      </c>
      <c r="L154" s="134">
        <f t="shared" si="14"/>
        <v>2.42</v>
      </c>
      <c r="M154" s="136"/>
    </row>
    <row r="155" spans="1:13" s="131" customFormat="1" ht="28.5" customHeight="1">
      <c r="A155" s="132"/>
      <c r="B155" s="209" t="s">
        <v>419</v>
      </c>
      <c r="C155" s="210"/>
      <c r="D155" s="134">
        <v>12</v>
      </c>
      <c r="E155" s="134">
        <v>0.9</v>
      </c>
      <c r="F155" s="134"/>
      <c r="G155" s="134">
        <v>0.75</v>
      </c>
      <c r="H155" s="134"/>
      <c r="I155" s="134">
        <v>0.3</v>
      </c>
      <c r="J155" s="135"/>
      <c r="K155" s="135">
        <f t="shared" si="15"/>
        <v>0.20249999999999999</v>
      </c>
      <c r="L155" s="134">
        <f t="shared" si="14"/>
        <v>2.4300000000000002</v>
      </c>
      <c r="M155" s="136"/>
    </row>
    <row r="156" spans="1:13" s="131" customFormat="1" ht="12.75">
      <c r="A156" s="146"/>
      <c r="B156" s="140"/>
      <c r="C156" s="143"/>
      <c r="D156" s="142"/>
      <c r="E156" s="142"/>
      <c r="F156" s="142"/>
      <c r="G156" s="142"/>
      <c r="H156" s="142"/>
      <c r="I156" s="142"/>
      <c r="J156" s="144"/>
      <c r="K156" s="144"/>
      <c r="L156" s="142"/>
      <c r="M156" s="145"/>
    </row>
    <row r="157" spans="1:13" s="131" customFormat="1" ht="35.25" customHeight="1">
      <c r="A157" s="128" t="str">
        <f>'[1]Orçamento Sintético - proj. (2)'!A26</f>
        <v>1.18</v>
      </c>
      <c r="B157" s="211" t="str">
        <f>'BM01'!B53</f>
        <v>CONCRETO ARMADO (PREPARO E LANÇAMENTO) PARA RADIER COM FCK=25MPA COM TABUA DE MADEIRA COM APROVEITAMENTO DE 3 VEZES COM BETONEIRA</v>
      </c>
      <c r="C157" s="212"/>
      <c r="D157" s="212"/>
      <c r="E157" s="212"/>
      <c r="F157" s="212"/>
      <c r="G157" s="212"/>
      <c r="H157" s="212"/>
      <c r="I157" s="212"/>
      <c r="J157" s="212"/>
      <c r="K157" s="213"/>
      <c r="L157" s="129">
        <f>SUM(L158:L196)</f>
        <v>18.039999999999992</v>
      </c>
      <c r="M157" s="130" t="s">
        <v>375</v>
      </c>
    </row>
    <row r="158" spans="1:13" ht="12.75">
      <c r="A158" s="132"/>
      <c r="B158" s="209" t="s">
        <v>374</v>
      </c>
      <c r="C158" s="210"/>
      <c r="D158" s="134">
        <v>2</v>
      </c>
      <c r="E158" s="134">
        <v>29.65</v>
      </c>
      <c r="F158" s="134"/>
      <c r="G158" s="134">
        <v>0.19</v>
      </c>
      <c r="H158" s="134"/>
      <c r="I158" s="134">
        <v>0.19</v>
      </c>
      <c r="J158" s="135"/>
      <c r="K158" s="135">
        <f>ROUND(E158*G158*I158,2)</f>
        <v>1.07</v>
      </c>
      <c r="L158" s="134">
        <f>ROUND(D158*K158,2)</f>
        <v>2.14</v>
      </c>
      <c r="M158" s="136"/>
    </row>
    <row r="159" spans="1:13" ht="12.75">
      <c r="A159" s="132"/>
      <c r="B159" s="209" t="s">
        <v>376</v>
      </c>
      <c r="C159" s="210"/>
      <c r="D159" s="134">
        <v>2</v>
      </c>
      <c r="E159" s="134">
        <v>1.75</v>
      </c>
      <c r="F159" s="134"/>
      <c r="G159" s="134">
        <v>0.19</v>
      </c>
      <c r="H159" s="134"/>
      <c r="I159" s="134">
        <v>0.19</v>
      </c>
      <c r="J159" s="135"/>
      <c r="K159" s="135">
        <f>ROUND(E159*G159*I159,2)</f>
        <v>0.06</v>
      </c>
      <c r="L159" s="134">
        <f t="shared" ref="L159" si="16">ROUND(D159*K159,2)</f>
        <v>0.12</v>
      </c>
      <c r="M159" s="136"/>
    </row>
    <row r="160" spans="1:13" ht="12.75">
      <c r="A160" s="132"/>
      <c r="B160" s="209" t="s">
        <v>377</v>
      </c>
      <c r="C160" s="210"/>
      <c r="D160" s="134">
        <v>2</v>
      </c>
      <c r="E160" s="134">
        <v>1.75</v>
      </c>
      <c r="F160" s="134"/>
      <c r="G160" s="134">
        <v>0.19</v>
      </c>
      <c r="H160" s="134"/>
      <c r="I160" s="134">
        <v>0.19</v>
      </c>
      <c r="J160" s="135"/>
      <c r="K160" s="135">
        <f>ROUND(E160*G160*I160,2)</f>
        <v>0.06</v>
      </c>
      <c r="L160" s="134">
        <f t="shared" ref="L160:L174" si="17">ROUND(D160*K160,2)</f>
        <v>0.12</v>
      </c>
      <c r="M160" s="136"/>
    </row>
    <row r="161" spans="1:13" ht="27" customHeight="1">
      <c r="A161" s="132"/>
      <c r="B161" s="174" t="s">
        <v>378</v>
      </c>
      <c r="C161" s="133"/>
      <c r="D161" s="134">
        <v>2</v>
      </c>
      <c r="E161" s="134">
        <v>29.65</v>
      </c>
      <c r="F161" s="134"/>
      <c r="G161" s="134">
        <v>0.19</v>
      </c>
      <c r="H161" s="134"/>
      <c r="I161" s="134">
        <v>0.19</v>
      </c>
      <c r="J161" s="135"/>
      <c r="K161" s="135">
        <f t="shared" ref="K161:K174" si="18">ROUND(E161*G161*I161,2)</f>
        <v>1.07</v>
      </c>
      <c r="L161" s="134">
        <f t="shared" si="17"/>
        <v>2.14</v>
      </c>
      <c r="M161" s="136"/>
    </row>
    <row r="162" spans="1:13" ht="12.75">
      <c r="A162" s="132"/>
      <c r="B162" s="174" t="s">
        <v>379</v>
      </c>
      <c r="C162" s="133"/>
      <c r="D162" s="134">
        <v>2</v>
      </c>
      <c r="E162" s="134">
        <v>5.6</v>
      </c>
      <c r="F162" s="134"/>
      <c r="G162" s="134">
        <v>0.19</v>
      </c>
      <c r="H162" s="134"/>
      <c r="I162" s="134">
        <v>0.19</v>
      </c>
      <c r="J162" s="135"/>
      <c r="K162" s="135">
        <f t="shared" si="18"/>
        <v>0.2</v>
      </c>
      <c r="L162" s="134">
        <f t="shared" si="17"/>
        <v>0.4</v>
      </c>
      <c r="M162" s="136"/>
    </row>
    <row r="163" spans="1:13" ht="12.75">
      <c r="A163" s="132"/>
      <c r="B163" s="174" t="s">
        <v>380</v>
      </c>
      <c r="C163" s="133"/>
      <c r="D163" s="134">
        <v>2</v>
      </c>
      <c r="E163" s="134">
        <v>5.15</v>
      </c>
      <c r="F163" s="134"/>
      <c r="G163" s="134">
        <v>0.19</v>
      </c>
      <c r="H163" s="134"/>
      <c r="I163" s="134">
        <v>0.19</v>
      </c>
      <c r="J163" s="135"/>
      <c r="K163" s="135">
        <f t="shared" si="18"/>
        <v>0.19</v>
      </c>
      <c r="L163" s="134">
        <f t="shared" si="17"/>
        <v>0.38</v>
      </c>
      <c r="M163" s="136"/>
    </row>
    <row r="164" spans="1:13" ht="27.75" customHeight="1">
      <c r="A164" s="132"/>
      <c r="B164" s="209" t="s">
        <v>381</v>
      </c>
      <c r="C164" s="210"/>
      <c r="D164" s="134">
        <v>2</v>
      </c>
      <c r="E164" s="134">
        <v>8.85</v>
      </c>
      <c r="F164" s="134"/>
      <c r="G164" s="134">
        <v>0.19</v>
      </c>
      <c r="H164" s="134"/>
      <c r="I164" s="134">
        <v>0.19</v>
      </c>
      <c r="J164" s="135"/>
      <c r="K164" s="135">
        <f t="shared" si="18"/>
        <v>0.32</v>
      </c>
      <c r="L164" s="134">
        <f t="shared" si="17"/>
        <v>0.64</v>
      </c>
      <c r="M164" s="136"/>
    </row>
    <row r="165" spans="1:13" ht="12.75">
      <c r="A165" s="132"/>
      <c r="B165" s="178" t="s">
        <v>382</v>
      </c>
      <c r="C165" s="179"/>
      <c r="D165" s="134">
        <v>2</v>
      </c>
      <c r="E165" s="134">
        <v>5.6</v>
      </c>
      <c r="F165" s="134"/>
      <c r="G165" s="134">
        <v>0.19</v>
      </c>
      <c r="H165" s="134"/>
      <c r="I165" s="134">
        <v>0.19</v>
      </c>
      <c r="J165" s="135"/>
      <c r="K165" s="135">
        <f t="shared" si="18"/>
        <v>0.2</v>
      </c>
      <c r="L165" s="134">
        <f t="shared" si="17"/>
        <v>0.4</v>
      </c>
      <c r="M165" s="136"/>
    </row>
    <row r="166" spans="1:13" ht="12.75">
      <c r="A166" s="132"/>
      <c r="B166" s="178" t="s">
        <v>383</v>
      </c>
      <c r="C166" s="179"/>
      <c r="D166" s="134">
        <v>2</v>
      </c>
      <c r="E166" s="134">
        <v>8.85</v>
      </c>
      <c r="F166" s="134"/>
      <c r="G166" s="134">
        <v>0.19</v>
      </c>
      <c r="H166" s="134"/>
      <c r="I166" s="134">
        <v>0.19</v>
      </c>
      <c r="J166" s="135"/>
      <c r="K166" s="135">
        <f t="shared" si="18"/>
        <v>0.32</v>
      </c>
      <c r="L166" s="134">
        <f t="shared" si="17"/>
        <v>0.64</v>
      </c>
      <c r="M166" s="136"/>
    </row>
    <row r="167" spans="1:13" ht="12.75">
      <c r="A167" s="132"/>
      <c r="B167" s="178" t="s">
        <v>384</v>
      </c>
      <c r="C167" s="179"/>
      <c r="D167" s="134">
        <v>2</v>
      </c>
      <c r="E167" s="134">
        <v>2.7</v>
      </c>
      <c r="F167" s="134"/>
      <c r="G167" s="134">
        <v>0.19</v>
      </c>
      <c r="H167" s="134"/>
      <c r="I167" s="134">
        <v>0.19</v>
      </c>
      <c r="J167" s="135"/>
      <c r="K167" s="135">
        <f t="shared" si="18"/>
        <v>0.1</v>
      </c>
      <c r="L167" s="134">
        <f t="shared" si="17"/>
        <v>0.2</v>
      </c>
      <c r="M167" s="136"/>
    </row>
    <row r="168" spans="1:13" ht="12.75">
      <c r="A168" s="132"/>
      <c r="B168" s="178" t="s">
        <v>385</v>
      </c>
      <c r="C168" s="179"/>
      <c r="D168" s="134">
        <v>2</v>
      </c>
      <c r="E168" s="134">
        <v>5.05</v>
      </c>
      <c r="F168" s="134"/>
      <c r="G168" s="134">
        <v>0.19</v>
      </c>
      <c r="H168" s="134"/>
      <c r="I168" s="134">
        <v>0.19</v>
      </c>
      <c r="J168" s="135"/>
      <c r="K168" s="135">
        <f t="shared" si="18"/>
        <v>0.18</v>
      </c>
      <c r="L168" s="134">
        <f t="shared" si="17"/>
        <v>0.36</v>
      </c>
      <c r="M168" s="136"/>
    </row>
    <row r="169" spans="1:13" ht="12.75">
      <c r="A169" s="132"/>
      <c r="B169" s="178" t="s">
        <v>386</v>
      </c>
      <c r="C169" s="179"/>
      <c r="D169" s="134">
        <v>2</v>
      </c>
      <c r="E169" s="134">
        <v>11.25</v>
      </c>
      <c r="F169" s="134"/>
      <c r="G169" s="134">
        <v>0.19</v>
      </c>
      <c r="H169" s="134"/>
      <c r="I169" s="134">
        <v>0.19</v>
      </c>
      <c r="J169" s="135"/>
      <c r="K169" s="135">
        <f t="shared" si="18"/>
        <v>0.41</v>
      </c>
      <c r="L169" s="134">
        <f t="shared" si="17"/>
        <v>0.82</v>
      </c>
      <c r="M169" s="136"/>
    </row>
    <row r="170" spans="1:13" ht="27.75" customHeight="1">
      <c r="A170" s="132"/>
      <c r="B170" s="178" t="s">
        <v>387</v>
      </c>
      <c r="C170" s="179"/>
      <c r="D170" s="134">
        <v>2</v>
      </c>
      <c r="E170" s="134">
        <v>2.2000000000000002</v>
      </c>
      <c r="F170" s="134"/>
      <c r="G170" s="134">
        <v>0.19</v>
      </c>
      <c r="H170" s="134"/>
      <c r="I170" s="134">
        <v>0.19</v>
      </c>
      <c r="J170" s="135"/>
      <c r="K170" s="135">
        <f t="shared" si="18"/>
        <v>0.08</v>
      </c>
      <c r="L170" s="134">
        <f t="shared" si="17"/>
        <v>0.16</v>
      </c>
      <c r="M170" s="136"/>
    </row>
    <row r="171" spans="1:13" ht="12.75">
      <c r="A171" s="132"/>
      <c r="B171" s="178" t="s">
        <v>388</v>
      </c>
      <c r="C171" s="179"/>
      <c r="D171" s="134">
        <v>2</v>
      </c>
      <c r="E171" s="134">
        <v>6.6</v>
      </c>
      <c r="F171" s="134"/>
      <c r="G171" s="134">
        <v>0.19</v>
      </c>
      <c r="H171" s="134"/>
      <c r="I171" s="134">
        <v>0.19</v>
      </c>
      <c r="J171" s="135"/>
      <c r="K171" s="135">
        <f t="shared" si="18"/>
        <v>0.24</v>
      </c>
      <c r="L171" s="134">
        <f t="shared" si="17"/>
        <v>0.48</v>
      </c>
      <c r="M171" s="136"/>
    </row>
    <row r="172" spans="1:13" ht="12.75">
      <c r="A172" s="132"/>
      <c r="B172" s="178" t="s">
        <v>389</v>
      </c>
      <c r="C172" s="179"/>
      <c r="D172" s="134">
        <v>2</v>
      </c>
      <c r="E172" s="134">
        <v>7.9</v>
      </c>
      <c r="F172" s="134"/>
      <c r="G172" s="134">
        <v>0.19</v>
      </c>
      <c r="H172" s="134"/>
      <c r="I172" s="134">
        <v>0.19</v>
      </c>
      <c r="J172" s="135"/>
      <c r="K172" s="135">
        <f t="shared" si="18"/>
        <v>0.28999999999999998</v>
      </c>
      <c r="L172" s="134">
        <f t="shared" si="17"/>
        <v>0.57999999999999996</v>
      </c>
      <c r="M172" s="136"/>
    </row>
    <row r="173" spans="1:13" ht="12.75">
      <c r="A173" s="132"/>
      <c r="B173" s="178" t="s">
        <v>390</v>
      </c>
      <c r="C173" s="179"/>
      <c r="D173" s="134">
        <v>2</v>
      </c>
      <c r="E173" s="134">
        <v>9.1999999999999993</v>
      </c>
      <c r="F173" s="134"/>
      <c r="G173" s="134">
        <v>0.19</v>
      </c>
      <c r="H173" s="134"/>
      <c r="I173" s="134">
        <v>0.19</v>
      </c>
      <c r="J173" s="135"/>
      <c r="K173" s="135">
        <f t="shared" si="18"/>
        <v>0.33</v>
      </c>
      <c r="L173" s="134">
        <f t="shared" si="17"/>
        <v>0.66</v>
      </c>
      <c r="M173" s="136"/>
    </row>
    <row r="174" spans="1:13" ht="12.75">
      <c r="A174" s="132"/>
      <c r="B174" s="178" t="s">
        <v>391</v>
      </c>
      <c r="C174" s="179"/>
      <c r="D174" s="134">
        <v>2</v>
      </c>
      <c r="E174" s="134">
        <v>2.35</v>
      </c>
      <c r="F174" s="134"/>
      <c r="G174" s="134">
        <v>0.19</v>
      </c>
      <c r="H174" s="134"/>
      <c r="I174" s="134">
        <v>0.19</v>
      </c>
      <c r="J174" s="135"/>
      <c r="K174" s="135">
        <f t="shared" si="18"/>
        <v>0.08</v>
      </c>
      <c r="L174" s="134">
        <f t="shared" si="17"/>
        <v>0.16</v>
      </c>
      <c r="M174" s="136"/>
    </row>
    <row r="175" spans="1:13" ht="12.75">
      <c r="A175" s="132"/>
      <c r="B175" s="178" t="s">
        <v>392</v>
      </c>
      <c r="C175" s="179"/>
      <c r="D175" s="134">
        <v>2</v>
      </c>
      <c r="E175" s="134">
        <v>2.5</v>
      </c>
      <c r="F175" s="134"/>
      <c r="G175" s="134">
        <v>0.19</v>
      </c>
      <c r="H175" s="134"/>
      <c r="I175" s="134">
        <v>0.19</v>
      </c>
      <c r="J175" s="135"/>
      <c r="K175" s="135">
        <f t="shared" ref="K175" si="19">ROUND(E175*G175*I175,2)</f>
        <v>0.09</v>
      </c>
      <c r="L175" s="134">
        <f t="shared" ref="L175" si="20">ROUND(D175*K175,2)</f>
        <v>0.18</v>
      </c>
      <c r="M175" s="136"/>
    </row>
    <row r="176" spans="1:13" ht="12.75">
      <c r="A176" s="132"/>
      <c r="B176" s="178" t="s">
        <v>393</v>
      </c>
      <c r="C176" s="179"/>
      <c r="D176" s="134">
        <v>2</v>
      </c>
      <c r="E176" s="134">
        <v>3.45</v>
      </c>
      <c r="F176" s="134"/>
      <c r="G176" s="134">
        <v>0.19</v>
      </c>
      <c r="H176" s="134"/>
      <c r="I176" s="134">
        <v>0.19</v>
      </c>
      <c r="J176" s="135"/>
      <c r="K176" s="135">
        <f t="shared" ref="K176:K183" si="21">ROUND(E176*G176*I176,2)</f>
        <v>0.12</v>
      </c>
      <c r="L176" s="134">
        <f t="shared" ref="L176:L183" si="22">ROUND(D176*K176,2)</f>
        <v>0.24</v>
      </c>
      <c r="M176" s="136"/>
    </row>
    <row r="177" spans="1:13" ht="12.75">
      <c r="A177" s="132"/>
      <c r="B177" s="178" t="s">
        <v>394</v>
      </c>
      <c r="C177" s="179"/>
      <c r="D177" s="134">
        <v>2</v>
      </c>
      <c r="E177" s="134">
        <v>0</v>
      </c>
      <c r="F177" s="134"/>
      <c r="G177" s="134">
        <v>0.19</v>
      </c>
      <c r="H177" s="134"/>
      <c r="I177" s="134">
        <v>0.19</v>
      </c>
      <c r="J177" s="135"/>
      <c r="K177" s="135">
        <f t="shared" si="21"/>
        <v>0</v>
      </c>
      <c r="L177" s="134">
        <f t="shared" si="22"/>
        <v>0</v>
      </c>
      <c r="M177" s="136"/>
    </row>
    <row r="178" spans="1:13" ht="12.75">
      <c r="A178" s="132"/>
      <c r="B178" s="178" t="s">
        <v>395</v>
      </c>
      <c r="C178" s="179"/>
      <c r="D178" s="134">
        <v>2</v>
      </c>
      <c r="E178" s="134">
        <v>6</v>
      </c>
      <c r="F178" s="134"/>
      <c r="G178" s="134">
        <v>0.19</v>
      </c>
      <c r="H178" s="134"/>
      <c r="I178" s="134">
        <v>0.19</v>
      </c>
      <c r="J178" s="135"/>
      <c r="K178" s="135">
        <f t="shared" si="21"/>
        <v>0.22</v>
      </c>
      <c r="L178" s="134">
        <f t="shared" si="22"/>
        <v>0.44</v>
      </c>
      <c r="M178" s="136"/>
    </row>
    <row r="179" spans="1:13" ht="12.75">
      <c r="A179" s="132"/>
      <c r="B179" s="178" t="s">
        <v>396</v>
      </c>
      <c r="C179" s="179"/>
      <c r="D179" s="134">
        <v>2</v>
      </c>
      <c r="E179" s="134">
        <v>7.2</v>
      </c>
      <c r="F179" s="134"/>
      <c r="G179" s="134">
        <v>0.19</v>
      </c>
      <c r="H179" s="134"/>
      <c r="I179" s="134">
        <v>0.19</v>
      </c>
      <c r="J179" s="135"/>
      <c r="K179" s="135">
        <f t="shared" si="21"/>
        <v>0.26</v>
      </c>
      <c r="L179" s="134">
        <f t="shared" si="22"/>
        <v>0.52</v>
      </c>
      <c r="M179" s="136"/>
    </row>
    <row r="180" spans="1:13" ht="12.75">
      <c r="A180" s="132"/>
      <c r="B180" s="178" t="s">
        <v>397</v>
      </c>
      <c r="C180" s="179"/>
      <c r="D180" s="134">
        <v>2</v>
      </c>
      <c r="E180" s="134">
        <v>7.6</v>
      </c>
      <c r="F180" s="134"/>
      <c r="G180" s="134">
        <v>0.19</v>
      </c>
      <c r="H180" s="134"/>
      <c r="I180" s="134">
        <v>0.19</v>
      </c>
      <c r="J180" s="135"/>
      <c r="K180" s="135">
        <f t="shared" si="21"/>
        <v>0.27</v>
      </c>
      <c r="L180" s="134">
        <f t="shared" si="22"/>
        <v>0.54</v>
      </c>
      <c r="M180" s="136"/>
    </row>
    <row r="181" spans="1:13" ht="12.75">
      <c r="A181" s="132"/>
      <c r="B181" s="178" t="s">
        <v>398</v>
      </c>
      <c r="C181" s="179"/>
      <c r="D181" s="134">
        <v>2</v>
      </c>
      <c r="E181" s="134">
        <v>1.1499999999999999</v>
      </c>
      <c r="F181" s="134"/>
      <c r="G181" s="134">
        <v>0.19</v>
      </c>
      <c r="H181" s="134"/>
      <c r="I181" s="134">
        <v>0.19</v>
      </c>
      <c r="J181" s="135"/>
      <c r="K181" s="135">
        <f t="shared" si="21"/>
        <v>0.04</v>
      </c>
      <c r="L181" s="134">
        <f t="shared" si="22"/>
        <v>0.08</v>
      </c>
      <c r="M181" s="136"/>
    </row>
    <row r="182" spans="1:13" ht="12.75">
      <c r="A182" s="132"/>
      <c r="B182" s="178" t="s">
        <v>399</v>
      </c>
      <c r="C182" s="179"/>
      <c r="D182" s="134">
        <v>2</v>
      </c>
      <c r="E182" s="134">
        <v>2.6</v>
      </c>
      <c r="F182" s="134"/>
      <c r="G182" s="134">
        <v>0.19</v>
      </c>
      <c r="H182" s="134"/>
      <c r="I182" s="134">
        <v>0.19</v>
      </c>
      <c r="J182" s="135"/>
      <c r="K182" s="135">
        <f t="shared" si="21"/>
        <v>0.09</v>
      </c>
      <c r="L182" s="134">
        <f t="shared" si="22"/>
        <v>0.18</v>
      </c>
      <c r="M182" s="136"/>
    </row>
    <row r="183" spans="1:13" ht="12.75">
      <c r="A183" s="132"/>
      <c r="B183" s="178" t="s">
        <v>400</v>
      </c>
      <c r="C183" s="179"/>
      <c r="D183" s="134">
        <v>2</v>
      </c>
      <c r="E183" s="134">
        <v>1.75</v>
      </c>
      <c r="F183" s="134"/>
      <c r="G183" s="134">
        <v>0.19</v>
      </c>
      <c r="H183" s="134"/>
      <c r="I183" s="134">
        <v>0.19</v>
      </c>
      <c r="J183" s="135"/>
      <c r="K183" s="135">
        <f t="shared" si="21"/>
        <v>0.06</v>
      </c>
      <c r="L183" s="134">
        <f t="shared" si="22"/>
        <v>0.12</v>
      </c>
      <c r="M183" s="136"/>
    </row>
    <row r="184" spans="1:13" ht="12.75">
      <c r="A184" s="132"/>
      <c r="B184" s="178" t="s">
        <v>401</v>
      </c>
      <c r="C184" s="179"/>
      <c r="D184" s="134">
        <v>2</v>
      </c>
      <c r="E184" s="134">
        <v>7.2</v>
      </c>
      <c r="F184" s="134"/>
      <c r="G184" s="134">
        <v>0.19</v>
      </c>
      <c r="H184" s="134"/>
      <c r="I184" s="134">
        <v>0.19</v>
      </c>
      <c r="J184" s="135"/>
      <c r="K184" s="135">
        <f t="shared" ref="K184:K191" si="23">ROUND(E184*G184*I184,2)</f>
        <v>0.26</v>
      </c>
      <c r="L184" s="134">
        <f t="shared" ref="L184:L191" si="24">ROUND(D184*K184,2)</f>
        <v>0.52</v>
      </c>
      <c r="M184" s="136"/>
    </row>
    <row r="185" spans="1:13" ht="12.75">
      <c r="A185" s="132"/>
      <c r="B185" s="178" t="s">
        <v>402</v>
      </c>
      <c r="C185" s="179"/>
      <c r="D185" s="134">
        <v>2</v>
      </c>
      <c r="E185" s="134">
        <v>2.6</v>
      </c>
      <c r="F185" s="134"/>
      <c r="G185" s="134">
        <v>0.19</v>
      </c>
      <c r="H185" s="134"/>
      <c r="I185" s="134">
        <v>0.19</v>
      </c>
      <c r="J185" s="135"/>
      <c r="K185" s="135">
        <f t="shared" si="23"/>
        <v>0.09</v>
      </c>
      <c r="L185" s="134">
        <f t="shared" si="24"/>
        <v>0.18</v>
      </c>
      <c r="M185" s="136"/>
    </row>
    <row r="186" spans="1:13" ht="12.75">
      <c r="A186" s="132"/>
      <c r="B186" s="178" t="s">
        <v>403</v>
      </c>
      <c r="C186" s="179"/>
      <c r="D186" s="134">
        <v>2</v>
      </c>
      <c r="E186" s="134">
        <v>3.8</v>
      </c>
      <c r="F186" s="134"/>
      <c r="G186" s="134">
        <v>0.19</v>
      </c>
      <c r="H186" s="134"/>
      <c r="I186" s="134">
        <v>0.19</v>
      </c>
      <c r="J186" s="135"/>
      <c r="K186" s="135">
        <f t="shared" si="23"/>
        <v>0.14000000000000001</v>
      </c>
      <c r="L186" s="134">
        <f t="shared" si="24"/>
        <v>0.28000000000000003</v>
      </c>
      <c r="M186" s="136"/>
    </row>
    <row r="187" spans="1:13" ht="12.75">
      <c r="A187" s="132"/>
      <c r="B187" s="178" t="s">
        <v>404</v>
      </c>
      <c r="C187" s="179"/>
      <c r="D187" s="134">
        <v>2</v>
      </c>
      <c r="E187" s="134">
        <v>3.55</v>
      </c>
      <c r="F187" s="134"/>
      <c r="G187" s="134">
        <v>0.19</v>
      </c>
      <c r="H187" s="134"/>
      <c r="I187" s="134">
        <v>0.19</v>
      </c>
      <c r="J187" s="135"/>
      <c r="K187" s="135">
        <f t="shared" si="23"/>
        <v>0.13</v>
      </c>
      <c r="L187" s="134">
        <f t="shared" si="24"/>
        <v>0.26</v>
      </c>
      <c r="M187" s="136"/>
    </row>
    <row r="188" spans="1:13" ht="12.75">
      <c r="A188" s="132"/>
      <c r="B188" s="178" t="s">
        <v>405</v>
      </c>
      <c r="C188" s="179"/>
      <c r="D188" s="134">
        <v>2</v>
      </c>
      <c r="E188" s="134">
        <v>1.75</v>
      </c>
      <c r="F188" s="134"/>
      <c r="G188" s="134">
        <v>0.19</v>
      </c>
      <c r="H188" s="134"/>
      <c r="I188" s="134">
        <v>0.19</v>
      </c>
      <c r="J188" s="135"/>
      <c r="K188" s="135">
        <f t="shared" si="23"/>
        <v>0.06</v>
      </c>
      <c r="L188" s="134">
        <f t="shared" si="24"/>
        <v>0.12</v>
      </c>
      <c r="M188" s="136"/>
    </row>
    <row r="189" spans="1:13" ht="12.75">
      <c r="A189" s="132"/>
      <c r="B189" s="178" t="s">
        <v>406</v>
      </c>
      <c r="C189" s="179"/>
      <c r="D189" s="134">
        <v>2</v>
      </c>
      <c r="E189" s="134">
        <v>2.6</v>
      </c>
      <c r="F189" s="134"/>
      <c r="G189" s="134">
        <v>0.19</v>
      </c>
      <c r="H189" s="134"/>
      <c r="I189" s="134">
        <v>0.19</v>
      </c>
      <c r="J189" s="135"/>
      <c r="K189" s="135">
        <f t="shared" si="23"/>
        <v>0.09</v>
      </c>
      <c r="L189" s="134">
        <f t="shared" si="24"/>
        <v>0.18</v>
      </c>
      <c r="M189" s="136"/>
    </row>
    <row r="190" spans="1:13" ht="12.75">
      <c r="A190" s="132"/>
      <c r="B190" s="178" t="s">
        <v>407</v>
      </c>
      <c r="C190" s="179"/>
      <c r="D190" s="134">
        <v>2</v>
      </c>
      <c r="E190" s="134">
        <v>3.8</v>
      </c>
      <c r="F190" s="134"/>
      <c r="G190" s="134">
        <v>0.19</v>
      </c>
      <c r="H190" s="134"/>
      <c r="I190" s="134">
        <v>0.19</v>
      </c>
      <c r="J190" s="135"/>
      <c r="K190" s="135">
        <f t="shared" si="23"/>
        <v>0.14000000000000001</v>
      </c>
      <c r="L190" s="134">
        <f t="shared" si="24"/>
        <v>0.28000000000000003</v>
      </c>
      <c r="M190" s="136"/>
    </row>
    <row r="191" spans="1:13" ht="12.75">
      <c r="A191" s="132"/>
      <c r="B191" s="178" t="s">
        <v>408</v>
      </c>
      <c r="C191" s="179"/>
      <c r="D191" s="134">
        <v>2</v>
      </c>
      <c r="E191" s="134">
        <v>7.2</v>
      </c>
      <c r="F191" s="134"/>
      <c r="G191" s="134">
        <v>0.19</v>
      </c>
      <c r="H191" s="134"/>
      <c r="I191" s="134">
        <v>0.19</v>
      </c>
      <c r="J191" s="135"/>
      <c r="K191" s="135">
        <f t="shared" si="23"/>
        <v>0.26</v>
      </c>
      <c r="L191" s="134">
        <f t="shared" si="24"/>
        <v>0.52</v>
      </c>
      <c r="M191" s="136"/>
    </row>
    <row r="192" spans="1:13" ht="12.75">
      <c r="A192" s="132"/>
      <c r="B192" s="178" t="s">
        <v>409</v>
      </c>
      <c r="C192" s="179"/>
      <c r="D192" s="134">
        <v>2</v>
      </c>
      <c r="E192" s="134">
        <v>11.75</v>
      </c>
      <c r="F192" s="134"/>
      <c r="G192" s="134">
        <v>0.19</v>
      </c>
      <c r="H192" s="134"/>
      <c r="I192" s="134">
        <v>0.19</v>
      </c>
      <c r="J192" s="135"/>
      <c r="K192" s="135">
        <f t="shared" ref="K192:K193" si="25">ROUND(E192*G192*I192,2)</f>
        <v>0.42</v>
      </c>
      <c r="L192" s="134">
        <f t="shared" ref="L192:L193" si="26">ROUND(D192*K192,2)</f>
        <v>0.84</v>
      </c>
      <c r="M192" s="136"/>
    </row>
    <row r="193" spans="1:13" ht="12.75">
      <c r="A193" s="132"/>
      <c r="B193" s="178" t="s">
        <v>410</v>
      </c>
      <c r="C193" s="179"/>
      <c r="D193" s="134">
        <v>2</v>
      </c>
      <c r="E193" s="134">
        <v>7.45</v>
      </c>
      <c r="F193" s="134"/>
      <c r="G193" s="134">
        <v>0.19</v>
      </c>
      <c r="H193" s="134"/>
      <c r="I193" s="134">
        <v>0.19</v>
      </c>
      <c r="J193" s="135"/>
      <c r="K193" s="135">
        <f t="shared" si="25"/>
        <v>0.27</v>
      </c>
      <c r="L193" s="134">
        <f t="shared" si="26"/>
        <v>0.54</v>
      </c>
      <c r="M193" s="136"/>
    </row>
    <row r="194" spans="1:13" ht="15" customHeight="1">
      <c r="A194" s="132"/>
      <c r="B194" s="178" t="s">
        <v>411</v>
      </c>
      <c r="C194" s="179"/>
      <c r="D194" s="134">
        <v>2</v>
      </c>
      <c r="E194" s="134">
        <v>7.45</v>
      </c>
      <c r="F194" s="134"/>
      <c r="G194" s="134">
        <v>0.19</v>
      </c>
      <c r="H194" s="134"/>
      <c r="I194" s="134">
        <v>0.19</v>
      </c>
      <c r="J194" s="135"/>
      <c r="K194" s="135">
        <f t="shared" ref="K194:K196" si="27">ROUND(E194*G194*I194,2)</f>
        <v>0.27</v>
      </c>
      <c r="L194" s="134">
        <f t="shared" ref="L194:L196" si="28">ROUND(D194*K194,2)</f>
        <v>0.54</v>
      </c>
      <c r="M194" s="136"/>
    </row>
    <row r="195" spans="1:13" ht="12.75">
      <c r="A195" s="132"/>
      <c r="B195" s="178" t="s">
        <v>412</v>
      </c>
      <c r="C195" s="179"/>
      <c r="D195" s="134">
        <v>2</v>
      </c>
      <c r="E195" s="134">
        <v>7.45</v>
      </c>
      <c r="F195" s="134"/>
      <c r="G195" s="134">
        <v>0.19</v>
      </c>
      <c r="H195" s="134"/>
      <c r="I195" s="134">
        <v>0.19</v>
      </c>
      <c r="J195" s="135"/>
      <c r="K195" s="135">
        <f t="shared" si="27"/>
        <v>0.27</v>
      </c>
      <c r="L195" s="134">
        <f t="shared" si="28"/>
        <v>0.54</v>
      </c>
      <c r="M195" s="136"/>
    </row>
    <row r="196" spans="1:13" ht="12.75">
      <c r="A196" s="132"/>
      <c r="B196" s="178" t="s">
        <v>413</v>
      </c>
      <c r="C196" s="179"/>
      <c r="D196" s="134">
        <v>2</v>
      </c>
      <c r="E196" s="134">
        <v>7.45</v>
      </c>
      <c r="F196" s="134"/>
      <c r="G196" s="134">
        <v>0.19</v>
      </c>
      <c r="H196" s="134"/>
      <c r="I196" s="134">
        <v>0.19</v>
      </c>
      <c r="J196" s="135"/>
      <c r="K196" s="135">
        <f t="shared" si="27"/>
        <v>0.27</v>
      </c>
      <c r="L196" s="134">
        <f t="shared" si="28"/>
        <v>0.54</v>
      </c>
      <c r="M196" s="136"/>
    </row>
    <row r="197" spans="1:13" ht="13.5" thickBot="1">
      <c r="A197" s="132"/>
      <c r="B197" s="174"/>
      <c r="C197" s="175"/>
      <c r="D197" s="176"/>
      <c r="E197" s="176"/>
      <c r="F197" s="176"/>
      <c r="G197" s="176"/>
      <c r="H197" s="176"/>
      <c r="I197" s="176"/>
      <c r="J197" s="177"/>
      <c r="K197" s="177"/>
      <c r="L197" s="134"/>
      <c r="M197" s="136"/>
    </row>
    <row r="198" spans="1:13" ht="13.5" thickBot="1">
      <c r="A198" s="121" t="s">
        <v>21</v>
      </c>
      <c r="B198" s="122" t="str">
        <f>'BM01'!B55</f>
        <v>SUPERESTRUTURA</v>
      </c>
      <c r="C198" s="122"/>
      <c r="D198" s="122"/>
      <c r="E198" s="122"/>
      <c r="F198" s="122"/>
      <c r="G198" s="122"/>
      <c r="H198" s="122"/>
      <c r="I198" s="122"/>
      <c r="J198" s="122"/>
      <c r="K198" s="122"/>
      <c r="L198" s="122"/>
      <c r="M198" s="123"/>
    </row>
    <row r="199" spans="1:13" ht="12.75">
      <c r="A199" s="124"/>
      <c r="B199" s="125"/>
      <c r="C199" s="125"/>
      <c r="D199" s="125"/>
      <c r="E199" s="125"/>
      <c r="F199" s="125"/>
      <c r="G199" s="125"/>
      <c r="H199" s="125"/>
      <c r="I199" s="125"/>
      <c r="J199" s="125"/>
      <c r="K199" s="126"/>
      <c r="L199" s="125"/>
      <c r="M199" s="127"/>
    </row>
    <row r="200" spans="1:13" ht="30" customHeight="1">
      <c r="A200" s="128" t="s">
        <v>69</v>
      </c>
      <c r="B200" s="211" t="str">
        <f>'BM01'!B57</f>
        <v>CONCRETO ARMADO (PREPARO E LANÇAMENTO) PARA VIGA COM FCK=25MPA, COM FORMA EM CHAPA DE MADEIRA COMPENSADA RESINADA, COM APROVEITAMENTO DE 3 VEZES COM BETONEIRA</v>
      </c>
      <c r="C200" s="212"/>
      <c r="D200" s="212"/>
      <c r="E200" s="212"/>
      <c r="F200" s="212"/>
      <c r="G200" s="212"/>
      <c r="H200" s="212"/>
      <c r="I200" s="212"/>
      <c r="J200" s="212"/>
      <c r="K200" s="213"/>
      <c r="L200" s="129">
        <f>L201</f>
        <v>0</v>
      </c>
      <c r="M200" s="130" t="s">
        <v>375</v>
      </c>
    </row>
    <row r="201" spans="1:13" ht="12.75">
      <c r="A201" s="132"/>
      <c r="B201" s="209"/>
      <c r="C201" s="210"/>
      <c r="D201" s="134"/>
      <c r="E201" s="134"/>
      <c r="F201" s="134"/>
      <c r="G201" s="134"/>
      <c r="H201" s="134"/>
      <c r="I201" s="134"/>
      <c r="J201" s="135"/>
      <c r="K201" s="135"/>
      <c r="L201" s="134"/>
      <c r="M201" s="136"/>
    </row>
    <row r="202" spans="1:13" ht="12.75">
      <c r="A202" s="124"/>
      <c r="B202" s="125"/>
      <c r="C202" s="125"/>
      <c r="D202" s="125"/>
      <c r="E202" s="125"/>
      <c r="F202" s="125"/>
      <c r="G202" s="125"/>
      <c r="H202" s="125"/>
      <c r="I202" s="125"/>
      <c r="J202" s="125"/>
      <c r="K202" s="125"/>
      <c r="L202" s="125"/>
      <c r="M202" s="127"/>
    </row>
    <row r="203" spans="1:13" ht="31.5" customHeight="1">
      <c r="A203" s="128" t="s">
        <v>71</v>
      </c>
      <c r="B203" s="211" t="str">
        <f>'BM01'!B58</f>
        <v>CONCRETO ARMADO (PREPARO E LANÇAMENTO) PARA PILARES COM FCK=25MPA, COM FORMA EM CHAPA DE MADEIRA COMPENSADA RESINADA, COM APROVEITAMENTO DE 3 VEZES COM BETONEIRA</v>
      </c>
      <c r="C203" s="212"/>
      <c r="D203" s="212"/>
      <c r="E203" s="212"/>
      <c r="F203" s="212"/>
      <c r="G203" s="212"/>
      <c r="H203" s="212"/>
      <c r="I203" s="212"/>
      <c r="J203" s="212"/>
      <c r="K203" s="213"/>
      <c r="L203" s="129">
        <f>SUM(L204:L206)</f>
        <v>2.9000000000000004</v>
      </c>
      <c r="M203" s="130" t="s">
        <v>375</v>
      </c>
    </row>
    <row r="204" spans="1:13" ht="78.75" customHeight="1">
      <c r="A204" s="132"/>
      <c r="B204" s="244" t="s">
        <v>421</v>
      </c>
      <c r="C204" s="245"/>
      <c r="D204" s="134">
        <v>30</v>
      </c>
      <c r="E204" s="134">
        <v>0.3</v>
      </c>
      <c r="F204" s="134"/>
      <c r="G204" s="134">
        <v>0.14000000000000001</v>
      </c>
      <c r="H204" s="134"/>
      <c r="I204" s="134">
        <v>1.2</v>
      </c>
      <c r="J204" s="135"/>
      <c r="K204" s="135">
        <f>I204*G204*E204</f>
        <v>5.04E-2</v>
      </c>
      <c r="L204" s="134">
        <f t="shared" ref="L204:L206" si="29">ROUND(D204*K204,2)</f>
        <v>1.51</v>
      </c>
      <c r="M204" s="136"/>
    </row>
    <row r="205" spans="1:13" ht="54" customHeight="1">
      <c r="A205" s="132"/>
      <c r="B205" s="209" t="s">
        <v>422</v>
      </c>
      <c r="C205" s="210"/>
      <c r="D205" s="134">
        <v>17</v>
      </c>
      <c r="E205" s="134">
        <v>0.3</v>
      </c>
      <c r="F205" s="134"/>
      <c r="G205" s="134">
        <v>0.14000000000000001</v>
      </c>
      <c r="H205" s="134"/>
      <c r="I205" s="134">
        <v>1.2</v>
      </c>
      <c r="J205" s="135"/>
      <c r="K205" s="135">
        <f>I205*G205*E205</f>
        <v>5.04E-2</v>
      </c>
      <c r="L205" s="134">
        <f t="shared" si="29"/>
        <v>0.86</v>
      </c>
      <c r="M205" s="136"/>
    </row>
    <row r="206" spans="1:13" ht="32.25" customHeight="1">
      <c r="A206" s="132"/>
      <c r="B206" s="209" t="s">
        <v>423</v>
      </c>
      <c r="C206" s="210"/>
      <c r="D206" s="134">
        <v>11</v>
      </c>
      <c r="E206" s="134">
        <v>0.2</v>
      </c>
      <c r="F206" s="134"/>
      <c r="G206" s="134">
        <v>0.2</v>
      </c>
      <c r="H206" s="134"/>
      <c r="I206" s="134">
        <v>1.2</v>
      </c>
      <c r="J206" s="135"/>
      <c r="K206" s="135">
        <f t="shared" ref="K206" si="30">I206*G206*E206</f>
        <v>4.8000000000000001E-2</v>
      </c>
      <c r="L206" s="134">
        <f t="shared" si="29"/>
        <v>0.53</v>
      </c>
      <c r="M206" s="136"/>
    </row>
    <row r="207" spans="1:13" ht="12.75">
      <c r="A207" s="146"/>
      <c r="B207" s="181"/>
      <c r="C207" s="181"/>
      <c r="D207" s="142"/>
      <c r="E207" s="142"/>
      <c r="F207" s="142"/>
      <c r="G207" s="142"/>
      <c r="H207" s="142"/>
      <c r="I207" s="142"/>
      <c r="J207" s="144"/>
      <c r="K207" s="144"/>
      <c r="L207" s="142"/>
      <c r="M207" s="145"/>
    </row>
    <row r="208" spans="1:13" ht="12.75">
      <c r="A208" s="128" t="s">
        <v>73</v>
      </c>
      <c r="B208" s="137" t="str">
        <f>'BM01'!B59</f>
        <v>Prateleira em granito cinza andorinha, esp= 2cm</v>
      </c>
      <c r="C208" s="138"/>
      <c r="D208" s="138"/>
      <c r="E208" s="138"/>
      <c r="F208" s="138"/>
      <c r="G208" s="138"/>
      <c r="H208" s="138"/>
      <c r="I208" s="138"/>
      <c r="J208" s="138"/>
      <c r="K208" s="138"/>
      <c r="L208" s="129">
        <f>L209</f>
        <v>0</v>
      </c>
      <c r="M208" s="130">
        <f>'[1]Orçamento Sintético - proj. (2)'!C65</f>
        <v>0</v>
      </c>
    </row>
    <row r="209" spans="1:13" ht="12.75">
      <c r="A209" s="132"/>
      <c r="B209" s="209"/>
      <c r="C209" s="210"/>
      <c r="D209" s="134"/>
      <c r="E209" s="134"/>
      <c r="F209" s="134"/>
      <c r="G209" s="134"/>
      <c r="H209" s="134"/>
      <c r="I209" s="134"/>
      <c r="J209" s="135"/>
      <c r="K209" s="135"/>
      <c r="L209" s="134"/>
      <c r="M209" s="136"/>
    </row>
    <row r="210" spans="1:13" ht="12.75">
      <c r="A210" s="124"/>
      <c r="B210" s="12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7"/>
    </row>
    <row r="211" spans="1:13" ht="12.75">
      <c r="A211" s="128" t="s">
        <v>75</v>
      </c>
      <c r="B211" s="211" t="str">
        <f>'BM01'!B60</f>
        <v>LAJE PRÉ-MOLDADA UNIDIRECIONAL, BIAPOIADA, PARA FORRO, ENCHIMENTO EM CERÂMICA, VIGOTA CONVENCIONAL, ALTURA TOTAL DA LAJE (ENCHIMENTO+CAPA) = (8+3). AF_11/2020</v>
      </c>
      <c r="C211" s="212"/>
      <c r="D211" s="212"/>
      <c r="E211" s="212"/>
      <c r="F211" s="212"/>
      <c r="G211" s="212"/>
      <c r="H211" s="212"/>
      <c r="I211" s="212"/>
      <c r="J211" s="212"/>
      <c r="K211" s="213"/>
      <c r="L211" s="129">
        <f>L212</f>
        <v>0</v>
      </c>
      <c r="M211" s="130">
        <f>'[1]Orçamento Sintético - proj. (2)'!C66</f>
        <v>0</v>
      </c>
    </row>
    <row r="212" spans="1:13" ht="12.75">
      <c r="A212" s="132"/>
      <c r="B212" s="209"/>
      <c r="C212" s="210"/>
      <c r="D212" s="134"/>
      <c r="E212" s="134"/>
      <c r="F212" s="134"/>
      <c r="G212" s="134"/>
      <c r="H212" s="134"/>
      <c r="I212" s="134"/>
      <c r="J212" s="135"/>
      <c r="K212" s="135"/>
      <c r="L212" s="134"/>
      <c r="M212" s="136"/>
    </row>
    <row r="213" spans="1:13" ht="12.75">
      <c r="A213" s="139"/>
      <c r="B213" s="140"/>
      <c r="C213" s="141"/>
      <c r="D213" s="142"/>
      <c r="E213" s="143"/>
      <c r="F213" s="142"/>
      <c r="G213" s="142"/>
      <c r="H213" s="143"/>
      <c r="I213" s="143"/>
      <c r="J213" s="144"/>
      <c r="K213" s="144"/>
      <c r="L213" s="142"/>
      <c r="M213" s="145"/>
    </row>
    <row r="214" spans="1:13" ht="12.75">
      <c r="A214" s="128">
        <f>'[1]Orçamento Sintético - proj. (2)'!A67</f>
        <v>0</v>
      </c>
      <c r="B214" s="211">
        <f>'[1]Orçamento Sintético - proj. (2)'!B67</f>
        <v>0</v>
      </c>
      <c r="C214" s="212"/>
      <c r="D214" s="212"/>
      <c r="E214" s="212"/>
      <c r="F214" s="212"/>
      <c r="G214" s="212"/>
      <c r="H214" s="212"/>
      <c r="I214" s="212"/>
      <c r="J214" s="212"/>
      <c r="K214" s="213"/>
      <c r="L214" s="129">
        <f>SUM(L215)</f>
        <v>492.5</v>
      </c>
      <c r="M214" s="130">
        <f>'[1]Orçamento Sintético - proj. (2)'!C67</f>
        <v>0</v>
      </c>
    </row>
    <row r="215" spans="1:13" ht="12.75">
      <c r="A215" s="132"/>
      <c r="B215" s="209"/>
      <c r="C215" s="210"/>
      <c r="D215" s="134">
        <v>1</v>
      </c>
      <c r="E215" s="134">
        <f>300+192.5</f>
        <v>492.5</v>
      </c>
      <c r="F215" s="134"/>
      <c r="G215" s="134"/>
      <c r="H215" s="134"/>
      <c r="I215" s="134"/>
      <c r="J215" s="135"/>
      <c r="K215" s="135">
        <f>ROUND(E215,2)</f>
        <v>492.5</v>
      </c>
      <c r="L215" s="134">
        <f>ROUND(D215*K215,2)</f>
        <v>492.5</v>
      </c>
      <c r="M215" s="136"/>
    </row>
    <row r="216" spans="1:13" ht="12.75">
      <c r="A216" s="146"/>
      <c r="B216" s="140"/>
      <c r="C216" s="143"/>
      <c r="D216" s="142"/>
      <c r="E216" s="142"/>
      <c r="F216" s="142"/>
      <c r="G216" s="142"/>
      <c r="H216" s="142"/>
      <c r="I216" s="142"/>
      <c r="J216" s="144"/>
      <c r="K216" s="144"/>
      <c r="L216" s="142"/>
      <c r="M216" s="145"/>
    </row>
    <row r="217" spans="1:13" ht="12.75">
      <c r="A217" s="128">
        <f>'[1]Orçamento Sintético - proj. (2)'!A68</f>
        <v>0</v>
      </c>
      <c r="B217" s="211">
        <f>'[1]Orçamento Sintético - proj. (2)'!B68</f>
        <v>0</v>
      </c>
      <c r="C217" s="212"/>
      <c r="D217" s="212"/>
      <c r="E217" s="212"/>
      <c r="F217" s="212"/>
      <c r="G217" s="212"/>
      <c r="H217" s="212"/>
      <c r="I217" s="212"/>
      <c r="J217" s="212"/>
      <c r="K217" s="213"/>
      <c r="L217" s="129">
        <f>K218</f>
        <v>435</v>
      </c>
      <c r="M217" s="130">
        <f>'[1]Orçamento Sintético - proj. (2)'!C68</f>
        <v>0</v>
      </c>
    </row>
    <row r="218" spans="1:13" ht="12.75">
      <c r="A218" s="132"/>
      <c r="B218" s="209"/>
      <c r="C218" s="210"/>
      <c r="D218" s="134">
        <v>1</v>
      </c>
      <c r="E218" s="134">
        <v>435</v>
      </c>
      <c r="F218" s="134"/>
      <c r="G218" s="134"/>
      <c r="H218" s="134"/>
      <c r="I218" s="134"/>
      <c r="J218" s="135"/>
      <c r="K218" s="135">
        <f>ROUND(E218,2)</f>
        <v>435</v>
      </c>
      <c r="L218" s="134">
        <f>ROUND(D218*K218,2)</f>
        <v>435</v>
      </c>
      <c r="M218" s="136"/>
    </row>
    <row r="219" spans="1:13" ht="12.75">
      <c r="A219" s="146"/>
      <c r="B219" s="140"/>
      <c r="C219" s="143"/>
      <c r="D219" s="142"/>
      <c r="E219" s="142"/>
      <c r="F219" s="142"/>
      <c r="G219" s="142"/>
      <c r="H219" s="142"/>
      <c r="I219" s="142"/>
      <c r="J219" s="144"/>
      <c r="K219" s="144"/>
      <c r="L219" s="142"/>
      <c r="M219" s="145"/>
    </row>
    <row r="220" spans="1:13" ht="12.75">
      <c r="A220" s="128">
        <f>'[1]Orçamento Sintético - proj. (2)'!A69</f>
        <v>0</v>
      </c>
      <c r="B220" s="211">
        <f>'[1]Orçamento Sintético - proj. (2)'!B69</f>
        <v>0</v>
      </c>
      <c r="C220" s="212"/>
      <c r="D220" s="212"/>
      <c r="E220" s="212"/>
      <c r="F220" s="212"/>
      <c r="G220" s="212"/>
      <c r="H220" s="212"/>
      <c r="I220" s="212"/>
      <c r="J220" s="212"/>
      <c r="K220" s="213"/>
      <c r="L220" s="129">
        <f>K221</f>
        <v>40</v>
      </c>
      <c r="M220" s="130">
        <f>'[1]Orçamento Sintético - proj. (2)'!C69</f>
        <v>0</v>
      </c>
    </row>
    <row r="221" spans="1:13" ht="12.75">
      <c r="A221" s="132"/>
      <c r="B221" s="209"/>
      <c r="C221" s="210"/>
      <c r="D221" s="134">
        <v>1</v>
      </c>
      <c r="E221" s="134">
        <v>40</v>
      </c>
      <c r="F221" s="134"/>
      <c r="G221" s="134"/>
      <c r="H221" s="134"/>
      <c r="I221" s="134"/>
      <c r="J221" s="135"/>
      <c r="K221" s="135">
        <f>ROUND(E221,2)</f>
        <v>40</v>
      </c>
      <c r="L221" s="134">
        <f>ROUND(D221*K221,2)</f>
        <v>40</v>
      </c>
      <c r="M221" s="136"/>
    </row>
    <row r="222" spans="1:13" ht="12.75">
      <c r="A222" s="146"/>
      <c r="B222" s="140"/>
      <c r="C222" s="143"/>
      <c r="D222" s="142"/>
      <c r="E222" s="142"/>
      <c r="F222" s="142"/>
      <c r="G222" s="142"/>
      <c r="H222" s="142"/>
      <c r="I222" s="142"/>
      <c r="J222" s="144"/>
      <c r="K222" s="144"/>
      <c r="L222" s="142"/>
      <c r="M222" s="145"/>
    </row>
    <row r="223" spans="1:13" ht="12.75">
      <c r="A223" s="128">
        <f>'[1]Orçamento Sintético - proj. (2)'!A70</f>
        <v>0</v>
      </c>
      <c r="B223" s="137">
        <f>'[1]Orçamento Sintético - proj. (2)'!B70</f>
        <v>0</v>
      </c>
      <c r="C223" s="138"/>
      <c r="D223" s="138"/>
      <c r="E223" s="138"/>
      <c r="F223" s="138"/>
      <c r="G223" s="138"/>
      <c r="H223" s="138"/>
      <c r="I223" s="138"/>
      <c r="J223" s="138"/>
      <c r="K223" s="138"/>
      <c r="L223" s="129">
        <f>K224</f>
        <v>242.36</v>
      </c>
      <c r="M223" s="130">
        <f>'[1]Orçamento Sintético - proj. (2)'!C70</f>
        <v>0</v>
      </c>
    </row>
    <row r="224" spans="1:13" ht="12.75">
      <c r="A224" s="132"/>
      <c r="B224" s="209"/>
      <c r="C224" s="210"/>
      <c r="D224" s="134">
        <v>1</v>
      </c>
      <c r="E224" s="134">
        <f>7.3*33.2</f>
        <v>242.36</v>
      </c>
      <c r="F224" s="134"/>
      <c r="G224" s="134"/>
      <c r="H224" s="134"/>
      <c r="I224" s="134"/>
      <c r="J224" s="135"/>
      <c r="K224" s="135">
        <f>ROUND(E224,2)</f>
        <v>242.36</v>
      </c>
      <c r="L224" s="134">
        <f>ROUND(D224*K224,2)</f>
        <v>242.36</v>
      </c>
      <c r="M224" s="136"/>
    </row>
    <row r="225" spans="1:13" ht="12.75">
      <c r="A225" s="146"/>
      <c r="B225" s="140"/>
      <c r="C225" s="143"/>
      <c r="D225" s="142"/>
      <c r="E225" s="142"/>
      <c r="F225" s="142"/>
      <c r="G225" s="142"/>
      <c r="H225" s="142"/>
      <c r="I225" s="142"/>
      <c r="J225" s="144"/>
      <c r="K225" s="144"/>
      <c r="L225" s="142"/>
      <c r="M225" s="145"/>
    </row>
    <row r="226" spans="1:13" ht="12.75">
      <c r="A226" s="128">
        <f>'[1]Orçamento Sintético - proj. (2)'!A71</f>
        <v>0</v>
      </c>
      <c r="B226" s="137">
        <f>'[1]Orçamento Sintético - proj. (2)'!B71</f>
        <v>0</v>
      </c>
      <c r="C226" s="138"/>
      <c r="D226" s="138"/>
      <c r="E226" s="138"/>
      <c r="F226" s="138"/>
      <c r="G226" s="138"/>
      <c r="H226" s="138"/>
      <c r="I226" s="138"/>
      <c r="J226" s="138"/>
      <c r="K226" s="138"/>
      <c r="L226" s="129">
        <f>K227</f>
        <v>242.36</v>
      </c>
      <c r="M226" s="130">
        <f>'[1]Orçamento Sintético - proj. (2)'!C71</f>
        <v>0</v>
      </c>
    </row>
    <row r="227" spans="1:13" ht="12.75">
      <c r="A227" s="132"/>
      <c r="B227" s="209"/>
      <c r="C227" s="210"/>
      <c r="D227" s="134">
        <v>1</v>
      </c>
      <c r="E227" s="134">
        <f>7.3*33.2</f>
        <v>242.36</v>
      </c>
      <c r="F227" s="134"/>
      <c r="G227" s="134"/>
      <c r="H227" s="134"/>
      <c r="I227" s="134"/>
      <c r="J227" s="135"/>
      <c r="K227" s="135">
        <f>ROUND(E227,2)</f>
        <v>242.36</v>
      </c>
      <c r="L227" s="134">
        <f>ROUND(D227*K227,2)</f>
        <v>242.36</v>
      </c>
      <c r="M227" s="136"/>
    </row>
    <row r="228" spans="1:13" ht="12.75">
      <c r="A228" s="146"/>
      <c r="B228" s="140"/>
      <c r="C228" s="143"/>
      <c r="D228" s="142"/>
      <c r="E228" s="142"/>
      <c r="F228" s="142"/>
      <c r="G228" s="142"/>
      <c r="H228" s="142"/>
      <c r="I228" s="142"/>
      <c r="J228" s="144"/>
      <c r="K228" s="144"/>
      <c r="L228" s="142"/>
      <c r="M228" s="145"/>
    </row>
    <row r="229" spans="1:13" ht="12.75">
      <c r="A229" s="128">
        <f>'[1]Orçamento Sintético - proj. (2)'!A72</f>
        <v>0</v>
      </c>
      <c r="B229" s="211">
        <f>'[1]Orçamento Sintético - proj. (2)'!B72</f>
        <v>0</v>
      </c>
      <c r="C229" s="212"/>
      <c r="D229" s="212"/>
      <c r="E229" s="212"/>
      <c r="F229" s="212"/>
      <c r="G229" s="212"/>
      <c r="H229" s="212"/>
      <c r="I229" s="212"/>
      <c r="J229" s="212"/>
      <c r="K229" s="213"/>
      <c r="L229" s="129">
        <f>K230</f>
        <v>29.96</v>
      </c>
      <c r="M229" s="130">
        <f>'[1]Orçamento Sintético - proj. (2)'!C72</f>
        <v>0</v>
      </c>
    </row>
    <row r="230" spans="1:13" ht="12.75">
      <c r="A230" s="132"/>
      <c r="B230" s="209"/>
      <c r="C230" s="210"/>
      <c r="D230" s="134">
        <v>1</v>
      </c>
      <c r="E230" s="134">
        <v>29.960999999999999</v>
      </c>
      <c r="F230" s="134"/>
      <c r="G230" s="134"/>
      <c r="H230" s="134"/>
      <c r="I230" s="134"/>
      <c r="J230" s="135"/>
      <c r="K230" s="135">
        <f>ROUND(E230,2)</f>
        <v>29.96</v>
      </c>
      <c r="L230" s="134">
        <f>ROUND(D230*K230,2)</f>
        <v>29.96</v>
      </c>
      <c r="M230" s="136"/>
    </row>
    <row r="231" spans="1:13" ht="12.75">
      <c r="A231" s="146"/>
      <c r="B231" s="140"/>
      <c r="C231" s="143"/>
      <c r="D231" s="142"/>
      <c r="E231" s="142"/>
      <c r="F231" s="142"/>
      <c r="G231" s="142"/>
      <c r="H231" s="142"/>
      <c r="I231" s="142"/>
      <c r="J231" s="144"/>
      <c r="K231" s="144"/>
      <c r="L231" s="142"/>
      <c r="M231" s="145"/>
    </row>
    <row r="232" spans="1:13" ht="12.75">
      <c r="A232" s="128">
        <f>'[1]Orçamento Sintético - proj. (2)'!A73</f>
        <v>0</v>
      </c>
      <c r="B232" s="137">
        <f>'[1]Orçamento Sintético - proj. (2)'!B73</f>
        <v>0</v>
      </c>
      <c r="C232" s="138"/>
      <c r="D232" s="138"/>
      <c r="E232" s="138"/>
      <c r="F232" s="138"/>
      <c r="G232" s="138"/>
      <c r="H232" s="138"/>
      <c r="I232" s="138"/>
      <c r="J232" s="138"/>
      <c r="K232" s="138"/>
      <c r="L232" s="129">
        <f>K233</f>
        <v>59.92</v>
      </c>
      <c r="M232" s="130">
        <f>'[1]Orçamento Sintético - proj. (2)'!C73</f>
        <v>0</v>
      </c>
    </row>
    <row r="233" spans="1:13" ht="12.75">
      <c r="A233" s="132"/>
      <c r="B233" s="209"/>
      <c r="C233" s="210"/>
      <c r="D233" s="134">
        <v>1</v>
      </c>
      <c r="E233" s="134">
        <v>59.921999999999997</v>
      </c>
      <c r="F233" s="134"/>
      <c r="G233" s="134"/>
      <c r="H233" s="134"/>
      <c r="I233" s="134"/>
      <c r="J233" s="135"/>
      <c r="K233" s="135">
        <f>ROUND(E233,2)</f>
        <v>59.92</v>
      </c>
      <c r="L233" s="134">
        <f>ROUND(D233*K233,2)</f>
        <v>59.92</v>
      </c>
      <c r="M233" s="136"/>
    </row>
    <row r="234" spans="1:13" ht="12.75">
      <c r="A234" s="146"/>
      <c r="B234" s="140"/>
      <c r="C234" s="143"/>
      <c r="D234" s="142"/>
      <c r="E234" s="142"/>
      <c r="F234" s="142"/>
      <c r="G234" s="142"/>
      <c r="H234" s="142"/>
      <c r="I234" s="142"/>
      <c r="J234" s="144"/>
      <c r="K234" s="144"/>
      <c r="L234" s="142"/>
      <c r="M234" s="145"/>
    </row>
    <row r="235" spans="1:13" ht="12.75">
      <c r="A235" s="128">
        <f>'[1]Orçamento Sintético - proj. (2)'!A74</f>
        <v>0</v>
      </c>
      <c r="B235" s="137">
        <f>'[1]Orçamento Sintético - proj. (2)'!B74</f>
        <v>0</v>
      </c>
      <c r="C235" s="138"/>
      <c r="D235" s="138"/>
      <c r="E235" s="138"/>
      <c r="F235" s="138"/>
      <c r="G235" s="138"/>
      <c r="H235" s="138"/>
      <c r="I235" s="138"/>
      <c r="J235" s="138"/>
      <c r="K235" s="138"/>
      <c r="L235" s="129">
        <f>K236</f>
        <v>59.92</v>
      </c>
      <c r="M235" s="130">
        <f>'[1]Orçamento Sintético - proj. (2)'!C74</f>
        <v>0</v>
      </c>
    </row>
    <row r="236" spans="1:13" ht="12.75">
      <c r="A236" s="132"/>
      <c r="B236" s="209"/>
      <c r="C236" s="210"/>
      <c r="D236" s="134">
        <v>1</v>
      </c>
      <c r="E236" s="134">
        <v>59.921999999999997</v>
      </c>
      <c r="F236" s="134"/>
      <c r="G236" s="134"/>
      <c r="H236" s="134"/>
      <c r="I236" s="134"/>
      <c r="J236" s="135"/>
      <c r="K236" s="135">
        <f>ROUND(E236,2)</f>
        <v>59.92</v>
      </c>
      <c r="L236" s="134">
        <f>ROUND(D236*K236,2)</f>
        <v>59.92</v>
      </c>
      <c r="M236" s="136"/>
    </row>
    <row r="237" spans="1:13" ht="12.75">
      <c r="A237" s="146"/>
      <c r="B237" s="140"/>
      <c r="C237" s="143"/>
      <c r="D237" s="142"/>
      <c r="E237" s="142"/>
      <c r="F237" s="142"/>
      <c r="G237" s="142"/>
      <c r="H237" s="142"/>
      <c r="I237" s="142"/>
      <c r="J237" s="144"/>
      <c r="K237" s="144"/>
      <c r="L237" s="142"/>
      <c r="M237" s="145"/>
    </row>
    <row r="238" spans="1:13" ht="12.75">
      <c r="A238" s="128">
        <f>'[1]Orçamento Sintético - proj. (2)'!A75</f>
        <v>0</v>
      </c>
      <c r="B238" s="211">
        <f>'[1]Orçamento Sintético - proj. (2)'!B75</f>
        <v>0</v>
      </c>
      <c r="C238" s="212"/>
      <c r="D238" s="212"/>
      <c r="E238" s="212"/>
      <c r="F238" s="212"/>
      <c r="G238" s="212"/>
      <c r="H238" s="212"/>
      <c r="I238" s="212"/>
      <c r="J238" s="212"/>
      <c r="K238" s="213"/>
      <c r="L238" s="129">
        <f>K239</f>
        <v>59.92</v>
      </c>
      <c r="M238" s="130">
        <f>'[1]Orçamento Sintético - proj. (2)'!C75</f>
        <v>0</v>
      </c>
    </row>
    <row r="239" spans="1:13" ht="12.75">
      <c r="A239" s="132"/>
      <c r="B239" s="209"/>
      <c r="C239" s="210"/>
      <c r="D239" s="134">
        <v>1</v>
      </c>
      <c r="E239" s="134">
        <v>59.921999999999997</v>
      </c>
      <c r="F239" s="134"/>
      <c r="G239" s="134"/>
      <c r="H239" s="134"/>
      <c r="I239" s="134"/>
      <c r="J239" s="135"/>
      <c r="K239" s="135">
        <f>ROUND(E239,2)</f>
        <v>59.92</v>
      </c>
      <c r="L239" s="134">
        <f>ROUND(D239*K239,2)</f>
        <v>59.92</v>
      </c>
      <c r="M239" s="136"/>
    </row>
    <row r="240" spans="1:13" ht="12.75">
      <c r="A240" s="146"/>
      <c r="B240" s="140"/>
      <c r="C240" s="143"/>
      <c r="D240" s="142"/>
      <c r="E240" s="142"/>
      <c r="F240" s="142"/>
      <c r="G240" s="142"/>
      <c r="H240" s="142"/>
      <c r="I240" s="142"/>
      <c r="J240" s="144"/>
      <c r="K240" s="144"/>
      <c r="L240" s="142"/>
      <c r="M240" s="145"/>
    </row>
    <row r="241" spans="1:13" ht="12.75">
      <c r="A241" s="128">
        <f>'[1]Orçamento Sintético - proj. (2)'!A76</f>
        <v>0</v>
      </c>
      <c r="B241" s="137">
        <f>'[1]Orçamento Sintético - proj. (2)'!B76</f>
        <v>0</v>
      </c>
      <c r="C241" s="138"/>
      <c r="D241" s="138"/>
      <c r="E241" s="138"/>
      <c r="F241" s="138"/>
      <c r="G241" s="138"/>
      <c r="H241" s="138"/>
      <c r="I241" s="138"/>
      <c r="J241" s="138"/>
      <c r="K241" s="138"/>
      <c r="L241" s="129">
        <f>K242</f>
        <v>59.92</v>
      </c>
      <c r="M241" s="130">
        <f>'[1]Orçamento Sintético - proj. (2)'!C76</f>
        <v>0</v>
      </c>
    </row>
    <row r="242" spans="1:13" ht="12.75">
      <c r="A242" s="132"/>
      <c r="B242" s="209"/>
      <c r="C242" s="210"/>
      <c r="D242" s="134">
        <v>1</v>
      </c>
      <c r="E242" s="134">
        <v>59.921999999999997</v>
      </c>
      <c r="F242" s="134"/>
      <c r="G242" s="134"/>
      <c r="H242" s="134"/>
      <c r="I242" s="134"/>
      <c r="J242" s="135"/>
      <c r="K242" s="135">
        <f>ROUND(E242,2)</f>
        <v>59.92</v>
      </c>
      <c r="L242" s="134">
        <f>ROUND(D242*K242,2)</f>
        <v>59.92</v>
      </c>
      <c r="M242" s="136"/>
    </row>
    <row r="243" spans="1:13" ht="12.75">
      <c r="A243" s="146"/>
      <c r="B243" s="140"/>
      <c r="C243" s="143"/>
      <c r="D243" s="142"/>
      <c r="E243" s="142"/>
      <c r="F243" s="142"/>
      <c r="G243" s="142"/>
      <c r="H243" s="142"/>
      <c r="I243" s="142"/>
      <c r="J243" s="144"/>
      <c r="K243" s="144"/>
      <c r="L243" s="142"/>
      <c r="M243" s="145"/>
    </row>
    <row r="244" spans="1:13" ht="12.75">
      <c r="A244" s="128">
        <f>'[1]Orçamento Sintético - proj. (2)'!A77</f>
        <v>0</v>
      </c>
      <c r="B244" s="211">
        <f>'[1]Orçamento Sintético - proj. (2)'!B77</f>
        <v>0</v>
      </c>
      <c r="C244" s="212"/>
      <c r="D244" s="212"/>
      <c r="E244" s="212"/>
      <c r="F244" s="212"/>
      <c r="G244" s="212"/>
      <c r="H244" s="212"/>
      <c r="I244" s="212"/>
      <c r="J244" s="212"/>
      <c r="K244" s="213"/>
      <c r="L244" s="129">
        <f>K245</f>
        <v>59.92</v>
      </c>
      <c r="M244" s="130">
        <f>'[1]Orçamento Sintético - proj. (2)'!C77</f>
        <v>0</v>
      </c>
    </row>
    <row r="245" spans="1:13" ht="12.75">
      <c r="A245" s="132"/>
      <c r="B245" s="209"/>
      <c r="C245" s="210"/>
      <c r="D245" s="134">
        <v>1</v>
      </c>
      <c r="E245" s="134">
        <v>59.921999999999997</v>
      </c>
      <c r="F245" s="134"/>
      <c r="G245" s="134"/>
      <c r="H245" s="134"/>
      <c r="I245" s="134"/>
      <c r="J245" s="135"/>
      <c r="K245" s="135">
        <f>ROUND(E245,2)</f>
        <v>59.92</v>
      </c>
      <c r="L245" s="134">
        <f>ROUND(D245*K245,2)</f>
        <v>59.92</v>
      </c>
      <c r="M245" s="136"/>
    </row>
    <row r="246" spans="1:13" ht="12.75">
      <c r="A246" s="146"/>
      <c r="B246" s="140"/>
      <c r="C246" s="143"/>
      <c r="D246" s="142"/>
      <c r="E246" s="142"/>
      <c r="F246" s="142"/>
      <c r="G246" s="142"/>
      <c r="H246" s="142"/>
      <c r="I246" s="142"/>
      <c r="J246" s="144"/>
      <c r="K246" s="144"/>
      <c r="L246" s="142"/>
      <c r="M246" s="145"/>
    </row>
    <row r="247" spans="1:13" ht="12.75">
      <c r="A247" s="128">
        <f>'[1]Orçamento Sintético - proj. (2)'!A78</f>
        <v>0</v>
      </c>
      <c r="B247" s="211">
        <f>'[1]Orçamento Sintético - proj. (2)'!B78</f>
        <v>0</v>
      </c>
      <c r="C247" s="212"/>
      <c r="D247" s="212"/>
      <c r="E247" s="212"/>
      <c r="F247" s="212"/>
      <c r="G247" s="212"/>
      <c r="H247" s="212"/>
      <c r="I247" s="212"/>
      <c r="J247" s="212"/>
      <c r="K247" s="213"/>
      <c r="L247" s="129">
        <f>L248</f>
        <v>24</v>
      </c>
      <c r="M247" s="130">
        <f>'[1]Orçamento Sintético - proj. (2)'!C78</f>
        <v>0</v>
      </c>
    </row>
    <row r="248" spans="1:13" ht="12.75">
      <c r="A248" s="132"/>
      <c r="B248" s="209"/>
      <c r="C248" s="210"/>
      <c r="D248" s="134">
        <v>4</v>
      </c>
      <c r="E248" s="134">
        <v>6</v>
      </c>
      <c r="F248" s="134"/>
      <c r="G248" s="134"/>
      <c r="H248" s="134"/>
      <c r="I248" s="134"/>
      <c r="J248" s="135"/>
      <c r="K248" s="135">
        <f>ROUND(E248,2)</f>
        <v>6</v>
      </c>
      <c r="L248" s="134">
        <f>ROUND(D248*K248,2)</f>
        <v>24</v>
      </c>
      <c r="M248" s="136"/>
    </row>
    <row r="249" spans="1:13" ht="12.75">
      <c r="A249" s="146"/>
      <c r="B249" s="140"/>
      <c r="C249" s="143"/>
      <c r="D249" s="142"/>
      <c r="E249" s="142"/>
      <c r="F249" s="142"/>
      <c r="G249" s="142"/>
      <c r="H249" s="142"/>
      <c r="I249" s="142"/>
      <c r="J249" s="144"/>
      <c r="K249" s="144"/>
      <c r="L249" s="142"/>
      <c r="M249" s="145"/>
    </row>
    <row r="250" spans="1:13" ht="12.75">
      <c r="A250" s="128">
        <f>'[1]Orçamento Sintético - proj. (2)'!A79</f>
        <v>0</v>
      </c>
      <c r="B250" s="211">
        <f>'[1]Orçamento Sintético - proj. (2)'!B79</f>
        <v>0</v>
      </c>
      <c r="C250" s="212"/>
      <c r="D250" s="212"/>
      <c r="E250" s="212"/>
      <c r="F250" s="212"/>
      <c r="G250" s="212"/>
      <c r="H250" s="212"/>
      <c r="I250" s="212"/>
      <c r="J250" s="212"/>
      <c r="K250" s="213"/>
      <c r="L250" s="129">
        <f>L251</f>
        <v>24</v>
      </c>
      <c r="M250" s="130">
        <f>'[1]Orçamento Sintético - proj. (2)'!C79</f>
        <v>0</v>
      </c>
    </row>
    <row r="251" spans="1:13" ht="12.75">
      <c r="A251" s="132"/>
      <c r="B251" s="209"/>
      <c r="C251" s="210"/>
      <c r="D251" s="134">
        <v>4</v>
      </c>
      <c r="E251" s="134">
        <v>6</v>
      </c>
      <c r="F251" s="134"/>
      <c r="G251" s="134"/>
      <c r="H251" s="134"/>
      <c r="I251" s="134"/>
      <c r="J251" s="135"/>
      <c r="K251" s="135">
        <f>ROUND(E251,2)</f>
        <v>6</v>
      </c>
      <c r="L251" s="134">
        <f>ROUND(D251*K251,2)</f>
        <v>24</v>
      </c>
      <c r="M251" s="136"/>
    </row>
    <row r="252" spans="1:13" ht="12.75"/>
    <row r="253" spans="1:13" ht="12.75"/>
    <row r="254" spans="1:13" ht="12.75"/>
    <row r="255" spans="1:13" ht="12.75"/>
    <row r="256" spans="1:13" ht="12.75"/>
    <row r="257" ht="12.75"/>
    <row r="258" ht="12.75"/>
    <row r="259" ht="12.75"/>
    <row r="260" ht="12.75"/>
    <row r="277" ht="12.75"/>
    <row r="278" ht="12.75"/>
    <row r="279" ht="12.75"/>
    <row r="280" ht="12.75"/>
    <row r="281" ht="12.75"/>
    <row r="282" ht="12.75"/>
    <row r="283" ht="12.75"/>
    <row r="284" ht="12.75"/>
    <row r="285" ht="12.75"/>
    <row r="286" ht="12.75"/>
    <row r="287" ht="12.75"/>
    <row r="288" ht="12.75"/>
    <row r="289" ht="12.75"/>
    <row r="290" ht="12.75"/>
    <row r="291" ht="12.75"/>
    <row r="292" ht="12.75"/>
    <row r="293" ht="12.75"/>
    <row r="294" ht="12.75"/>
    <row r="295" ht="12.75"/>
    <row r="296" ht="12.75"/>
    <row r="297" ht="12.75"/>
    <row r="298" ht="12.75"/>
    <row r="299" ht="12.75"/>
    <row r="300" ht="12.75"/>
    <row r="301" ht="12.75"/>
    <row r="302" ht="12.75"/>
    <row r="303" ht="12.75"/>
    <row r="304" ht="12.75"/>
    <row r="305" ht="12.75"/>
    <row r="306" ht="12.75"/>
    <row r="307" ht="12.75"/>
    <row r="308" ht="12.75"/>
    <row r="309" ht="12.75"/>
    <row r="310" ht="12.75"/>
    <row r="311" ht="12.75"/>
    <row r="312" ht="12.75"/>
    <row r="313" ht="12.75"/>
    <row r="314" ht="12.75"/>
    <row r="315" ht="12.75"/>
    <row r="316" ht="12.75"/>
    <row r="317" ht="12.75"/>
    <row r="318" ht="12.75"/>
    <row r="319" ht="12.75"/>
    <row r="320" ht="12.75"/>
    <row r="321" ht="12.75"/>
    <row r="322" ht="12.75"/>
    <row r="323" ht="12.75"/>
    <row r="324" ht="12.75"/>
    <row r="325" ht="12.75"/>
    <row r="326" ht="12.75"/>
    <row r="327" ht="12.75"/>
    <row r="328" ht="12.75"/>
    <row r="329" ht="12.75"/>
    <row r="330" ht="12.75"/>
    <row r="331" ht="12.75"/>
    <row r="332" ht="12.75"/>
    <row r="333" ht="12.75"/>
    <row r="334" ht="12.75"/>
    <row r="335" ht="12.75"/>
    <row r="336" ht="12.75"/>
    <row r="337" ht="12.75"/>
    <row r="338" ht="12.75"/>
    <row r="339" ht="12.75"/>
    <row r="340" ht="12.75"/>
    <row r="341" ht="12.75"/>
    <row r="342" ht="12.75"/>
    <row r="343" ht="12.75"/>
    <row r="344" ht="12.75"/>
    <row r="345" ht="12.75"/>
    <row r="346" ht="12.75"/>
    <row r="347" ht="12.75"/>
    <row r="348" ht="12.75"/>
    <row r="349" ht="12.75"/>
    <row r="350" ht="12.75"/>
    <row r="351" ht="12.75"/>
    <row r="352" ht="12.75"/>
    <row r="353" ht="12.75"/>
    <row r="354" ht="12.75"/>
    <row r="355" ht="12.75"/>
    <row r="356" ht="12.75"/>
    <row r="357" ht="12.75"/>
    <row r="358" ht="12.75"/>
    <row r="359" ht="12.75"/>
    <row r="360" ht="12.75"/>
    <row r="361" ht="15" customHeight="1"/>
    <row r="362" ht="39" customHeight="1"/>
    <row r="363" ht="12.75"/>
    <row r="364" ht="12.75"/>
    <row r="365" ht="12.75"/>
    <row r="366" ht="12.75"/>
    <row r="367" ht="12.75"/>
  </sheetData>
  <protectedRanges>
    <protectedRange sqref="L7 L142:L251 L9:L140" name="Intervalo1_1"/>
  </protectedRanges>
  <mergeCells count="105">
    <mergeCell ref="B205:C205"/>
    <mergeCell ref="B206:C206"/>
    <mergeCell ref="B49:C49"/>
    <mergeCell ref="B50:C50"/>
    <mergeCell ref="B51:C51"/>
    <mergeCell ref="B145:C145"/>
    <mergeCell ref="B146:C146"/>
    <mergeCell ref="B248:C248"/>
    <mergeCell ref="B209:C209"/>
    <mergeCell ref="B212:C212"/>
    <mergeCell ref="B214:K214"/>
    <mergeCell ref="B215:C215"/>
    <mergeCell ref="B217:K217"/>
    <mergeCell ref="B200:K200"/>
    <mergeCell ref="B201:C201"/>
    <mergeCell ref="B204:C204"/>
    <mergeCell ref="B143:K143"/>
    <mergeCell ref="B144:C144"/>
    <mergeCell ref="B150:K150"/>
    <mergeCell ref="B157:K157"/>
    <mergeCell ref="B160:C160"/>
    <mergeCell ref="B164:C164"/>
    <mergeCell ref="B147:C147"/>
    <mergeCell ref="B250:K250"/>
    <mergeCell ref="B251:C251"/>
    <mergeCell ref="B18:K18"/>
    <mergeCell ref="B21:K21"/>
    <mergeCell ref="B24:K24"/>
    <mergeCell ref="B38:K38"/>
    <mergeCell ref="B101:K101"/>
    <mergeCell ref="B203:K203"/>
    <mergeCell ref="B211:K211"/>
    <mergeCell ref="B239:C239"/>
    <mergeCell ref="B242:C242"/>
    <mergeCell ref="B244:K244"/>
    <mergeCell ref="B245:C245"/>
    <mergeCell ref="B247:K247"/>
    <mergeCell ref="B229:K229"/>
    <mergeCell ref="B230:C230"/>
    <mergeCell ref="B233:C233"/>
    <mergeCell ref="B236:C236"/>
    <mergeCell ref="B238:K238"/>
    <mergeCell ref="B218:C218"/>
    <mergeCell ref="B220:K220"/>
    <mergeCell ref="B221:C221"/>
    <mergeCell ref="B224:C224"/>
    <mergeCell ref="B227:C227"/>
    <mergeCell ref="M7:M8"/>
    <mergeCell ref="B12:K12"/>
    <mergeCell ref="B13:C13"/>
    <mergeCell ref="B148:C148"/>
    <mergeCell ref="B151:C151"/>
    <mergeCell ref="B152:C152"/>
    <mergeCell ref="B153:C153"/>
    <mergeCell ref="B154:C154"/>
    <mergeCell ref="B31:C31"/>
    <mergeCell ref="B33:K33"/>
    <mergeCell ref="B54:C54"/>
    <mergeCell ref="B60:K60"/>
    <mergeCell ref="B34:C34"/>
    <mergeCell ref="B39:C39"/>
    <mergeCell ref="B46:K46"/>
    <mergeCell ref="B47:C47"/>
    <mergeCell ref="B40:C40"/>
    <mergeCell ref="B41:C41"/>
    <mergeCell ref="B42:C42"/>
    <mergeCell ref="B43:C43"/>
    <mergeCell ref="B44:C44"/>
    <mergeCell ref="B48:C48"/>
    <mergeCell ref="B55:C55"/>
    <mergeCell ref="B56:C56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A7:A8"/>
    <mergeCell ref="B7:C8"/>
    <mergeCell ref="D7:D8"/>
    <mergeCell ref="B158:C158"/>
    <mergeCell ref="B159:C159"/>
    <mergeCell ref="B61:C61"/>
    <mergeCell ref="B62:C62"/>
    <mergeCell ref="B63:C63"/>
    <mergeCell ref="B67:C67"/>
    <mergeCell ref="B102:C102"/>
    <mergeCell ref="B103:C103"/>
    <mergeCell ref="B104:C104"/>
    <mergeCell ref="B108:C108"/>
    <mergeCell ref="B15:K15"/>
    <mergeCell ref="B16:C16"/>
    <mergeCell ref="B19:C19"/>
    <mergeCell ref="B22:C22"/>
    <mergeCell ref="B25:C25"/>
    <mergeCell ref="B27:K27"/>
    <mergeCell ref="B28:C28"/>
    <mergeCell ref="B30:K30"/>
    <mergeCell ref="E7:J7"/>
    <mergeCell ref="K7:L7"/>
    <mergeCell ref="B155:C155"/>
  </mergeCells>
  <phoneticPr fontId="30" type="noConversion"/>
  <printOptions horizontalCentered="1"/>
  <pageMargins left="0.31496062992125984" right="0.31496062992125984" top="0.78740157480314965" bottom="0.51181102362204722" header="0.31496062992125984" footer="0.31496062992125984"/>
  <pageSetup paperSize="9" scale="65" orientation="portrait" r:id="rId1"/>
  <rowBreaks count="4" manualBreakCount="4">
    <brk id="56" max="12" man="1"/>
    <brk id="141" max="12" man="1"/>
    <brk id="197" max="12" man="1"/>
    <brk id="251" max="12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N331"/>
  <sheetViews>
    <sheetView view="pageBreakPreview" topLeftCell="A85" zoomScale="70" zoomScaleNormal="85" zoomScaleSheetLayoutView="70" workbookViewId="0">
      <selection activeCell="K29" sqref="K29"/>
    </sheetView>
  </sheetViews>
  <sheetFormatPr defaultColWidth="11" defaultRowHeight="15.75"/>
  <cols>
    <col min="1" max="1" width="8.5703125" style="104" customWidth="1"/>
    <col min="2" max="2" width="88.42578125" style="105" customWidth="1"/>
    <col min="3" max="3" width="6" style="106" bestFit="1" customWidth="1"/>
    <col min="4" max="4" width="10.140625" style="106" bestFit="1" customWidth="1"/>
    <col min="5" max="5" width="12.5703125" style="23" bestFit="1" customWidth="1"/>
    <col min="6" max="6" width="17.5703125" style="23" bestFit="1" customWidth="1"/>
    <col min="7" max="7" width="16.42578125" style="23" customWidth="1"/>
    <col min="8" max="8" width="15" style="107" bestFit="1" customWidth="1"/>
    <col min="9" max="9" width="18.28515625" style="23" customWidth="1"/>
    <col min="10" max="10" width="16.28515625" style="23" customWidth="1"/>
    <col min="11" max="11" width="15" style="23" customWidth="1"/>
    <col min="12" max="12" width="18.42578125" style="23" customWidth="1"/>
    <col min="13" max="13" width="15.5703125" style="24" bestFit="1" customWidth="1"/>
    <col min="14" max="14" width="11.28515625" style="14" bestFit="1" customWidth="1"/>
    <col min="15" max="15" width="10.42578125" style="15" customWidth="1"/>
    <col min="16" max="16" width="11.42578125" style="7" customWidth="1"/>
    <col min="17" max="17" width="18.7109375" style="24" bestFit="1" customWidth="1"/>
    <col min="18" max="18" width="19.85546875" style="24" bestFit="1" customWidth="1"/>
    <col min="19" max="19" width="7.42578125" style="24" customWidth="1"/>
    <col min="20" max="20" width="6" style="8" bestFit="1" customWidth="1"/>
    <col min="21" max="21" width="6.5703125" style="9" bestFit="1" customWidth="1"/>
    <col min="22" max="23" width="11" style="9"/>
    <col min="24" max="24" width="6" style="10" bestFit="1" customWidth="1"/>
    <col min="25" max="25" width="11" style="9"/>
    <col min="26" max="16384" width="11" style="12"/>
  </cols>
  <sheetData>
    <row r="1" spans="1:62" ht="60" hidden="1" customHeight="1">
      <c r="A1" s="249"/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4"/>
      <c r="N1" s="5"/>
      <c r="O1" s="6"/>
      <c r="Q1" s="4"/>
      <c r="R1" s="4"/>
      <c r="S1" s="4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</row>
    <row r="2" spans="1:62" ht="18.75" hidden="1" customHeight="1">
      <c r="A2" s="250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13"/>
      <c r="Q2" s="13"/>
      <c r="R2" s="13"/>
      <c r="S2" s="13"/>
      <c r="T2" s="16"/>
      <c r="X2" s="17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</row>
    <row r="3" spans="1:62" hidden="1">
      <c r="A3" s="251" t="s">
        <v>14</v>
      </c>
      <c r="B3" s="252" t="s">
        <v>26</v>
      </c>
      <c r="C3" s="252" t="s">
        <v>27</v>
      </c>
      <c r="D3" s="252" t="s">
        <v>28</v>
      </c>
      <c r="E3" s="252" t="s">
        <v>15</v>
      </c>
      <c r="F3" s="252"/>
      <c r="G3" s="252"/>
      <c r="H3" s="252" t="s">
        <v>29</v>
      </c>
      <c r="I3" s="252" t="s">
        <v>30</v>
      </c>
      <c r="J3" s="252"/>
      <c r="K3" s="252" t="s">
        <v>29</v>
      </c>
      <c r="L3" s="252" t="s">
        <v>30</v>
      </c>
      <c r="M3" s="13"/>
      <c r="Q3" s="13"/>
      <c r="R3" s="13"/>
      <c r="S3" s="13"/>
      <c r="T3" s="16"/>
      <c r="X3" s="17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</row>
    <row r="4" spans="1:62" ht="16.5" hidden="1" thickBot="1">
      <c r="A4" s="18"/>
      <c r="B4" s="19"/>
      <c r="C4" s="20"/>
      <c r="D4" s="20"/>
      <c r="E4" s="21"/>
      <c r="F4" s="21"/>
      <c r="G4" s="21"/>
      <c r="H4" s="22"/>
      <c r="I4" s="2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</row>
    <row r="5" spans="1:62" ht="16.5" hidden="1" thickBot="1">
      <c r="A5" s="25"/>
      <c r="B5" s="19"/>
      <c r="C5" s="20"/>
      <c r="D5" s="20"/>
      <c r="E5" s="21"/>
      <c r="F5" s="21"/>
      <c r="G5" s="21"/>
      <c r="H5" s="22"/>
      <c r="I5" s="21"/>
      <c r="J5" s="21"/>
      <c r="K5" s="21"/>
      <c r="L5" s="2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</row>
    <row r="6" spans="1:62" ht="16.5" hidden="1" thickBot="1">
      <c r="A6" s="26"/>
      <c r="B6" s="27"/>
      <c r="C6" s="28"/>
      <c r="D6" s="21"/>
      <c r="E6" s="29"/>
      <c r="F6" s="29"/>
      <c r="G6" s="29"/>
      <c r="H6" s="30"/>
      <c r="I6" s="29"/>
      <c r="J6" s="29"/>
      <c r="K6" s="21"/>
      <c r="L6" s="21"/>
      <c r="M6" s="31"/>
      <c r="Q6" s="32"/>
      <c r="R6" s="12"/>
      <c r="S6" s="12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</row>
    <row r="7" spans="1:62" ht="16.5" hidden="1" thickBot="1">
      <c r="A7" s="26"/>
      <c r="B7" s="33"/>
      <c r="C7" s="34"/>
      <c r="D7" s="35"/>
      <c r="E7" s="36"/>
      <c r="F7" s="36"/>
      <c r="G7" s="36"/>
      <c r="H7" s="37"/>
      <c r="I7" s="36"/>
      <c r="J7" s="36"/>
      <c r="K7" s="21"/>
      <c r="L7" s="21"/>
      <c r="Q7" s="12"/>
      <c r="R7" s="12"/>
      <c r="S7" s="12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</row>
    <row r="8" spans="1:62" ht="16.5" hidden="1" thickBot="1">
      <c r="A8" s="38"/>
      <c r="B8" s="39"/>
      <c r="C8" s="29"/>
      <c r="D8" s="29"/>
      <c r="E8" s="253" t="s">
        <v>32</v>
      </c>
      <c r="F8" s="254"/>
      <c r="G8" s="254"/>
      <c r="H8" s="254"/>
      <c r="I8" s="254"/>
      <c r="J8" s="254"/>
      <c r="K8" s="254"/>
      <c r="L8" s="254"/>
      <c r="M8" s="13"/>
      <c r="Q8" s="13"/>
      <c r="R8" s="13"/>
      <c r="S8" s="13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</row>
    <row r="9" spans="1:62" hidden="1">
      <c r="A9" s="40"/>
      <c r="B9" s="41"/>
      <c r="C9" s="42"/>
      <c r="D9" s="42"/>
      <c r="E9" s="255" t="s">
        <v>31</v>
      </c>
      <c r="F9" s="256"/>
      <c r="G9" s="256"/>
      <c r="H9" s="256"/>
      <c r="I9" s="256"/>
      <c r="J9" s="186"/>
      <c r="K9" s="256"/>
      <c r="L9" s="256"/>
      <c r="M9" s="13"/>
      <c r="Q9" s="13"/>
      <c r="R9" s="13"/>
      <c r="S9" s="13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</row>
    <row r="10" spans="1:62">
      <c r="A10" s="43"/>
      <c r="B10" s="44"/>
      <c r="C10" s="45"/>
      <c r="D10" s="45"/>
      <c r="E10" s="46"/>
      <c r="F10" s="46"/>
      <c r="G10" s="46"/>
      <c r="H10" s="46"/>
      <c r="I10" s="46"/>
      <c r="J10" s="46"/>
      <c r="K10" s="46"/>
      <c r="L10" s="46"/>
      <c r="M10" s="13"/>
      <c r="Q10" s="13"/>
      <c r="R10" s="13"/>
      <c r="S10" s="13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</row>
    <row r="11" spans="1:62">
      <c r="A11" s="47"/>
      <c r="B11" s="44"/>
      <c r="C11" s="45"/>
      <c r="D11" s="45"/>
      <c r="E11" s="46"/>
      <c r="F11" s="46"/>
      <c r="G11" s="46"/>
      <c r="H11" s="46"/>
      <c r="I11" s="46"/>
      <c r="J11" s="46"/>
      <c r="M11" s="13"/>
      <c r="Q11" s="13"/>
      <c r="R11" s="13"/>
      <c r="S11" s="13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</row>
    <row r="12" spans="1:62">
      <c r="A12" s="43"/>
      <c r="B12" s="44"/>
      <c r="C12" s="45"/>
      <c r="D12" s="45"/>
      <c r="E12" s="46"/>
      <c r="F12" s="46"/>
      <c r="G12" s="46"/>
      <c r="H12" s="46"/>
      <c r="I12" s="46"/>
      <c r="J12" s="46"/>
      <c r="K12" s="46"/>
      <c r="L12" s="46"/>
      <c r="M12" s="13"/>
      <c r="Q12" s="13"/>
      <c r="R12" s="13"/>
      <c r="S12" s="13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</row>
    <row r="13" spans="1:62">
      <c r="A13" s="43"/>
      <c r="B13" s="44"/>
      <c r="C13" s="45"/>
      <c r="D13" s="45"/>
      <c r="E13" s="46"/>
      <c r="F13" s="46"/>
      <c r="G13" s="46"/>
      <c r="H13" s="46"/>
      <c r="I13" s="46"/>
      <c r="J13" s="46"/>
      <c r="M13" s="13"/>
      <c r="Q13" s="13"/>
      <c r="R13" s="13"/>
      <c r="S13" s="13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</row>
    <row r="14" spans="1:62">
      <c r="A14" s="43"/>
      <c r="B14" s="44"/>
      <c r="C14" s="45"/>
      <c r="D14" s="45"/>
      <c r="E14" s="46"/>
      <c r="F14" s="46"/>
      <c r="G14" s="46"/>
      <c r="H14" s="46"/>
      <c r="I14" s="46"/>
      <c r="J14" s="46"/>
      <c r="M14" s="13"/>
      <c r="Q14" s="13"/>
      <c r="R14" s="13"/>
      <c r="S14" s="13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</row>
    <row r="15" spans="1:62">
      <c r="A15" s="246" t="s">
        <v>425</v>
      </c>
      <c r="B15" s="246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13"/>
      <c r="Q15" s="13"/>
      <c r="R15" s="13"/>
      <c r="S15" s="13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</row>
    <row r="16" spans="1:62">
      <c r="A16" s="246" t="s">
        <v>427</v>
      </c>
      <c r="B16" s="246"/>
      <c r="C16" s="246"/>
      <c r="D16" s="246"/>
      <c r="E16" s="246"/>
      <c r="F16" s="246"/>
      <c r="G16" s="246"/>
      <c r="H16" s="246"/>
      <c r="I16" s="246"/>
      <c r="J16" s="246"/>
      <c r="K16" s="246"/>
      <c r="L16" s="246"/>
      <c r="M16" s="13"/>
      <c r="Q16" s="13"/>
      <c r="R16" s="13"/>
      <c r="S16" s="13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</row>
    <row r="17" spans="1:62">
      <c r="A17" s="43"/>
      <c r="B17" s="44"/>
      <c r="C17" s="45"/>
      <c r="D17" s="45"/>
      <c r="E17" s="46"/>
      <c r="F17" s="46"/>
      <c r="G17" s="46"/>
      <c r="H17" s="46"/>
      <c r="I17" s="46"/>
      <c r="J17" s="46"/>
      <c r="M17" s="13"/>
      <c r="Q17" s="13"/>
      <c r="R17" s="13"/>
      <c r="S17" s="13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</row>
    <row r="18" spans="1:62" s="54" customFormat="1">
      <c r="A18" s="48"/>
      <c r="B18" s="49"/>
      <c r="C18" s="50"/>
      <c r="D18" s="51"/>
      <c r="E18" s="52"/>
      <c r="F18" s="52"/>
      <c r="G18" s="52"/>
      <c r="H18" s="52"/>
      <c r="I18" s="52"/>
      <c r="J18" s="52"/>
      <c r="K18" s="52"/>
      <c r="L18" s="53"/>
    </row>
    <row r="19" spans="1:62" s="54" customFormat="1" ht="18">
      <c r="A19" s="48"/>
      <c r="B19" s="48"/>
      <c r="C19" s="48"/>
      <c r="E19" s="48"/>
      <c r="F19" s="48"/>
      <c r="G19" s="48"/>
      <c r="H19" s="48"/>
      <c r="I19" s="285" t="s">
        <v>716</v>
      </c>
      <c r="J19" s="285"/>
      <c r="K19" s="285"/>
      <c r="L19" s="285"/>
    </row>
    <row r="20" spans="1:62" s="54" customFormat="1">
      <c r="A20" s="260"/>
      <c r="B20" s="260"/>
      <c r="C20" s="260"/>
      <c r="D20" s="260"/>
      <c r="E20" s="260"/>
      <c r="F20" s="260"/>
      <c r="G20" s="260"/>
      <c r="H20" s="260"/>
      <c r="I20" s="55" t="s">
        <v>33</v>
      </c>
      <c r="J20" s="56"/>
      <c r="K20" s="56"/>
      <c r="L20" s="57">
        <v>45051</v>
      </c>
    </row>
    <row r="21" spans="1:62" s="54" customFormat="1">
      <c r="A21" s="1"/>
      <c r="B21" s="53"/>
      <c r="C21" s="1"/>
      <c r="D21" s="1"/>
      <c r="E21" s="1"/>
      <c r="F21" s="1"/>
      <c r="G21" s="1"/>
      <c r="H21" s="1"/>
      <c r="I21" s="55" t="s">
        <v>420</v>
      </c>
      <c r="J21" s="56"/>
      <c r="K21" s="56"/>
      <c r="L21" s="2">
        <f>F289</f>
        <v>751811.60013000015</v>
      </c>
      <c r="M21" s="58">
        <v>719635.08</v>
      </c>
      <c r="N21" s="59">
        <v>719635.08</v>
      </c>
      <c r="O21" s="60">
        <v>0.23880000000000001</v>
      </c>
    </row>
    <row r="22" spans="1:62" s="54" customFormat="1">
      <c r="A22" s="1"/>
      <c r="B22" s="53"/>
      <c r="C22" s="1"/>
      <c r="D22" s="1"/>
      <c r="E22" s="1"/>
      <c r="F22" s="1"/>
      <c r="G22" s="1"/>
      <c r="H22" s="1"/>
      <c r="I22" s="55" t="s">
        <v>34</v>
      </c>
      <c r="J22" s="56"/>
      <c r="K22" s="56"/>
      <c r="L22" s="2">
        <f>L21-L23-L24</f>
        <v>102827.63223000006</v>
      </c>
      <c r="M22" s="61" t="e">
        <f>SUM(L21+#REF!)</f>
        <v>#REF!</v>
      </c>
      <c r="N22" s="59">
        <f>SUM(N21*O21+N21)</f>
        <v>891483.93710400001</v>
      </c>
      <c r="O22" s="59"/>
    </row>
    <row r="23" spans="1:62" s="54" customFormat="1">
      <c r="C23" s="1"/>
      <c r="D23" s="1"/>
      <c r="E23" s="1"/>
      <c r="F23" s="1"/>
      <c r="G23" s="1"/>
      <c r="H23" s="1"/>
      <c r="I23" s="55" t="s">
        <v>35</v>
      </c>
      <c r="J23" s="56"/>
      <c r="K23" s="56"/>
      <c r="L23" s="2">
        <f>J289</f>
        <v>562639.5952000001</v>
      </c>
      <c r="M23" s="61"/>
      <c r="N23" s="62"/>
      <c r="O23" s="62"/>
    </row>
    <row r="24" spans="1:62" s="54" customFormat="1">
      <c r="A24" s="247" t="s">
        <v>428</v>
      </c>
      <c r="B24" s="247"/>
      <c r="C24" s="49"/>
      <c r="D24" s="50"/>
      <c r="E24" s="49"/>
      <c r="F24" s="49"/>
      <c r="G24" s="49"/>
      <c r="H24" s="49"/>
      <c r="I24" s="63" t="s">
        <v>36</v>
      </c>
      <c r="J24" s="64"/>
      <c r="K24" s="64"/>
      <c r="L24" s="3">
        <f>K289</f>
        <v>86344.372699999993</v>
      </c>
    </row>
    <row r="25" spans="1:62" s="54" customFormat="1">
      <c r="A25" s="247" t="s">
        <v>526</v>
      </c>
      <c r="B25" s="247"/>
      <c r="C25" s="49"/>
      <c r="D25" s="50"/>
      <c r="E25" s="49"/>
      <c r="F25" s="49"/>
      <c r="G25" s="49"/>
      <c r="H25" s="49"/>
    </row>
    <row r="26" spans="1:62" s="54" customFormat="1">
      <c r="A26" s="48" t="s">
        <v>429</v>
      </c>
      <c r="B26" s="49"/>
      <c r="C26" s="50"/>
      <c r="D26" s="51"/>
      <c r="E26" s="52"/>
      <c r="F26" s="52"/>
      <c r="G26" s="52"/>
      <c r="H26" s="52"/>
      <c r="AN26" s="54" t="str">
        <f>IF(AL26=100%,"à medir","medido")</f>
        <v>medido</v>
      </c>
    </row>
    <row r="27" spans="1:62" s="54" customFormat="1">
      <c r="A27" s="48"/>
      <c r="B27" s="49"/>
      <c r="C27" s="50"/>
      <c r="D27" s="51"/>
      <c r="E27" s="52"/>
      <c r="F27" s="52"/>
      <c r="G27" s="52"/>
      <c r="H27" s="52"/>
      <c r="I27" s="65"/>
      <c r="J27" s="65"/>
      <c r="K27" s="52"/>
      <c r="L27" s="67"/>
    </row>
    <row r="28" spans="1:62" s="54" customFormat="1">
      <c r="A28" s="299" t="s">
        <v>14</v>
      </c>
      <c r="B28" s="295" t="s">
        <v>26</v>
      </c>
      <c r="C28" s="294" t="s">
        <v>27</v>
      </c>
      <c r="D28" s="294" t="s">
        <v>15</v>
      </c>
      <c r="E28" s="293" t="s">
        <v>28</v>
      </c>
      <c r="F28" s="293" t="s">
        <v>38</v>
      </c>
      <c r="G28" s="293" t="s">
        <v>539</v>
      </c>
      <c r="H28" s="293"/>
      <c r="I28" s="293"/>
      <c r="J28" s="293" t="s">
        <v>540</v>
      </c>
      <c r="K28" s="293"/>
      <c r="L28" s="293"/>
    </row>
    <row r="29" spans="1:62" ht="50.25" customHeight="1">
      <c r="A29" s="299"/>
      <c r="B29" s="295"/>
      <c r="C29" s="294"/>
      <c r="D29" s="294"/>
      <c r="E29" s="293"/>
      <c r="F29" s="293"/>
      <c r="G29" s="189" t="s">
        <v>533</v>
      </c>
      <c r="H29" s="189" t="s">
        <v>37</v>
      </c>
      <c r="I29" s="189" t="s">
        <v>39</v>
      </c>
      <c r="J29" s="189" t="s">
        <v>533</v>
      </c>
      <c r="K29" s="189" t="s">
        <v>37</v>
      </c>
      <c r="L29" s="189" t="s">
        <v>39</v>
      </c>
      <c r="M29" s="72"/>
      <c r="N29" s="73"/>
      <c r="O29" s="74"/>
      <c r="Q29" s="73"/>
      <c r="R29" s="73"/>
      <c r="S29" s="72"/>
      <c r="T29" s="16"/>
      <c r="X29" s="17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</row>
    <row r="30" spans="1:62" ht="24.6" customHeight="1">
      <c r="A30" s="296" t="s">
        <v>40</v>
      </c>
      <c r="B30" s="297"/>
      <c r="C30" s="297"/>
      <c r="D30" s="297"/>
      <c r="E30" s="297"/>
      <c r="F30" s="297"/>
      <c r="G30" s="297"/>
      <c r="H30" s="297"/>
      <c r="I30" s="297"/>
      <c r="J30" s="297"/>
      <c r="K30" s="297"/>
      <c r="L30" s="298"/>
      <c r="M30" s="72"/>
      <c r="N30" s="73"/>
      <c r="O30" s="74"/>
      <c r="Q30" s="73"/>
      <c r="R30" s="73"/>
      <c r="S30" s="72"/>
      <c r="T30" s="16"/>
      <c r="X30" s="17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</row>
    <row r="31" spans="1:62" s="87" customFormat="1">
      <c r="A31" s="148" t="s">
        <v>1</v>
      </c>
      <c r="B31" s="149" t="s">
        <v>0</v>
      </c>
      <c r="C31" s="150"/>
      <c r="D31" s="151"/>
      <c r="E31" s="150"/>
      <c r="F31" s="150">
        <f>SUM(F32:F41)</f>
        <v>17702.1358</v>
      </c>
      <c r="G31" s="150"/>
      <c r="H31" s="150"/>
      <c r="I31" s="150"/>
      <c r="J31" s="150">
        <f>SUM(J32:J41)</f>
        <v>17702.1358</v>
      </c>
      <c r="K31" s="150">
        <f t="shared" ref="K31:L31" si="0">SUM(K32:K41)</f>
        <v>0</v>
      </c>
      <c r="L31" s="150">
        <f t="shared" si="0"/>
        <v>17702.1358</v>
      </c>
      <c r="M31" s="188">
        <f>L31/F31</f>
        <v>1</v>
      </c>
      <c r="N31" s="80"/>
      <c r="O31" s="81"/>
      <c r="P31" s="7"/>
      <c r="Q31" s="79"/>
      <c r="R31" s="79"/>
      <c r="S31" s="79"/>
      <c r="T31" s="16"/>
      <c r="U31" s="82"/>
      <c r="V31" s="14"/>
      <c r="W31" s="83"/>
      <c r="X31" s="84"/>
      <c r="Y31" s="83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</row>
    <row r="32" spans="1:62">
      <c r="A32" s="88"/>
      <c r="B32" s="89"/>
      <c r="C32" s="88"/>
      <c r="D32" s="90"/>
      <c r="E32" s="152"/>
      <c r="F32" s="152"/>
      <c r="G32" s="152"/>
      <c r="H32" s="152"/>
      <c r="I32" s="152"/>
      <c r="J32" s="152"/>
      <c r="K32" s="152"/>
      <c r="L32" s="152"/>
      <c r="M32" s="188" t="e">
        <f t="shared" ref="M32:M95" si="1">L32/F32</f>
        <v>#DIV/0!</v>
      </c>
      <c r="N32" s="80"/>
      <c r="O32" s="81"/>
      <c r="Q32" s="80"/>
      <c r="R32" s="80"/>
      <c r="S32" s="91"/>
      <c r="U32" s="82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</row>
    <row r="33" spans="1:62">
      <c r="A33" s="153" t="s">
        <v>41</v>
      </c>
      <c r="B33" s="154" t="s">
        <v>366</v>
      </c>
      <c r="C33" s="155" t="s">
        <v>16</v>
      </c>
      <c r="D33" s="156">
        <v>6</v>
      </c>
      <c r="E33" s="156">
        <v>297.62</v>
      </c>
      <c r="F33" s="156">
        <f>D33*E33</f>
        <v>1785.72</v>
      </c>
      <c r="G33" s="156">
        <v>6</v>
      </c>
      <c r="H33" s="156"/>
      <c r="I33" s="156">
        <f>G33+H33</f>
        <v>6</v>
      </c>
      <c r="J33" s="156">
        <f>E33*G33</f>
        <v>1785.72</v>
      </c>
      <c r="K33" s="156">
        <f t="shared" ref="K33:K41" si="2">H33*E33</f>
        <v>0</v>
      </c>
      <c r="L33" s="156">
        <f>J33+K33</f>
        <v>1785.72</v>
      </c>
      <c r="M33" s="188">
        <f t="shared" si="1"/>
        <v>1</v>
      </c>
      <c r="N33" s="92"/>
      <c r="O33" s="81"/>
      <c r="Q33" s="92"/>
      <c r="R33" s="92"/>
      <c r="S33" s="93"/>
      <c r="U33" s="82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</row>
    <row r="34" spans="1:62" ht="28.5">
      <c r="A34" s="153" t="s">
        <v>42</v>
      </c>
      <c r="B34" s="154" t="s">
        <v>305</v>
      </c>
      <c r="C34" s="155" t="s">
        <v>43</v>
      </c>
      <c r="D34" s="156">
        <v>140</v>
      </c>
      <c r="E34" s="156">
        <v>36.409999999999997</v>
      </c>
      <c r="F34" s="156">
        <f t="shared" ref="F34:F41" si="3">D34*E34</f>
        <v>5097.3999999999996</v>
      </c>
      <c r="G34" s="156">
        <v>140</v>
      </c>
      <c r="H34" s="156"/>
      <c r="I34" s="156">
        <f t="shared" ref="I34:I41" si="4">G34+H34</f>
        <v>140</v>
      </c>
      <c r="J34" s="156">
        <f t="shared" ref="J34:J39" si="5">E34*G34</f>
        <v>5097.3999999999996</v>
      </c>
      <c r="K34" s="156">
        <f t="shared" si="2"/>
        <v>0</v>
      </c>
      <c r="L34" s="156">
        <f t="shared" ref="L34:L41" si="6">J34+K34</f>
        <v>5097.3999999999996</v>
      </c>
      <c r="M34" s="188">
        <f t="shared" si="1"/>
        <v>1</v>
      </c>
      <c r="N34" s="80"/>
      <c r="O34" s="81"/>
      <c r="Q34" s="80"/>
      <c r="R34" s="80"/>
      <c r="S34" s="91"/>
      <c r="U34" s="82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</row>
    <row r="35" spans="1:62" ht="42.75">
      <c r="A35" s="153" t="s">
        <v>44</v>
      </c>
      <c r="B35" s="154" t="s">
        <v>367</v>
      </c>
      <c r="C35" s="155" t="s">
        <v>16</v>
      </c>
      <c r="D35" s="156">
        <v>1500</v>
      </c>
      <c r="E35" s="156">
        <v>0.22</v>
      </c>
      <c r="F35" s="156">
        <f t="shared" si="3"/>
        <v>330</v>
      </c>
      <c r="G35" s="156">
        <v>1500</v>
      </c>
      <c r="H35" s="156"/>
      <c r="I35" s="156">
        <f t="shared" si="4"/>
        <v>1500</v>
      </c>
      <c r="J35" s="156">
        <f t="shared" si="5"/>
        <v>330</v>
      </c>
      <c r="K35" s="156">
        <f t="shared" si="2"/>
        <v>0</v>
      </c>
      <c r="L35" s="156">
        <f t="shared" si="6"/>
        <v>330</v>
      </c>
      <c r="M35" s="188">
        <f t="shared" si="1"/>
        <v>1</v>
      </c>
      <c r="N35" s="80"/>
      <c r="O35" s="81"/>
      <c r="Q35" s="80"/>
      <c r="R35" s="80"/>
      <c r="S35" s="91"/>
      <c r="U35" s="82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</row>
    <row r="36" spans="1:62" s="87" customFormat="1" ht="42.75">
      <c r="A36" s="153" t="s">
        <v>45</v>
      </c>
      <c r="B36" s="154" t="s">
        <v>368</v>
      </c>
      <c r="C36" s="155" t="s">
        <v>7</v>
      </c>
      <c r="D36" s="156">
        <v>0</v>
      </c>
      <c r="E36" s="156">
        <v>414.92</v>
      </c>
      <c r="F36" s="156">
        <f t="shared" si="3"/>
        <v>0</v>
      </c>
      <c r="G36" s="156">
        <v>0</v>
      </c>
      <c r="H36" s="156"/>
      <c r="I36" s="156">
        <f t="shared" si="4"/>
        <v>0</v>
      </c>
      <c r="J36" s="156">
        <f t="shared" si="5"/>
        <v>0</v>
      </c>
      <c r="K36" s="156">
        <f t="shared" si="2"/>
        <v>0</v>
      </c>
      <c r="L36" s="156">
        <f t="shared" si="6"/>
        <v>0</v>
      </c>
      <c r="M36" s="188" t="e">
        <f t="shared" si="1"/>
        <v>#DIV/0!</v>
      </c>
      <c r="N36" s="80"/>
      <c r="O36" s="81"/>
      <c r="P36" s="7"/>
      <c r="Q36" s="79"/>
      <c r="R36" s="79"/>
      <c r="S36" s="79"/>
      <c r="T36" s="16"/>
      <c r="U36" s="82"/>
      <c r="V36" s="14"/>
      <c r="W36" s="83"/>
      <c r="X36" s="84"/>
      <c r="Y36" s="83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</row>
    <row r="37" spans="1:62" s="87" customFormat="1" ht="34.5" customHeight="1">
      <c r="A37" s="153" t="s">
        <v>46</v>
      </c>
      <c r="B37" s="157" t="s">
        <v>369</v>
      </c>
      <c r="C37" s="155" t="s">
        <v>7</v>
      </c>
      <c r="D37" s="156">
        <v>0</v>
      </c>
      <c r="E37" s="156">
        <v>1100.67</v>
      </c>
      <c r="F37" s="156">
        <f t="shared" si="3"/>
        <v>0</v>
      </c>
      <c r="G37" s="156">
        <v>0</v>
      </c>
      <c r="H37" s="156"/>
      <c r="I37" s="156">
        <f t="shared" si="4"/>
        <v>0</v>
      </c>
      <c r="J37" s="156">
        <f t="shared" si="5"/>
        <v>0</v>
      </c>
      <c r="K37" s="156">
        <f t="shared" si="2"/>
        <v>0</v>
      </c>
      <c r="L37" s="156">
        <f t="shared" si="6"/>
        <v>0</v>
      </c>
      <c r="M37" s="188" t="e">
        <f t="shared" si="1"/>
        <v>#DIV/0!</v>
      </c>
      <c r="N37" s="80"/>
      <c r="O37" s="81"/>
      <c r="P37" s="7"/>
      <c r="Q37" s="79"/>
      <c r="R37" s="79"/>
      <c r="S37" s="79"/>
      <c r="T37" s="16"/>
      <c r="U37" s="82"/>
      <c r="V37" s="14"/>
      <c r="W37" s="83"/>
      <c r="X37" s="84"/>
      <c r="Y37" s="83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</row>
    <row r="38" spans="1:62" s="87" customFormat="1" ht="42.75">
      <c r="A38" s="153" t="s">
        <v>47</v>
      </c>
      <c r="B38" s="157" t="s">
        <v>370</v>
      </c>
      <c r="C38" s="155" t="s">
        <v>7</v>
      </c>
      <c r="D38" s="156">
        <v>0</v>
      </c>
      <c r="E38" s="156">
        <v>467.94</v>
      </c>
      <c r="F38" s="156">
        <f t="shared" si="3"/>
        <v>0</v>
      </c>
      <c r="G38" s="156">
        <v>0</v>
      </c>
      <c r="H38" s="156"/>
      <c r="I38" s="156">
        <f t="shared" si="4"/>
        <v>0</v>
      </c>
      <c r="J38" s="156">
        <f t="shared" si="5"/>
        <v>0</v>
      </c>
      <c r="K38" s="156">
        <f t="shared" si="2"/>
        <v>0</v>
      </c>
      <c r="L38" s="156">
        <f t="shared" si="6"/>
        <v>0</v>
      </c>
      <c r="M38" s="188" t="e">
        <f t="shared" si="1"/>
        <v>#DIV/0!</v>
      </c>
      <c r="N38" s="80"/>
      <c r="O38" s="81"/>
      <c r="P38" s="7"/>
      <c r="Q38" s="79"/>
      <c r="R38" s="79"/>
      <c r="S38" s="79"/>
      <c r="T38" s="16"/>
      <c r="U38" s="82"/>
      <c r="V38" s="14"/>
      <c r="W38" s="83"/>
      <c r="X38" s="84"/>
      <c r="Y38" s="83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</row>
    <row r="39" spans="1:62" s="87" customFormat="1">
      <c r="A39" s="153" t="s">
        <v>48</v>
      </c>
      <c r="B39" s="158" t="s">
        <v>371</v>
      </c>
      <c r="C39" s="155" t="s">
        <v>50</v>
      </c>
      <c r="D39" s="156">
        <v>0</v>
      </c>
      <c r="E39" s="156">
        <v>490.5</v>
      </c>
      <c r="F39" s="156">
        <f t="shared" si="3"/>
        <v>0</v>
      </c>
      <c r="G39" s="156">
        <v>0</v>
      </c>
      <c r="H39" s="156"/>
      <c r="I39" s="156">
        <f t="shared" si="4"/>
        <v>0</v>
      </c>
      <c r="J39" s="156">
        <f t="shared" si="5"/>
        <v>0</v>
      </c>
      <c r="K39" s="156">
        <f t="shared" si="2"/>
        <v>0</v>
      </c>
      <c r="L39" s="156">
        <f t="shared" si="6"/>
        <v>0</v>
      </c>
      <c r="M39" s="188" t="e">
        <f t="shared" si="1"/>
        <v>#DIV/0!</v>
      </c>
      <c r="N39" s="80"/>
      <c r="O39" s="81"/>
      <c r="P39" s="7"/>
      <c r="Q39" s="79"/>
      <c r="R39" s="79"/>
      <c r="S39" s="79"/>
      <c r="T39" s="16"/>
      <c r="U39" s="82"/>
      <c r="V39" s="14"/>
      <c r="W39" s="83"/>
      <c r="X39" s="84"/>
      <c r="Y39" s="83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</row>
    <row r="40" spans="1:62" s="87" customFormat="1">
      <c r="A40" s="153" t="s">
        <v>49</v>
      </c>
      <c r="B40" s="158" t="s">
        <v>372</v>
      </c>
      <c r="C40" s="155" t="s">
        <v>50</v>
      </c>
      <c r="D40" s="156">
        <v>0</v>
      </c>
      <c r="E40" s="156">
        <v>452.14</v>
      </c>
      <c r="F40" s="156">
        <f t="shared" si="3"/>
        <v>0</v>
      </c>
      <c r="G40" s="156">
        <v>0</v>
      </c>
      <c r="H40" s="156"/>
      <c r="I40" s="156">
        <f t="shared" si="4"/>
        <v>0</v>
      </c>
      <c r="J40" s="156">
        <f>E40*G40</f>
        <v>0</v>
      </c>
      <c r="K40" s="156">
        <f t="shared" si="2"/>
        <v>0</v>
      </c>
      <c r="L40" s="156">
        <f t="shared" si="6"/>
        <v>0</v>
      </c>
      <c r="M40" s="188" t="e">
        <f t="shared" si="1"/>
        <v>#DIV/0!</v>
      </c>
      <c r="N40" s="80"/>
      <c r="O40" s="81"/>
      <c r="P40" s="7"/>
      <c r="Q40" s="79"/>
      <c r="R40" s="79"/>
      <c r="S40" s="79"/>
      <c r="T40" s="16"/>
      <c r="U40" s="82"/>
      <c r="V40" s="14"/>
      <c r="W40" s="83"/>
      <c r="X40" s="84"/>
      <c r="Y40" s="83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</row>
    <row r="41" spans="1:62" s="87" customFormat="1">
      <c r="A41" s="153" t="s">
        <v>581</v>
      </c>
      <c r="B41" s="158" t="s">
        <v>582</v>
      </c>
      <c r="C41" s="155" t="s">
        <v>81</v>
      </c>
      <c r="D41" s="156">
        <v>37.409999999999997</v>
      </c>
      <c r="E41" s="156">
        <v>280.38</v>
      </c>
      <c r="F41" s="156">
        <f t="shared" si="3"/>
        <v>10489.015799999999</v>
      </c>
      <c r="G41" s="156">
        <v>37.409999999999997</v>
      </c>
      <c r="H41" s="156"/>
      <c r="I41" s="156">
        <f t="shared" si="4"/>
        <v>37.409999999999997</v>
      </c>
      <c r="J41" s="156">
        <f>E41*G41</f>
        <v>10489.015799999999</v>
      </c>
      <c r="K41" s="156">
        <f t="shared" si="2"/>
        <v>0</v>
      </c>
      <c r="L41" s="156">
        <f t="shared" si="6"/>
        <v>10489.015799999999</v>
      </c>
      <c r="M41" s="188">
        <f t="shared" si="1"/>
        <v>1</v>
      </c>
      <c r="N41" s="92"/>
      <c r="O41" s="81"/>
      <c r="P41" s="7"/>
      <c r="Q41" s="79"/>
      <c r="R41" s="79"/>
      <c r="S41" s="79"/>
      <c r="T41" s="16"/>
      <c r="U41" s="82"/>
      <c r="V41" s="14"/>
      <c r="W41" s="83"/>
      <c r="X41" s="84"/>
      <c r="Y41" s="83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</row>
    <row r="42" spans="1:62">
      <c r="A42" s="156"/>
      <c r="B42" s="159"/>
      <c r="C42" s="155"/>
      <c r="D42" s="156"/>
      <c r="E42" s="156"/>
      <c r="F42" s="156"/>
      <c r="G42" s="156"/>
      <c r="H42" s="156"/>
      <c r="I42" s="156"/>
      <c r="J42" s="156"/>
      <c r="K42" s="156"/>
      <c r="L42" s="156"/>
      <c r="M42" s="188" t="e">
        <f t="shared" si="1"/>
        <v>#DIV/0!</v>
      </c>
      <c r="N42" s="80"/>
      <c r="O42" s="81"/>
      <c r="Q42" s="80"/>
      <c r="R42" s="80"/>
      <c r="S42" s="91"/>
      <c r="U42" s="82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</row>
    <row r="43" spans="1:62" s="87" customFormat="1">
      <c r="A43" s="160" t="s">
        <v>19</v>
      </c>
      <c r="B43" s="161" t="s">
        <v>12</v>
      </c>
      <c r="C43" s="162"/>
      <c r="D43" s="163"/>
      <c r="E43" s="162"/>
      <c r="F43" s="162">
        <f>SUM(F44:F48)</f>
        <v>41975.284400000004</v>
      </c>
      <c r="G43" s="162"/>
      <c r="H43" s="162"/>
      <c r="I43" s="162"/>
      <c r="J43" s="162">
        <f>SUM(J44:J48)</f>
        <v>41975.284400000004</v>
      </c>
      <c r="K43" s="162">
        <f t="shared" ref="K43:L43" si="7">SUM(K44:K48)</f>
        <v>0</v>
      </c>
      <c r="L43" s="162">
        <f t="shared" si="7"/>
        <v>41975.284400000004</v>
      </c>
      <c r="M43" s="188">
        <f t="shared" si="1"/>
        <v>1</v>
      </c>
      <c r="N43" s="80"/>
      <c r="O43" s="81"/>
      <c r="P43" s="7"/>
      <c r="Q43" s="79"/>
      <c r="R43" s="79"/>
      <c r="S43" s="79"/>
      <c r="T43" s="16"/>
      <c r="U43" s="82"/>
      <c r="V43" s="14"/>
      <c r="W43" s="83"/>
      <c r="X43" s="84"/>
      <c r="Y43" s="83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</row>
    <row r="44" spans="1:62">
      <c r="A44" s="156"/>
      <c r="B44" s="159" t="s">
        <v>25</v>
      </c>
      <c r="C44" s="155"/>
      <c r="D44" s="156"/>
      <c r="E44" s="156"/>
      <c r="F44" s="156"/>
      <c r="G44" s="156"/>
      <c r="H44" s="156"/>
      <c r="I44" s="156"/>
      <c r="J44" s="156"/>
      <c r="K44" s="156"/>
      <c r="L44" s="156"/>
      <c r="M44" s="188" t="e">
        <f t="shared" si="1"/>
        <v>#DIV/0!</v>
      </c>
      <c r="N44" s="80"/>
      <c r="O44" s="81"/>
      <c r="Q44" s="80"/>
      <c r="R44" s="80"/>
      <c r="S44" s="91"/>
      <c r="U44" s="82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</row>
    <row r="45" spans="1:62" ht="28.5">
      <c r="A45" s="156" t="s">
        <v>51</v>
      </c>
      <c r="B45" s="157" t="s">
        <v>52</v>
      </c>
      <c r="C45" s="155" t="s">
        <v>17</v>
      </c>
      <c r="D45" s="156">
        <v>83.94</v>
      </c>
      <c r="E45" s="156">
        <v>8.32</v>
      </c>
      <c r="F45" s="156">
        <f t="shared" ref="F45:F48" si="8">D45*E45</f>
        <v>698.38080000000002</v>
      </c>
      <c r="G45" s="156">
        <v>83.940000000000012</v>
      </c>
      <c r="H45" s="156"/>
      <c r="I45" s="156">
        <f t="shared" ref="I45:I48" si="9">G45+H45</f>
        <v>83.940000000000012</v>
      </c>
      <c r="J45" s="156">
        <f>E45*G45</f>
        <v>698.38080000000014</v>
      </c>
      <c r="K45" s="156">
        <f>H45*E45</f>
        <v>0</v>
      </c>
      <c r="L45" s="156">
        <f t="shared" ref="L45:L48" si="10">J45+K45</f>
        <v>698.38080000000014</v>
      </c>
      <c r="M45" s="188">
        <f t="shared" si="1"/>
        <v>1.0000000000000002</v>
      </c>
      <c r="N45" s="81"/>
      <c r="O45" s="7"/>
      <c r="P45" s="80"/>
      <c r="Q45" s="80"/>
      <c r="R45" s="91"/>
      <c r="S45" s="8"/>
      <c r="T45" s="82"/>
      <c r="W45" s="10"/>
      <c r="X45" s="9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</row>
    <row r="46" spans="1:62">
      <c r="A46" s="156" t="s">
        <v>53</v>
      </c>
      <c r="B46" s="157" t="s">
        <v>54</v>
      </c>
      <c r="C46" s="155" t="s">
        <v>17</v>
      </c>
      <c r="D46" s="156">
        <v>21.94</v>
      </c>
      <c r="E46" s="156">
        <v>17.899999999999999</v>
      </c>
      <c r="F46" s="156">
        <f t="shared" si="8"/>
        <v>392.726</v>
      </c>
      <c r="G46" s="156">
        <v>21.940000000000005</v>
      </c>
      <c r="H46" s="156"/>
      <c r="I46" s="156">
        <f t="shared" si="9"/>
        <v>21.940000000000005</v>
      </c>
      <c r="J46" s="156">
        <f t="shared" ref="J46:J48" si="11">E46*G46</f>
        <v>392.72600000000006</v>
      </c>
      <c r="K46" s="156">
        <f t="shared" ref="K46:K48" si="12">H46*E46</f>
        <v>0</v>
      </c>
      <c r="L46" s="156">
        <f t="shared" si="10"/>
        <v>392.72600000000006</v>
      </c>
      <c r="M46" s="188">
        <f t="shared" si="1"/>
        <v>1.0000000000000002</v>
      </c>
      <c r="N46" s="81"/>
      <c r="O46" s="7"/>
      <c r="P46" s="80"/>
      <c r="Q46" s="80"/>
      <c r="R46" s="91"/>
      <c r="S46" s="8"/>
      <c r="T46" s="82"/>
      <c r="W46" s="10"/>
      <c r="X46" s="9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</row>
    <row r="47" spans="1:62" ht="28.5">
      <c r="A47" s="156" t="s">
        <v>55</v>
      </c>
      <c r="B47" s="157" t="s">
        <v>56</v>
      </c>
      <c r="C47" s="155" t="s">
        <v>17</v>
      </c>
      <c r="D47" s="156">
        <v>1072.4000000000001</v>
      </c>
      <c r="E47" s="156">
        <v>29.28</v>
      </c>
      <c r="F47" s="156">
        <f t="shared" si="8"/>
        <v>31399.872000000003</v>
      </c>
      <c r="G47" s="156">
        <v>1072.4000000000001</v>
      </c>
      <c r="H47" s="156"/>
      <c r="I47" s="156">
        <f t="shared" si="9"/>
        <v>1072.4000000000001</v>
      </c>
      <c r="J47" s="156">
        <f t="shared" si="11"/>
        <v>31399.872000000003</v>
      </c>
      <c r="K47" s="156">
        <f t="shared" si="12"/>
        <v>0</v>
      </c>
      <c r="L47" s="156">
        <f t="shared" si="10"/>
        <v>31399.872000000003</v>
      </c>
      <c r="M47" s="188">
        <f t="shared" si="1"/>
        <v>1</v>
      </c>
      <c r="N47" s="92"/>
      <c r="O47" s="7"/>
      <c r="P47" s="80"/>
      <c r="Q47" s="80"/>
      <c r="R47" s="91"/>
      <c r="S47" s="8"/>
      <c r="T47" s="82"/>
      <c r="W47" s="10"/>
      <c r="X47" s="9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</row>
    <row r="48" spans="1:62" ht="28.5">
      <c r="A48" s="156" t="s">
        <v>583</v>
      </c>
      <c r="B48" s="157" t="s">
        <v>585</v>
      </c>
      <c r="C48" s="155" t="s">
        <v>584</v>
      </c>
      <c r="D48" s="156">
        <v>1179.6400000000001</v>
      </c>
      <c r="E48" s="156">
        <v>8.0399999999999991</v>
      </c>
      <c r="F48" s="156">
        <f t="shared" si="8"/>
        <v>9484.3055999999997</v>
      </c>
      <c r="G48" s="156">
        <v>1179.6400000000001</v>
      </c>
      <c r="H48" s="156"/>
      <c r="I48" s="156">
        <f t="shared" si="9"/>
        <v>1179.6400000000001</v>
      </c>
      <c r="J48" s="156">
        <f t="shared" si="11"/>
        <v>9484.3055999999997</v>
      </c>
      <c r="K48" s="156">
        <f t="shared" si="12"/>
        <v>0</v>
      </c>
      <c r="L48" s="156">
        <f t="shared" si="10"/>
        <v>9484.3055999999997</v>
      </c>
      <c r="M48" s="188">
        <f t="shared" si="1"/>
        <v>1</v>
      </c>
      <c r="N48" s="92"/>
      <c r="O48" s="7"/>
      <c r="P48" s="80"/>
      <c r="Q48" s="80"/>
      <c r="R48" s="91"/>
      <c r="S48" s="8"/>
      <c r="T48" s="82"/>
      <c r="W48" s="10"/>
      <c r="X48" s="9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</row>
    <row r="49" spans="1:62">
      <c r="A49" s="156"/>
      <c r="B49" s="154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88" t="e">
        <f t="shared" si="1"/>
        <v>#DIV/0!</v>
      </c>
      <c r="N49" s="80"/>
      <c r="O49" s="81"/>
      <c r="Q49" s="80"/>
      <c r="R49" s="80"/>
      <c r="S49" s="91"/>
      <c r="U49" s="82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</row>
    <row r="50" spans="1:62" s="87" customFormat="1">
      <c r="A50" s="160" t="s">
        <v>20</v>
      </c>
      <c r="B50" s="161" t="s">
        <v>57</v>
      </c>
      <c r="C50" s="162"/>
      <c r="D50" s="163"/>
      <c r="E50" s="162"/>
      <c r="F50" s="162">
        <f>SUM(F51:F57)</f>
        <v>93429.462999999989</v>
      </c>
      <c r="G50" s="162"/>
      <c r="H50" s="162"/>
      <c r="I50" s="162"/>
      <c r="J50" s="162">
        <f>SUM(J51:J57)</f>
        <v>92816.294999999984</v>
      </c>
      <c r="K50" s="162">
        <f t="shared" ref="K50:L50" si="13">SUM(K51:K57)</f>
        <v>0</v>
      </c>
      <c r="L50" s="162">
        <f t="shared" si="13"/>
        <v>92816.294999999984</v>
      </c>
      <c r="M50" s="188">
        <f t="shared" si="1"/>
        <v>0.99343710238385929</v>
      </c>
      <c r="N50" s="80"/>
      <c r="O50" s="81"/>
      <c r="P50" s="7"/>
      <c r="Q50" s="79"/>
      <c r="R50" s="79"/>
      <c r="S50" s="79"/>
      <c r="T50" s="16"/>
      <c r="U50" s="82"/>
      <c r="V50" s="14"/>
      <c r="W50" s="83"/>
      <c r="X50" s="84"/>
      <c r="Y50" s="83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E50" s="86"/>
      <c r="BF50" s="86"/>
      <c r="BG50" s="86"/>
      <c r="BH50" s="86"/>
      <c r="BI50" s="86"/>
      <c r="BJ50" s="86"/>
    </row>
    <row r="51" spans="1:62">
      <c r="A51" s="156"/>
      <c r="B51" s="154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88" t="e">
        <f t="shared" si="1"/>
        <v>#DIV/0!</v>
      </c>
      <c r="N51" s="81"/>
      <c r="O51" s="7"/>
      <c r="P51" s="80"/>
      <c r="Q51" s="80"/>
      <c r="R51" s="91"/>
      <c r="S51" s="8"/>
      <c r="T51" s="82"/>
      <c r="U51" s="95"/>
      <c r="V51" s="95"/>
      <c r="W51" s="10"/>
      <c r="X51" s="9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</row>
    <row r="52" spans="1:62" ht="28.5">
      <c r="A52" s="156" t="s">
        <v>58</v>
      </c>
      <c r="B52" s="157" t="s">
        <v>59</v>
      </c>
      <c r="C52" s="156" t="s">
        <v>17</v>
      </c>
      <c r="D52" s="156">
        <v>40.07</v>
      </c>
      <c r="E52" s="156">
        <v>339.77</v>
      </c>
      <c r="F52" s="156">
        <f t="shared" ref="F52:F57" si="14">D52*E52</f>
        <v>13614.5839</v>
      </c>
      <c r="G52" s="156">
        <v>40.07</v>
      </c>
      <c r="H52" s="156"/>
      <c r="I52" s="156">
        <f t="shared" ref="I52:I57" si="15">G52+H52</f>
        <v>40.07</v>
      </c>
      <c r="J52" s="156">
        <f t="shared" ref="J52:J57" si="16">E52*G52</f>
        <v>13614.5839</v>
      </c>
      <c r="K52" s="156">
        <f t="shared" ref="K52:K57" si="17">H52*E52</f>
        <v>0</v>
      </c>
      <c r="L52" s="156">
        <f t="shared" ref="L52:L57" si="18">J52+K52</f>
        <v>13614.5839</v>
      </c>
      <c r="M52" s="188">
        <f t="shared" si="1"/>
        <v>1</v>
      </c>
      <c r="N52" s="81"/>
      <c r="O52" s="7"/>
      <c r="P52" s="80"/>
      <c r="Q52" s="80"/>
      <c r="R52" s="91"/>
      <c r="S52" s="8"/>
      <c r="T52" s="82"/>
      <c r="U52" s="95"/>
      <c r="V52" s="95"/>
      <c r="W52" s="10"/>
      <c r="X52" s="9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</row>
    <row r="53" spans="1:62" ht="63.75" customHeight="1">
      <c r="A53" s="156" t="s">
        <v>60</v>
      </c>
      <c r="B53" s="157" t="s">
        <v>61</v>
      </c>
      <c r="C53" s="156" t="s">
        <v>16</v>
      </c>
      <c r="D53" s="156">
        <v>325.26</v>
      </c>
      <c r="E53" s="156">
        <v>55.26</v>
      </c>
      <c r="F53" s="156">
        <f t="shared" si="14"/>
        <v>17973.867599999998</v>
      </c>
      <c r="G53" s="156">
        <v>325.26</v>
      </c>
      <c r="H53" s="156"/>
      <c r="I53" s="156">
        <f t="shared" si="15"/>
        <v>325.26</v>
      </c>
      <c r="J53" s="156">
        <f t="shared" si="16"/>
        <v>17973.867599999998</v>
      </c>
      <c r="K53" s="156">
        <f t="shared" si="17"/>
        <v>0</v>
      </c>
      <c r="L53" s="156">
        <f t="shared" si="18"/>
        <v>17973.867599999998</v>
      </c>
      <c r="M53" s="188">
        <f t="shared" si="1"/>
        <v>1</v>
      </c>
      <c r="N53" s="92"/>
      <c r="O53" s="7"/>
      <c r="P53" s="80"/>
      <c r="Q53" s="80"/>
      <c r="R53" s="91"/>
      <c r="S53" s="8"/>
      <c r="T53" s="82"/>
      <c r="U53" s="95"/>
      <c r="V53" s="95"/>
      <c r="W53" s="10"/>
      <c r="X53" s="9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</row>
    <row r="54" spans="1:62" ht="29.25" customHeight="1">
      <c r="A54" s="156" t="s">
        <v>62</v>
      </c>
      <c r="B54" s="157" t="s">
        <v>63</v>
      </c>
      <c r="C54" s="156" t="s">
        <v>17</v>
      </c>
      <c r="D54" s="156">
        <v>5</v>
      </c>
      <c r="E54" s="156">
        <v>394.47</v>
      </c>
      <c r="F54" s="156">
        <f t="shared" si="14"/>
        <v>1972.3500000000001</v>
      </c>
      <c r="G54" s="156">
        <v>5</v>
      </c>
      <c r="H54" s="156"/>
      <c r="I54" s="156">
        <f t="shared" si="15"/>
        <v>5</v>
      </c>
      <c r="J54" s="156">
        <f t="shared" si="16"/>
        <v>1972.3500000000001</v>
      </c>
      <c r="K54" s="156">
        <f t="shared" si="17"/>
        <v>0</v>
      </c>
      <c r="L54" s="156">
        <f t="shared" si="18"/>
        <v>1972.3500000000001</v>
      </c>
      <c r="M54" s="188">
        <f t="shared" si="1"/>
        <v>1</v>
      </c>
      <c r="N54" s="81"/>
      <c r="O54" s="7"/>
      <c r="P54" s="80"/>
      <c r="Q54" s="80"/>
      <c r="R54" s="91"/>
      <c r="S54" s="8"/>
      <c r="T54" s="82"/>
      <c r="U54" s="95"/>
      <c r="V54" s="95"/>
      <c r="W54" s="10"/>
      <c r="X54" s="9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</row>
    <row r="55" spans="1:62" ht="36.75" customHeight="1">
      <c r="A55" s="156" t="s">
        <v>64</v>
      </c>
      <c r="B55" s="157" t="s">
        <v>65</v>
      </c>
      <c r="C55" s="156" t="s">
        <v>17</v>
      </c>
      <c r="D55" s="156">
        <v>15.01</v>
      </c>
      <c r="E55" s="156">
        <v>1613.6</v>
      </c>
      <c r="F55" s="156">
        <f t="shared" si="14"/>
        <v>24220.135999999999</v>
      </c>
      <c r="G55" s="156">
        <v>15.01</v>
      </c>
      <c r="H55" s="156"/>
      <c r="I55" s="156">
        <f t="shared" si="15"/>
        <v>15.01</v>
      </c>
      <c r="J55" s="156">
        <f t="shared" si="16"/>
        <v>24220.135999999999</v>
      </c>
      <c r="K55" s="156">
        <f t="shared" si="17"/>
        <v>0</v>
      </c>
      <c r="L55" s="156">
        <f t="shared" si="18"/>
        <v>24220.135999999999</v>
      </c>
      <c r="M55" s="188">
        <f t="shared" si="1"/>
        <v>1</v>
      </c>
      <c r="N55" s="81"/>
      <c r="O55" s="7"/>
      <c r="P55" s="80"/>
      <c r="Q55" s="80"/>
      <c r="R55" s="91"/>
      <c r="S55" s="8"/>
      <c r="T55" s="82"/>
      <c r="U55" s="95"/>
      <c r="V55" s="95"/>
      <c r="W55" s="10"/>
      <c r="X55" s="9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</row>
    <row r="56" spans="1:62" ht="28.5">
      <c r="A56" s="156" t="s">
        <v>66</v>
      </c>
      <c r="B56" s="157" t="s">
        <v>67</v>
      </c>
      <c r="C56" s="156" t="s">
        <v>17</v>
      </c>
      <c r="D56" s="156">
        <v>19.46</v>
      </c>
      <c r="E56" s="156">
        <v>1613.6</v>
      </c>
      <c r="F56" s="156">
        <f t="shared" si="14"/>
        <v>31400.655999999999</v>
      </c>
      <c r="G56" s="156">
        <v>19.079999999999998</v>
      </c>
      <c r="H56" s="156"/>
      <c r="I56" s="156">
        <f t="shared" si="15"/>
        <v>19.079999999999998</v>
      </c>
      <c r="J56" s="156">
        <f t="shared" si="16"/>
        <v>30787.487999999994</v>
      </c>
      <c r="K56" s="156">
        <f t="shared" si="17"/>
        <v>0</v>
      </c>
      <c r="L56" s="156">
        <f t="shared" si="18"/>
        <v>30787.487999999994</v>
      </c>
      <c r="M56" s="188">
        <f t="shared" si="1"/>
        <v>0.98047276464542632</v>
      </c>
      <c r="N56" s="92"/>
      <c r="O56" s="7"/>
      <c r="P56" s="80"/>
      <c r="Q56" s="80"/>
      <c r="R56" s="91"/>
      <c r="S56" s="8"/>
      <c r="T56" s="82"/>
      <c r="U56" s="95"/>
      <c r="V56" s="95"/>
      <c r="W56" s="10"/>
      <c r="X56" s="9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</row>
    <row r="57" spans="1:62" ht="28.5">
      <c r="A57" s="156" t="s">
        <v>586</v>
      </c>
      <c r="B57" s="157" t="s">
        <v>587</v>
      </c>
      <c r="C57" s="156" t="s">
        <v>81</v>
      </c>
      <c r="D57" s="156">
        <v>153.63</v>
      </c>
      <c r="E57" s="156">
        <v>27.65</v>
      </c>
      <c r="F57" s="156">
        <f t="shared" si="14"/>
        <v>4247.8694999999998</v>
      </c>
      <c r="G57" s="156">
        <v>153.63</v>
      </c>
      <c r="H57" s="156"/>
      <c r="I57" s="156">
        <f t="shared" si="15"/>
        <v>153.63</v>
      </c>
      <c r="J57" s="156">
        <f t="shared" si="16"/>
        <v>4247.8694999999998</v>
      </c>
      <c r="K57" s="156">
        <f t="shared" si="17"/>
        <v>0</v>
      </c>
      <c r="L57" s="156">
        <f t="shared" si="18"/>
        <v>4247.8694999999998</v>
      </c>
      <c r="M57" s="188">
        <f t="shared" si="1"/>
        <v>1</v>
      </c>
      <c r="N57" s="92"/>
      <c r="O57" s="7"/>
      <c r="P57" s="80"/>
      <c r="Q57" s="80"/>
      <c r="R57" s="91"/>
      <c r="S57" s="8"/>
      <c r="T57" s="82"/>
      <c r="U57" s="95"/>
      <c r="V57" s="95"/>
      <c r="W57" s="10"/>
      <c r="X57" s="9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</row>
    <row r="58" spans="1:62">
      <c r="A58" s="156"/>
      <c r="B58" s="154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88" t="e">
        <f t="shared" si="1"/>
        <v>#DIV/0!</v>
      </c>
      <c r="N58" s="80"/>
      <c r="O58" s="81"/>
      <c r="Q58" s="80"/>
      <c r="R58" s="80"/>
      <c r="S58" s="91"/>
      <c r="U58" s="82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</row>
    <row r="59" spans="1:62" s="87" customFormat="1">
      <c r="A59" s="160" t="s">
        <v>21</v>
      </c>
      <c r="B59" s="161" t="s">
        <v>68</v>
      </c>
      <c r="C59" s="162"/>
      <c r="D59" s="163"/>
      <c r="E59" s="162"/>
      <c r="F59" s="162">
        <f>SUM(F60:F64)</f>
        <v>121479.837</v>
      </c>
      <c r="G59" s="162"/>
      <c r="H59" s="162"/>
      <c r="I59" s="162"/>
      <c r="J59" s="162">
        <f>SUM(J60:J64)</f>
        <v>111221.11069999999</v>
      </c>
      <c r="K59" s="162">
        <f>SUM(K60:K64)</f>
        <v>0</v>
      </c>
      <c r="L59" s="162">
        <f>SUM(L60:L64)</f>
        <v>111221.11069999999</v>
      </c>
      <c r="M59" s="188">
        <f t="shared" si="1"/>
        <v>0.91555202448946316</v>
      </c>
      <c r="N59" s="80"/>
      <c r="O59" s="81"/>
      <c r="P59" s="7"/>
      <c r="Q59" s="79"/>
      <c r="R59" s="79"/>
      <c r="S59" s="79"/>
      <c r="T59" s="16"/>
      <c r="U59" s="82"/>
      <c r="V59" s="14"/>
      <c r="W59" s="83"/>
      <c r="X59" s="84"/>
      <c r="Y59" s="83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86"/>
      <c r="BA59" s="86"/>
      <c r="BB59" s="86"/>
      <c r="BC59" s="86"/>
      <c r="BD59" s="86"/>
      <c r="BE59" s="86"/>
      <c r="BF59" s="86"/>
      <c r="BG59" s="86"/>
      <c r="BH59" s="86"/>
      <c r="BI59" s="86"/>
      <c r="BJ59" s="86"/>
    </row>
    <row r="60" spans="1:62">
      <c r="A60" s="156"/>
      <c r="B60" s="154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88" t="e">
        <f t="shared" si="1"/>
        <v>#DIV/0!</v>
      </c>
      <c r="N60" s="80"/>
      <c r="O60" s="81"/>
      <c r="Q60" s="80"/>
      <c r="R60" s="80"/>
      <c r="S60" s="91"/>
      <c r="U60" s="82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</row>
    <row r="61" spans="1:62" ht="48" customHeight="1">
      <c r="A61" s="156" t="s">
        <v>69</v>
      </c>
      <c r="B61" s="157" t="s">
        <v>70</v>
      </c>
      <c r="C61" s="156" t="s">
        <v>16</v>
      </c>
      <c r="D61" s="156">
        <v>20.82</v>
      </c>
      <c r="E61" s="156">
        <v>1806.13</v>
      </c>
      <c r="F61" s="156">
        <f t="shared" ref="F61" si="19">D61*E61</f>
        <v>37603.626600000003</v>
      </c>
      <c r="G61" s="156">
        <v>20.149999999999991</v>
      </c>
      <c r="H61" s="156"/>
      <c r="I61" s="156">
        <f t="shared" ref="I61:I64" si="20">G61+H61</f>
        <v>20.149999999999991</v>
      </c>
      <c r="J61" s="156">
        <f t="shared" ref="J61:J64" si="21">E61*G61</f>
        <v>36393.519499999988</v>
      </c>
      <c r="K61" s="156">
        <f t="shared" ref="K61:K64" si="22">H61*E61</f>
        <v>0</v>
      </c>
      <c r="L61" s="156">
        <f t="shared" ref="L61:L64" si="23">J61+K61</f>
        <v>36393.519499999988</v>
      </c>
      <c r="M61" s="188">
        <f t="shared" si="1"/>
        <v>0.96781940441882763</v>
      </c>
      <c r="N61" s="81"/>
      <c r="O61" s="7"/>
      <c r="P61" s="80"/>
      <c r="Q61" s="80"/>
      <c r="R61" s="91"/>
      <c r="S61" s="8"/>
      <c r="T61" s="82"/>
      <c r="W61" s="10"/>
      <c r="X61" s="9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</row>
    <row r="62" spans="1:62" ht="42.75">
      <c r="A62" s="156" t="s">
        <v>71</v>
      </c>
      <c r="B62" s="157" t="s">
        <v>72</v>
      </c>
      <c r="C62" s="156" t="s">
        <v>17</v>
      </c>
      <c r="D62" s="156">
        <v>16.36</v>
      </c>
      <c r="E62" s="156">
        <v>1820.31</v>
      </c>
      <c r="F62" s="156">
        <f>D62*E62</f>
        <v>29780.271599999996</v>
      </c>
      <c r="G62" s="156">
        <v>13.52</v>
      </c>
      <c r="H62" s="156"/>
      <c r="I62" s="156">
        <f t="shared" si="20"/>
        <v>13.52</v>
      </c>
      <c r="J62" s="156">
        <f t="shared" si="21"/>
        <v>24610.591199999999</v>
      </c>
      <c r="K62" s="156">
        <f t="shared" si="22"/>
        <v>0</v>
      </c>
      <c r="L62" s="156">
        <f t="shared" si="23"/>
        <v>24610.591199999999</v>
      </c>
      <c r="M62" s="188">
        <f t="shared" si="1"/>
        <v>0.82640586797066018</v>
      </c>
      <c r="N62" s="81"/>
      <c r="O62" s="7"/>
      <c r="P62" s="80"/>
      <c r="Q62" s="80"/>
      <c r="R62" s="91"/>
      <c r="S62" s="8"/>
      <c r="T62" s="82"/>
      <c r="W62" s="10"/>
      <c r="X62" s="9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</row>
    <row r="63" spans="1:62">
      <c r="A63" s="156" t="s">
        <v>73</v>
      </c>
      <c r="B63" s="158" t="s">
        <v>74</v>
      </c>
      <c r="C63" s="156" t="s">
        <v>16</v>
      </c>
      <c r="D63" s="156">
        <v>12.36</v>
      </c>
      <c r="E63" s="156">
        <v>313.83</v>
      </c>
      <c r="F63" s="156">
        <f>D63*E63</f>
        <v>3878.9387999999994</v>
      </c>
      <c r="G63" s="156">
        <v>0</v>
      </c>
      <c r="H63" s="156"/>
      <c r="I63" s="156">
        <f t="shared" si="20"/>
        <v>0</v>
      </c>
      <c r="J63" s="156">
        <f t="shared" si="21"/>
        <v>0</v>
      </c>
      <c r="K63" s="156">
        <f t="shared" si="22"/>
        <v>0</v>
      </c>
      <c r="L63" s="156">
        <f t="shared" si="23"/>
        <v>0</v>
      </c>
      <c r="M63" s="188">
        <f t="shared" si="1"/>
        <v>0</v>
      </c>
      <c r="N63" s="81">
        <f>F63</f>
        <v>3878.9387999999994</v>
      </c>
      <c r="O63" s="7"/>
      <c r="P63" s="80"/>
      <c r="Q63" s="80"/>
      <c r="R63" s="91"/>
      <c r="S63" s="8"/>
      <c r="T63" s="82"/>
      <c r="W63" s="10"/>
      <c r="X63" s="9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</row>
    <row r="64" spans="1:62" ht="42.75">
      <c r="A64" s="156" t="s">
        <v>75</v>
      </c>
      <c r="B64" s="157" t="s">
        <v>76</v>
      </c>
      <c r="C64" s="156" t="s">
        <v>16</v>
      </c>
      <c r="D64" s="156">
        <v>475</v>
      </c>
      <c r="E64" s="156">
        <v>105.72</v>
      </c>
      <c r="F64" s="156">
        <f>D64*E64</f>
        <v>50217</v>
      </c>
      <c r="G64" s="156">
        <v>474.99999999999994</v>
      </c>
      <c r="H64" s="156"/>
      <c r="I64" s="156">
        <f t="shared" si="20"/>
        <v>474.99999999999994</v>
      </c>
      <c r="J64" s="156">
        <f t="shared" si="21"/>
        <v>50216.999999999993</v>
      </c>
      <c r="K64" s="156">
        <f t="shared" si="22"/>
        <v>0</v>
      </c>
      <c r="L64" s="156">
        <f t="shared" si="23"/>
        <v>50216.999999999993</v>
      </c>
      <c r="M64" s="188">
        <f t="shared" si="1"/>
        <v>0.99999999999999989</v>
      </c>
      <c r="N64" s="81"/>
      <c r="O64" s="7"/>
      <c r="P64" s="80"/>
      <c r="Q64" s="80"/>
      <c r="R64" s="91"/>
      <c r="S64" s="8"/>
      <c r="T64" s="82"/>
      <c r="W64" s="10"/>
      <c r="X64" s="9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</row>
    <row r="65" spans="1:62">
      <c r="A65" s="156"/>
      <c r="B65" s="154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88" t="e">
        <f t="shared" si="1"/>
        <v>#DIV/0!</v>
      </c>
      <c r="N65" s="81"/>
      <c r="O65" s="7"/>
      <c r="P65" s="80"/>
      <c r="Q65" s="80"/>
      <c r="R65" s="91"/>
      <c r="S65" s="8"/>
      <c r="T65" s="82"/>
      <c r="W65" s="10"/>
      <c r="X65" s="9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</row>
    <row r="66" spans="1:62" s="87" customFormat="1">
      <c r="A66" s="160" t="s">
        <v>77</v>
      </c>
      <c r="B66" s="161" t="s">
        <v>78</v>
      </c>
      <c r="C66" s="162"/>
      <c r="D66" s="163"/>
      <c r="E66" s="162"/>
      <c r="F66" s="162">
        <f>SUM(F67:F76)</f>
        <v>104840.8438</v>
      </c>
      <c r="G66" s="162"/>
      <c r="H66" s="162"/>
      <c r="I66" s="162"/>
      <c r="J66" s="162">
        <f>SUM(J67:J76)</f>
        <v>102669.21490000002</v>
      </c>
      <c r="K66" s="162">
        <f t="shared" ref="K66:L66" si="24">SUM(K67:K76)</f>
        <v>0</v>
      </c>
      <c r="L66" s="162">
        <f t="shared" si="24"/>
        <v>102669.21490000002</v>
      </c>
      <c r="M66" s="188">
        <f t="shared" si="1"/>
        <v>0.97928642291221257</v>
      </c>
      <c r="N66" s="80"/>
      <c r="O66" s="81"/>
      <c r="P66" s="7"/>
      <c r="Q66" s="79"/>
      <c r="R66" s="79"/>
      <c r="S66" s="79"/>
      <c r="T66" s="16"/>
      <c r="U66" s="82"/>
      <c r="V66" s="14"/>
      <c r="W66" s="83"/>
      <c r="X66" s="84"/>
      <c r="Y66" s="83"/>
      <c r="Z66" s="85"/>
      <c r="AA66" s="85"/>
      <c r="AB66" s="85"/>
      <c r="AC66" s="85"/>
      <c r="AD66" s="85"/>
      <c r="AE66" s="85"/>
      <c r="AF66" s="85"/>
      <c r="AG66" s="85"/>
      <c r="AH66" s="85"/>
      <c r="AI66" s="85"/>
      <c r="AJ66" s="85"/>
      <c r="AK66" s="85"/>
      <c r="AL66" s="86"/>
      <c r="AM66" s="86"/>
      <c r="AN66" s="86"/>
      <c r="AO66" s="86"/>
      <c r="AP66" s="86"/>
      <c r="AQ66" s="86"/>
      <c r="AR66" s="86"/>
      <c r="AS66" s="86"/>
      <c r="AT66" s="86"/>
      <c r="AU66" s="86"/>
      <c r="AV66" s="86"/>
      <c r="AW66" s="86"/>
      <c r="AX66" s="86"/>
      <c r="AY66" s="86"/>
      <c r="AZ66" s="86"/>
      <c r="BA66" s="86"/>
      <c r="BB66" s="86"/>
      <c r="BC66" s="86"/>
      <c r="BD66" s="86"/>
      <c r="BE66" s="86"/>
      <c r="BF66" s="86"/>
      <c r="BG66" s="86"/>
      <c r="BH66" s="86"/>
      <c r="BI66" s="86"/>
      <c r="BJ66" s="86"/>
    </row>
    <row r="67" spans="1:62">
      <c r="A67" s="156"/>
      <c r="B67" s="154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88" t="e">
        <f t="shared" si="1"/>
        <v>#DIV/0!</v>
      </c>
      <c r="N67" s="81"/>
      <c r="O67" s="7"/>
      <c r="P67" s="80"/>
      <c r="Q67" s="80"/>
      <c r="R67" s="91"/>
      <c r="S67" s="8"/>
      <c r="T67" s="82"/>
      <c r="W67" s="10"/>
      <c r="X67" s="9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</row>
    <row r="68" spans="1:62" ht="57">
      <c r="A68" s="156" t="s">
        <v>79</v>
      </c>
      <c r="B68" s="157" t="s">
        <v>80</v>
      </c>
      <c r="C68" s="156" t="s">
        <v>16</v>
      </c>
      <c r="D68" s="156">
        <v>784.04</v>
      </c>
      <c r="E68" s="156">
        <v>49.23</v>
      </c>
      <c r="F68" s="156">
        <f t="shared" ref="F68:F92" si="25">D68*E68</f>
        <v>38598.289199999999</v>
      </c>
      <c r="G68" s="156">
        <v>742.6500000000002</v>
      </c>
      <c r="H68" s="156"/>
      <c r="I68" s="156">
        <f t="shared" ref="I68:I76" si="26">G68+H68</f>
        <v>742.6500000000002</v>
      </c>
      <c r="J68" s="156">
        <f t="shared" ref="J68:J76" si="27">E68*G68</f>
        <v>36560.659500000009</v>
      </c>
      <c r="K68" s="156">
        <f t="shared" ref="K68:K76" si="28">H68*E68</f>
        <v>0</v>
      </c>
      <c r="L68" s="156">
        <f t="shared" ref="L68:L76" si="29">J68+K68</f>
        <v>36560.659500000009</v>
      </c>
      <c r="M68" s="188">
        <f t="shared" si="1"/>
        <v>0.94720932605479335</v>
      </c>
      <c r="N68" s="81">
        <f>F68-J68</f>
        <v>2037.6296999999904</v>
      </c>
      <c r="O68" s="7"/>
      <c r="P68" s="80"/>
      <c r="Q68" s="80"/>
      <c r="R68" s="91"/>
      <c r="S68" s="8"/>
      <c r="T68" s="82"/>
      <c r="W68" s="10"/>
      <c r="X68" s="9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</row>
    <row r="69" spans="1:62" ht="42.75">
      <c r="A69" s="156" t="s">
        <v>82</v>
      </c>
      <c r="B69" s="157" t="s">
        <v>83</v>
      </c>
      <c r="C69" s="156" t="s">
        <v>16</v>
      </c>
      <c r="D69" s="156">
        <v>35.76</v>
      </c>
      <c r="E69" s="156">
        <v>186.11</v>
      </c>
      <c r="F69" s="156">
        <f t="shared" si="25"/>
        <v>6655.2936</v>
      </c>
      <c r="G69" s="156">
        <v>35.040000000000006</v>
      </c>
      <c r="H69" s="156"/>
      <c r="I69" s="156">
        <f t="shared" si="26"/>
        <v>35.040000000000006</v>
      </c>
      <c r="J69" s="156">
        <f t="shared" si="27"/>
        <v>6521.2944000000016</v>
      </c>
      <c r="K69" s="156">
        <f t="shared" si="28"/>
        <v>0</v>
      </c>
      <c r="L69" s="156">
        <f t="shared" si="29"/>
        <v>6521.2944000000016</v>
      </c>
      <c r="M69" s="188">
        <f t="shared" si="1"/>
        <v>0.97986577181208079</v>
      </c>
      <c r="N69" s="81"/>
      <c r="O69" s="7"/>
      <c r="P69" s="80"/>
      <c r="Q69" s="80"/>
      <c r="R69" s="91"/>
      <c r="S69" s="8"/>
      <c r="T69" s="82"/>
      <c r="W69" s="10"/>
      <c r="X69" s="9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</row>
    <row r="70" spans="1:62" ht="48.75" customHeight="1">
      <c r="A70" s="156" t="s">
        <v>84</v>
      </c>
      <c r="B70" s="157" t="s">
        <v>22</v>
      </c>
      <c r="C70" s="156" t="s">
        <v>16</v>
      </c>
      <c r="D70" s="156">
        <v>359.84</v>
      </c>
      <c r="E70" s="156">
        <v>142.33000000000001</v>
      </c>
      <c r="F70" s="156">
        <f t="shared" si="25"/>
        <v>51216.027200000004</v>
      </c>
      <c r="G70" s="156">
        <v>359.84000000000003</v>
      </c>
      <c r="H70" s="156"/>
      <c r="I70" s="156">
        <f t="shared" si="26"/>
        <v>359.84000000000003</v>
      </c>
      <c r="J70" s="156">
        <f t="shared" si="27"/>
        <v>51216.027200000011</v>
      </c>
      <c r="K70" s="156">
        <f t="shared" si="28"/>
        <v>0</v>
      </c>
      <c r="L70" s="156">
        <f t="shared" si="29"/>
        <v>51216.027200000011</v>
      </c>
      <c r="M70" s="188">
        <f t="shared" si="1"/>
        <v>1.0000000000000002</v>
      </c>
      <c r="N70" s="92"/>
      <c r="O70" s="7"/>
      <c r="P70" s="80"/>
      <c r="Q70" s="80"/>
      <c r="R70" s="91"/>
      <c r="S70" s="8"/>
      <c r="T70" s="82"/>
      <c r="W70" s="10"/>
      <c r="X70" s="9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</row>
    <row r="71" spans="1:62" ht="28.5">
      <c r="A71" s="156" t="s">
        <v>588</v>
      </c>
      <c r="B71" s="157" t="s">
        <v>589</v>
      </c>
      <c r="C71" s="156" t="s">
        <v>43</v>
      </c>
      <c r="D71" s="156">
        <v>22.2</v>
      </c>
      <c r="E71" s="156">
        <v>58.16</v>
      </c>
      <c r="F71" s="156">
        <f t="shared" si="25"/>
        <v>1291.1519999999998</v>
      </c>
      <c r="G71" s="156">
        <v>22.2</v>
      </c>
      <c r="H71" s="156"/>
      <c r="I71" s="156">
        <f t="shared" si="26"/>
        <v>22.2</v>
      </c>
      <c r="J71" s="156">
        <f t="shared" si="27"/>
        <v>1291.1519999999998</v>
      </c>
      <c r="K71" s="156">
        <f t="shared" si="28"/>
        <v>0</v>
      </c>
      <c r="L71" s="156">
        <f t="shared" si="29"/>
        <v>1291.1519999999998</v>
      </c>
      <c r="M71" s="188">
        <f t="shared" si="1"/>
        <v>1</v>
      </c>
      <c r="N71" s="92"/>
      <c r="O71" s="7"/>
      <c r="P71" s="80"/>
      <c r="Q71" s="80"/>
      <c r="R71" s="91"/>
      <c r="S71" s="8"/>
      <c r="T71" s="82"/>
      <c r="W71" s="10"/>
      <c r="X71" s="9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</row>
    <row r="72" spans="1:62" ht="28.5">
      <c r="A72" s="156" t="s">
        <v>590</v>
      </c>
      <c r="B72" s="157" t="s">
        <v>591</v>
      </c>
      <c r="C72" s="156" t="s">
        <v>43</v>
      </c>
      <c r="D72" s="156">
        <v>2.2000000000000002</v>
      </c>
      <c r="E72" s="156">
        <v>69.45</v>
      </c>
      <c r="F72" s="156">
        <f t="shared" si="25"/>
        <v>152.79000000000002</v>
      </c>
      <c r="G72" s="156">
        <v>2.2000000000000002</v>
      </c>
      <c r="H72" s="156"/>
      <c r="I72" s="156">
        <f t="shared" si="26"/>
        <v>2.2000000000000002</v>
      </c>
      <c r="J72" s="156">
        <f t="shared" si="27"/>
        <v>152.79000000000002</v>
      </c>
      <c r="K72" s="156">
        <f t="shared" si="28"/>
        <v>0</v>
      </c>
      <c r="L72" s="156">
        <f t="shared" si="29"/>
        <v>152.79000000000002</v>
      </c>
      <c r="M72" s="188">
        <f t="shared" si="1"/>
        <v>1</v>
      </c>
      <c r="N72" s="92"/>
      <c r="O72" s="7"/>
      <c r="P72" s="80"/>
      <c r="Q72" s="80"/>
      <c r="R72" s="91"/>
      <c r="S72" s="8"/>
      <c r="T72" s="82"/>
      <c r="W72" s="10"/>
      <c r="X72" s="9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</row>
    <row r="73" spans="1:62" ht="28.5">
      <c r="A73" s="156" t="s">
        <v>592</v>
      </c>
      <c r="B73" s="157" t="s">
        <v>593</v>
      </c>
      <c r="C73" s="156" t="s">
        <v>43</v>
      </c>
      <c r="D73" s="156">
        <v>19.399999999999999</v>
      </c>
      <c r="E73" s="156">
        <v>59.41</v>
      </c>
      <c r="F73" s="156">
        <f t="shared" si="25"/>
        <v>1152.5539999999999</v>
      </c>
      <c r="G73" s="156">
        <v>19.399999999999999</v>
      </c>
      <c r="H73" s="156"/>
      <c r="I73" s="156">
        <f t="shared" si="26"/>
        <v>19.399999999999999</v>
      </c>
      <c r="J73" s="156">
        <f t="shared" si="27"/>
        <v>1152.5539999999999</v>
      </c>
      <c r="K73" s="156">
        <f t="shared" si="28"/>
        <v>0</v>
      </c>
      <c r="L73" s="156">
        <f t="shared" si="29"/>
        <v>1152.5539999999999</v>
      </c>
      <c r="M73" s="188">
        <f t="shared" si="1"/>
        <v>1</v>
      </c>
      <c r="N73" s="92"/>
      <c r="O73" s="7"/>
      <c r="P73" s="80"/>
      <c r="Q73" s="80"/>
      <c r="R73" s="91"/>
      <c r="S73" s="8"/>
      <c r="T73" s="82"/>
      <c r="W73" s="10"/>
      <c r="X73" s="9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</row>
    <row r="74" spans="1:62" ht="28.5">
      <c r="A74" s="156" t="s">
        <v>594</v>
      </c>
      <c r="B74" s="157" t="s">
        <v>595</v>
      </c>
      <c r="C74" s="156" t="s">
        <v>43</v>
      </c>
      <c r="D74" s="156">
        <v>30.02</v>
      </c>
      <c r="E74" s="156">
        <v>68.260000000000005</v>
      </c>
      <c r="F74" s="156">
        <f t="shared" si="25"/>
        <v>2049.1651999999999</v>
      </c>
      <c r="G74" s="156">
        <v>30.02</v>
      </c>
      <c r="H74" s="156"/>
      <c r="I74" s="156">
        <f t="shared" si="26"/>
        <v>30.02</v>
      </c>
      <c r="J74" s="156">
        <f t="shared" si="27"/>
        <v>2049.1651999999999</v>
      </c>
      <c r="K74" s="156">
        <f t="shared" si="28"/>
        <v>0</v>
      </c>
      <c r="L74" s="156">
        <f t="shared" si="29"/>
        <v>2049.1651999999999</v>
      </c>
      <c r="M74" s="188">
        <f t="shared" si="1"/>
        <v>1</v>
      </c>
      <c r="N74" s="92"/>
      <c r="O74" s="7"/>
      <c r="P74" s="80"/>
      <c r="Q74" s="80"/>
      <c r="R74" s="91"/>
      <c r="S74" s="8"/>
      <c r="T74" s="82"/>
      <c r="W74" s="10"/>
      <c r="X74" s="9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</row>
    <row r="75" spans="1:62" ht="28.5">
      <c r="A75" s="156" t="s">
        <v>596</v>
      </c>
      <c r="B75" s="157" t="s">
        <v>597</v>
      </c>
      <c r="C75" s="156" t="s">
        <v>43</v>
      </c>
      <c r="D75" s="156">
        <v>25.4</v>
      </c>
      <c r="E75" s="156">
        <v>56.3</v>
      </c>
      <c r="F75" s="156">
        <f t="shared" si="25"/>
        <v>1430.0199999999998</v>
      </c>
      <c r="G75" s="156">
        <v>25.4</v>
      </c>
      <c r="H75" s="156"/>
      <c r="I75" s="156">
        <f t="shared" si="26"/>
        <v>25.4</v>
      </c>
      <c r="J75" s="156">
        <f t="shared" si="27"/>
        <v>1430.0199999999998</v>
      </c>
      <c r="K75" s="156">
        <f t="shared" si="28"/>
        <v>0</v>
      </c>
      <c r="L75" s="156">
        <f t="shared" si="29"/>
        <v>1430.0199999999998</v>
      </c>
      <c r="M75" s="188">
        <f t="shared" si="1"/>
        <v>1</v>
      </c>
      <c r="N75" s="92"/>
      <c r="O75" s="7"/>
      <c r="P75" s="80"/>
      <c r="Q75" s="80"/>
      <c r="R75" s="91"/>
      <c r="S75" s="8"/>
      <c r="T75" s="82"/>
      <c r="W75" s="10"/>
      <c r="X75" s="9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</row>
    <row r="76" spans="1:62" ht="28.5">
      <c r="A76" s="156" t="s">
        <v>598</v>
      </c>
      <c r="B76" s="157" t="s">
        <v>599</v>
      </c>
      <c r="C76" s="156" t="s">
        <v>43</v>
      </c>
      <c r="D76" s="156">
        <v>36.42</v>
      </c>
      <c r="E76" s="156">
        <v>63.03</v>
      </c>
      <c r="F76" s="156">
        <f t="shared" si="25"/>
        <v>2295.5526</v>
      </c>
      <c r="G76" s="156">
        <v>36.42</v>
      </c>
      <c r="H76" s="156"/>
      <c r="I76" s="156">
        <f t="shared" si="26"/>
        <v>36.42</v>
      </c>
      <c r="J76" s="156">
        <f t="shared" si="27"/>
        <v>2295.5526</v>
      </c>
      <c r="K76" s="156">
        <f t="shared" si="28"/>
        <v>0</v>
      </c>
      <c r="L76" s="156">
        <f t="shared" si="29"/>
        <v>2295.5526</v>
      </c>
      <c r="M76" s="188">
        <f t="shared" si="1"/>
        <v>1</v>
      </c>
      <c r="N76" s="92"/>
      <c r="O76" s="7"/>
      <c r="P76" s="80"/>
      <c r="Q76" s="80"/>
      <c r="R76" s="91"/>
      <c r="S76" s="8"/>
      <c r="T76" s="82"/>
      <c r="W76" s="10"/>
      <c r="X76" s="9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</row>
    <row r="77" spans="1:62">
      <c r="A77" s="156"/>
      <c r="B77" s="154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88" t="e">
        <f t="shared" si="1"/>
        <v>#DIV/0!</v>
      </c>
      <c r="N77" s="81"/>
      <c r="O77" s="7"/>
      <c r="P77" s="80"/>
      <c r="Q77" s="80"/>
      <c r="R77" s="91"/>
      <c r="S77" s="8"/>
      <c r="T77" s="82"/>
      <c r="W77" s="10"/>
      <c r="X77" s="9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</row>
    <row r="78" spans="1:62" s="87" customFormat="1">
      <c r="A78" s="164" t="s">
        <v>85</v>
      </c>
      <c r="B78" s="165" t="s">
        <v>86</v>
      </c>
      <c r="C78" s="166"/>
      <c r="D78" s="167"/>
      <c r="E78" s="166"/>
      <c r="F78" s="166">
        <f>SUM(F80:F92)</f>
        <v>62123.493099999992</v>
      </c>
      <c r="G78" s="166"/>
      <c r="H78" s="166"/>
      <c r="I78" s="166"/>
      <c r="J78" s="166">
        <f>SUM(J80:J92)</f>
        <v>23380.335499999997</v>
      </c>
      <c r="K78" s="166">
        <f t="shared" ref="K78:L78" si="30">SUM(K80:K92)</f>
        <v>21246.881699999998</v>
      </c>
      <c r="L78" s="166">
        <f t="shared" si="30"/>
        <v>44627.217199999999</v>
      </c>
      <c r="M78" s="188">
        <f t="shared" si="1"/>
        <v>0.7183629730569675</v>
      </c>
      <c r="N78" s="98"/>
      <c r="O78" s="7"/>
      <c r="P78" s="97"/>
      <c r="Q78" s="97"/>
      <c r="R78" s="79"/>
      <c r="S78" s="16"/>
      <c r="T78" s="82"/>
      <c r="U78" s="14"/>
      <c r="V78" s="14"/>
      <c r="W78" s="84"/>
      <c r="X78" s="83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86"/>
      <c r="AL78" s="86"/>
      <c r="AM78" s="86"/>
      <c r="AN78" s="86"/>
      <c r="AO78" s="86"/>
      <c r="AP78" s="86"/>
      <c r="AQ78" s="86"/>
      <c r="AR78" s="86"/>
      <c r="AS78" s="86"/>
      <c r="AT78" s="86"/>
      <c r="AU78" s="86"/>
      <c r="AV78" s="86"/>
      <c r="AW78" s="86"/>
      <c r="AX78" s="86"/>
      <c r="AY78" s="86"/>
      <c r="AZ78" s="86"/>
      <c r="BA78" s="86"/>
      <c r="BB78" s="86"/>
      <c r="BC78" s="86"/>
      <c r="BD78" s="86"/>
      <c r="BE78" s="86"/>
      <c r="BF78" s="86"/>
      <c r="BG78" s="86"/>
      <c r="BH78" s="86"/>
      <c r="BI78" s="86"/>
    </row>
    <row r="79" spans="1:62" s="87" customFormat="1">
      <c r="A79" s="168"/>
      <c r="B79" s="169"/>
      <c r="C79" s="170"/>
      <c r="D79" s="171"/>
      <c r="E79" s="170"/>
      <c r="F79" s="170"/>
      <c r="G79" s="170"/>
      <c r="H79" s="170"/>
      <c r="I79" s="170"/>
      <c r="J79" s="170"/>
      <c r="K79" s="170"/>
      <c r="L79" s="170"/>
      <c r="M79" s="188" t="e">
        <f t="shared" si="1"/>
        <v>#DIV/0!</v>
      </c>
      <c r="N79" s="98"/>
      <c r="O79" s="7"/>
      <c r="P79" s="97"/>
      <c r="Q79" s="97"/>
      <c r="R79" s="79"/>
      <c r="S79" s="16"/>
      <c r="T79" s="82"/>
      <c r="U79" s="14"/>
      <c r="V79" s="14"/>
      <c r="W79" s="84"/>
      <c r="X79" s="83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6"/>
      <c r="AL79" s="86"/>
      <c r="AM79" s="86"/>
      <c r="AN79" s="86"/>
      <c r="AO79" s="86"/>
      <c r="AP79" s="86"/>
      <c r="AQ79" s="86"/>
      <c r="AR79" s="86"/>
      <c r="AS79" s="86"/>
      <c r="AT79" s="86"/>
      <c r="AU79" s="86"/>
      <c r="AV79" s="86"/>
      <c r="AW79" s="86"/>
      <c r="AX79" s="86"/>
      <c r="AY79" s="86"/>
      <c r="AZ79" s="86"/>
      <c r="BA79" s="86"/>
      <c r="BB79" s="86"/>
      <c r="BC79" s="86"/>
      <c r="BD79" s="86"/>
      <c r="BE79" s="86"/>
      <c r="BF79" s="86"/>
      <c r="BG79" s="86"/>
      <c r="BH79" s="86"/>
      <c r="BI79" s="86"/>
    </row>
    <row r="80" spans="1:62" ht="57">
      <c r="A80" s="156" t="s">
        <v>87</v>
      </c>
      <c r="B80" s="157" t="s">
        <v>88</v>
      </c>
      <c r="C80" s="156" t="s">
        <v>7</v>
      </c>
      <c r="D80" s="156">
        <v>8</v>
      </c>
      <c r="E80" s="156">
        <v>478.15</v>
      </c>
      <c r="F80" s="156">
        <f t="shared" si="25"/>
        <v>3825.2</v>
      </c>
      <c r="G80" s="156">
        <v>0</v>
      </c>
      <c r="H80" s="156"/>
      <c r="I80" s="156">
        <f t="shared" ref="I80:I92" si="31">G80+H80</f>
        <v>0</v>
      </c>
      <c r="J80" s="156">
        <f t="shared" ref="J80:J92" si="32">E80*G80</f>
        <v>0</v>
      </c>
      <c r="K80" s="156">
        <f t="shared" ref="K80:K92" si="33">H80*E80</f>
        <v>0</v>
      </c>
      <c r="L80" s="156">
        <f t="shared" ref="L80:L92" si="34">J80+K80</f>
        <v>0</v>
      </c>
      <c r="M80" s="188">
        <f t="shared" si="1"/>
        <v>0</v>
      </c>
      <c r="N80" s="81">
        <f>F80</f>
        <v>3825.2</v>
      </c>
      <c r="O80" s="7"/>
      <c r="P80" s="80"/>
      <c r="Q80" s="80"/>
      <c r="R80" s="91"/>
      <c r="S80" s="8"/>
      <c r="T80" s="82"/>
      <c r="W80" s="10"/>
      <c r="X80" s="12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</row>
    <row r="81" spans="1:61" ht="56.25" customHeight="1">
      <c r="A81" s="156" t="s">
        <v>89</v>
      </c>
      <c r="B81" s="157" t="s">
        <v>90</v>
      </c>
      <c r="C81" s="156" t="s">
        <v>7</v>
      </c>
      <c r="D81" s="156">
        <v>10</v>
      </c>
      <c r="E81" s="156">
        <v>546.86</v>
      </c>
      <c r="F81" s="156">
        <f t="shared" si="25"/>
        <v>5468.6</v>
      </c>
      <c r="G81" s="156">
        <v>0</v>
      </c>
      <c r="H81" s="156"/>
      <c r="I81" s="156">
        <f t="shared" si="31"/>
        <v>0</v>
      </c>
      <c r="J81" s="156">
        <f t="shared" si="32"/>
        <v>0</v>
      </c>
      <c r="K81" s="156">
        <f t="shared" si="33"/>
        <v>0</v>
      </c>
      <c r="L81" s="156">
        <f t="shared" si="34"/>
        <v>0</v>
      </c>
      <c r="M81" s="188">
        <f t="shared" si="1"/>
        <v>0</v>
      </c>
      <c r="N81" s="81">
        <f>F81</f>
        <v>5468.6</v>
      </c>
      <c r="O81" s="7"/>
      <c r="P81" s="80"/>
      <c r="Q81" s="80"/>
      <c r="R81" s="91"/>
      <c r="S81" s="8"/>
      <c r="T81" s="82"/>
      <c r="W81" s="10"/>
      <c r="X81" s="12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</row>
    <row r="82" spans="1:61" ht="56.25" customHeight="1">
      <c r="A82" s="156" t="s">
        <v>91</v>
      </c>
      <c r="B82" s="157" t="s">
        <v>92</v>
      </c>
      <c r="C82" s="156" t="s">
        <v>7</v>
      </c>
      <c r="D82" s="156">
        <v>0</v>
      </c>
      <c r="E82" s="156">
        <v>546.86</v>
      </c>
      <c r="F82" s="156">
        <f t="shared" si="25"/>
        <v>0</v>
      </c>
      <c r="G82" s="156">
        <v>0</v>
      </c>
      <c r="H82" s="156"/>
      <c r="I82" s="156">
        <f t="shared" si="31"/>
        <v>0</v>
      </c>
      <c r="J82" s="156">
        <f t="shared" si="32"/>
        <v>0</v>
      </c>
      <c r="K82" s="156">
        <f t="shared" si="33"/>
        <v>0</v>
      </c>
      <c r="L82" s="156">
        <f t="shared" si="34"/>
        <v>0</v>
      </c>
      <c r="M82" s="188" t="e">
        <f t="shared" si="1"/>
        <v>#DIV/0!</v>
      </c>
      <c r="N82" s="81"/>
      <c r="O82" s="7"/>
      <c r="P82" s="80"/>
      <c r="Q82" s="80"/>
      <c r="R82" s="91"/>
      <c r="S82" s="8"/>
      <c r="T82" s="82"/>
      <c r="W82" s="10"/>
      <c r="X82" s="12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</row>
    <row r="83" spans="1:61" ht="42.75">
      <c r="A83" s="156" t="s">
        <v>93</v>
      </c>
      <c r="B83" s="157" t="s">
        <v>94</v>
      </c>
      <c r="C83" s="156" t="s">
        <v>16</v>
      </c>
      <c r="D83" s="156">
        <v>42.65</v>
      </c>
      <c r="E83" s="156">
        <v>483.07</v>
      </c>
      <c r="F83" s="156">
        <f t="shared" si="25"/>
        <v>20602.9355</v>
      </c>
      <c r="G83" s="156">
        <v>42.65</v>
      </c>
      <c r="H83" s="156"/>
      <c r="I83" s="156">
        <f t="shared" si="31"/>
        <v>42.65</v>
      </c>
      <c r="J83" s="156">
        <f t="shared" si="32"/>
        <v>20602.9355</v>
      </c>
      <c r="K83" s="156">
        <f t="shared" si="33"/>
        <v>0</v>
      </c>
      <c r="L83" s="156">
        <f t="shared" si="34"/>
        <v>20602.9355</v>
      </c>
      <c r="M83" s="188">
        <f t="shared" si="1"/>
        <v>1</v>
      </c>
      <c r="N83" s="81"/>
      <c r="O83" s="7"/>
      <c r="P83" s="80"/>
      <c r="Q83" s="80"/>
      <c r="R83" s="91"/>
      <c r="S83" s="8"/>
      <c r="T83" s="82"/>
      <c r="W83" s="10"/>
      <c r="X83" s="12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</row>
    <row r="84" spans="1:61" ht="28.5">
      <c r="A84" s="156" t="s">
        <v>95</v>
      </c>
      <c r="B84" s="157" t="s">
        <v>96</v>
      </c>
      <c r="C84" s="156" t="s">
        <v>16</v>
      </c>
      <c r="D84" s="156">
        <v>3</v>
      </c>
      <c r="E84" s="156">
        <v>348.93</v>
      </c>
      <c r="F84" s="156">
        <f t="shared" si="25"/>
        <v>1046.79</v>
      </c>
      <c r="G84" s="156">
        <v>0</v>
      </c>
      <c r="H84" s="156"/>
      <c r="I84" s="156">
        <f t="shared" si="31"/>
        <v>0</v>
      </c>
      <c r="J84" s="156">
        <f t="shared" si="32"/>
        <v>0</v>
      </c>
      <c r="K84" s="156">
        <f t="shared" si="33"/>
        <v>0</v>
      </c>
      <c r="L84" s="156">
        <f t="shared" si="34"/>
        <v>0</v>
      </c>
      <c r="M84" s="188">
        <f t="shared" si="1"/>
        <v>0</v>
      </c>
      <c r="N84" s="81">
        <f>F84</f>
        <v>1046.79</v>
      </c>
      <c r="O84" s="7"/>
      <c r="P84" s="80"/>
      <c r="Q84" s="80"/>
      <c r="R84" s="91"/>
      <c r="S84" s="8"/>
      <c r="T84" s="82"/>
      <c r="W84" s="10"/>
      <c r="X84" s="12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</row>
    <row r="85" spans="1:61">
      <c r="A85" s="156" t="s">
        <v>97</v>
      </c>
      <c r="B85" s="157" t="s">
        <v>98</v>
      </c>
      <c r="C85" s="156" t="s">
        <v>16</v>
      </c>
      <c r="D85" s="156">
        <v>0</v>
      </c>
      <c r="E85" s="156">
        <v>348.93</v>
      </c>
      <c r="F85" s="156">
        <f t="shared" si="25"/>
        <v>0</v>
      </c>
      <c r="G85" s="156">
        <v>0</v>
      </c>
      <c r="H85" s="156"/>
      <c r="I85" s="156">
        <f t="shared" si="31"/>
        <v>0</v>
      </c>
      <c r="J85" s="156">
        <f t="shared" si="32"/>
        <v>0</v>
      </c>
      <c r="K85" s="156">
        <f t="shared" si="33"/>
        <v>0</v>
      </c>
      <c r="L85" s="156">
        <f t="shared" si="34"/>
        <v>0</v>
      </c>
      <c r="M85" s="188" t="e">
        <f t="shared" si="1"/>
        <v>#DIV/0!</v>
      </c>
      <c r="N85" s="81"/>
      <c r="O85" s="7"/>
      <c r="P85" s="80"/>
      <c r="Q85" s="80"/>
      <c r="R85" s="91"/>
      <c r="S85" s="8"/>
      <c r="T85" s="82"/>
      <c r="W85" s="10"/>
      <c r="X85" s="12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</row>
    <row r="86" spans="1:61" ht="28.5">
      <c r="A86" s="156" t="s">
        <v>99</v>
      </c>
      <c r="B86" s="157" t="s">
        <v>96</v>
      </c>
      <c r="C86" s="156" t="s">
        <v>16</v>
      </c>
      <c r="D86" s="156">
        <v>0</v>
      </c>
      <c r="E86" s="156">
        <v>687.84</v>
      </c>
      <c r="F86" s="156">
        <f t="shared" si="25"/>
        <v>0</v>
      </c>
      <c r="G86" s="156">
        <v>0</v>
      </c>
      <c r="H86" s="156"/>
      <c r="I86" s="156">
        <f t="shared" si="31"/>
        <v>0</v>
      </c>
      <c r="J86" s="156">
        <f t="shared" si="32"/>
        <v>0</v>
      </c>
      <c r="K86" s="156">
        <f t="shared" si="33"/>
        <v>0</v>
      </c>
      <c r="L86" s="156">
        <f t="shared" si="34"/>
        <v>0</v>
      </c>
      <c r="M86" s="188" t="e">
        <f t="shared" si="1"/>
        <v>#DIV/0!</v>
      </c>
      <c r="N86" s="81"/>
      <c r="O86" s="7"/>
      <c r="P86" s="80"/>
      <c r="Q86" s="80"/>
      <c r="R86" s="91"/>
      <c r="S86" s="8"/>
      <c r="T86" s="82"/>
      <c r="W86" s="10"/>
      <c r="X86" s="12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</row>
    <row r="87" spans="1:61">
      <c r="A87" s="156" t="s">
        <v>101</v>
      </c>
      <c r="B87" s="157" t="s">
        <v>100</v>
      </c>
      <c r="C87" s="156" t="s">
        <v>7</v>
      </c>
      <c r="D87" s="156">
        <v>4</v>
      </c>
      <c r="E87" s="156">
        <v>266.2</v>
      </c>
      <c r="F87" s="156">
        <f t="shared" si="25"/>
        <v>1064.8</v>
      </c>
      <c r="G87" s="156">
        <v>0</v>
      </c>
      <c r="H87" s="156"/>
      <c r="I87" s="156">
        <f t="shared" si="31"/>
        <v>0</v>
      </c>
      <c r="J87" s="156">
        <f t="shared" si="32"/>
        <v>0</v>
      </c>
      <c r="K87" s="156">
        <f t="shared" si="33"/>
        <v>0</v>
      </c>
      <c r="L87" s="156">
        <f t="shared" si="34"/>
        <v>0</v>
      </c>
      <c r="M87" s="188">
        <f t="shared" si="1"/>
        <v>0</v>
      </c>
      <c r="N87" s="81">
        <f>F87</f>
        <v>1064.8</v>
      </c>
      <c r="O87" s="7"/>
      <c r="P87" s="80"/>
      <c r="Q87" s="80"/>
      <c r="R87" s="91"/>
      <c r="S87" s="8"/>
      <c r="T87" s="82"/>
      <c r="W87" s="10"/>
      <c r="X87" s="12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</row>
    <row r="88" spans="1:61">
      <c r="A88" s="156" t="s">
        <v>102</v>
      </c>
      <c r="B88" s="157" t="s">
        <v>103</v>
      </c>
      <c r="C88" s="156" t="s">
        <v>81</v>
      </c>
      <c r="D88" s="156">
        <v>42.65</v>
      </c>
      <c r="E88" s="156">
        <v>101.87</v>
      </c>
      <c r="F88" s="156">
        <f t="shared" si="25"/>
        <v>4344.7555000000002</v>
      </c>
      <c r="G88" s="156">
        <v>0</v>
      </c>
      <c r="H88" s="156"/>
      <c r="I88" s="156">
        <f t="shared" si="31"/>
        <v>0</v>
      </c>
      <c r="J88" s="156">
        <f t="shared" si="32"/>
        <v>0</v>
      </c>
      <c r="K88" s="156">
        <f t="shared" si="33"/>
        <v>0</v>
      </c>
      <c r="L88" s="156">
        <f t="shared" si="34"/>
        <v>0</v>
      </c>
      <c r="M88" s="188">
        <f t="shared" si="1"/>
        <v>0</v>
      </c>
      <c r="N88" s="81">
        <f>F88</f>
        <v>4344.7555000000002</v>
      </c>
      <c r="O88" s="7"/>
      <c r="P88" s="80"/>
      <c r="Q88" s="80"/>
      <c r="R88" s="91"/>
      <c r="S88" s="8"/>
      <c r="T88" s="82"/>
      <c r="W88" s="10"/>
      <c r="X88" s="12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</row>
    <row r="89" spans="1:61" ht="42.75">
      <c r="A89" s="156" t="s">
        <v>104</v>
      </c>
      <c r="B89" s="157" t="s">
        <v>105</v>
      </c>
      <c r="C89" s="156" t="s">
        <v>7</v>
      </c>
      <c r="D89" s="156">
        <v>20</v>
      </c>
      <c r="E89" s="156">
        <v>96.95</v>
      </c>
      <c r="F89" s="156">
        <f t="shared" si="25"/>
        <v>1939</v>
      </c>
      <c r="G89" s="156">
        <v>4</v>
      </c>
      <c r="H89" s="156"/>
      <c r="I89" s="156">
        <f t="shared" si="31"/>
        <v>4</v>
      </c>
      <c r="J89" s="156">
        <f t="shared" si="32"/>
        <v>387.8</v>
      </c>
      <c r="K89" s="156">
        <f t="shared" si="33"/>
        <v>0</v>
      </c>
      <c r="L89" s="156">
        <f t="shared" si="34"/>
        <v>387.8</v>
      </c>
      <c r="M89" s="188">
        <f t="shared" si="1"/>
        <v>0.2</v>
      </c>
      <c r="N89" s="81">
        <f>F89-J89</f>
        <v>1551.2</v>
      </c>
      <c r="O89" s="7"/>
      <c r="P89" s="80"/>
      <c r="Q89" s="80"/>
      <c r="R89" s="91"/>
      <c r="S89" s="8"/>
      <c r="T89" s="82"/>
      <c r="W89" s="10"/>
      <c r="X89" s="12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</row>
    <row r="90" spans="1:61" ht="42.75">
      <c r="A90" s="156" t="s">
        <v>106</v>
      </c>
      <c r="B90" s="157" t="s">
        <v>107</v>
      </c>
      <c r="C90" s="156" t="s">
        <v>7</v>
      </c>
      <c r="D90" s="156">
        <v>2</v>
      </c>
      <c r="E90" s="156">
        <v>59.28</v>
      </c>
      <c r="F90" s="156">
        <f t="shared" si="25"/>
        <v>118.56</v>
      </c>
      <c r="G90" s="156">
        <v>0</v>
      </c>
      <c r="H90" s="156"/>
      <c r="I90" s="156">
        <f t="shared" si="31"/>
        <v>0</v>
      </c>
      <c r="J90" s="156">
        <f t="shared" si="32"/>
        <v>0</v>
      </c>
      <c r="K90" s="156">
        <f t="shared" si="33"/>
        <v>0</v>
      </c>
      <c r="L90" s="156">
        <f t="shared" si="34"/>
        <v>0</v>
      </c>
      <c r="M90" s="188">
        <f t="shared" si="1"/>
        <v>0</v>
      </c>
      <c r="N90" s="81">
        <f>F90</f>
        <v>118.56</v>
      </c>
      <c r="O90" s="7"/>
      <c r="P90" s="80"/>
      <c r="Q90" s="80"/>
      <c r="R90" s="91"/>
      <c r="S90" s="8"/>
      <c r="T90" s="82"/>
      <c r="W90" s="10"/>
      <c r="X90" s="12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</row>
    <row r="91" spans="1:61" ht="28.5">
      <c r="A91" s="156" t="s">
        <v>600</v>
      </c>
      <c r="B91" s="157" t="s">
        <v>601</v>
      </c>
      <c r="C91" s="156" t="s">
        <v>602</v>
      </c>
      <c r="D91" s="156">
        <v>5</v>
      </c>
      <c r="E91" s="156">
        <v>477.92</v>
      </c>
      <c r="F91" s="156">
        <f t="shared" si="25"/>
        <v>2389.6</v>
      </c>
      <c r="G91" s="156">
        <v>5</v>
      </c>
      <c r="H91" s="156"/>
      <c r="I91" s="156">
        <f t="shared" si="31"/>
        <v>5</v>
      </c>
      <c r="J91" s="156">
        <f t="shared" si="32"/>
        <v>2389.6</v>
      </c>
      <c r="K91" s="156">
        <f t="shared" si="33"/>
        <v>0</v>
      </c>
      <c r="L91" s="156">
        <f t="shared" si="34"/>
        <v>2389.6</v>
      </c>
      <c r="M91" s="188">
        <f t="shared" si="1"/>
        <v>1</v>
      </c>
      <c r="N91" s="81"/>
      <c r="O91" s="7"/>
      <c r="P91" s="80"/>
      <c r="Q91" s="80"/>
      <c r="R91" s="91"/>
      <c r="S91" s="8"/>
      <c r="T91" s="82"/>
      <c r="W91" s="10"/>
      <c r="X91" s="12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</row>
    <row r="92" spans="1:61">
      <c r="A92" s="156" t="s">
        <v>603</v>
      </c>
      <c r="B92" s="157" t="s">
        <v>604</v>
      </c>
      <c r="C92" s="156" t="s">
        <v>81</v>
      </c>
      <c r="D92" s="156">
        <v>67.010000000000005</v>
      </c>
      <c r="E92" s="156">
        <v>318.20999999999998</v>
      </c>
      <c r="F92" s="156">
        <f t="shared" si="25"/>
        <v>21323.252100000002</v>
      </c>
      <c r="G92" s="156">
        <v>0</v>
      </c>
      <c r="H92" s="156">
        <f>'MEMORIA BM 05'!L156</f>
        <v>66.77</v>
      </c>
      <c r="I92" s="156">
        <f t="shared" si="31"/>
        <v>66.77</v>
      </c>
      <c r="J92" s="156">
        <f t="shared" si="32"/>
        <v>0</v>
      </c>
      <c r="K92" s="156">
        <f t="shared" si="33"/>
        <v>21246.881699999998</v>
      </c>
      <c r="L92" s="156">
        <f t="shared" si="34"/>
        <v>21246.881699999998</v>
      </c>
      <c r="M92" s="188">
        <f t="shared" si="1"/>
        <v>0.99641844500820753</v>
      </c>
      <c r="N92" s="81"/>
      <c r="O92" s="7"/>
      <c r="P92" s="80"/>
      <c r="Q92" s="80"/>
      <c r="R92" s="91"/>
      <c r="S92" s="8"/>
      <c r="T92" s="82"/>
      <c r="W92" s="10"/>
      <c r="X92" s="12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</row>
    <row r="93" spans="1:61">
      <c r="A93" s="156"/>
      <c r="B93" s="154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88" t="e">
        <f t="shared" si="1"/>
        <v>#DIV/0!</v>
      </c>
      <c r="N93" s="81"/>
      <c r="O93" s="7"/>
      <c r="P93" s="80"/>
      <c r="Q93" s="80"/>
      <c r="R93" s="91"/>
      <c r="S93" s="8"/>
      <c r="T93" s="82"/>
      <c r="W93" s="10"/>
      <c r="X93" s="12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</row>
    <row r="94" spans="1:61" s="87" customFormat="1">
      <c r="A94" s="164" t="s">
        <v>108</v>
      </c>
      <c r="B94" s="165" t="s">
        <v>3</v>
      </c>
      <c r="C94" s="166"/>
      <c r="D94" s="167"/>
      <c r="E94" s="166"/>
      <c r="F94" s="166">
        <f>SUM(F96:F105)</f>
        <v>53736.512299999995</v>
      </c>
      <c r="G94" s="166"/>
      <c r="H94" s="166"/>
      <c r="I94" s="166"/>
      <c r="J94" s="166">
        <f>SUM(J96:J105)</f>
        <v>41141.707199999997</v>
      </c>
      <c r="K94" s="166">
        <f t="shared" ref="K94:L94" si="35">SUM(K96:K105)</f>
        <v>9433.6188000000002</v>
      </c>
      <c r="L94" s="166">
        <f t="shared" si="35"/>
        <v>50575.325999999994</v>
      </c>
      <c r="M94" s="188">
        <f t="shared" si="1"/>
        <v>0.9411724698031807</v>
      </c>
      <c r="N94" s="98"/>
      <c r="O94" s="7"/>
      <c r="P94" s="97"/>
      <c r="Q94" s="97"/>
      <c r="R94" s="79"/>
      <c r="S94" s="16"/>
      <c r="T94" s="82"/>
      <c r="U94" s="14"/>
      <c r="V94" s="14"/>
      <c r="W94" s="84"/>
      <c r="X94" s="83"/>
      <c r="Y94" s="85"/>
      <c r="Z94" s="85"/>
      <c r="AA94" s="85"/>
      <c r="AB94" s="85"/>
      <c r="AC94" s="85"/>
      <c r="AD94" s="85"/>
      <c r="AE94" s="85"/>
      <c r="AF94" s="85"/>
      <c r="AG94" s="85"/>
      <c r="AH94" s="85"/>
      <c r="AI94" s="85"/>
      <c r="AJ94" s="85"/>
      <c r="AK94" s="86"/>
      <c r="AL94" s="86"/>
      <c r="AM94" s="86"/>
      <c r="AN94" s="86"/>
      <c r="AO94" s="86"/>
      <c r="AP94" s="86"/>
      <c r="AQ94" s="86"/>
      <c r="AR94" s="86"/>
      <c r="AS94" s="86"/>
      <c r="AT94" s="86"/>
      <c r="AU94" s="86"/>
      <c r="AV94" s="86"/>
      <c r="AW94" s="86"/>
      <c r="AX94" s="86"/>
      <c r="AY94" s="86"/>
      <c r="AZ94" s="86"/>
      <c r="BA94" s="86"/>
      <c r="BB94" s="86"/>
      <c r="BC94" s="86"/>
      <c r="BD94" s="86"/>
      <c r="BE94" s="86"/>
      <c r="BF94" s="86"/>
      <c r="BG94" s="86"/>
      <c r="BH94" s="86"/>
      <c r="BI94" s="86"/>
    </row>
    <row r="95" spans="1:61">
      <c r="A95" s="156"/>
      <c r="B95" s="154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88" t="e">
        <f t="shared" si="1"/>
        <v>#DIV/0!</v>
      </c>
      <c r="N95" s="81"/>
      <c r="O95" s="7"/>
      <c r="P95" s="80"/>
      <c r="Q95" s="80"/>
      <c r="R95" s="91"/>
      <c r="S95" s="8"/>
      <c r="T95" s="82"/>
      <c r="W95" s="10"/>
      <c r="X95" s="12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</row>
    <row r="96" spans="1:61" ht="42.75">
      <c r="A96" s="156" t="s">
        <v>109</v>
      </c>
      <c r="B96" s="157" t="s">
        <v>110</v>
      </c>
      <c r="C96" s="156" t="s">
        <v>16</v>
      </c>
      <c r="D96" s="156">
        <v>0</v>
      </c>
      <c r="E96" s="156">
        <v>22.8</v>
      </c>
      <c r="F96" s="156">
        <f t="shared" ref="F96:F105" si="36">D96*E96</f>
        <v>0</v>
      </c>
      <c r="G96" s="156">
        <v>0</v>
      </c>
      <c r="H96" s="156"/>
      <c r="I96" s="156">
        <f t="shared" ref="I96:I105" si="37">G96+H96</f>
        <v>0</v>
      </c>
      <c r="J96" s="156">
        <f t="shared" ref="J96:J105" si="38">E96*G96</f>
        <v>0</v>
      </c>
      <c r="K96" s="156">
        <f t="shared" ref="K96:K105" si="39">H96*E96</f>
        <v>0</v>
      </c>
      <c r="L96" s="156">
        <f t="shared" ref="L96:L105" si="40">J96+K96</f>
        <v>0</v>
      </c>
      <c r="M96" s="188" t="e">
        <f t="shared" ref="M96:M159" si="41">L96/F96</f>
        <v>#DIV/0!</v>
      </c>
      <c r="N96" s="81"/>
      <c r="O96" s="7"/>
      <c r="P96" s="80"/>
      <c r="Q96" s="80"/>
      <c r="R96" s="91"/>
      <c r="S96" s="8"/>
      <c r="T96" s="82"/>
      <c r="W96" s="10"/>
      <c r="X96" s="12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</row>
    <row r="97" spans="1:61" ht="42.75">
      <c r="A97" s="156" t="s">
        <v>111</v>
      </c>
      <c r="B97" s="157" t="s">
        <v>112</v>
      </c>
      <c r="C97" s="156" t="s">
        <v>16</v>
      </c>
      <c r="D97" s="156">
        <v>511.15</v>
      </c>
      <c r="E97" s="156">
        <v>48.73</v>
      </c>
      <c r="F97" s="156">
        <f t="shared" si="36"/>
        <v>24908.339499999998</v>
      </c>
      <c r="G97" s="156">
        <v>511.15</v>
      </c>
      <c r="H97" s="156"/>
      <c r="I97" s="156">
        <f t="shared" si="37"/>
        <v>511.15</v>
      </c>
      <c r="J97" s="156">
        <f t="shared" si="38"/>
        <v>24908.339499999998</v>
      </c>
      <c r="K97" s="156">
        <f t="shared" si="39"/>
        <v>0</v>
      </c>
      <c r="L97" s="156">
        <f t="shared" si="40"/>
        <v>24908.339499999998</v>
      </c>
      <c r="M97" s="188">
        <f t="shared" si="41"/>
        <v>1</v>
      </c>
      <c r="N97" s="92"/>
      <c r="O97" s="7"/>
      <c r="P97" s="80"/>
      <c r="Q97" s="80"/>
      <c r="R97" s="91"/>
      <c r="S97" s="8"/>
      <c r="T97" s="82"/>
      <c r="W97" s="10"/>
      <c r="X97" s="9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</row>
    <row r="98" spans="1:61" ht="28.5">
      <c r="A98" s="156" t="s">
        <v>113</v>
      </c>
      <c r="B98" s="157" t="s">
        <v>114</v>
      </c>
      <c r="C98" s="156" t="s">
        <v>16</v>
      </c>
      <c r="D98" s="156">
        <v>511.15</v>
      </c>
      <c r="E98" s="156">
        <v>25.93</v>
      </c>
      <c r="F98" s="156">
        <f t="shared" si="36"/>
        <v>13254.119499999999</v>
      </c>
      <c r="G98" s="156">
        <v>511.15</v>
      </c>
      <c r="H98" s="156"/>
      <c r="I98" s="156">
        <f t="shared" si="37"/>
        <v>511.15</v>
      </c>
      <c r="J98" s="156">
        <f t="shared" si="38"/>
        <v>13254.119499999999</v>
      </c>
      <c r="K98" s="156">
        <f t="shared" si="39"/>
        <v>0</v>
      </c>
      <c r="L98" s="156">
        <f t="shared" si="40"/>
        <v>13254.119499999999</v>
      </c>
      <c r="M98" s="188">
        <f t="shared" si="41"/>
        <v>1</v>
      </c>
      <c r="N98" s="92"/>
      <c r="O98" s="7"/>
      <c r="P98" s="80"/>
      <c r="Q98" s="80"/>
      <c r="R98" s="91"/>
      <c r="S98" s="8"/>
      <c r="T98" s="82"/>
      <c r="W98" s="10"/>
      <c r="X98" s="9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</row>
    <row r="99" spans="1:61" ht="42" customHeight="1">
      <c r="A99" s="156" t="s">
        <v>115</v>
      </c>
      <c r="B99" s="157" t="s">
        <v>116</v>
      </c>
      <c r="C99" s="156" t="s">
        <v>6</v>
      </c>
      <c r="D99" s="156">
        <v>70.63</v>
      </c>
      <c r="E99" s="156">
        <v>14.2</v>
      </c>
      <c r="F99" s="156">
        <f t="shared" si="36"/>
        <v>1002.9459999999999</v>
      </c>
      <c r="G99" s="156">
        <v>49.51</v>
      </c>
      <c r="H99" s="156"/>
      <c r="I99" s="156">
        <f t="shared" si="37"/>
        <v>49.51</v>
      </c>
      <c r="J99" s="156">
        <f t="shared" si="38"/>
        <v>703.04199999999992</v>
      </c>
      <c r="K99" s="156">
        <f t="shared" si="39"/>
        <v>0</v>
      </c>
      <c r="L99" s="156">
        <f t="shared" si="40"/>
        <v>703.04199999999992</v>
      </c>
      <c r="M99" s="188">
        <f t="shared" si="41"/>
        <v>0.7009769219878238</v>
      </c>
      <c r="N99" s="81"/>
      <c r="O99" s="7"/>
      <c r="P99" s="80"/>
      <c r="Q99" s="80"/>
      <c r="R99" s="91"/>
      <c r="S99" s="8"/>
      <c r="T99" s="82"/>
      <c r="W99" s="10"/>
      <c r="X99" s="9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</row>
    <row r="100" spans="1:61" ht="28.5">
      <c r="A100" s="156" t="s">
        <v>117</v>
      </c>
      <c r="B100" s="157" t="s">
        <v>118</v>
      </c>
      <c r="C100" s="156" t="s">
        <v>5</v>
      </c>
      <c r="D100" s="156">
        <v>41.57</v>
      </c>
      <c r="E100" s="156">
        <v>26.11</v>
      </c>
      <c r="F100" s="156">
        <f t="shared" si="36"/>
        <v>1085.3926999999999</v>
      </c>
      <c r="G100" s="156">
        <v>0</v>
      </c>
      <c r="H100" s="156"/>
      <c r="I100" s="156">
        <f t="shared" si="37"/>
        <v>0</v>
      </c>
      <c r="J100" s="156">
        <f t="shared" si="38"/>
        <v>0</v>
      </c>
      <c r="K100" s="156">
        <f t="shared" si="39"/>
        <v>0</v>
      </c>
      <c r="L100" s="156">
        <f t="shared" si="40"/>
        <v>0</v>
      </c>
      <c r="M100" s="188">
        <f t="shared" si="41"/>
        <v>0</v>
      </c>
      <c r="N100" s="81">
        <f>F100</f>
        <v>1085.3926999999999</v>
      </c>
      <c r="O100" s="7"/>
      <c r="P100" s="80"/>
      <c r="Q100" s="80"/>
      <c r="R100" s="91"/>
      <c r="S100" s="8"/>
      <c r="T100" s="82"/>
      <c r="W100" s="10"/>
      <c r="X100" s="9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</row>
    <row r="101" spans="1:61" ht="28.5">
      <c r="A101" s="156" t="s">
        <v>119</v>
      </c>
      <c r="B101" s="157" t="s">
        <v>120</v>
      </c>
      <c r="C101" s="156" t="s">
        <v>5</v>
      </c>
      <c r="D101" s="156">
        <v>8.7799999999999994</v>
      </c>
      <c r="E101" s="156">
        <v>15.87</v>
      </c>
      <c r="F101" s="156">
        <f t="shared" si="36"/>
        <v>139.33859999999999</v>
      </c>
      <c r="G101" s="156">
        <v>8.7799999999999994</v>
      </c>
      <c r="H101" s="156"/>
      <c r="I101" s="156">
        <f t="shared" si="37"/>
        <v>8.7799999999999994</v>
      </c>
      <c r="J101" s="156">
        <f t="shared" si="38"/>
        <v>139.33859999999999</v>
      </c>
      <c r="K101" s="156">
        <f t="shared" si="39"/>
        <v>0</v>
      </c>
      <c r="L101" s="156">
        <f t="shared" si="40"/>
        <v>139.33859999999999</v>
      </c>
      <c r="M101" s="188">
        <f t="shared" si="41"/>
        <v>1</v>
      </c>
      <c r="N101" s="92"/>
      <c r="O101" s="7"/>
      <c r="P101" s="80"/>
      <c r="Q101" s="80"/>
      <c r="R101" s="91"/>
      <c r="S101" s="8"/>
      <c r="T101" s="82"/>
      <c r="W101" s="10"/>
      <c r="X101" s="9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</row>
    <row r="102" spans="1:61">
      <c r="A102" s="156" t="s">
        <v>121</v>
      </c>
      <c r="B102" s="157" t="s">
        <v>122</v>
      </c>
      <c r="C102" s="172" t="s">
        <v>16</v>
      </c>
      <c r="D102" s="156">
        <v>8.31</v>
      </c>
      <c r="E102" s="156">
        <v>26.72</v>
      </c>
      <c r="F102" s="156">
        <f t="shared" si="36"/>
        <v>222.04320000000001</v>
      </c>
      <c r="G102" s="156">
        <v>8.31</v>
      </c>
      <c r="H102" s="156"/>
      <c r="I102" s="156">
        <f t="shared" si="37"/>
        <v>8.31</v>
      </c>
      <c r="J102" s="156">
        <f t="shared" si="38"/>
        <v>222.04320000000001</v>
      </c>
      <c r="K102" s="156">
        <f t="shared" si="39"/>
        <v>0</v>
      </c>
      <c r="L102" s="156">
        <f t="shared" si="40"/>
        <v>222.04320000000001</v>
      </c>
      <c r="M102" s="188">
        <f t="shared" si="41"/>
        <v>1</v>
      </c>
      <c r="N102" s="92"/>
      <c r="O102" s="7"/>
      <c r="P102" s="80"/>
      <c r="Q102" s="80"/>
      <c r="R102" s="91"/>
      <c r="S102" s="8"/>
      <c r="T102" s="82"/>
      <c r="W102" s="10"/>
      <c r="X102" s="9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</row>
    <row r="103" spans="1:61" s="87" customFormat="1" ht="30.75" customHeight="1">
      <c r="A103" s="156" t="s">
        <v>123</v>
      </c>
      <c r="B103" s="157" t="s">
        <v>124</v>
      </c>
      <c r="C103" s="172" t="s">
        <v>16</v>
      </c>
      <c r="D103" s="155">
        <v>0</v>
      </c>
      <c r="E103" s="155">
        <v>46.27</v>
      </c>
      <c r="F103" s="156">
        <f t="shared" si="36"/>
        <v>0</v>
      </c>
      <c r="G103" s="156">
        <v>0</v>
      </c>
      <c r="H103" s="156"/>
      <c r="I103" s="156">
        <f t="shared" si="37"/>
        <v>0</v>
      </c>
      <c r="J103" s="156">
        <f t="shared" si="38"/>
        <v>0</v>
      </c>
      <c r="K103" s="156">
        <f t="shared" si="39"/>
        <v>0</v>
      </c>
      <c r="L103" s="156">
        <f t="shared" si="40"/>
        <v>0</v>
      </c>
      <c r="M103" s="188" t="e">
        <f t="shared" si="41"/>
        <v>#DIV/0!</v>
      </c>
      <c r="N103" s="81"/>
      <c r="O103" s="7"/>
      <c r="P103" s="79"/>
      <c r="Q103" s="79"/>
      <c r="R103" s="79"/>
      <c r="S103" s="16"/>
      <c r="T103" s="82"/>
      <c r="U103" s="14"/>
      <c r="V103" s="14"/>
      <c r="W103" s="84"/>
      <c r="X103" s="83"/>
      <c r="Y103" s="85"/>
      <c r="Z103" s="85"/>
      <c r="AA103" s="85"/>
      <c r="AB103" s="85"/>
      <c r="AC103" s="85"/>
      <c r="AD103" s="85"/>
      <c r="AE103" s="86"/>
      <c r="AF103" s="86"/>
      <c r="AG103" s="86"/>
      <c r="AH103" s="86"/>
      <c r="AI103" s="86"/>
      <c r="AJ103" s="86"/>
      <c r="AK103" s="86"/>
      <c r="AL103" s="86"/>
      <c r="AM103" s="86"/>
      <c r="AN103" s="86"/>
      <c r="AO103" s="86"/>
      <c r="AP103" s="86"/>
      <c r="AQ103" s="86"/>
      <c r="AR103" s="86"/>
      <c r="AS103" s="86"/>
      <c r="AT103" s="86"/>
      <c r="AU103" s="86"/>
      <c r="AV103" s="86"/>
      <c r="AW103" s="86"/>
      <c r="AX103" s="86"/>
      <c r="AY103" s="86"/>
      <c r="AZ103" s="86"/>
      <c r="BA103" s="86"/>
      <c r="BB103" s="86"/>
      <c r="BC103" s="86"/>
      <c r="BD103" s="86"/>
      <c r="BE103" s="86"/>
      <c r="BF103" s="86"/>
      <c r="BG103" s="86"/>
      <c r="BH103" s="86"/>
      <c r="BI103" s="86"/>
    </row>
    <row r="104" spans="1:61" s="87" customFormat="1">
      <c r="A104" s="156" t="s">
        <v>605</v>
      </c>
      <c r="B104" s="157" t="s">
        <v>606</v>
      </c>
      <c r="C104" s="172" t="s">
        <v>81</v>
      </c>
      <c r="D104" s="155">
        <v>475</v>
      </c>
      <c r="E104" s="155">
        <v>26.49</v>
      </c>
      <c r="F104" s="156">
        <f t="shared" si="36"/>
        <v>12582.75</v>
      </c>
      <c r="G104" s="156">
        <v>51.84</v>
      </c>
      <c r="H104" s="156">
        <f>'MEMORIA BM 05'!L185</f>
        <v>356.12</v>
      </c>
      <c r="I104" s="156">
        <f t="shared" si="37"/>
        <v>407.96000000000004</v>
      </c>
      <c r="J104" s="156">
        <f t="shared" si="38"/>
        <v>1373.2416000000001</v>
      </c>
      <c r="K104" s="156">
        <f t="shared" si="39"/>
        <v>9433.6188000000002</v>
      </c>
      <c r="L104" s="156">
        <f t="shared" si="40"/>
        <v>10806.8604</v>
      </c>
      <c r="M104" s="188">
        <f t="shared" si="41"/>
        <v>0.85886315789473677</v>
      </c>
      <c r="N104" s="81">
        <f>F104-L104</f>
        <v>1775.8896000000004</v>
      </c>
      <c r="O104" s="7"/>
      <c r="P104" s="79"/>
      <c r="Q104" s="79"/>
      <c r="R104" s="79"/>
      <c r="S104" s="16"/>
      <c r="T104" s="82"/>
      <c r="U104" s="14"/>
      <c r="V104" s="14"/>
      <c r="W104" s="84"/>
      <c r="X104" s="83"/>
      <c r="Y104" s="85"/>
      <c r="Z104" s="85"/>
      <c r="AA104" s="85"/>
      <c r="AB104" s="85"/>
      <c r="AC104" s="85"/>
      <c r="AD104" s="85"/>
      <c r="AE104" s="86"/>
      <c r="AF104" s="86"/>
      <c r="AG104" s="86"/>
      <c r="AH104" s="86"/>
      <c r="AI104" s="86"/>
      <c r="AJ104" s="86"/>
      <c r="AK104" s="86"/>
      <c r="AL104" s="86"/>
      <c r="AM104" s="86"/>
      <c r="AN104" s="86"/>
      <c r="AO104" s="86"/>
      <c r="AP104" s="86"/>
      <c r="AQ104" s="86"/>
      <c r="AR104" s="86"/>
      <c r="AS104" s="86"/>
      <c r="AT104" s="86"/>
      <c r="AU104" s="86"/>
      <c r="AV104" s="86"/>
      <c r="AW104" s="86"/>
      <c r="AX104" s="86"/>
      <c r="AY104" s="86"/>
      <c r="AZ104" s="86"/>
      <c r="BA104" s="86"/>
      <c r="BB104" s="86"/>
      <c r="BC104" s="86"/>
      <c r="BD104" s="86"/>
      <c r="BE104" s="86"/>
      <c r="BF104" s="86"/>
      <c r="BG104" s="86"/>
      <c r="BH104" s="86"/>
      <c r="BI104" s="86"/>
    </row>
    <row r="105" spans="1:61" s="87" customFormat="1">
      <c r="A105" s="156" t="s">
        <v>607</v>
      </c>
      <c r="B105" s="157" t="s">
        <v>608</v>
      </c>
      <c r="C105" s="172" t="s">
        <v>43</v>
      </c>
      <c r="D105" s="155">
        <v>101.42</v>
      </c>
      <c r="E105" s="155">
        <v>5.34</v>
      </c>
      <c r="F105" s="156">
        <f t="shared" si="36"/>
        <v>541.58280000000002</v>
      </c>
      <c r="G105" s="156">
        <v>101.42</v>
      </c>
      <c r="H105" s="156"/>
      <c r="I105" s="156">
        <f t="shared" si="37"/>
        <v>101.42</v>
      </c>
      <c r="J105" s="156">
        <f t="shared" si="38"/>
        <v>541.58280000000002</v>
      </c>
      <c r="K105" s="156">
        <f t="shared" si="39"/>
        <v>0</v>
      </c>
      <c r="L105" s="156">
        <f t="shared" si="40"/>
        <v>541.58280000000002</v>
      </c>
      <c r="M105" s="188">
        <f t="shared" si="41"/>
        <v>1</v>
      </c>
      <c r="N105" s="92"/>
      <c r="O105" s="7"/>
      <c r="P105" s="79"/>
      <c r="Q105" s="79"/>
      <c r="R105" s="79"/>
      <c r="S105" s="16"/>
      <c r="T105" s="82"/>
      <c r="U105" s="14"/>
      <c r="V105" s="14"/>
      <c r="W105" s="84"/>
      <c r="X105" s="83"/>
      <c r="Y105" s="85"/>
      <c r="Z105" s="85"/>
      <c r="AA105" s="85"/>
      <c r="AB105" s="85"/>
      <c r="AC105" s="85"/>
      <c r="AD105" s="85"/>
      <c r="AE105" s="86"/>
      <c r="AF105" s="86"/>
      <c r="AG105" s="86"/>
      <c r="AH105" s="86"/>
      <c r="AI105" s="86"/>
      <c r="AJ105" s="86"/>
      <c r="AK105" s="86"/>
      <c r="AL105" s="86"/>
      <c r="AM105" s="86"/>
      <c r="AN105" s="86"/>
      <c r="AO105" s="86"/>
      <c r="AP105" s="86"/>
      <c r="AQ105" s="86"/>
      <c r="AR105" s="86"/>
      <c r="AS105" s="86"/>
      <c r="AT105" s="86"/>
      <c r="AU105" s="86"/>
      <c r="AV105" s="86"/>
      <c r="AW105" s="86"/>
      <c r="AX105" s="86"/>
      <c r="AY105" s="86"/>
      <c r="AZ105" s="86"/>
      <c r="BA105" s="86"/>
      <c r="BB105" s="86"/>
      <c r="BC105" s="86"/>
      <c r="BD105" s="86"/>
      <c r="BE105" s="86"/>
      <c r="BF105" s="86"/>
      <c r="BG105" s="86"/>
      <c r="BH105" s="86"/>
      <c r="BI105" s="86"/>
    </row>
    <row r="106" spans="1:61">
      <c r="A106" s="156"/>
      <c r="B106" s="154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88" t="e">
        <f t="shared" si="41"/>
        <v>#DIV/0!</v>
      </c>
      <c r="N106" s="81"/>
      <c r="O106" s="7"/>
      <c r="P106" s="80"/>
      <c r="Q106" s="80"/>
      <c r="R106" s="91"/>
      <c r="S106" s="8"/>
      <c r="T106" s="82"/>
      <c r="W106" s="10"/>
      <c r="X106" s="9"/>
      <c r="Y106" s="99"/>
      <c r="Z106" s="100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</row>
    <row r="107" spans="1:61" s="87" customFormat="1">
      <c r="A107" s="164" t="s">
        <v>125</v>
      </c>
      <c r="B107" s="165" t="s">
        <v>126</v>
      </c>
      <c r="C107" s="166"/>
      <c r="D107" s="167"/>
      <c r="E107" s="166"/>
      <c r="F107" s="166">
        <f>SUM(F109:F112)</f>
        <v>66961.275599999994</v>
      </c>
      <c r="G107" s="166"/>
      <c r="H107" s="166"/>
      <c r="I107" s="166"/>
      <c r="J107" s="166">
        <f>SUM(J109:J112)</f>
        <v>56961.800800000012</v>
      </c>
      <c r="K107" s="166">
        <f>SUM(K109:K112)</f>
        <v>0</v>
      </c>
      <c r="L107" s="166">
        <f>SUM(L109:L112)</f>
        <v>56961.800800000012</v>
      </c>
      <c r="M107" s="188">
        <f t="shared" si="41"/>
        <v>0.85066779701550399</v>
      </c>
      <c r="N107" s="98"/>
      <c r="O107" s="7"/>
      <c r="P107" s="97"/>
      <c r="Q107" s="97"/>
      <c r="R107" s="79"/>
      <c r="S107" s="16"/>
      <c r="T107" s="82"/>
      <c r="U107" s="14"/>
      <c r="V107" s="14"/>
      <c r="W107" s="84"/>
      <c r="X107" s="83"/>
      <c r="Y107" s="85"/>
      <c r="Z107" s="85"/>
      <c r="AA107" s="85"/>
      <c r="AB107" s="85"/>
      <c r="AC107" s="85"/>
      <c r="AD107" s="85"/>
      <c r="AE107" s="85"/>
      <c r="AF107" s="85"/>
      <c r="AG107" s="85"/>
      <c r="AH107" s="85"/>
      <c r="AI107" s="85"/>
      <c r="AJ107" s="85"/>
      <c r="AK107" s="86"/>
      <c r="AL107" s="86"/>
      <c r="AM107" s="86"/>
      <c r="AN107" s="86"/>
      <c r="AO107" s="86"/>
      <c r="AP107" s="86"/>
      <c r="AQ107" s="86"/>
      <c r="AR107" s="86"/>
      <c r="AS107" s="86"/>
      <c r="AT107" s="86"/>
      <c r="AU107" s="86"/>
      <c r="AV107" s="86"/>
      <c r="AW107" s="86"/>
      <c r="AX107" s="86"/>
      <c r="AY107" s="86"/>
      <c r="AZ107" s="86"/>
      <c r="BA107" s="86"/>
      <c r="BB107" s="86"/>
      <c r="BC107" s="86"/>
      <c r="BD107" s="86"/>
      <c r="BE107" s="86"/>
      <c r="BF107" s="86"/>
      <c r="BG107" s="86"/>
      <c r="BH107" s="86"/>
      <c r="BI107" s="86"/>
    </row>
    <row r="108" spans="1:61" s="87" customFormat="1">
      <c r="A108" s="156"/>
      <c r="B108" s="154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88" t="e">
        <f t="shared" si="41"/>
        <v>#DIV/0!</v>
      </c>
      <c r="N108" s="81"/>
      <c r="O108" s="7"/>
      <c r="P108" s="79"/>
      <c r="Q108" s="79"/>
      <c r="R108" s="79"/>
      <c r="S108" s="16"/>
      <c r="T108" s="82"/>
      <c r="U108" s="14"/>
      <c r="V108" s="14"/>
      <c r="W108" s="84"/>
      <c r="X108" s="83"/>
      <c r="Y108" s="85"/>
      <c r="Z108" s="85"/>
      <c r="AA108" s="85"/>
      <c r="AB108" s="85"/>
      <c r="AC108" s="85"/>
      <c r="AD108" s="85"/>
      <c r="AE108" s="85"/>
      <c r="AF108" s="85"/>
      <c r="AG108" s="85"/>
      <c r="AH108" s="85"/>
      <c r="AI108" s="85"/>
      <c r="AJ108" s="85"/>
      <c r="AK108" s="86"/>
      <c r="AL108" s="86"/>
      <c r="AM108" s="86"/>
      <c r="AN108" s="86"/>
      <c r="AO108" s="86"/>
      <c r="AP108" s="86"/>
      <c r="AQ108" s="86"/>
      <c r="AR108" s="86"/>
      <c r="AS108" s="86"/>
      <c r="AT108" s="86"/>
      <c r="AU108" s="86"/>
      <c r="AV108" s="86"/>
      <c r="AW108" s="86"/>
      <c r="AX108" s="86"/>
      <c r="AY108" s="86"/>
      <c r="AZ108" s="86"/>
      <c r="BA108" s="86"/>
      <c r="BB108" s="86"/>
      <c r="BC108" s="86"/>
      <c r="BD108" s="86"/>
      <c r="BE108" s="86"/>
      <c r="BF108" s="86"/>
      <c r="BG108" s="86"/>
      <c r="BH108" s="86"/>
      <c r="BI108" s="86"/>
    </row>
    <row r="109" spans="1:61" ht="42.75">
      <c r="A109" s="156" t="s">
        <v>127</v>
      </c>
      <c r="B109" s="157" t="s">
        <v>128</v>
      </c>
      <c r="C109" s="156" t="s">
        <v>16</v>
      </c>
      <c r="D109" s="156">
        <v>1663.44</v>
      </c>
      <c r="E109" s="156">
        <v>2.92</v>
      </c>
      <c r="F109" s="156">
        <f t="shared" ref="F109:F112" si="42">D109*E109</f>
        <v>4857.2448000000004</v>
      </c>
      <c r="G109" s="156">
        <v>1337.3</v>
      </c>
      <c r="H109" s="156"/>
      <c r="I109" s="156">
        <f t="shared" ref="I109:I112" si="43">G109+H109</f>
        <v>1337.3</v>
      </c>
      <c r="J109" s="156">
        <f t="shared" ref="J109:J112" si="44">E109*G109</f>
        <v>3904.9159999999997</v>
      </c>
      <c r="K109" s="156">
        <f t="shared" ref="K109:K112" si="45">H109*E109</f>
        <v>0</v>
      </c>
      <c r="L109" s="156">
        <f t="shared" ref="L109:L112" si="46">J109+K109</f>
        <v>3904.9159999999997</v>
      </c>
      <c r="M109" s="188">
        <f t="shared" si="41"/>
        <v>0.80393642091088335</v>
      </c>
      <c r="N109" s="92">
        <f>F109-J109</f>
        <v>952.32880000000068</v>
      </c>
      <c r="O109" s="7"/>
      <c r="P109" s="80"/>
      <c r="Q109" s="80"/>
      <c r="R109" s="91"/>
      <c r="S109" s="8"/>
      <c r="T109" s="82"/>
      <c r="W109" s="10"/>
      <c r="X109" s="9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</row>
    <row r="110" spans="1:61" ht="57.75" customHeight="1">
      <c r="A110" s="156" t="s">
        <v>129</v>
      </c>
      <c r="B110" s="157" t="s">
        <v>130</v>
      </c>
      <c r="C110" s="156" t="s">
        <v>16</v>
      </c>
      <c r="D110" s="156">
        <v>1146.79</v>
      </c>
      <c r="E110" s="156">
        <v>21.42</v>
      </c>
      <c r="F110" s="156">
        <f t="shared" si="42"/>
        <v>24564.2418</v>
      </c>
      <c r="G110" s="156">
        <v>846.89000000000021</v>
      </c>
      <c r="H110" s="156"/>
      <c r="I110" s="156">
        <f t="shared" si="43"/>
        <v>846.89000000000021</v>
      </c>
      <c r="J110" s="156">
        <f t="shared" si="44"/>
        <v>18140.383800000007</v>
      </c>
      <c r="K110" s="156">
        <f t="shared" si="45"/>
        <v>0</v>
      </c>
      <c r="L110" s="156">
        <f t="shared" si="46"/>
        <v>18140.383800000007</v>
      </c>
      <c r="M110" s="188">
        <f t="shared" si="41"/>
        <v>0.73848743013106177</v>
      </c>
      <c r="N110" s="92">
        <f>F110-J110</f>
        <v>6423.8579999999929</v>
      </c>
      <c r="O110" s="7"/>
      <c r="P110" s="80"/>
      <c r="Q110" s="80"/>
      <c r="R110" s="91"/>
      <c r="S110" s="8"/>
      <c r="T110" s="82"/>
      <c r="W110" s="10"/>
      <c r="X110" s="9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</row>
    <row r="111" spans="1:61" ht="57">
      <c r="A111" s="156" t="s">
        <v>131</v>
      </c>
      <c r="B111" s="157" t="s">
        <v>132</v>
      </c>
      <c r="C111" s="156" t="s">
        <v>16</v>
      </c>
      <c r="D111" s="156">
        <v>516.65</v>
      </c>
      <c r="E111" s="156">
        <v>21.4</v>
      </c>
      <c r="F111" s="156">
        <f t="shared" si="42"/>
        <v>11056.31</v>
      </c>
      <c r="G111" s="156">
        <v>515.2700000000001</v>
      </c>
      <c r="H111" s="156"/>
      <c r="I111" s="156">
        <f t="shared" si="43"/>
        <v>515.2700000000001</v>
      </c>
      <c r="J111" s="156">
        <f t="shared" si="44"/>
        <v>11026.778000000002</v>
      </c>
      <c r="K111" s="156">
        <f t="shared" si="45"/>
        <v>0</v>
      </c>
      <c r="L111" s="156">
        <f t="shared" si="46"/>
        <v>11026.778000000002</v>
      </c>
      <c r="M111" s="188">
        <f t="shared" si="41"/>
        <v>0.99732894609503553</v>
      </c>
      <c r="N111" s="81"/>
      <c r="O111" s="7"/>
      <c r="P111" s="80"/>
      <c r="Q111" s="80"/>
      <c r="R111" s="91"/>
      <c r="S111" s="8"/>
      <c r="T111" s="82"/>
      <c r="W111" s="10"/>
      <c r="X111" s="9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</row>
    <row r="112" spans="1:61" ht="42.75">
      <c r="A112" s="156" t="s">
        <v>133</v>
      </c>
      <c r="B112" s="157" t="s">
        <v>134</v>
      </c>
      <c r="C112" s="156" t="s">
        <v>16</v>
      </c>
      <c r="D112" s="156">
        <v>516.65</v>
      </c>
      <c r="E112" s="156">
        <v>51.26</v>
      </c>
      <c r="F112" s="156">
        <f t="shared" si="42"/>
        <v>26483.478999999999</v>
      </c>
      <c r="G112" s="156">
        <v>466.0499999999999</v>
      </c>
      <c r="H112" s="156"/>
      <c r="I112" s="156">
        <f t="shared" si="43"/>
        <v>466.0499999999999</v>
      </c>
      <c r="J112" s="156">
        <f t="shared" si="44"/>
        <v>23889.722999999994</v>
      </c>
      <c r="K112" s="156">
        <f t="shared" si="45"/>
        <v>0</v>
      </c>
      <c r="L112" s="156">
        <f t="shared" si="46"/>
        <v>23889.722999999994</v>
      </c>
      <c r="M112" s="188">
        <f t="shared" si="41"/>
        <v>0.90206135681796173</v>
      </c>
      <c r="N112" s="81">
        <f>F112-L112</f>
        <v>2593.7560000000049</v>
      </c>
      <c r="O112" s="7"/>
      <c r="P112" s="80"/>
      <c r="Q112" s="80"/>
      <c r="R112" s="91"/>
      <c r="S112" s="8"/>
      <c r="T112" s="82"/>
      <c r="W112" s="10"/>
      <c r="X112" s="9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</row>
    <row r="113" spans="1:66">
      <c r="A113" s="156"/>
      <c r="B113" s="154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88" t="e">
        <f t="shared" si="41"/>
        <v>#DIV/0!</v>
      </c>
      <c r="N113" s="81"/>
      <c r="O113" s="7"/>
      <c r="P113" s="80"/>
      <c r="Q113" s="80"/>
      <c r="R113" s="91"/>
      <c r="S113" s="8"/>
      <c r="T113" s="82"/>
      <c r="W113" s="10"/>
      <c r="X113" s="9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</row>
    <row r="114" spans="1:66" s="87" customFormat="1">
      <c r="A114" s="164" t="s">
        <v>135</v>
      </c>
      <c r="B114" s="165" t="s">
        <v>8</v>
      </c>
      <c r="C114" s="166"/>
      <c r="D114" s="167"/>
      <c r="E114" s="166"/>
      <c r="F114" s="166">
        <f>SUM(F116:F126)</f>
        <v>36084.308730000004</v>
      </c>
      <c r="G114" s="166"/>
      <c r="H114" s="166"/>
      <c r="I114" s="166"/>
      <c r="J114" s="166">
        <f>SUM(J116:J126)</f>
        <v>0</v>
      </c>
      <c r="K114" s="166">
        <f t="shared" ref="K114:L114" si="47">SUM(K116:K126)</f>
        <v>14997.738700000007</v>
      </c>
      <c r="L114" s="166">
        <f t="shared" si="47"/>
        <v>14997.738700000007</v>
      </c>
      <c r="M114" s="188">
        <f t="shared" si="41"/>
        <v>0.41563048393749857</v>
      </c>
      <c r="N114" s="98">
        <f>F114-L114-N123</f>
        <v>15742.461929999994</v>
      </c>
      <c r="O114" s="7"/>
      <c r="P114" s="97"/>
      <c r="Q114" s="97"/>
      <c r="R114" s="79"/>
      <c r="S114" s="16"/>
      <c r="T114" s="82"/>
      <c r="U114" s="14"/>
      <c r="V114" s="14"/>
      <c r="W114" s="84"/>
      <c r="X114" s="83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86"/>
      <c r="AL114" s="86"/>
      <c r="AM114" s="86"/>
      <c r="AN114" s="86"/>
      <c r="AO114" s="86"/>
      <c r="AP114" s="86"/>
      <c r="AQ114" s="86"/>
      <c r="AR114" s="86"/>
      <c r="AS114" s="86"/>
      <c r="AT114" s="86"/>
      <c r="AU114" s="86"/>
      <c r="AV114" s="86"/>
      <c r="AW114" s="86"/>
      <c r="AX114" s="86"/>
      <c r="AY114" s="86"/>
      <c r="AZ114" s="86"/>
      <c r="BA114" s="86"/>
      <c r="BB114" s="86"/>
      <c r="BC114" s="86"/>
      <c r="BD114" s="86"/>
      <c r="BE114" s="86"/>
      <c r="BF114" s="86"/>
      <c r="BG114" s="86"/>
      <c r="BH114" s="86"/>
      <c r="BI114" s="86"/>
    </row>
    <row r="115" spans="1:66" s="87" customFormat="1">
      <c r="A115" s="156"/>
      <c r="B115" s="154"/>
      <c r="C115" s="156"/>
      <c r="D115" s="155"/>
      <c r="E115" s="155"/>
      <c r="F115" s="155"/>
      <c r="G115" s="155"/>
      <c r="H115" s="155"/>
      <c r="I115" s="155"/>
      <c r="J115" s="155"/>
      <c r="K115" s="155"/>
      <c r="L115" s="155"/>
      <c r="M115" s="188" t="e">
        <f t="shared" si="41"/>
        <v>#DIV/0!</v>
      </c>
      <c r="N115" s="81"/>
      <c r="O115" s="7"/>
      <c r="P115" s="79"/>
      <c r="Q115" s="79"/>
      <c r="R115" s="79"/>
      <c r="S115" s="16"/>
      <c r="T115" s="82"/>
      <c r="U115" s="14"/>
      <c r="V115" s="14"/>
      <c r="W115" s="84"/>
      <c r="X115" s="83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6"/>
      <c r="AJ115" s="86"/>
      <c r="AK115" s="86"/>
      <c r="AL115" s="86"/>
      <c r="AM115" s="86"/>
      <c r="AN115" s="86"/>
      <c r="AO115" s="86"/>
      <c r="AP115" s="86"/>
      <c r="AQ115" s="86"/>
      <c r="AR115" s="86"/>
      <c r="AS115" s="86"/>
      <c r="AT115" s="86"/>
      <c r="AU115" s="86"/>
      <c r="AV115" s="86"/>
      <c r="AW115" s="86"/>
      <c r="AX115" s="86"/>
      <c r="AY115" s="86"/>
      <c r="AZ115" s="86"/>
      <c r="BA115" s="86"/>
      <c r="BB115" s="86"/>
      <c r="BC115" s="86"/>
      <c r="BD115" s="86"/>
      <c r="BE115" s="86"/>
      <c r="BF115" s="86"/>
      <c r="BG115" s="86"/>
      <c r="BH115" s="86"/>
      <c r="BI115" s="86"/>
    </row>
    <row r="116" spans="1:66">
      <c r="A116" s="156" t="s">
        <v>136</v>
      </c>
      <c r="B116" s="157" t="s">
        <v>137</v>
      </c>
      <c r="C116" s="156" t="s">
        <v>16</v>
      </c>
      <c r="D116" s="156">
        <v>773.61700000000053</v>
      </c>
      <c r="E116" s="156">
        <v>1.79</v>
      </c>
      <c r="F116" s="156">
        <f t="shared" ref="F116:F126" si="48">D116*E116</f>
        <v>1384.7744300000011</v>
      </c>
      <c r="G116" s="156">
        <v>0</v>
      </c>
      <c r="H116" s="156">
        <f>'MEMORIA BM 05'!L248</f>
        <v>773.61700000000053</v>
      </c>
      <c r="I116" s="156">
        <f t="shared" ref="I116:I126" si="49">G116+H116</f>
        <v>773.61700000000053</v>
      </c>
      <c r="J116" s="156">
        <f t="shared" ref="J116:J126" si="50">E116*G116</f>
        <v>0</v>
      </c>
      <c r="K116" s="156">
        <f t="shared" ref="K116:K126" si="51">H116*E116</f>
        <v>1384.7744300000011</v>
      </c>
      <c r="L116" s="156">
        <f t="shared" ref="L116:L126" si="52">J116+K116</f>
        <v>1384.7744300000011</v>
      </c>
      <c r="M116" s="188">
        <f t="shared" si="41"/>
        <v>1</v>
      </c>
      <c r="N116" s="81"/>
      <c r="O116" s="7"/>
      <c r="P116" s="80"/>
      <c r="Q116" s="80"/>
      <c r="R116" s="91"/>
      <c r="S116" s="8"/>
      <c r="T116" s="82"/>
      <c r="W116" s="10"/>
      <c r="X116" s="9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</row>
    <row r="117" spans="1:66" s="87" customFormat="1" ht="16.5" customHeight="1">
      <c r="A117" s="156" t="s">
        <v>138</v>
      </c>
      <c r="B117" s="157" t="s">
        <v>139</v>
      </c>
      <c r="C117" s="156" t="s">
        <v>16</v>
      </c>
      <c r="D117" s="156">
        <v>414.88</v>
      </c>
      <c r="E117" s="156">
        <v>9.23</v>
      </c>
      <c r="F117" s="156">
        <f t="shared" si="48"/>
        <v>3829.3424</v>
      </c>
      <c r="G117" s="156">
        <v>0</v>
      </c>
      <c r="H117" s="156">
        <f>'MEMORIA BM 05'!L282</f>
        <v>414.87700000000052</v>
      </c>
      <c r="I117" s="156">
        <f t="shared" si="49"/>
        <v>414.87700000000052</v>
      </c>
      <c r="J117" s="156">
        <f t="shared" si="50"/>
        <v>0</v>
      </c>
      <c r="K117" s="156">
        <f t="shared" si="51"/>
        <v>3829.3147100000051</v>
      </c>
      <c r="L117" s="156">
        <f t="shared" si="52"/>
        <v>3829.3147100000051</v>
      </c>
      <c r="M117" s="188">
        <f t="shared" si="41"/>
        <v>0.99999276899344525</v>
      </c>
      <c r="N117" s="81"/>
      <c r="O117" s="7"/>
      <c r="P117" s="80"/>
      <c r="Q117" s="80"/>
      <c r="R117" s="79"/>
      <c r="S117" s="16"/>
      <c r="T117" s="82"/>
      <c r="U117" s="14"/>
      <c r="V117" s="14"/>
      <c r="W117" s="84"/>
      <c r="X117" s="83"/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86"/>
      <c r="AJ117" s="86"/>
      <c r="AK117" s="86"/>
      <c r="AL117" s="86"/>
      <c r="AM117" s="86"/>
      <c r="AN117" s="86"/>
      <c r="AO117" s="86"/>
      <c r="AP117" s="86"/>
      <c r="AQ117" s="86"/>
      <c r="AR117" s="86"/>
      <c r="AS117" s="86"/>
      <c r="AT117" s="86"/>
      <c r="AU117" s="86"/>
      <c r="AV117" s="86"/>
      <c r="AW117" s="86"/>
      <c r="AX117" s="86"/>
      <c r="AY117" s="86"/>
      <c r="AZ117" s="86"/>
      <c r="BA117" s="86"/>
      <c r="BB117" s="86"/>
      <c r="BC117" s="86"/>
      <c r="BD117" s="86"/>
      <c r="BE117" s="86"/>
      <c r="BF117" s="86"/>
      <c r="BG117" s="86"/>
      <c r="BH117" s="86"/>
      <c r="BI117" s="86"/>
    </row>
    <row r="118" spans="1:66" s="87" customFormat="1" ht="28.5">
      <c r="A118" s="156" t="s">
        <v>140</v>
      </c>
      <c r="B118" s="157" t="s">
        <v>141</v>
      </c>
      <c r="C118" s="156" t="s">
        <v>16</v>
      </c>
      <c r="D118" s="156">
        <v>358.74</v>
      </c>
      <c r="E118" s="156">
        <v>11.88</v>
      </c>
      <c r="F118" s="156">
        <f t="shared" si="48"/>
        <v>4261.8312000000005</v>
      </c>
      <c r="G118" s="156">
        <v>0</v>
      </c>
      <c r="H118" s="156">
        <f>'MEMORIA BM 05'!L285</f>
        <v>187.44199999999998</v>
      </c>
      <c r="I118" s="156">
        <f t="shared" si="49"/>
        <v>187.44199999999998</v>
      </c>
      <c r="J118" s="156">
        <f t="shared" si="50"/>
        <v>0</v>
      </c>
      <c r="K118" s="156">
        <f t="shared" si="51"/>
        <v>2226.8109599999998</v>
      </c>
      <c r="L118" s="156">
        <f t="shared" si="52"/>
        <v>2226.8109599999998</v>
      </c>
      <c r="M118" s="188">
        <f t="shared" si="41"/>
        <v>0.52250097563695141</v>
      </c>
      <c r="N118" s="81"/>
      <c r="O118" s="7"/>
      <c r="P118" s="80"/>
      <c r="Q118" s="80"/>
      <c r="R118" s="79"/>
      <c r="S118" s="16"/>
      <c r="T118" s="82"/>
      <c r="U118" s="14"/>
      <c r="V118" s="14"/>
      <c r="W118" s="84"/>
      <c r="X118" s="83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6"/>
      <c r="AJ118" s="86"/>
      <c r="AK118" s="86"/>
      <c r="AL118" s="86"/>
      <c r="AM118" s="86"/>
      <c r="AN118" s="86"/>
      <c r="AO118" s="86"/>
      <c r="AP118" s="86"/>
      <c r="AQ118" s="86"/>
      <c r="AR118" s="86"/>
      <c r="AS118" s="86"/>
      <c r="AT118" s="86"/>
      <c r="AU118" s="86"/>
      <c r="AV118" s="86"/>
      <c r="AW118" s="86"/>
      <c r="AX118" s="86"/>
      <c r="AY118" s="86"/>
      <c r="AZ118" s="86"/>
      <c r="BA118" s="86"/>
      <c r="BB118" s="86"/>
      <c r="BC118" s="86"/>
      <c r="BD118" s="86"/>
      <c r="BE118" s="86"/>
      <c r="BF118" s="86"/>
      <c r="BG118" s="86"/>
      <c r="BH118" s="86"/>
      <c r="BI118" s="86"/>
    </row>
    <row r="119" spans="1:66" s="87" customFormat="1" ht="28.5">
      <c r="A119" s="156" t="s">
        <v>142</v>
      </c>
      <c r="B119" s="157" t="s">
        <v>143</v>
      </c>
      <c r="C119" s="156" t="s">
        <v>16</v>
      </c>
      <c r="D119" s="156">
        <v>358.74</v>
      </c>
      <c r="E119" s="156">
        <v>10.61</v>
      </c>
      <c r="F119" s="156">
        <f t="shared" si="48"/>
        <v>3806.2313999999997</v>
      </c>
      <c r="G119" s="156">
        <v>0</v>
      </c>
      <c r="H119" s="155"/>
      <c r="I119" s="156">
        <f t="shared" si="49"/>
        <v>0</v>
      </c>
      <c r="J119" s="156">
        <f t="shared" si="50"/>
        <v>0</v>
      </c>
      <c r="K119" s="156">
        <f t="shared" si="51"/>
        <v>0</v>
      </c>
      <c r="L119" s="156">
        <f t="shared" si="52"/>
        <v>0</v>
      </c>
      <c r="M119" s="188">
        <f t="shared" si="41"/>
        <v>0</v>
      </c>
      <c r="N119" s="81"/>
      <c r="O119" s="7"/>
      <c r="P119" s="80"/>
      <c r="Q119" s="80"/>
      <c r="R119" s="79"/>
      <c r="S119" s="16"/>
      <c r="T119" s="82"/>
      <c r="U119" s="14"/>
      <c r="V119" s="14"/>
      <c r="W119" s="84"/>
      <c r="X119" s="83"/>
      <c r="Y119" s="85"/>
      <c r="Z119" s="85"/>
      <c r="AA119" s="85"/>
      <c r="AB119" s="85"/>
      <c r="AC119" s="85"/>
      <c r="AD119" s="85"/>
      <c r="AE119" s="85"/>
      <c r="AF119" s="85"/>
      <c r="AG119" s="85"/>
      <c r="AH119" s="85"/>
      <c r="AI119" s="86"/>
      <c r="AJ119" s="86"/>
      <c r="AK119" s="86"/>
      <c r="AL119" s="86"/>
      <c r="AM119" s="86"/>
      <c r="AN119" s="86"/>
      <c r="AO119" s="86"/>
      <c r="AP119" s="86"/>
      <c r="AQ119" s="86"/>
      <c r="AR119" s="86"/>
      <c r="AS119" s="86"/>
      <c r="AT119" s="86"/>
      <c r="AU119" s="86"/>
      <c r="AV119" s="86"/>
      <c r="AW119" s="86"/>
      <c r="AX119" s="86"/>
      <c r="AY119" s="86"/>
      <c r="AZ119" s="86"/>
      <c r="BA119" s="86"/>
      <c r="BB119" s="86"/>
      <c r="BC119" s="86"/>
      <c r="BD119" s="86"/>
      <c r="BE119" s="86"/>
      <c r="BF119" s="86"/>
      <c r="BG119" s="86"/>
      <c r="BH119" s="86"/>
      <c r="BI119" s="86"/>
    </row>
    <row r="120" spans="1:66" s="87" customFormat="1" ht="28.5">
      <c r="A120" s="156" t="s">
        <v>144</v>
      </c>
      <c r="B120" s="157" t="s">
        <v>145</v>
      </c>
      <c r="C120" s="156" t="s">
        <v>16</v>
      </c>
      <c r="D120" s="156">
        <v>81.38</v>
      </c>
      <c r="E120" s="156">
        <v>13.51</v>
      </c>
      <c r="F120" s="156">
        <f t="shared" si="48"/>
        <v>1099.4438</v>
      </c>
      <c r="G120" s="156">
        <v>0</v>
      </c>
      <c r="H120" s="155"/>
      <c r="I120" s="156">
        <f t="shared" si="49"/>
        <v>0</v>
      </c>
      <c r="J120" s="156">
        <f t="shared" si="50"/>
        <v>0</v>
      </c>
      <c r="K120" s="156">
        <f t="shared" si="51"/>
        <v>0</v>
      </c>
      <c r="L120" s="156">
        <f t="shared" si="52"/>
        <v>0</v>
      </c>
      <c r="M120" s="188">
        <f t="shared" si="41"/>
        <v>0</v>
      </c>
      <c r="N120" s="81"/>
      <c r="O120" s="7"/>
      <c r="P120" s="80"/>
      <c r="Q120" s="80"/>
      <c r="R120" s="79"/>
      <c r="S120" s="16"/>
      <c r="T120" s="82"/>
      <c r="U120" s="14"/>
      <c r="V120" s="14"/>
      <c r="W120" s="84"/>
      <c r="X120" s="83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6"/>
      <c r="AJ120" s="86"/>
      <c r="AK120" s="86"/>
      <c r="AL120" s="86"/>
      <c r="AM120" s="86"/>
      <c r="AN120" s="86"/>
      <c r="AO120" s="86"/>
      <c r="AP120" s="86"/>
      <c r="AQ120" s="86"/>
      <c r="AR120" s="86"/>
      <c r="AS120" s="86"/>
      <c r="AT120" s="86"/>
      <c r="AU120" s="86"/>
      <c r="AV120" s="86"/>
      <c r="AW120" s="86"/>
      <c r="AX120" s="86"/>
      <c r="AY120" s="86"/>
      <c r="AZ120" s="86"/>
      <c r="BA120" s="86"/>
      <c r="BB120" s="86"/>
      <c r="BC120" s="86"/>
      <c r="BD120" s="86"/>
      <c r="BE120" s="86"/>
      <c r="BF120" s="86"/>
      <c r="BG120" s="86"/>
      <c r="BH120" s="86"/>
      <c r="BI120" s="86"/>
    </row>
    <row r="121" spans="1:66" s="87" customFormat="1" ht="42.75">
      <c r="A121" s="156" t="s">
        <v>146</v>
      </c>
      <c r="B121" s="157" t="s">
        <v>147</v>
      </c>
      <c r="C121" s="156" t="s">
        <v>16</v>
      </c>
      <c r="D121" s="156">
        <v>83.17</v>
      </c>
      <c r="E121" s="156">
        <v>15.22</v>
      </c>
      <c r="F121" s="156">
        <f t="shared" si="48"/>
        <v>1265.8474000000001</v>
      </c>
      <c r="G121" s="156">
        <v>0</v>
      </c>
      <c r="H121" s="155">
        <f>'MEMORIA BM 05'!L299</f>
        <v>83.17</v>
      </c>
      <c r="I121" s="156">
        <f t="shared" si="49"/>
        <v>83.17</v>
      </c>
      <c r="J121" s="156">
        <f t="shared" si="50"/>
        <v>0</v>
      </c>
      <c r="K121" s="156">
        <f t="shared" si="51"/>
        <v>1265.8474000000001</v>
      </c>
      <c r="L121" s="156">
        <f t="shared" si="52"/>
        <v>1265.8474000000001</v>
      </c>
      <c r="M121" s="188">
        <f t="shared" si="41"/>
        <v>1</v>
      </c>
      <c r="N121" s="81"/>
      <c r="O121" s="7"/>
      <c r="P121" s="79"/>
      <c r="Q121" s="79"/>
      <c r="R121" s="79"/>
      <c r="S121" s="16"/>
      <c r="T121" s="82"/>
      <c r="U121" s="14"/>
      <c r="V121" s="14"/>
      <c r="W121" s="84"/>
      <c r="X121" s="83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  <c r="AJ121" s="85"/>
      <c r="AK121" s="85"/>
      <c r="AL121" s="85"/>
      <c r="AM121" s="85"/>
      <c r="AN121" s="85"/>
      <c r="AO121" s="85"/>
      <c r="AP121" s="85"/>
      <c r="AQ121" s="85"/>
      <c r="AR121" s="85"/>
      <c r="AS121" s="85"/>
      <c r="AT121" s="85"/>
      <c r="AU121" s="85"/>
      <c r="AV121" s="85"/>
      <c r="AW121" s="85"/>
      <c r="AX121" s="85"/>
      <c r="AY121" s="85"/>
      <c r="AZ121" s="85"/>
      <c r="BA121" s="85"/>
      <c r="BB121" s="85"/>
      <c r="BC121" s="85"/>
      <c r="BD121" s="85"/>
      <c r="BE121" s="85"/>
      <c r="BF121" s="85"/>
      <c r="BG121" s="85"/>
      <c r="BH121" s="85"/>
      <c r="BI121" s="85"/>
      <c r="BJ121" s="101"/>
      <c r="BK121" s="101"/>
      <c r="BL121" s="101"/>
      <c r="BM121" s="101"/>
      <c r="BN121" s="101"/>
    </row>
    <row r="122" spans="1:66" s="87" customFormat="1" ht="28.5">
      <c r="A122" s="156" t="s">
        <v>148</v>
      </c>
      <c r="B122" s="157" t="s">
        <v>149</v>
      </c>
      <c r="C122" s="156" t="s">
        <v>16</v>
      </c>
      <c r="D122" s="156">
        <v>414.88</v>
      </c>
      <c r="E122" s="156">
        <v>8.5</v>
      </c>
      <c r="F122" s="156">
        <f t="shared" si="48"/>
        <v>3526.48</v>
      </c>
      <c r="G122" s="156">
        <v>0</v>
      </c>
      <c r="H122" s="155"/>
      <c r="I122" s="156">
        <f t="shared" si="49"/>
        <v>0</v>
      </c>
      <c r="J122" s="156">
        <f t="shared" si="50"/>
        <v>0</v>
      </c>
      <c r="K122" s="156">
        <f t="shared" si="51"/>
        <v>0</v>
      </c>
      <c r="L122" s="156">
        <f t="shared" si="52"/>
        <v>0</v>
      </c>
      <c r="M122" s="188">
        <f t="shared" si="41"/>
        <v>0</v>
      </c>
      <c r="N122" s="81"/>
      <c r="O122" s="7"/>
      <c r="P122" s="79"/>
      <c r="Q122" s="79"/>
      <c r="R122" s="79"/>
      <c r="S122" s="16"/>
      <c r="T122" s="82"/>
      <c r="U122" s="14"/>
      <c r="V122" s="14"/>
      <c r="W122" s="84"/>
      <c r="X122" s="83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  <c r="AJ122" s="85"/>
      <c r="AK122" s="85"/>
      <c r="AL122" s="85"/>
      <c r="AM122" s="85"/>
      <c r="AN122" s="85"/>
      <c r="AO122" s="85"/>
      <c r="AP122" s="85"/>
      <c r="AQ122" s="85"/>
      <c r="AR122" s="85"/>
      <c r="AS122" s="85"/>
      <c r="AT122" s="85"/>
      <c r="AU122" s="85"/>
      <c r="AV122" s="85"/>
      <c r="AW122" s="85"/>
      <c r="AX122" s="85"/>
      <c r="AY122" s="85"/>
      <c r="AZ122" s="85"/>
      <c r="BA122" s="85"/>
      <c r="BB122" s="85"/>
      <c r="BC122" s="85"/>
      <c r="BD122" s="85"/>
      <c r="BE122" s="85"/>
      <c r="BF122" s="85"/>
      <c r="BG122" s="85"/>
      <c r="BH122" s="85"/>
      <c r="BI122" s="85"/>
      <c r="BJ122" s="101"/>
      <c r="BK122" s="101"/>
      <c r="BL122" s="101"/>
      <c r="BM122" s="101"/>
      <c r="BN122" s="101"/>
    </row>
    <row r="123" spans="1:66" s="87" customFormat="1">
      <c r="A123" s="156" t="s">
        <v>150</v>
      </c>
      <c r="B123" s="158" t="s">
        <v>151</v>
      </c>
      <c r="C123" s="156" t="s">
        <v>16</v>
      </c>
      <c r="D123" s="156">
        <v>766.73</v>
      </c>
      <c r="E123" s="156">
        <v>6.97</v>
      </c>
      <c r="F123" s="156">
        <f t="shared" si="48"/>
        <v>5344.1081000000004</v>
      </c>
      <c r="G123" s="156">
        <v>0</v>
      </c>
      <c r="H123" s="155"/>
      <c r="I123" s="156">
        <f t="shared" si="49"/>
        <v>0</v>
      </c>
      <c r="J123" s="156">
        <f t="shared" si="50"/>
        <v>0</v>
      </c>
      <c r="K123" s="156">
        <f t="shared" si="51"/>
        <v>0</v>
      </c>
      <c r="L123" s="156">
        <f t="shared" si="52"/>
        <v>0</v>
      </c>
      <c r="M123" s="188">
        <f t="shared" si="41"/>
        <v>0</v>
      </c>
      <c r="N123" s="81">
        <f>F123</f>
        <v>5344.1081000000004</v>
      </c>
      <c r="O123" s="7"/>
      <c r="P123" s="79"/>
      <c r="Q123" s="79"/>
      <c r="R123" s="79"/>
      <c r="S123" s="16"/>
      <c r="T123" s="82"/>
      <c r="U123" s="14"/>
      <c r="V123" s="14"/>
      <c r="W123" s="84"/>
      <c r="X123" s="83"/>
      <c r="Y123" s="85"/>
      <c r="Z123" s="85"/>
      <c r="AA123" s="85"/>
      <c r="AB123" s="85"/>
      <c r="AC123" s="85"/>
      <c r="AD123" s="85"/>
      <c r="AE123" s="85"/>
      <c r="AF123" s="85"/>
      <c r="AG123" s="85"/>
      <c r="AH123" s="85"/>
      <c r="AI123" s="85"/>
      <c r="AJ123" s="85"/>
      <c r="AK123" s="85"/>
      <c r="AL123" s="85"/>
      <c r="AM123" s="85"/>
      <c r="AN123" s="85"/>
      <c r="AO123" s="85"/>
      <c r="AP123" s="85"/>
      <c r="AQ123" s="85"/>
      <c r="AR123" s="85"/>
      <c r="AS123" s="85"/>
      <c r="AT123" s="85"/>
      <c r="AU123" s="85"/>
      <c r="AV123" s="85"/>
      <c r="AW123" s="85"/>
      <c r="AX123" s="85"/>
      <c r="AY123" s="85"/>
      <c r="AZ123" s="85"/>
      <c r="BA123" s="85"/>
      <c r="BB123" s="85"/>
      <c r="BC123" s="85"/>
      <c r="BD123" s="85"/>
      <c r="BE123" s="85"/>
      <c r="BF123" s="85"/>
      <c r="BG123" s="85"/>
      <c r="BH123" s="85"/>
      <c r="BI123" s="85"/>
      <c r="BJ123" s="101"/>
      <c r="BK123" s="101"/>
      <c r="BL123" s="101"/>
      <c r="BM123" s="101"/>
      <c r="BN123" s="101"/>
    </row>
    <row r="124" spans="1:66" s="87" customFormat="1">
      <c r="A124" s="156" t="s">
        <v>609</v>
      </c>
      <c r="B124" s="158" t="s">
        <v>610</v>
      </c>
      <c r="C124" s="156" t="s">
        <v>81</v>
      </c>
      <c r="D124" s="156">
        <v>475</v>
      </c>
      <c r="E124" s="156">
        <v>2.64</v>
      </c>
      <c r="F124" s="156">
        <f t="shared" si="48"/>
        <v>1254</v>
      </c>
      <c r="G124" s="156">
        <v>0</v>
      </c>
      <c r="H124" s="155">
        <f>'MEMORIA BM 05'!L308</f>
        <v>419.12000000000006</v>
      </c>
      <c r="I124" s="156">
        <f t="shared" si="49"/>
        <v>419.12000000000006</v>
      </c>
      <c r="J124" s="156">
        <f t="shared" si="50"/>
        <v>0</v>
      </c>
      <c r="K124" s="156">
        <f t="shared" si="51"/>
        <v>1106.4768000000001</v>
      </c>
      <c r="L124" s="156">
        <f t="shared" si="52"/>
        <v>1106.4768000000001</v>
      </c>
      <c r="M124" s="188">
        <f t="shared" si="41"/>
        <v>0.88235789473684223</v>
      </c>
      <c r="N124" s="81"/>
      <c r="O124" s="7"/>
      <c r="P124" s="79"/>
      <c r="Q124" s="79"/>
      <c r="R124" s="79"/>
      <c r="S124" s="16"/>
      <c r="T124" s="82"/>
      <c r="U124" s="14"/>
      <c r="V124" s="14"/>
      <c r="W124" s="84"/>
      <c r="X124" s="83"/>
      <c r="Y124" s="85"/>
      <c r="Z124" s="85"/>
      <c r="AA124" s="85"/>
      <c r="AB124" s="85"/>
      <c r="AC124" s="85"/>
      <c r="AD124" s="85"/>
      <c r="AE124" s="85"/>
      <c r="AF124" s="85"/>
      <c r="AG124" s="85"/>
      <c r="AH124" s="85"/>
      <c r="AI124" s="85"/>
      <c r="AJ124" s="85"/>
      <c r="AK124" s="85"/>
      <c r="AL124" s="85"/>
      <c r="AM124" s="85"/>
      <c r="AN124" s="85"/>
      <c r="AO124" s="85"/>
      <c r="AP124" s="85"/>
      <c r="AQ124" s="85"/>
      <c r="AR124" s="85"/>
      <c r="AS124" s="85"/>
      <c r="AT124" s="85"/>
      <c r="AU124" s="85"/>
      <c r="AV124" s="85"/>
      <c r="AW124" s="85"/>
      <c r="AX124" s="85"/>
      <c r="AY124" s="85"/>
      <c r="AZ124" s="85"/>
      <c r="BA124" s="85"/>
      <c r="BB124" s="85"/>
      <c r="BC124" s="85"/>
      <c r="BD124" s="85"/>
      <c r="BE124" s="85"/>
      <c r="BF124" s="85"/>
      <c r="BG124" s="85"/>
      <c r="BH124" s="85"/>
      <c r="BI124" s="85"/>
      <c r="BJ124" s="101"/>
      <c r="BK124" s="101"/>
      <c r="BL124" s="101"/>
      <c r="BM124" s="101"/>
      <c r="BN124" s="101"/>
    </row>
    <row r="125" spans="1:66" s="87" customFormat="1">
      <c r="A125" s="156" t="s">
        <v>611</v>
      </c>
      <c r="B125" s="158" t="s">
        <v>612</v>
      </c>
      <c r="C125" s="156" t="s">
        <v>81</v>
      </c>
      <c r="D125" s="156">
        <v>475</v>
      </c>
      <c r="E125" s="156">
        <v>12.37</v>
      </c>
      <c r="F125" s="156">
        <f t="shared" si="48"/>
        <v>5875.75</v>
      </c>
      <c r="G125" s="156">
        <v>0</v>
      </c>
      <c r="H125" s="155">
        <f>'MEMORIA BM 05'!L313</f>
        <v>419.12000000000006</v>
      </c>
      <c r="I125" s="156">
        <f t="shared" si="49"/>
        <v>419.12000000000006</v>
      </c>
      <c r="J125" s="156">
        <f t="shared" si="50"/>
        <v>0</v>
      </c>
      <c r="K125" s="156">
        <f t="shared" si="51"/>
        <v>5184.5144</v>
      </c>
      <c r="L125" s="156">
        <f t="shared" si="52"/>
        <v>5184.5144</v>
      </c>
      <c r="M125" s="188">
        <f t="shared" si="41"/>
        <v>0.88235789473684212</v>
      </c>
      <c r="N125" s="81"/>
      <c r="O125" s="7"/>
      <c r="P125" s="79"/>
      <c r="Q125" s="79"/>
      <c r="R125" s="79"/>
      <c r="S125" s="16"/>
      <c r="T125" s="82"/>
      <c r="U125" s="14"/>
      <c r="V125" s="14"/>
      <c r="W125" s="84"/>
      <c r="X125" s="83"/>
      <c r="Y125" s="85"/>
      <c r="Z125" s="85"/>
      <c r="AA125" s="85"/>
      <c r="AB125" s="85"/>
      <c r="AC125" s="85"/>
      <c r="AD125" s="85"/>
      <c r="AE125" s="85"/>
      <c r="AF125" s="85"/>
      <c r="AG125" s="85"/>
      <c r="AH125" s="85"/>
      <c r="AI125" s="85"/>
      <c r="AJ125" s="85"/>
      <c r="AK125" s="85"/>
      <c r="AL125" s="85"/>
      <c r="AM125" s="85"/>
      <c r="AN125" s="85"/>
      <c r="AO125" s="85"/>
      <c r="AP125" s="85"/>
      <c r="AQ125" s="85"/>
      <c r="AR125" s="85"/>
      <c r="AS125" s="85"/>
      <c r="AT125" s="85"/>
      <c r="AU125" s="85"/>
      <c r="AV125" s="85"/>
      <c r="AW125" s="85"/>
      <c r="AX125" s="85"/>
      <c r="AY125" s="85"/>
      <c r="AZ125" s="85"/>
      <c r="BA125" s="85"/>
      <c r="BB125" s="85"/>
      <c r="BC125" s="85"/>
      <c r="BD125" s="85"/>
      <c r="BE125" s="85"/>
      <c r="BF125" s="85"/>
      <c r="BG125" s="85"/>
      <c r="BH125" s="85"/>
      <c r="BI125" s="85"/>
      <c r="BJ125" s="101"/>
      <c r="BK125" s="101"/>
      <c r="BL125" s="101"/>
      <c r="BM125" s="101"/>
      <c r="BN125" s="101"/>
    </row>
    <row r="126" spans="1:66" s="87" customFormat="1">
      <c r="A126" s="156" t="s">
        <v>613</v>
      </c>
      <c r="B126" s="158" t="s">
        <v>614</v>
      </c>
      <c r="C126" s="156" t="s">
        <v>81</v>
      </c>
      <c r="D126" s="156">
        <v>475</v>
      </c>
      <c r="E126" s="156">
        <v>9.34</v>
      </c>
      <c r="F126" s="156">
        <f t="shared" si="48"/>
        <v>4436.5</v>
      </c>
      <c r="G126" s="156">
        <v>0</v>
      </c>
      <c r="H126" s="155"/>
      <c r="I126" s="156">
        <f t="shared" si="49"/>
        <v>0</v>
      </c>
      <c r="J126" s="156">
        <f t="shared" si="50"/>
        <v>0</v>
      </c>
      <c r="K126" s="156">
        <f t="shared" si="51"/>
        <v>0</v>
      </c>
      <c r="L126" s="156">
        <f t="shared" si="52"/>
        <v>0</v>
      </c>
      <c r="M126" s="188">
        <f t="shared" si="41"/>
        <v>0</v>
      </c>
      <c r="N126" s="81"/>
      <c r="O126" s="7"/>
      <c r="P126" s="79"/>
      <c r="Q126" s="79"/>
      <c r="R126" s="79"/>
      <c r="S126" s="16"/>
      <c r="T126" s="82"/>
      <c r="U126" s="14"/>
      <c r="V126" s="14"/>
      <c r="W126" s="84"/>
      <c r="X126" s="83"/>
      <c r="Y126" s="85"/>
      <c r="Z126" s="85"/>
      <c r="AA126" s="85"/>
      <c r="AB126" s="85"/>
      <c r="AC126" s="85"/>
      <c r="AD126" s="85"/>
      <c r="AE126" s="85"/>
      <c r="AF126" s="85"/>
      <c r="AG126" s="85"/>
      <c r="AH126" s="85"/>
      <c r="AI126" s="85"/>
      <c r="AJ126" s="85"/>
      <c r="AK126" s="85"/>
      <c r="AL126" s="85"/>
      <c r="AM126" s="85"/>
      <c r="AN126" s="85"/>
      <c r="AO126" s="85"/>
      <c r="AP126" s="85"/>
      <c r="AQ126" s="85"/>
      <c r="AR126" s="85"/>
      <c r="AS126" s="85"/>
      <c r="AT126" s="85"/>
      <c r="AU126" s="85"/>
      <c r="AV126" s="85"/>
      <c r="AW126" s="85"/>
      <c r="AX126" s="85"/>
      <c r="AY126" s="85"/>
      <c r="AZ126" s="85"/>
      <c r="BA126" s="85"/>
      <c r="BB126" s="85"/>
      <c r="BC126" s="85"/>
      <c r="BD126" s="85"/>
      <c r="BE126" s="85"/>
      <c r="BF126" s="85"/>
      <c r="BG126" s="85"/>
      <c r="BH126" s="85"/>
      <c r="BI126" s="85"/>
      <c r="BJ126" s="101"/>
      <c r="BK126" s="101"/>
      <c r="BL126" s="101"/>
      <c r="BM126" s="101"/>
      <c r="BN126" s="101"/>
    </row>
    <row r="127" spans="1:66" s="87" customFormat="1">
      <c r="A127" s="156"/>
      <c r="B127" s="154"/>
      <c r="C127" s="156"/>
      <c r="D127" s="156"/>
      <c r="E127" s="156"/>
      <c r="F127" s="156"/>
      <c r="G127" s="156"/>
      <c r="H127" s="155"/>
      <c r="I127" s="156"/>
      <c r="J127" s="156"/>
      <c r="K127" s="156"/>
      <c r="L127" s="156"/>
      <c r="M127" s="188" t="e">
        <f t="shared" si="41"/>
        <v>#DIV/0!</v>
      </c>
      <c r="N127" s="81"/>
      <c r="O127" s="7"/>
      <c r="P127" s="79"/>
      <c r="Q127" s="79"/>
      <c r="R127" s="79"/>
      <c r="S127" s="16"/>
      <c r="T127" s="82"/>
      <c r="U127" s="14"/>
      <c r="V127" s="14"/>
      <c r="W127" s="84"/>
      <c r="X127" s="83"/>
      <c r="Y127" s="85"/>
      <c r="Z127" s="85"/>
      <c r="AA127" s="85"/>
      <c r="AB127" s="85"/>
      <c r="AC127" s="85"/>
      <c r="AD127" s="85"/>
      <c r="AE127" s="85"/>
      <c r="AF127" s="85"/>
      <c r="AG127" s="85"/>
      <c r="AH127" s="85"/>
      <c r="AI127" s="85"/>
      <c r="AJ127" s="85"/>
      <c r="AK127" s="85"/>
      <c r="AL127" s="85"/>
      <c r="AM127" s="85"/>
      <c r="AN127" s="85"/>
      <c r="AO127" s="85"/>
      <c r="AP127" s="85"/>
      <c r="AQ127" s="85"/>
      <c r="AR127" s="85"/>
      <c r="AS127" s="85"/>
      <c r="AT127" s="85"/>
      <c r="AU127" s="85"/>
      <c r="AV127" s="85"/>
      <c r="AW127" s="85"/>
      <c r="AX127" s="85"/>
      <c r="AY127" s="85"/>
      <c r="AZ127" s="85"/>
      <c r="BA127" s="85"/>
      <c r="BB127" s="85"/>
      <c r="BC127" s="85"/>
      <c r="BD127" s="85"/>
      <c r="BE127" s="85"/>
      <c r="BF127" s="85"/>
      <c r="BG127" s="85"/>
      <c r="BH127" s="85"/>
      <c r="BI127" s="85"/>
      <c r="BJ127" s="101"/>
      <c r="BK127" s="101"/>
      <c r="BL127" s="101"/>
      <c r="BM127" s="101"/>
      <c r="BN127" s="101"/>
    </row>
    <row r="128" spans="1:66" s="87" customFormat="1">
      <c r="A128" s="164" t="s">
        <v>152</v>
      </c>
      <c r="B128" s="165" t="s">
        <v>4</v>
      </c>
      <c r="C128" s="166"/>
      <c r="D128" s="167"/>
      <c r="E128" s="166"/>
      <c r="F128" s="166">
        <f>SUM(F130:F137)</f>
        <v>36882.385199999997</v>
      </c>
      <c r="G128" s="166"/>
      <c r="H128" s="166"/>
      <c r="I128" s="166"/>
      <c r="J128" s="166">
        <f>SUM(J130:J137)</f>
        <v>25556.874299999996</v>
      </c>
      <c r="K128" s="166">
        <f>SUM(K130:K137)</f>
        <v>9406.4433000000008</v>
      </c>
      <c r="L128" s="166">
        <f>SUM(L130:L137)</f>
        <v>34963.317599999995</v>
      </c>
      <c r="M128" s="188">
        <f t="shared" si="41"/>
        <v>0.94796790962423971</v>
      </c>
      <c r="N128" s="98"/>
      <c r="O128" s="7"/>
      <c r="P128" s="97"/>
      <c r="Q128" s="97"/>
      <c r="R128" s="79"/>
      <c r="S128" s="16"/>
      <c r="T128" s="82"/>
      <c r="U128" s="14"/>
      <c r="V128" s="14"/>
      <c r="W128" s="84"/>
      <c r="X128" s="83"/>
      <c r="Y128" s="85"/>
      <c r="Z128" s="85"/>
      <c r="AA128" s="85"/>
      <c r="AB128" s="85"/>
      <c r="AC128" s="85"/>
      <c r="AD128" s="85"/>
      <c r="AE128" s="85"/>
      <c r="AF128" s="85"/>
      <c r="AG128" s="85"/>
      <c r="AH128" s="85"/>
      <c r="AI128" s="85"/>
      <c r="AJ128" s="85"/>
      <c r="AK128" s="86"/>
      <c r="AL128" s="86"/>
      <c r="AM128" s="86"/>
      <c r="AN128" s="86"/>
      <c r="AO128" s="86"/>
      <c r="AP128" s="86"/>
      <c r="AQ128" s="86"/>
      <c r="AR128" s="86"/>
      <c r="AS128" s="86"/>
      <c r="AT128" s="86"/>
      <c r="AU128" s="86"/>
      <c r="AV128" s="86"/>
      <c r="AW128" s="86"/>
      <c r="AX128" s="86"/>
      <c r="AY128" s="86"/>
      <c r="AZ128" s="86"/>
      <c r="BA128" s="86"/>
      <c r="BB128" s="86"/>
      <c r="BC128" s="86"/>
      <c r="BD128" s="86"/>
      <c r="BE128" s="86"/>
      <c r="BF128" s="86"/>
      <c r="BG128" s="86"/>
      <c r="BH128" s="86"/>
      <c r="BI128" s="86"/>
    </row>
    <row r="129" spans="1:66" s="87" customFormat="1">
      <c r="A129" s="173"/>
      <c r="B129" s="154"/>
      <c r="C129" s="156"/>
      <c r="D129" s="155"/>
      <c r="E129" s="155"/>
      <c r="F129" s="155"/>
      <c r="G129" s="155"/>
      <c r="H129" s="155"/>
      <c r="I129" s="155"/>
      <c r="J129" s="155"/>
      <c r="K129" s="155"/>
      <c r="L129" s="155"/>
      <c r="M129" s="188" t="e">
        <f t="shared" si="41"/>
        <v>#DIV/0!</v>
      </c>
      <c r="N129" s="81"/>
      <c r="O129" s="7"/>
      <c r="P129" s="79"/>
      <c r="Q129" s="79"/>
      <c r="R129" s="79"/>
      <c r="S129" s="16"/>
      <c r="T129" s="82"/>
      <c r="U129" s="14"/>
      <c r="V129" s="14"/>
      <c r="W129" s="84"/>
      <c r="X129" s="83"/>
      <c r="Y129" s="85"/>
      <c r="Z129" s="85"/>
      <c r="AA129" s="85"/>
      <c r="AB129" s="85"/>
      <c r="AC129" s="85"/>
      <c r="AD129" s="85"/>
      <c r="AE129" s="85"/>
      <c r="AF129" s="85"/>
      <c r="AG129" s="85"/>
      <c r="AH129" s="85"/>
      <c r="AI129" s="85"/>
      <c r="AJ129" s="85"/>
      <c r="AK129" s="85"/>
      <c r="AL129" s="85"/>
      <c r="AM129" s="85"/>
      <c r="AN129" s="85"/>
      <c r="AO129" s="85"/>
      <c r="AP129" s="85"/>
      <c r="AQ129" s="85"/>
      <c r="AR129" s="85"/>
      <c r="AS129" s="85"/>
      <c r="AT129" s="85"/>
      <c r="AU129" s="85"/>
      <c r="AV129" s="85"/>
      <c r="AW129" s="85"/>
      <c r="AX129" s="85"/>
      <c r="AY129" s="85"/>
      <c r="AZ129" s="85"/>
      <c r="BA129" s="85"/>
      <c r="BB129" s="85"/>
      <c r="BC129" s="85"/>
      <c r="BD129" s="85"/>
      <c r="BE129" s="85"/>
      <c r="BF129" s="85"/>
      <c r="BG129" s="85"/>
      <c r="BH129" s="85"/>
      <c r="BI129" s="85"/>
      <c r="BJ129" s="101"/>
      <c r="BK129" s="101"/>
      <c r="BL129" s="101"/>
      <c r="BM129" s="101"/>
      <c r="BN129" s="101"/>
    </row>
    <row r="130" spans="1:66" s="87" customFormat="1" ht="28.5">
      <c r="A130" s="156" t="s">
        <v>153</v>
      </c>
      <c r="B130" s="157" t="s">
        <v>154</v>
      </c>
      <c r="C130" s="156" t="s">
        <v>16</v>
      </c>
      <c r="D130" s="156">
        <v>497.30999999999995</v>
      </c>
      <c r="E130" s="156">
        <v>19.399999999999999</v>
      </c>
      <c r="F130" s="156">
        <f t="shared" ref="F130:F137" si="53">D130*E130</f>
        <v>9647.8139999999985</v>
      </c>
      <c r="G130" s="156">
        <v>497.31</v>
      </c>
      <c r="H130" s="155"/>
      <c r="I130" s="156">
        <f t="shared" ref="I130:I137" si="54">G130+H130</f>
        <v>497.31</v>
      </c>
      <c r="J130" s="156">
        <f t="shared" ref="J130:J137" si="55">E130*G130</f>
        <v>9647.8139999999985</v>
      </c>
      <c r="K130" s="156">
        <f t="shared" ref="K130:K137" si="56">H130*E130</f>
        <v>0</v>
      </c>
      <c r="L130" s="156">
        <f t="shared" ref="L130:L137" si="57">J130+K130</f>
        <v>9647.8139999999985</v>
      </c>
      <c r="M130" s="188">
        <f t="shared" si="41"/>
        <v>1</v>
      </c>
      <c r="N130" s="92"/>
      <c r="O130" s="194"/>
      <c r="P130" s="79"/>
      <c r="Q130" s="79"/>
      <c r="R130" s="79"/>
      <c r="S130" s="16"/>
      <c r="T130" s="82"/>
      <c r="U130" s="14"/>
      <c r="V130" s="14"/>
      <c r="W130" s="84"/>
      <c r="X130" s="83"/>
      <c r="Y130" s="85"/>
      <c r="Z130" s="85"/>
      <c r="AA130" s="85"/>
      <c r="AB130" s="85"/>
      <c r="AC130" s="85"/>
      <c r="AD130" s="85"/>
      <c r="AE130" s="85"/>
      <c r="AF130" s="85"/>
      <c r="AG130" s="85"/>
      <c r="AH130" s="85"/>
      <c r="AI130" s="85"/>
      <c r="AJ130" s="85"/>
      <c r="AK130" s="85"/>
      <c r="AL130" s="85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  <c r="AX130" s="85"/>
      <c r="AY130" s="85"/>
      <c r="AZ130" s="85"/>
      <c r="BA130" s="85"/>
      <c r="BB130" s="85"/>
      <c r="BC130" s="85"/>
      <c r="BD130" s="85"/>
      <c r="BE130" s="85"/>
      <c r="BF130" s="85"/>
      <c r="BG130" s="85"/>
      <c r="BH130" s="85"/>
      <c r="BI130" s="85"/>
      <c r="BJ130" s="101"/>
      <c r="BK130" s="101"/>
      <c r="BL130" s="101"/>
      <c r="BM130" s="101"/>
      <c r="BN130" s="101"/>
    </row>
    <row r="131" spans="1:66" s="87" customFormat="1">
      <c r="A131" s="156" t="s">
        <v>155</v>
      </c>
      <c r="B131" s="157" t="s">
        <v>156</v>
      </c>
      <c r="C131" s="156" t="s">
        <v>16</v>
      </c>
      <c r="D131" s="156">
        <v>115.4</v>
      </c>
      <c r="E131" s="156">
        <v>18.36</v>
      </c>
      <c r="F131" s="156">
        <f t="shared" si="53"/>
        <v>2118.7440000000001</v>
      </c>
      <c r="G131" s="156">
        <v>115.39999999999999</v>
      </c>
      <c r="H131" s="155"/>
      <c r="I131" s="156">
        <f t="shared" si="54"/>
        <v>115.39999999999999</v>
      </c>
      <c r="J131" s="156">
        <f t="shared" si="55"/>
        <v>2118.7439999999997</v>
      </c>
      <c r="K131" s="156">
        <f t="shared" si="56"/>
        <v>0</v>
      </c>
      <c r="L131" s="156">
        <f t="shared" si="57"/>
        <v>2118.7439999999997</v>
      </c>
      <c r="M131" s="188">
        <f t="shared" si="41"/>
        <v>0.99999999999999978</v>
      </c>
      <c r="N131" s="92"/>
      <c r="O131" s="7"/>
      <c r="P131" s="79"/>
      <c r="Q131" s="79"/>
      <c r="R131" s="79"/>
      <c r="S131" s="16"/>
      <c r="T131" s="82"/>
      <c r="U131" s="14"/>
      <c r="V131" s="14"/>
      <c r="W131" s="84"/>
      <c r="X131" s="83"/>
      <c r="Y131" s="85"/>
      <c r="Z131" s="85"/>
      <c r="AA131" s="85"/>
      <c r="AB131" s="85"/>
      <c r="AC131" s="85"/>
      <c r="AD131" s="85"/>
      <c r="AE131" s="85"/>
      <c r="AF131" s="85"/>
      <c r="AG131" s="85"/>
      <c r="AH131" s="85"/>
      <c r="AI131" s="85"/>
      <c r="AJ131" s="85"/>
      <c r="AK131" s="85"/>
      <c r="AL131" s="85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  <c r="AX131" s="85"/>
      <c r="AY131" s="85"/>
      <c r="AZ131" s="85"/>
      <c r="BA131" s="85"/>
      <c r="BB131" s="85"/>
      <c r="BC131" s="85"/>
      <c r="BD131" s="85"/>
      <c r="BE131" s="85"/>
      <c r="BF131" s="85"/>
      <c r="BG131" s="85"/>
      <c r="BH131" s="85"/>
      <c r="BI131" s="85"/>
      <c r="BJ131" s="101"/>
      <c r="BK131" s="101"/>
      <c r="BL131" s="101"/>
      <c r="BM131" s="101"/>
      <c r="BN131" s="101"/>
    </row>
    <row r="132" spans="1:66" s="87" customFormat="1" ht="42.75">
      <c r="A132" s="156" t="s">
        <v>157</v>
      </c>
      <c r="B132" s="157" t="s">
        <v>158</v>
      </c>
      <c r="C132" s="156" t="s">
        <v>16</v>
      </c>
      <c r="D132" s="156">
        <v>45.74</v>
      </c>
      <c r="E132" s="156">
        <v>46.2</v>
      </c>
      <c r="F132" s="156">
        <f t="shared" si="53"/>
        <v>2113.1880000000001</v>
      </c>
      <c r="G132" s="156">
        <v>34.209999999999994</v>
      </c>
      <c r="H132" s="156"/>
      <c r="I132" s="156">
        <f t="shared" si="54"/>
        <v>34.209999999999994</v>
      </c>
      <c r="J132" s="156">
        <f t="shared" si="55"/>
        <v>1580.5019999999997</v>
      </c>
      <c r="K132" s="156">
        <f t="shared" si="56"/>
        <v>0</v>
      </c>
      <c r="L132" s="156">
        <f t="shared" si="57"/>
        <v>1580.5019999999997</v>
      </c>
      <c r="M132" s="188">
        <f t="shared" si="41"/>
        <v>0.74792304328815029</v>
      </c>
      <c r="N132" s="81"/>
      <c r="O132" s="7"/>
      <c r="P132" s="79"/>
      <c r="Q132" s="79"/>
      <c r="R132" s="79"/>
      <c r="S132" s="16"/>
      <c r="T132" s="82"/>
      <c r="U132" s="14"/>
      <c r="V132" s="14"/>
      <c r="W132" s="84"/>
      <c r="X132" s="83"/>
      <c r="Y132" s="85"/>
      <c r="Z132" s="85"/>
      <c r="AA132" s="85"/>
      <c r="AB132" s="85"/>
      <c r="AC132" s="85"/>
      <c r="AD132" s="85"/>
      <c r="AE132" s="85"/>
      <c r="AF132" s="85"/>
      <c r="AG132" s="85"/>
      <c r="AH132" s="85"/>
      <c r="AI132" s="85"/>
      <c r="AJ132" s="85"/>
      <c r="AK132" s="85"/>
      <c r="AL132" s="85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  <c r="AX132" s="85"/>
      <c r="AY132" s="85"/>
      <c r="AZ132" s="85"/>
      <c r="BA132" s="85"/>
      <c r="BB132" s="85"/>
      <c r="BC132" s="85"/>
      <c r="BD132" s="85"/>
      <c r="BE132" s="85"/>
      <c r="BF132" s="85"/>
      <c r="BG132" s="85"/>
      <c r="BH132" s="85"/>
      <c r="BI132" s="85"/>
      <c r="BJ132" s="101"/>
      <c r="BK132" s="101"/>
      <c r="BL132" s="101"/>
      <c r="BM132" s="101"/>
      <c r="BN132" s="101"/>
    </row>
    <row r="133" spans="1:66" s="87" customFormat="1" ht="28.5">
      <c r="A133" s="156" t="s">
        <v>159</v>
      </c>
      <c r="B133" s="157" t="s">
        <v>160</v>
      </c>
      <c r="C133" s="156" t="s">
        <v>16</v>
      </c>
      <c r="D133" s="156">
        <v>381.91</v>
      </c>
      <c r="E133" s="156">
        <v>24.63</v>
      </c>
      <c r="F133" s="156">
        <f t="shared" si="53"/>
        <v>9406.4433000000008</v>
      </c>
      <c r="G133" s="156">
        <v>0</v>
      </c>
      <c r="H133" s="156">
        <f>'MEMORIA BM 05'!L333</f>
        <v>381.91</v>
      </c>
      <c r="I133" s="156">
        <f t="shared" si="54"/>
        <v>381.91</v>
      </c>
      <c r="J133" s="156">
        <f t="shared" si="55"/>
        <v>0</v>
      </c>
      <c r="K133" s="156">
        <f t="shared" si="56"/>
        <v>9406.4433000000008</v>
      </c>
      <c r="L133" s="156">
        <f t="shared" si="57"/>
        <v>9406.4433000000008</v>
      </c>
      <c r="M133" s="188">
        <f t="shared" si="41"/>
        <v>1</v>
      </c>
      <c r="N133" s="81"/>
      <c r="O133" s="7"/>
      <c r="P133" s="79"/>
      <c r="Q133" s="79"/>
      <c r="R133" s="79"/>
      <c r="S133" s="16"/>
      <c r="T133" s="82"/>
      <c r="U133" s="14"/>
      <c r="V133" s="14"/>
      <c r="W133" s="84"/>
      <c r="X133" s="83"/>
      <c r="Y133" s="85"/>
      <c r="Z133" s="85"/>
      <c r="AA133" s="85"/>
      <c r="AB133" s="85"/>
      <c r="AC133" s="85"/>
      <c r="AD133" s="85"/>
      <c r="AE133" s="85"/>
      <c r="AF133" s="85"/>
      <c r="AG133" s="85"/>
      <c r="AH133" s="85"/>
      <c r="AI133" s="85"/>
      <c r="AJ133" s="85"/>
      <c r="AK133" s="85"/>
      <c r="AL133" s="85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  <c r="AX133" s="85"/>
      <c r="AY133" s="85"/>
      <c r="AZ133" s="85"/>
      <c r="BA133" s="85"/>
      <c r="BB133" s="85"/>
      <c r="BC133" s="85"/>
      <c r="BD133" s="85"/>
      <c r="BE133" s="85"/>
      <c r="BF133" s="85"/>
      <c r="BG133" s="85"/>
      <c r="BH133" s="85"/>
      <c r="BI133" s="85"/>
      <c r="BJ133" s="101"/>
      <c r="BK133" s="101"/>
      <c r="BL133" s="101"/>
      <c r="BM133" s="101"/>
      <c r="BN133" s="101"/>
    </row>
    <row r="134" spans="1:66" s="87" customFormat="1" ht="42" customHeight="1">
      <c r="A134" s="156" t="s">
        <v>161</v>
      </c>
      <c r="B134" s="157" t="s">
        <v>162</v>
      </c>
      <c r="C134" s="156" t="s">
        <v>16</v>
      </c>
      <c r="D134" s="156">
        <v>99.37</v>
      </c>
      <c r="E134" s="156">
        <v>59.23</v>
      </c>
      <c r="F134" s="156">
        <f t="shared" si="53"/>
        <v>5885.6850999999997</v>
      </c>
      <c r="G134" s="156">
        <v>99.37</v>
      </c>
      <c r="H134" s="155"/>
      <c r="I134" s="156">
        <f t="shared" si="54"/>
        <v>99.37</v>
      </c>
      <c r="J134" s="156">
        <f t="shared" si="55"/>
        <v>5885.6850999999997</v>
      </c>
      <c r="K134" s="156">
        <f t="shared" si="56"/>
        <v>0</v>
      </c>
      <c r="L134" s="156">
        <f t="shared" si="57"/>
        <v>5885.6850999999997</v>
      </c>
      <c r="M134" s="188">
        <f t="shared" si="41"/>
        <v>1</v>
      </c>
      <c r="N134" s="81"/>
      <c r="O134" s="7"/>
      <c r="P134" s="79"/>
      <c r="Q134" s="79"/>
      <c r="R134" s="79"/>
      <c r="S134" s="16"/>
      <c r="T134" s="82"/>
      <c r="U134" s="14"/>
      <c r="V134" s="14"/>
      <c r="W134" s="84"/>
      <c r="X134" s="83"/>
      <c r="Y134" s="85"/>
      <c r="Z134" s="85"/>
      <c r="AA134" s="85"/>
      <c r="AB134" s="85"/>
      <c r="AC134" s="85"/>
      <c r="AD134" s="85"/>
      <c r="AE134" s="85"/>
      <c r="AF134" s="85"/>
      <c r="AG134" s="85"/>
      <c r="AH134" s="85"/>
      <c r="AI134" s="85"/>
      <c r="AJ134" s="85"/>
      <c r="AK134" s="85"/>
      <c r="AL134" s="85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  <c r="AX134" s="85"/>
      <c r="AY134" s="85"/>
      <c r="AZ134" s="85"/>
      <c r="BA134" s="85"/>
      <c r="BB134" s="85"/>
      <c r="BC134" s="85"/>
      <c r="BD134" s="85"/>
      <c r="BE134" s="85"/>
      <c r="BF134" s="85"/>
      <c r="BG134" s="85"/>
      <c r="BH134" s="85"/>
      <c r="BI134" s="85"/>
      <c r="BJ134" s="101"/>
      <c r="BK134" s="101"/>
      <c r="BL134" s="101"/>
      <c r="BM134" s="101"/>
      <c r="BN134" s="101"/>
    </row>
    <row r="135" spans="1:66" s="87" customFormat="1" ht="42.75">
      <c r="A135" s="156" t="s">
        <v>163</v>
      </c>
      <c r="B135" s="157" t="s">
        <v>162</v>
      </c>
      <c r="C135" s="156" t="s">
        <v>16</v>
      </c>
      <c r="D135" s="156">
        <v>55.96</v>
      </c>
      <c r="E135" s="156">
        <v>59.23</v>
      </c>
      <c r="F135" s="156">
        <f t="shared" si="53"/>
        <v>3314.5108</v>
      </c>
      <c r="G135" s="156">
        <v>49.46</v>
      </c>
      <c r="H135" s="155"/>
      <c r="I135" s="156">
        <f t="shared" si="54"/>
        <v>49.46</v>
      </c>
      <c r="J135" s="156">
        <f t="shared" si="55"/>
        <v>2929.5157999999997</v>
      </c>
      <c r="K135" s="156">
        <f t="shared" si="56"/>
        <v>0</v>
      </c>
      <c r="L135" s="156">
        <f t="shared" si="57"/>
        <v>2929.5157999999997</v>
      </c>
      <c r="M135" s="188">
        <f t="shared" si="41"/>
        <v>0.88384560400285905</v>
      </c>
      <c r="N135" s="81"/>
      <c r="O135" s="7"/>
      <c r="P135" s="79"/>
      <c r="Q135" s="79"/>
      <c r="R135" s="79"/>
      <c r="S135" s="16"/>
      <c r="T135" s="82"/>
      <c r="U135" s="14"/>
      <c r="V135" s="14"/>
      <c r="W135" s="84"/>
      <c r="X135" s="83"/>
      <c r="Y135" s="85"/>
      <c r="Z135" s="85"/>
      <c r="AA135" s="85"/>
      <c r="AB135" s="85"/>
      <c r="AC135" s="85"/>
      <c r="AD135" s="85"/>
      <c r="AE135" s="85"/>
      <c r="AF135" s="85"/>
      <c r="AG135" s="85"/>
      <c r="AH135" s="85"/>
      <c r="AI135" s="85"/>
      <c r="AJ135" s="85"/>
      <c r="AK135" s="85"/>
      <c r="AL135" s="85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  <c r="AX135" s="85"/>
      <c r="AY135" s="85"/>
      <c r="AZ135" s="85"/>
      <c r="BA135" s="85"/>
      <c r="BB135" s="85"/>
      <c r="BC135" s="85"/>
      <c r="BD135" s="85"/>
      <c r="BE135" s="85"/>
      <c r="BF135" s="85"/>
      <c r="BG135" s="85"/>
      <c r="BH135" s="85"/>
      <c r="BI135" s="85"/>
      <c r="BJ135" s="101"/>
      <c r="BK135" s="101"/>
      <c r="BL135" s="101"/>
      <c r="BM135" s="101"/>
      <c r="BN135" s="101"/>
    </row>
    <row r="136" spans="1:66" s="87" customFormat="1" ht="28.5">
      <c r="A136" s="156" t="s">
        <v>164</v>
      </c>
      <c r="B136" s="157" t="s">
        <v>165</v>
      </c>
      <c r="C136" s="156" t="s">
        <v>16</v>
      </c>
      <c r="D136" s="156">
        <v>101</v>
      </c>
      <c r="E136" s="156">
        <v>40.619999999999997</v>
      </c>
      <c r="F136" s="156">
        <f t="shared" si="53"/>
        <v>4102.62</v>
      </c>
      <c r="G136" s="156">
        <v>83.57</v>
      </c>
      <c r="H136" s="155"/>
      <c r="I136" s="156">
        <f t="shared" si="54"/>
        <v>83.57</v>
      </c>
      <c r="J136" s="156">
        <f t="shared" si="55"/>
        <v>3394.6133999999997</v>
      </c>
      <c r="K136" s="156">
        <f t="shared" si="56"/>
        <v>0</v>
      </c>
      <c r="L136" s="156">
        <f t="shared" si="57"/>
        <v>3394.6133999999997</v>
      </c>
      <c r="M136" s="188">
        <f t="shared" si="41"/>
        <v>0.82742574257425738</v>
      </c>
      <c r="N136" s="81">
        <f>F136-J136</f>
        <v>708.00660000000016</v>
      </c>
      <c r="O136" s="7"/>
      <c r="P136" s="79"/>
      <c r="Q136" s="79"/>
      <c r="R136" s="79"/>
      <c r="S136" s="16"/>
      <c r="T136" s="82"/>
      <c r="U136" s="14"/>
      <c r="V136" s="14"/>
      <c r="W136" s="84"/>
      <c r="X136" s="83"/>
      <c r="Y136" s="85"/>
      <c r="Z136" s="85"/>
      <c r="AA136" s="85"/>
      <c r="AB136" s="85"/>
      <c r="AC136" s="85"/>
      <c r="AD136" s="85"/>
      <c r="AE136" s="85"/>
      <c r="AF136" s="85"/>
      <c r="AG136" s="85"/>
      <c r="AH136" s="85"/>
      <c r="AI136" s="85"/>
      <c r="AJ136" s="85"/>
      <c r="AK136" s="85"/>
      <c r="AL136" s="85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  <c r="AX136" s="85"/>
      <c r="AY136" s="85"/>
      <c r="AZ136" s="85"/>
      <c r="BA136" s="85"/>
      <c r="BB136" s="85"/>
      <c r="BC136" s="85"/>
      <c r="BD136" s="85"/>
      <c r="BE136" s="85"/>
      <c r="BF136" s="85"/>
      <c r="BG136" s="85"/>
      <c r="BH136" s="85"/>
      <c r="BI136" s="85"/>
      <c r="BJ136" s="101"/>
      <c r="BK136" s="101"/>
      <c r="BL136" s="101"/>
      <c r="BM136" s="101"/>
      <c r="BN136" s="101"/>
    </row>
    <row r="137" spans="1:66" s="87" customFormat="1" ht="57">
      <c r="A137" s="156" t="s">
        <v>166</v>
      </c>
      <c r="B137" s="157" t="s">
        <v>167</v>
      </c>
      <c r="C137" s="156" t="s">
        <v>7</v>
      </c>
      <c r="D137" s="156">
        <v>1</v>
      </c>
      <c r="E137" s="156">
        <v>293.38</v>
      </c>
      <c r="F137" s="156">
        <f t="shared" si="53"/>
        <v>293.38</v>
      </c>
      <c r="G137" s="156">
        <v>0</v>
      </c>
      <c r="H137" s="155"/>
      <c r="I137" s="156">
        <f t="shared" si="54"/>
        <v>0</v>
      </c>
      <c r="J137" s="156">
        <f t="shared" si="55"/>
        <v>0</v>
      </c>
      <c r="K137" s="156">
        <f t="shared" si="56"/>
        <v>0</v>
      </c>
      <c r="L137" s="156">
        <f t="shared" si="57"/>
        <v>0</v>
      </c>
      <c r="M137" s="188">
        <f t="shared" si="41"/>
        <v>0</v>
      </c>
      <c r="N137" s="81"/>
      <c r="O137" s="7"/>
      <c r="P137" s="79"/>
      <c r="Q137" s="79"/>
      <c r="R137" s="79"/>
      <c r="S137" s="16"/>
      <c r="T137" s="82"/>
      <c r="U137" s="14"/>
      <c r="V137" s="14"/>
      <c r="W137" s="84"/>
      <c r="X137" s="83"/>
      <c r="Y137" s="85"/>
      <c r="Z137" s="85"/>
      <c r="AA137" s="85"/>
      <c r="AB137" s="85"/>
      <c r="AC137" s="85"/>
      <c r="AD137" s="85"/>
      <c r="AE137" s="85"/>
      <c r="AF137" s="85"/>
      <c r="AG137" s="85"/>
      <c r="AH137" s="85"/>
      <c r="AI137" s="85"/>
      <c r="AJ137" s="85"/>
      <c r="AK137" s="85"/>
      <c r="AL137" s="85"/>
      <c r="AM137" s="85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  <c r="AX137" s="85"/>
      <c r="AY137" s="85"/>
      <c r="AZ137" s="85"/>
      <c r="BA137" s="85"/>
      <c r="BB137" s="85"/>
      <c r="BC137" s="85"/>
      <c r="BD137" s="85"/>
      <c r="BE137" s="85"/>
      <c r="BF137" s="85"/>
      <c r="BG137" s="85"/>
      <c r="BH137" s="85"/>
      <c r="BI137" s="85"/>
      <c r="BJ137" s="101"/>
      <c r="BK137" s="101"/>
      <c r="BL137" s="101"/>
      <c r="BM137" s="101"/>
      <c r="BN137" s="101"/>
    </row>
    <row r="138" spans="1:66" s="87" customFormat="1">
      <c r="A138" s="156"/>
      <c r="B138" s="154"/>
      <c r="C138" s="156"/>
      <c r="D138" s="156"/>
      <c r="E138" s="156"/>
      <c r="F138" s="156"/>
      <c r="G138" s="156"/>
      <c r="H138" s="155"/>
      <c r="I138" s="156"/>
      <c r="J138" s="156"/>
      <c r="K138" s="156"/>
      <c r="L138" s="156"/>
      <c r="M138" s="188" t="e">
        <f t="shared" si="41"/>
        <v>#DIV/0!</v>
      </c>
      <c r="N138" s="81"/>
      <c r="O138" s="7"/>
      <c r="P138" s="79"/>
      <c r="Q138" s="79"/>
      <c r="R138" s="79"/>
      <c r="S138" s="16"/>
      <c r="T138" s="82"/>
      <c r="U138" s="14"/>
      <c r="V138" s="14"/>
      <c r="W138" s="84"/>
      <c r="X138" s="83"/>
      <c r="Y138" s="85"/>
      <c r="Z138" s="85"/>
      <c r="AA138" s="85"/>
      <c r="AB138" s="85"/>
      <c r="AC138" s="85"/>
      <c r="AD138" s="85"/>
      <c r="AE138" s="85"/>
      <c r="AF138" s="85"/>
      <c r="AG138" s="85"/>
      <c r="AH138" s="85"/>
      <c r="AI138" s="85"/>
      <c r="AJ138" s="85"/>
      <c r="AK138" s="85"/>
      <c r="AL138" s="85"/>
      <c r="AM138" s="85"/>
      <c r="AN138" s="85"/>
      <c r="AO138" s="85"/>
      <c r="AP138" s="85"/>
      <c r="AQ138" s="85"/>
      <c r="AR138" s="85"/>
      <c r="AS138" s="85"/>
      <c r="AT138" s="85"/>
      <c r="AU138" s="85"/>
      <c r="AV138" s="85"/>
      <c r="AW138" s="85"/>
      <c r="AX138" s="85"/>
      <c r="AY138" s="85"/>
      <c r="AZ138" s="85"/>
      <c r="BA138" s="85"/>
      <c r="BB138" s="85"/>
      <c r="BC138" s="85"/>
      <c r="BD138" s="85"/>
      <c r="BE138" s="85"/>
      <c r="BF138" s="85"/>
      <c r="BG138" s="85"/>
      <c r="BH138" s="85"/>
      <c r="BI138" s="85"/>
      <c r="BJ138" s="101"/>
      <c r="BK138" s="101"/>
      <c r="BL138" s="101"/>
      <c r="BM138" s="101"/>
      <c r="BN138" s="101"/>
    </row>
    <row r="139" spans="1:66" s="87" customFormat="1">
      <c r="A139" s="164" t="s">
        <v>168</v>
      </c>
      <c r="B139" s="165" t="s">
        <v>169</v>
      </c>
      <c r="C139" s="166"/>
      <c r="D139" s="167"/>
      <c r="E139" s="166"/>
      <c r="F139" s="166">
        <f>SUM(F141:F167)</f>
        <v>20859.394999999993</v>
      </c>
      <c r="G139" s="166"/>
      <c r="H139" s="166"/>
      <c r="I139" s="166"/>
      <c r="J139" s="166">
        <f>SUM(J141:J167)</f>
        <v>1391.18</v>
      </c>
      <c r="K139" s="166">
        <f t="shared" ref="K139:L139" si="58">SUM(K141:K167)</f>
        <v>8520.119999999999</v>
      </c>
      <c r="L139" s="166">
        <f t="shared" si="58"/>
        <v>9911.3000000000011</v>
      </c>
      <c r="M139" s="188">
        <f t="shared" si="41"/>
        <v>0.47514800884685315</v>
      </c>
      <c r="N139" s="98">
        <f>F139-L139</f>
        <v>10948.094999999992</v>
      </c>
      <c r="O139" s="7"/>
      <c r="P139" s="97"/>
      <c r="Q139" s="97"/>
      <c r="R139" s="79"/>
      <c r="S139" s="16"/>
      <c r="T139" s="82"/>
      <c r="U139" s="14"/>
      <c r="V139" s="14"/>
      <c r="W139" s="84"/>
      <c r="X139" s="83"/>
      <c r="Y139" s="85"/>
      <c r="Z139" s="85"/>
      <c r="AA139" s="85"/>
      <c r="AB139" s="85"/>
      <c r="AC139" s="85"/>
      <c r="AD139" s="85"/>
      <c r="AE139" s="85"/>
      <c r="AF139" s="85"/>
      <c r="AG139" s="85"/>
      <c r="AH139" s="85"/>
      <c r="AI139" s="85"/>
      <c r="AJ139" s="85"/>
      <c r="AK139" s="86"/>
      <c r="AL139" s="86"/>
      <c r="AM139" s="86"/>
      <c r="AN139" s="86"/>
      <c r="AO139" s="86"/>
      <c r="AP139" s="86"/>
      <c r="AQ139" s="86"/>
      <c r="AR139" s="86"/>
      <c r="AS139" s="86"/>
      <c r="AT139" s="86"/>
      <c r="AU139" s="86"/>
      <c r="AV139" s="86"/>
      <c r="AW139" s="86"/>
      <c r="AX139" s="86"/>
      <c r="AY139" s="86"/>
      <c r="AZ139" s="86"/>
      <c r="BA139" s="86"/>
      <c r="BB139" s="86"/>
      <c r="BC139" s="86"/>
      <c r="BD139" s="86"/>
      <c r="BE139" s="86"/>
      <c r="BF139" s="86"/>
      <c r="BG139" s="86"/>
      <c r="BH139" s="86"/>
      <c r="BI139" s="86"/>
    </row>
    <row r="140" spans="1:66" ht="12" customHeight="1">
      <c r="A140" s="156"/>
      <c r="B140" s="154"/>
      <c r="C140" s="156"/>
      <c r="D140" s="156"/>
      <c r="E140" s="156"/>
      <c r="F140" s="156"/>
      <c r="G140" s="156"/>
      <c r="H140" s="156"/>
      <c r="I140" s="156"/>
      <c r="J140" s="156"/>
      <c r="K140" s="156"/>
      <c r="L140" s="156"/>
      <c r="M140" s="188" t="e">
        <f t="shared" si="41"/>
        <v>#DIV/0!</v>
      </c>
      <c r="N140" s="81"/>
      <c r="O140" s="7"/>
      <c r="P140" s="80"/>
      <c r="Q140" s="80"/>
      <c r="R140" s="91"/>
      <c r="S140" s="8"/>
      <c r="T140" s="82"/>
      <c r="W140" s="10"/>
      <c r="X140" s="9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</row>
    <row r="141" spans="1:66" s="87" customFormat="1" ht="42.75">
      <c r="A141" s="156" t="s">
        <v>170</v>
      </c>
      <c r="B141" s="157" t="s">
        <v>749</v>
      </c>
      <c r="C141" s="156" t="s">
        <v>7</v>
      </c>
      <c r="D141" s="155">
        <v>3</v>
      </c>
      <c r="E141" s="156">
        <v>339.22</v>
      </c>
      <c r="F141" s="156">
        <f t="shared" ref="F141:F167" si="59">D141*E141</f>
        <v>1017.6600000000001</v>
      </c>
      <c r="G141" s="156">
        <v>0</v>
      </c>
      <c r="H141" s="156">
        <f>'MEMORIA BM 05'!L366</f>
        <v>3</v>
      </c>
      <c r="I141" s="156">
        <f t="shared" ref="I141:I167" si="60">G141+H141</f>
        <v>3</v>
      </c>
      <c r="J141" s="156">
        <f t="shared" ref="J141:J167" si="61">E141*G141</f>
        <v>0</v>
      </c>
      <c r="K141" s="156">
        <f t="shared" ref="K141:K167" si="62">H141*E141</f>
        <v>1017.6600000000001</v>
      </c>
      <c r="L141" s="156">
        <f t="shared" ref="L141:L167" si="63">J141+K141</f>
        <v>1017.6600000000001</v>
      </c>
      <c r="M141" s="188">
        <f t="shared" si="41"/>
        <v>1</v>
      </c>
      <c r="N141" s="81"/>
      <c r="O141" s="7"/>
      <c r="P141" s="79"/>
      <c r="Q141" s="79"/>
      <c r="R141" s="79"/>
      <c r="S141" s="16"/>
      <c r="T141" s="82"/>
      <c r="U141" s="14"/>
      <c r="V141" s="14"/>
      <c r="W141" s="84"/>
      <c r="X141" s="83"/>
      <c r="Y141" s="85"/>
      <c r="Z141" s="85"/>
      <c r="AA141" s="85"/>
      <c r="AB141" s="85"/>
      <c r="AC141" s="85"/>
      <c r="AD141" s="85"/>
      <c r="AE141" s="85"/>
      <c r="AF141" s="85"/>
      <c r="AG141" s="85"/>
      <c r="AH141" s="86"/>
      <c r="AI141" s="86"/>
      <c r="AJ141" s="86"/>
      <c r="AK141" s="86"/>
      <c r="AL141" s="86"/>
      <c r="AM141" s="86"/>
      <c r="AN141" s="86"/>
      <c r="AO141" s="86"/>
      <c r="AP141" s="86"/>
      <c r="AQ141" s="86"/>
      <c r="AR141" s="86"/>
      <c r="AS141" s="86"/>
      <c r="AT141" s="86"/>
      <c r="AU141" s="86"/>
      <c r="AV141" s="86"/>
      <c r="AW141" s="86"/>
      <c r="AX141" s="86"/>
      <c r="AY141" s="86"/>
      <c r="AZ141" s="86"/>
      <c r="BA141" s="86"/>
      <c r="BB141" s="86"/>
      <c r="BC141" s="86"/>
      <c r="BD141" s="86"/>
      <c r="BE141" s="86"/>
      <c r="BF141" s="86"/>
      <c r="BG141" s="86"/>
      <c r="BH141" s="86"/>
      <c r="BI141" s="86"/>
    </row>
    <row r="142" spans="1:66" s="87" customFormat="1" ht="42.75">
      <c r="A142" s="156" t="s">
        <v>171</v>
      </c>
      <c r="B142" s="157" t="s">
        <v>172</v>
      </c>
      <c r="C142" s="156" t="s">
        <v>7</v>
      </c>
      <c r="D142" s="155">
        <v>2</v>
      </c>
      <c r="E142" s="156">
        <v>595.92999999999995</v>
      </c>
      <c r="F142" s="156">
        <f t="shared" si="59"/>
        <v>1191.8599999999999</v>
      </c>
      <c r="G142" s="156">
        <v>0</v>
      </c>
      <c r="H142" s="156"/>
      <c r="I142" s="156">
        <f t="shared" si="60"/>
        <v>0</v>
      </c>
      <c r="J142" s="156">
        <f t="shared" si="61"/>
        <v>0</v>
      </c>
      <c r="K142" s="156">
        <f t="shared" si="62"/>
        <v>0</v>
      </c>
      <c r="L142" s="156">
        <f t="shared" si="63"/>
        <v>0</v>
      </c>
      <c r="M142" s="188">
        <f t="shared" si="41"/>
        <v>0</v>
      </c>
      <c r="N142" s="81"/>
      <c r="O142" s="7"/>
      <c r="P142" s="79"/>
      <c r="Q142" s="79"/>
      <c r="R142" s="79"/>
      <c r="S142" s="16"/>
      <c r="T142" s="82"/>
      <c r="U142" s="14"/>
      <c r="V142" s="14"/>
      <c r="W142" s="84"/>
      <c r="X142" s="83"/>
      <c r="Y142" s="85"/>
      <c r="Z142" s="85"/>
      <c r="AA142" s="85"/>
      <c r="AB142" s="85"/>
      <c r="AC142" s="85"/>
      <c r="AD142" s="85"/>
      <c r="AE142" s="85"/>
      <c r="AF142" s="85"/>
      <c r="AG142" s="85"/>
      <c r="AH142" s="86"/>
      <c r="AI142" s="86"/>
      <c r="AJ142" s="86"/>
      <c r="AK142" s="86"/>
      <c r="AL142" s="86"/>
      <c r="AM142" s="86"/>
      <c r="AN142" s="86"/>
      <c r="AO142" s="86"/>
      <c r="AP142" s="86"/>
      <c r="AQ142" s="86"/>
      <c r="AR142" s="86"/>
      <c r="AS142" s="86"/>
      <c r="AT142" s="86"/>
      <c r="AU142" s="86"/>
      <c r="AV142" s="86"/>
      <c r="AW142" s="86"/>
      <c r="AX142" s="86"/>
      <c r="AY142" s="86"/>
      <c r="AZ142" s="86"/>
      <c r="BA142" s="86"/>
      <c r="BB142" s="86"/>
      <c r="BC142" s="86"/>
      <c r="BD142" s="86"/>
      <c r="BE142" s="86"/>
      <c r="BF142" s="86"/>
      <c r="BG142" s="86"/>
      <c r="BH142" s="86"/>
      <c r="BI142" s="86"/>
    </row>
    <row r="143" spans="1:66" s="87" customFormat="1" ht="28.5">
      <c r="A143" s="156" t="s">
        <v>173</v>
      </c>
      <c r="B143" s="157" t="s">
        <v>174</v>
      </c>
      <c r="C143" s="156" t="s">
        <v>7</v>
      </c>
      <c r="D143" s="155">
        <v>5</v>
      </c>
      <c r="E143" s="156">
        <v>347.61</v>
      </c>
      <c r="F143" s="156">
        <f t="shared" si="59"/>
        <v>1738.0500000000002</v>
      </c>
      <c r="G143" s="156">
        <v>0</v>
      </c>
      <c r="H143" s="156">
        <f>'MEMORIA BM 05'!L375</f>
        <v>5</v>
      </c>
      <c r="I143" s="156">
        <f t="shared" si="60"/>
        <v>5</v>
      </c>
      <c r="J143" s="156">
        <f t="shared" si="61"/>
        <v>0</v>
      </c>
      <c r="K143" s="156">
        <f t="shared" si="62"/>
        <v>1738.0500000000002</v>
      </c>
      <c r="L143" s="156">
        <f t="shared" si="63"/>
        <v>1738.0500000000002</v>
      </c>
      <c r="M143" s="188">
        <f t="shared" si="41"/>
        <v>1</v>
      </c>
      <c r="N143" s="81"/>
      <c r="O143" s="7"/>
      <c r="P143" s="79"/>
      <c r="Q143" s="79"/>
      <c r="R143" s="79"/>
      <c r="S143" s="16"/>
      <c r="T143" s="82"/>
      <c r="U143" s="14"/>
      <c r="V143" s="14"/>
      <c r="W143" s="84"/>
      <c r="X143" s="83"/>
      <c r="Y143" s="85"/>
      <c r="Z143" s="85"/>
      <c r="AA143" s="85"/>
      <c r="AB143" s="85"/>
      <c r="AC143" s="85"/>
      <c r="AD143" s="85"/>
      <c r="AE143" s="85"/>
      <c r="AF143" s="85"/>
      <c r="AG143" s="85"/>
      <c r="AH143" s="86"/>
      <c r="AI143" s="86"/>
      <c r="AJ143" s="86"/>
      <c r="AK143" s="86"/>
      <c r="AL143" s="86"/>
      <c r="AM143" s="86"/>
      <c r="AN143" s="86"/>
      <c r="AO143" s="86"/>
      <c r="AP143" s="86"/>
      <c r="AQ143" s="86"/>
      <c r="AR143" s="86"/>
      <c r="AS143" s="86"/>
      <c r="AT143" s="86"/>
      <c r="AU143" s="86"/>
      <c r="AV143" s="86"/>
      <c r="AW143" s="86"/>
      <c r="AX143" s="86"/>
      <c r="AY143" s="86"/>
      <c r="AZ143" s="86"/>
      <c r="BA143" s="86"/>
      <c r="BB143" s="86"/>
      <c r="BC143" s="86"/>
      <c r="BD143" s="86"/>
      <c r="BE143" s="86"/>
      <c r="BF143" s="86"/>
      <c r="BG143" s="86"/>
      <c r="BH143" s="86"/>
      <c r="BI143" s="86"/>
    </row>
    <row r="144" spans="1:66" s="87" customFormat="1" ht="28.5">
      <c r="A144" s="156" t="s">
        <v>175</v>
      </c>
      <c r="B144" s="157" t="s">
        <v>176</v>
      </c>
      <c r="C144" s="156" t="s">
        <v>7</v>
      </c>
      <c r="D144" s="155">
        <v>1</v>
      </c>
      <c r="E144" s="156">
        <v>166.76</v>
      </c>
      <c r="F144" s="156">
        <f t="shared" si="59"/>
        <v>166.76</v>
      </c>
      <c r="G144" s="156">
        <v>0</v>
      </c>
      <c r="H144" s="156"/>
      <c r="I144" s="156">
        <f t="shared" si="60"/>
        <v>0</v>
      </c>
      <c r="J144" s="156">
        <f t="shared" si="61"/>
        <v>0</v>
      </c>
      <c r="K144" s="156">
        <f t="shared" si="62"/>
        <v>0</v>
      </c>
      <c r="L144" s="156">
        <f t="shared" si="63"/>
        <v>0</v>
      </c>
      <c r="M144" s="188">
        <f t="shared" si="41"/>
        <v>0</v>
      </c>
      <c r="N144" s="81"/>
      <c r="O144" s="7"/>
      <c r="P144" s="79"/>
      <c r="Q144" s="79"/>
      <c r="R144" s="79"/>
      <c r="S144" s="16"/>
      <c r="T144" s="82"/>
      <c r="U144" s="14"/>
      <c r="V144" s="14"/>
      <c r="W144" s="84"/>
      <c r="X144" s="83"/>
      <c r="Y144" s="85"/>
      <c r="Z144" s="85"/>
      <c r="AA144" s="85"/>
      <c r="AB144" s="85"/>
      <c r="AC144" s="85"/>
      <c r="AD144" s="85"/>
      <c r="AE144" s="85"/>
      <c r="AF144" s="85"/>
      <c r="AG144" s="85"/>
      <c r="AH144" s="86"/>
      <c r="AI144" s="86"/>
      <c r="AJ144" s="86"/>
      <c r="AK144" s="86"/>
      <c r="AL144" s="86"/>
      <c r="AM144" s="86"/>
      <c r="AN144" s="86"/>
      <c r="AO144" s="86"/>
      <c r="AP144" s="86"/>
      <c r="AQ144" s="86"/>
      <c r="AR144" s="86"/>
      <c r="AS144" s="86"/>
      <c r="AT144" s="86"/>
      <c r="AU144" s="86"/>
      <c r="AV144" s="86"/>
      <c r="AW144" s="86"/>
      <c r="AX144" s="86"/>
      <c r="AY144" s="86"/>
      <c r="AZ144" s="86"/>
      <c r="BA144" s="86"/>
      <c r="BB144" s="86"/>
      <c r="BC144" s="86"/>
      <c r="BD144" s="86"/>
      <c r="BE144" s="86"/>
      <c r="BF144" s="86"/>
      <c r="BG144" s="86"/>
      <c r="BH144" s="86"/>
      <c r="BI144" s="86"/>
    </row>
    <row r="145" spans="1:61" s="87" customFormat="1" ht="57">
      <c r="A145" s="156" t="s">
        <v>177</v>
      </c>
      <c r="B145" s="157" t="s">
        <v>178</v>
      </c>
      <c r="C145" s="156" t="s">
        <v>7</v>
      </c>
      <c r="D145" s="155">
        <v>7</v>
      </c>
      <c r="E145" s="156">
        <v>130.03</v>
      </c>
      <c r="F145" s="156">
        <f t="shared" si="59"/>
        <v>910.21</v>
      </c>
      <c r="G145" s="156">
        <v>0</v>
      </c>
      <c r="H145" s="156">
        <f>'MEMORIA BM 05'!L385</f>
        <v>7</v>
      </c>
      <c r="I145" s="156">
        <f t="shared" si="60"/>
        <v>7</v>
      </c>
      <c r="J145" s="156">
        <f t="shared" si="61"/>
        <v>0</v>
      </c>
      <c r="K145" s="156">
        <f t="shared" si="62"/>
        <v>910.21</v>
      </c>
      <c r="L145" s="156">
        <f t="shared" si="63"/>
        <v>910.21</v>
      </c>
      <c r="M145" s="188">
        <f t="shared" si="41"/>
        <v>1</v>
      </c>
      <c r="N145" s="81"/>
      <c r="O145" s="7"/>
      <c r="P145" s="79"/>
      <c r="Q145" s="79"/>
      <c r="R145" s="79"/>
      <c r="S145" s="16"/>
      <c r="T145" s="82"/>
      <c r="U145" s="14"/>
      <c r="V145" s="14"/>
      <c r="W145" s="84"/>
      <c r="X145" s="83"/>
      <c r="Y145" s="85"/>
      <c r="Z145" s="85"/>
      <c r="AA145" s="85"/>
      <c r="AB145" s="85"/>
      <c r="AC145" s="85"/>
      <c r="AD145" s="85"/>
      <c r="AE145" s="85"/>
      <c r="AF145" s="85"/>
      <c r="AG145" s="85"/>
      <c r="AH145" s="86"/>
      <c r="AI145" s="86"/>
      <c r="AJ145" s="86"/>
      <c r="AK145" s="86"/>
      <c r="AL145" s="86"/>
      <c r="AM145" s="86"/>
      <c r="AN145" s="86"/>
      <c r="AO145" s="86"/>
      <c r="AP145" s="86"/>
      <c r="AQ145" s="86"/>
      <c r="AR145" s="86"/>
      <c r="AS145" s="86"/>
      <c r="AT145" s="86"/>
      <c r="AU145" s="86"/>
      <c r="AV145" s="86"/>
      <c r="AW145" s="86"/>
      <c r="AX145" s="86"/>
      <c r="AY145" s="86"/>
      <c r="AZ145" s="86"/>
      <c r="BA145" s="86"/>
      <c r="BB145" s="86"/>
      <c r="BC145" s="86"/>
      <c r="BD145" s="86"/>
      <c r="BE145" s="86"/>
      <c r="BF145" s="86"/>
      <c r="BG145" s="86"/>
      <c r="BH145" s="86"/>
      <c r="BI145" s="86"/>
    </row>
    <row r="146" spans="1:61" s="87" customFormat="1" ht="28.5">
      <c r="A146" s="156" t="s">
        <v>179</v>
      </c>
      <c r="B146" s="157" t="s">
        <v>180</v>
      </c>
      <c r="C146" s="156" t="s">
        <v>7</v>
      </c>
      <c r="D146" s="155">
        <v>5</v>
      </c>
      <c r="E146" s="156">
        <v>64.959999999999994</v>
      </c>
      <c r="F146" s="156">
        <f t="shared" si="59"/>
        <v>324.79999999999995</v>
      </c>
      <c r="G146" s="156">
        <v>0</v>
      </c>
      <c r="H146" s="156">
        <f>'MEMORIA BM 05'!L394</f>
        <v>1</v>
      </c>
      <c r="I146" s="156">
        <f t="shared" si="60"/>
        <v>1</v>
      </c>
      <c r="J146" s="156">
        <f t="shared" si="61"/>
        <v>0</v>
      </c>
      <c r="K146" s="156">
        <f t="shared" si="62"/>
        <v>64.959999999999994</v>
      </c>
      <c r="L146" s="156">
        <f t="shared" si="63"/>
        <v>64.959999999999994</v>
      </c>
      <c r="M146" s="188">
        <f t="shared" si="41"/>
        <v>0.2</v>
      </c>
      <c r="N146" s="81"/>
      <c r="O146" s="7"/>
      <c r="P146" s="79"/>
      <c r="Q146" s="79"/>
      <c r="R146" s="79"/>
      <c r="S146" s="16"/>
      <c r="T146" s="82"/>
      <c r="U146" s="14"/>
      <c r="V146" s="14"/>
      <c r="W146" s="84"/>
      <c r="X146" s="83"/>
      <c r="Y146" s="85"/>
      <c r="Z146" s="85"/>
      <c r="AA146" s="85"/>
      <c r="AB146" s="85"/>
      <c r="AC146" s="85"/>
      <c r="AD146" s="85"/>
      <c r="AE146" s="85"/>
      <c r="AF146" s="85"/>
      <c r="AG146" s="85"/>
      <c r="AH146" s="86"/>
      <c r="AI146" s="86"/>
      <c r="AJ146" s="86"/>
      <c r="AK146" s="86"/>
      <c r="AL146" s="86"/>
      <c r="AM146" s="86"/>
      <c r="AN146" s="86"/>
      <c r="AO146" s="86"/>
      <c r="AP146" s="86"/>
      <c r="AQ146" s="86"/>
      <c r="AR146" s="86"/>
      <c r="AS146" s="86"/>
      <c r="AT146" s="86"/>
      <c r="AU146" s="86"/>
      <c r="AV146" s="86"/>
      <c r="AW146" s="86"/>
      <c r="AX146" s="86"/>
      <c r="AY146" s="86"/>
      <c r="AZ146" s="86"/>
      <c r="BA146" s="86"/>
      <c r="BB146" s="86"/>
      <c r="BC146" s="86"/>
      <c r="BD146" s="86"/>
      <c r="BE146" s="86"/>
      <c r="BF146" s="86"/>
      <c r="BG146" s="86"/>
      <c r="BH146" s="86"/>
      <c r="BI146" s="86"/>
    </row>
    <row r="147" spans="1:61" s="87" customFormat="1" ht="28.5">
      <c r="A147" s="156" t="s">
        <v>181</v>
      </c>
      <c r="B147" s="157" t="s">
        <v>182</v>
      </c>
      <c r="C147" s="156" t="s">
        <v>7</v>
      </c>
      <c r="D147" s="155">
        <v>2</v>
      </c>
      <c r="E147" s="156">
        <v>93.12</v>
      </c>
      <c r="F147" s="156">
        <f t="shared" si="59"/>
        <v>186.24</v>
      </c>
      <c r="G147" s="156">
        <v>0</v>
      </c>
      <c r="H147" s="156"/>
      <c r="I147" s="156">
        <f t="shared" si="60"/>
        <v>0</v>
      </c>
      <c r="J147" s="156">
        <f t="shared" si="61"/>
        <v>0</v>
      </c>
      <c r="K147" s="156">
        <f t="shared" si="62"/>
        <v>0</v>
      </c>
      <c r="L147" s="156">
        <f t="shared" si="63"/>
        <v>0</v>
      </c>
      <c r="M147" s="188">
        <f t="shared" si="41"/>
        <v>0</v>
      </c>
      <c r="N147" s="81"/>
      <c r="O147" s="7"/>
      <c r="P147" s="79"/>
      <c r="Q147" s="79"/>
      <c r="R147" s="79"/>
      <c r="S147" s="16"/>
      <c r="T147" s="82"/>
      <c r="U147" s="14"/>
      <c r="V147" s="14"/>
      <c r="W147" s="84"/>
      <c r="X147" s="83"/>
      <c r="Y147" s="85"/>
      <c r="Z147" s="85"/>
      <c r="AA147" s="85"/>
      <c r="AB147" s="85"/>
      <c r="AC147" s="85"/>
      <c r="AD147" s="85"/>
      <c r="AE147" s="85"/>
      <c r="AF147" s="85"/>
      <c r="AG147" s="85"/>
      <c r="AH147" s="86"/>
      <c r="AI147" s="86"/>
      <c r="AJ147" s="86"/>
      <c r="AK147" s="86"/>
      <c r="AL147" s="86"/>
      <c r="AM147" s="86"/>
      <c r="AN147" s="86"/>
      <c r="AO147" s="86"/>
      <c r="AP147" s="86"/>
      <c r="AQ147" s="86"/>
      <c r="AR147" s="86"/>
      <c r="AS147" s="86"/>
      <c r="AT147" s="86"/>
      <c r="AU147" s="86"/>
      <c r="AV147" s="86"/>
      <c r="AW147" s="86"/>
      <c r="AX147" s="86"/>
      <c r="AY147" s="86"/>
      <c r="AZ147" s="86"/>
      <c r="BA147" s="86"/>
      <c r="BB147" s="86"/>
      <c r="BC147" s="86"/>
      <c r="BD147" s="86"/>
      <c r="BE147" s="86"/>
      <c r="BF147" s="86"/>
      <c r="BG147" s="86"/>
      <c r="BH147" s="86"/>
      <c r="BI147" s="86"/>
    </row>
    <row r="148" spans="1:61" s="87" customFormat="1" ht="28.5">
      <c r="A148" s="156" t="s">
        <v>183</v>
      </c>
      <c r="B148" s="157" t="s">
        <v>184</v>
      </c>
      <c r="C148" s="156" t="s">
        <v>7</v>
      </c>
      <c r="D148" s="155">
        <v>5</v>
      </c>
      <c r="E148" s="156">
        <v>83.07</v>
      </c>
      <c r="F148" s="156">
        <f t="shared" si="59"/>
        <v>415.34999999999997</v>
      </c>
      <c r="G148" s="156">
        <v>0</v>
      </c>
      <c r="H148" s="156">
        <f>'MEMORIA BM 05'!L400</f>
        <v>5</v>
      </c>
      <c r="I148" s="156">
        <f t="shared" si="60"/>
        <v>5</v>
      </c>
      <c r="J148" s="156">
        <f t="shared" si="61"/>
        <v>0</v>
      </c>
      <c r="K148" s="156">
        <f t="shared" si="62"/>
        <v>415.34999999999997</v>
      </c>
      <c r="L148" s="156">
        <f t="shared" si="63"/>
        <v>415.34999999999997</v>
      </c>
      <c r="M148" s="188">
        <f t="shared" si="41"/>
        <v>1</v>
      </c>
      <c r="N148" s="81"/>
      <c r="O148" s="7"/>
      <c r="P148" s="79"/>
      <c r="Q148" s="79"/>
      <c r="R148" s="79"/>
      <c r="S148" s="16"/>
      <c r="T148" s="82"/>
      <c r="U148" s="14"/>
      <c r="V148" s="14"/>
      <c r="W148" s="84"/>
      <c r="X148" s="83"/>
      <c r="Y148" s="85"/>
      <c r="Z148" s="85"/>
      <c r="AA148" s="85"/>
      <c r="AB148" s="85"/>
      <c r="AC148" s="85"/>
      <c r="AD148" s="85"/>
      <c r="AE148" s="85"/>
      <c r="AF148" s="85"/>
      <c r="AG148" s="85"/>
      <c r="AH148" s="86"/>
      <c r="AI148" s="86"/>
      <c r="AJ148" s="86"/>
      <c r="AK148" s="86"/>
      <c r="AL148" s="86"/>
      <c r="AM148" s="86"/>
      <c r="AN148" s="86"/>
      <c r="AO148" s="86"/>
      <c r="AP148" s="86"/>
      <c r="AQ148" s="86"/>
      <c r="AR148" s="86"/>
      <c r="AS148" s="86"/>
      <c r="AT148" s="86"/>
      <c r="AU148" s="86"/>
      <c r="AV148" s="86"/>
      <c r="AW148" s="86"/>
      <c r="AX148" s="86"/>
      <c r="AY148" s="86"/>
      <c r="AZ148" s="86"/>
      <c r="BA148" s="86"/>
      <c r="BB148" s="86"/>
      <c r="BC148" s="86"/>
      <c r="BD148" s="86"/>
      <c r="BE148" s="86"/>
      <c r="BF148" s="86"/>
      <c r="BG148" s="86"/>
      <c r="BH148" s="86"/>
      <c r="BI148" s="86"/>
    </row>
    <row r="149" spans="1:61" s="87" customFormat="1" ht="28.5">
      <c r="A149" s="156" t="s">
        <v>185</v>
      </c>
      <c r="B149" s="157" t="s">
        <v>186</v>
      </c>
      <c r="C149" s="156" t="s">
        <v>7</v>
      </c>
      <c r="D149" s="155">
        <v>2</v>
      </c>
      <c r="E149" s="156">
        <v>37.409999999999997</v>
      </c>
      <c r="F149" s="156">
        <f t="shared" si="59"/>
        <v>74.819999999999993</v>
      </c>
      <c r="G149" s="156">
        <v>0</v>
      </c>
      <c r="H149" s="156">
        <f>'MEMORIA BM 05'!L407</f>
        <v>2</v>
      </c>
      <c r="I149" s="156">
        <f t="shared" si="60"/>
        <v>2</v>
      </c>
      <c r="J149" s="156">
        <f t="shared" si="61"/>
        <v>0</v>
      </c>
      <c r="K149" s="156">
        <f t="shared" si="62"/>
        <v>74.819999999999993</v>
      </c>
      <c r="L149" s="156">
        <f t="shared" si="63"/>
        <v>74.819999999999993</v>
      </c>
      <c r="M149" s="188">
        <f t="shared" si="41"/>
        <v>1</v>
      </c>
      <c r="N149" s="81"/>
      <c r="O149" s="7"/>
      <c r="P149" s="79"/>
      <c r="Q149" s="79"/>
      <c r="R149" s="79"/>
      <c r="S149" s="16"/>
      <c r="T149" s="82"/>
      <c r="U149" s="14"/>
      <c r="V149" s="14"/>
      <c r="W149" s="84"/>
      <c r="X149" s="83"/>
      <c r="Y149" s="85"/>
      <c r="Z149" s="85"/>
      <c r="AA149" s="85"/>
      <c r="AB149" s="85"/>
      <c r="AC149" s="85"/>
      <c r="AD149" s="85"/>
      <c r="AE149" s="85"/>
      <c r="AF149" s="85"/>
      <c r="AG149" s="85"/>
      <c r="AH149" s="86"/>
      <c r="AI149" s="86"/>
      <c r="AJ149" s="86"/>
      <c r="AK149" s="86"/>
      <c r="AL149" s="86"/>
      <c r="AM149" s="86"/>
      <c r="AN149" s="86"/>
      <c r="AO149" s="86"/>
      <c r="AP149" s="86"/>
      <c r="AQ149" s="86"/>
      <c r="AR149" s="86"/>
      <c r="AS149" s="86"/>
      <c r="AT149" s="86"/>
      <c r="AU149" s="86"/>
      <c r="AV149" s="86"/>
      <c r="AW149" s="86"/>
      <c r="AX149" s="86"/>
      <c r="AY149" s="86"/>
      <c r="AZ149" s="86"/>
      <c r="BA149" s="86"/>
      <c r="BB149" s="86"/>
      <c r="BC149" s="86"/>
      <c r="BD149" s="86"/>
      <c r="BE149" s="86"/>
      <c r="BF149" s="86"/>
      <c r="BG149" s="86"/>
      <c r="BH149" s="86"/>
      <c r="BI149" s="86"/>
    </row>
    <row r="150" spans="1:61" s="87" customFormat="1">
      <c r="A150" s="156" t="s">
        <v>187</v>
      </c>
      <c r="B150" s="158" t="s">
        <v>188</v>
      </c>
      <c r="C150" s="156" t="s">
        <v>7</v>
      </c>
      <c r="D150" s="155">
        <v>3</v>
      </c>
      <c r="E150" s="156">
        <v>25.29</v>
      </c>
      <c r="F150" s="156">
        <f t="shared" si="59"/>
        <v>75.87</v>
      </c>
      <c r="G150" s="156">
        <v>0</v>
      </c>
      <c r="H150" s="156"/>
      <c r="I150" s="156">
        <f t="shared" si="60"/>
        <v>0</v>
      </c>
      <c r="J150" s="156">
        <f t="shared" si="61"/>
        <v>0</v>
      </c>
      <c r="K150" s="156">
        <f t="shared" si="62"/>
        <v>0</v>
      </c>
      <c r="L150" s="156">
        <f t="shared" si="63"/>
        <v>0</v>
      </c>
      <c r="M150" s="188">
        <f t="shared" si="41"/>
        <v>0</v>
      </c>
      <c r="N150" s="81"/>
      <c r="O150" s="7"/>
      <c r="P150" s="79"/>
      <c r="Q150" s="79"/>
      <c r="R150" s="79"/>
      <c r="S150" s="16"/>
      <c r="T150" s="82"/>
      <c r="U150" s="14"/>
      <c r="V150" s="14"/>
      <c r="W150" s="84"/>
      <c r="X150" s="83"/>
      <c r="Y150" s="85"/>
      <c r="Z150" s="85"/>
      <c r="AA150" s="85"/>
      <c r="AB150" s="85"/>
      <c r="AC150" s="85"/>
      <c r="AD150" s="85"/>
      <c r="AE150" s="85"/>
      <c r="AF150" s="85"/>
      <c r="AG150" s="85"/>
      <c r="AH150" s="86"/>
      <c r="AI150" s="86"/>
      <c r="AJ150" s="86"/>
      <c r="AK150" s="86"/>
      <c r="AL150" s="86"/>
      <c r="AM150" s="86"/>
      <c r="AN150" s="86"/>
      <c r="AO150" s="86"/>
      <c r="AP150" s="86"/>
      <c r="AQ150" s="86"/>
      <c r="AR150" s="86"/>
      <c r="AS150" s="86"/>
      <c r="AT150" s="86"/>
      <c r="AU150" s="86"/>
      <c r="AV150" s="86"/>
      <c r="AW150" s="86"/>
      <c r="AX150" s="86"/>
      <c r="AY150" s="86"/>
      <c r="AZ150" s="86"/>
      <c r="BA150" s="86"/>
      <c r="BB150" s="86"/>
      <c r="BC150" s="86"/>
      <c r="BD150" s="86"/>
      <c r="BE150" s="86"/>
      <c r="BF150" s="86"/>
      <c r="BG150" s="86"/>
      <c r="BH150" s="86"/>
      <c r="BI150" s="86"/>
    </row>
    <row r="151" spans="1:61" s="87" customFormat="1">
      <c r="A151" s="156" t="s">
        <v>189</v>
      </c>
      <c r="B151" s="158" t="s">
        <v>190</v>
      </c>
      <c r="C151" s="156" t="s">
        <v>7</v>
      </c>
      <c r="D151" s="155">
        <v>1</v>
      </c>
      <c r="E151" s="156">
        <v>16.079999999999998</v>
      </c>
      <c r="F151" s="156">
        <f t="shared" si="59"/>
        <v>16.079999999999998</v>
      </c>
      <c r="G151" s="156">
        <v>0</v>
      </c>
      <c r="H151" s="156">
        <f>'MEMORIA BM 05'!L413</f>
        <v>1</v>
      </c>
      <c r="I151" s="156">
        <f t="shared" si="60"/>
        <v>1</v>
      </c>
      <c r="J151" s="156">
        <f t="shared" si="61"/>
        <v>0</v>
      </c>
      <c r="K151" s="156">
        <f t="shared" si="62"/>
        <v>16.079999999999998</v>
      </c>
      <c r="L151" s="156">
        <f t="shared" si="63"/>
        <v>16.079999999999998</v>
      </c>
      <c r="M151" s="188">
        <f t="shared" si="41"/>
        <v>1</v>
      </c>
      <c r="N151" s="81"/>
      <c r="O151" s="7"/>
      <c r="P151" s="79"/>
      <c r="Q151" s="79"/>
      <c r="R151" s="79"/>
      <c r="S151" s="16"/>
      <c r="T151" s="82"/>
      <c r="U151" s="14"/>
      <c r="V151" s="14"/>
      <c r="W151" s="84"/>
      <c r="X151" s="83"/>
      <c r="Y151" s="85"/>
      <c r="Z151" s="85"/>
      <c r="AA151" s="85"/>
      <c r="AB151" s="85"/>
      <c r="AC151" s="85"/>
      <c r="AD151" s="85"/>
      <c r="AE151" s="85"/>
      <c r="AF151" s="85"/>
      <c r="AG151" s="85"/>
      <c r="AH151" s="86"/>
      <c r="AI151" s="86"/>
      <c r="AJ151" s="86"/>
      <c r="AK151" s="86"/>
      <c r="AL151" s="86"/>
      <c r="AM151" s="86"/>
      <c r="AN151" s="86"/>
      <c r="AO151" s="86"/>
      <c r="AP151" s="86"/>
      <c r="AQ151" s="86"/>
      <c r="AR151" s="86"/>
      <c r="AS151" s="86"/>
      <c r="AT151" s="86"/>
      <c r="AU151" s="86"/>
      <c r="AV151" s="86"/>
      <c r="AW151" s="86"/>
      <c r="AX151" s="86"/>
      <c r="AY151" s="86"/>
      <c r="AZ151" s="86"/>
      <c r="BA151" s="86"/>
      <c r="BB151" s="86"/>
      <c r="BC151" s="86"/>
      <c r="BD151" s="86"/>
      <c r="BE151" s="86"/>
      <c r="BF151" s="86"/>
      <c r="BG151" s="86"/>
      <c r="BH151" s="86"/>
      <c r="BI151" s="86"/>
    </row>
    <row r="152" spans="1:61" s="87" customFormat="1" ht="28.5">
      <c r="A152" s="156" t="s">
        <v>191</v>
      </c>
      <c r="B152" s="157" t="s">
        <v>192</v>
      </c>
      <c r="C152" s="156" t="s">
        <v>7</v>
      </c>
      <c r="D152" s="155">
        <v>5</v>
      </c>
      <c r="E152" s="156">
        <v>62.9</v>
      </c>
      <c r="F152" s="156">
        <f t="shared" si="59"/>
        <v>314.5</v>
      </c>
      <c r="G152" s="156">
        <v>0</v>
      </c>
      <c r="H152" s="156"/>
      <c r="I152" s="156">
        <f t="shared" si="60"/>
        <v>0</v>
      </c>
      <c r="J152" s="156">
        <f t="shared" si="61"/>
        <v>0</v>
      </c>
      <c r="K152" s="156">
        <f t="shared" si="62"/>
        <v>0</v>
      </c>
      <c r="L152" s="156">
        <f t="shared" si="63"/>
        <v>0</v>
      </c>
      <c r="M152" s="188">
        <f t="shared" si="41"/>
        <v>0</v>
      </c>
      <c r="N152" s="81"/>
      <c r="O152" s="7"/>
      <c r="P152" s="79"/>
      <c r="Q152" s="79"/>
      <c r="R152" s="79"/>
      <c r="S152" s="16"/>
      <c r="T152" s="82"/>
      <c r="U152" s="14"/>
      <c r="V152" s="14"/>
      <c r="W152" s="84"/>
      <c r="X152" s="83"/>
      <c r="Y152" s="85"/>
      <c r="Z152" s="85"/>
      <c r="AA152" s="85"/>
      <c r="AB152" s="85"/>
      <c r="AC152" s="85"/>
      <c r="AD152" s="85"/>
      <c r="AE152" s="85"/>
      <c r="AF152" s="85"/>
      <c r="AG152" s="85"/>
      <c r="AH152" s="86"/>
      <c r="AI152" s="86"/>
      <c r="AJ152" s="86"/>
      <c r="AK152" s="86"/>
      <c r="AL152" s="86"/>
      <c r="AM152" s="86"/>
      <c r="AN152" s="86"/>
      <c r="AO152" s="86"/>
      <c r="AP152" s="86"/>
      <c r="AQ152" s="86"/>
      <c r="AR152" s="86"/>
      <c r="AS152" s="86"/>
      <c r="AT152" s="86"/>
      <c r="AU152" s="86"/>
      <c r="AV152" s="86"/>
      <c r="AW152" s="86"/>
      <c r="AX152" s="86"/>
      <c r="AY152" s="86"/>
      <c r="AZ152" s="86"/>
      <c r="BA152" s="86"/>
      <c r="BB152" s="86"/>
      <c r="BC152" s="86"/>
      <c r="BD152" s="86"/>
      <c r="BE152" s="86"/>
      <c r="BF152" s="86"/>
      <c r="BG152" s="86"/>
      <c r="BH152" s="86"/>
      <c r="BI152" s="86"/>
    </row>
    <row r="153" spans="1:61" s="87" customFormat="1">
      <c r="A153" s="156" t="s">
        <v>193</v>
      </c>
      <c r="B153" s="158" t="s">
        <v>194</v>
      </c>
      <c r="C153" s="156" t="s">
        <v>7</v>
      </c>
      <c r="D153" s="155">
        <v>5</v>
      </c>
      <c r="E153" s="156">
        <v>40.880000000000003</v>
      </c>
      <c r="F153" s="156">
        <f t="shared" si="59"/>
        <v>204.4</v>
      </c>
      <c r="G153" s="156">
        <v>0</v>
      </c>
      <c r="H153" s="156"/>
      <c r="I153" s="156">
        <f t="shared" si="60"/>
        <v>0</v>
      </c>
      <c r="J153" s="156">
        <f t="shared" si="61"/>
        <v>0</v>
      </c>
      <c r="K153" s="156">
        <f t="shared" si="62"/>
        <v>0</v>
      </c>
      <c r="L153" s="156">
        <f t="shared" si="63"/>
        <v>0</v>
      </c>
      <c r="M153" s="188">
        <f t="shared" si="41"/>
        <v>0</v>
      </c>
      <c r="N153" s="81"/>
      <c r="O153" s="7"/>
      <c r="P153" s="79"/>
      <c r="Q153" s="79"/>
      <c r="R153" s="79"/>
      <c r="S153" s="16"/>
      <c r="T153" s="82"/>
      <c r="U153" s="14"/>
      <c r="V153" s="14"/>
      <c r="W153" s="84"/>
      <c r="X153" s="83"/>
      <c r="Y153" s="85"/>
      <c r="Z153" s="85"/>
      <c r="AA153" s="85"/>
      <c r="AB153" s="85"/>
      <c r="AC153" s="85"/>
      <c r="AD153" s="85"/>
      <c r="AE153" s="85"/>
      <c r="AF153" s="85"/>
      <c r="AG153" s="85"/>
      <c r="AH153" s="86"/>
      <c r="AI153" s="86"/>
      <c r="AJ153" s="86"/>
      <c r="AK153" s="86"/>
      <c r="AL153" s="86"/>
      <c r="AM153" s="86"/>
      <c r="AN153" s="86"/>
      <c r="AO153" s="86"/>
      <c r="AP153" s="86"/>
      <c r="AQ153" s="86"/>
      <c r="AR153" s="86"/>
      <c r="AS153" s="86"/>
      <c r="AT153" s="86"/>
      <c r="AU153" s="86"/>
      <c r="AV153" s="86"/>
      <c r="AW153" s="86"/>
      <c r="AX153" s="86"/>
      <c r="AY153" s="86"/>
      <c r="AZ153" s="86"/>
      <c r="BA153" s="86"/>
      <c r="BB153" s="86"/>
      <c r="BC153" s="86"/>
      <c r="BD153" s="86"/>
      <c r="BE153" s="86"/>
      <c r="BF153" s="86"/>
      <c r="BG153" s="86"/>
      <c r="BH153" s="86"/>
      <c r="BI153" s="86"/>
    </row>
    <row r="154" spans="1:61" s="87" customFormat="1">
      <c r="A154" s="156" t="s">
        <v>195</v>
      </c>
      <c r="B154" s="158" t="s">
        <v>196</v>
      </c>
      <c r="C154" s="156" t="s">
        <v>7</v>
      </c>
      <c r="D154" s="155">
        <v>5</v>
      </c>
      <c r="E154" s="156">
        <v>52.81</v>
      </c>
      <c r="F154" s="156">
        <f t="shared" si="59"/>
        <v>264.05</v>
      </c>
      <c r="G154" s="156">
        <v>0</v>
      </c>
      <c r="H154" s="156"/>
      <c r="I154" s="156">
        <f t="shared" si="60"/>
        <v>0</v>
      </c>
      <c r="J154" s="156">
        <f t="shared" si="61"/>
        <v>0</v>
      </c>
      <c r="K154" s="156">
        <f t="shared" si="62"/>
        <v>0</v>
      </c>
      <c r="L154" s="156">
        <f t="shared" si="63"/>
        <v>0</v>
      </c>
      <c r="M154" s="188">
        <f t="shared" si="41"/>
        <v>0</v>
      </c>
      <c r="N154" s="81"/>
      <c r="O154" s="7"/>
      <c r="P154" s="79"/>
      <c r="Q154" s="79"/>
      <c r="R154" s="79"/>
      <c r="S154" s="16"/>
      <c r="T154" s="82"/>
      <c r="U154" s="14"/>
      <c r="V154" s="14"/>
      <c r="W154" s="84"/>
      <c r="X154" s="83"/>
      <c r="Y154" s="85"/>
      <c r="Z154" s="85"/>
      <c r="AA154" s="85"/>
      <c r="AB154" s="85"/>
      <c r="AC154" s="85"/>
      <c r="AD154" s="85"/>
      <c r="AE154" s="85"/>
      <c r="AF154" s="85"/>
      <c r="AG154" s="85"/>
      <c r="AH154" s="86"/>
      <c r="AI154" s="86"/>
      <c r="AJ154" s="86"/>
      <c r="AK154" s="86"/>
      <c r="AL154" s="86"/>
      <c r="AM154" s="86"/>
      <c r="AN154" s="86"/>
      <c r="AO154" s="86"/>
      <c r="AP154" s="86"/>
      <c r="AQ154" s="86"/>
      <c r="AR154" s="86"/>
      <c r="AS154" s="86"/>
      <c r="AT154" s="86"/>
      <c r="AU154" s="86"/>
      <c r="AV154" s="86"/>
      <c r="AW154" s="86"/>
      <c r="AX154" s="86"/>
      <c r="AY154" s="86"/>
      <c r="AZ154" s="86"/>
      <c r="BA154" s="86"/>
      <c r="BB154" s="86"/>
      <c r="BC154" s="86"/>
      <c r="BD154" s="86"/>
      <c r="BE154" s="86"/>
      <c r="BF154" s="86"/>
      <c r="BG154" s="86"/>
      <c r="BH154" s="86"/>
      <c r="BI154" s="86"/>
    </row>
    <row r="155" spans="1:61" s="87" customFormat="1" ht="42.75">
      <c r="A155" s="156" t="s">
        <v>197</v>
      </c>
      <c r="B155" s="157" t="s">
        <v>198</v>
      </c>
      <c r="C155" s="156" t="s">
        <v>7</v>
      </c>
      <c r="D155" s="155">
        <v>7</v>
      </c>
      <c r="E155" s="156">
        <v>7</v>
      </c>
      <c r="F155" s="156">
        <f t="shared" si="59"/>
        <v>49</v>
      </c>
      <c r="G155" s="156">
        <v>0</v>
      </c>
      <c r="H155" s="156"/>
      <c r="I155" s="156">
        <f t="shared" si="60"/>
        <v>0</v>
      </c>
      <c r="J155" s="156">
        <f t="shared" si="61"/>
        <v>0</v>
      </c>
      <c r="K155" s="156">
        <f t="shared" si="62"/>
        <v>0</v>
      </c>
      <c r="L155" s="156">
        <f t="shared" si="63"/>
        <v>0</v>
      </c>
      <c r="M155" s="188">
        <f t="shared" si="41"/>
        <v>0</v>
      </c>
      <c r="N155" s="81"/>
      <c r="O155" s="7"/>
      <c r="P155" s="79"/>
      <c r="Q155" s="79"/>
      <c r="R155" s="79"/>
      <c r="S155" s="16"/>
      <c r="T155" s="82"/>
      <c r="U155" s="14"/>
      <c r="V155" s="14"/>
      <c r="W155" s="84"/>
      <c r="X155" s="83"/>
      <c r="Y155" s="85"/>
      <c r="Z155" s="85"/>
      <c r="AA155" s="85"/>
      <c r="AB155" s="85"/>
      <c r="AC155" s="85"/>
      <c r="AD155" s="85"/>
      <c r="AE155" s="85"/>
      <c r="AF155" s="85"/>
      <c r="AG155" s="85"/>
      <c r="AH155" s="86"/>
      <c r="AI155" s="86"/>
      <c r="AJ155" s="86"/>
      <c r="AK155" s="86"/>
      <c r="AL155" s="86"/>
      <c r="AM155" s="86"/>
      <c r="AN155" s="86"/>
      <c r="AO155" s="86"/>
      <c r="AP155" s="86"/>
      <c r="AQ155" s="86"/>
      <c r="AR155" s="86"/>
      <c r="AS155" s="86"/>
      <c r="AT155" s="86"/>
      <c r="AU155" s="86"/>
      <c r="AV155" s="86"/>
      <c r="AW155" s="86"/>
      <c r="AX155" s="86"/>
      <c r="AY155" s="86"/>
      <c r="AZ155" s="86"/>
      <c r="BA155" s="86"/>
      <c r="BB155" s="86"/>
      <c r="BC155" s="86"/>
      <c r="BD155" s="86"/>
      <c r="BE155" s="86"/>
      <c r="BF155" s="86"/>
      <c r="BG155" s="86"/>
      <c r="BH155" s="86"/>
      <c r="BI155" s="86"/>
    </row>
    <row r="156" spans="1:61" s="87" customFormat="1" ht="28.5">
      <c r="A156" s="156" t="s">
        <v>199</v>
      </c>
      <c r="B156" s="157" t="s">
        <v>200</v>
      </c>
      <c r="C156" s="156" t="s">
        <v>7</v>
      </c>
      <c r="D156" s="155">
        <v>2</v>
      </c>
      <c r="E156" s="156">
        <v>144.46</v>
      </c>
      <c r="F156" s="156">
        <f t="shared" si="59"/>
        <v>288.92</v>
      </c>
      <c r="G156" s="156">
        <v>0</v>
      </c>
      <c r="H156" s="156">
        <f>'MEMORIA BM 05'!L428</f>
        <v>1</v>
      </c>
      <c r="I156" s="156">
        <f t="shared" si="60"/>
        <v>1</v>
      </c>
      <c r="J156" s="156">
        <f t="shared" si="61"/>
        <v>0</v>
      </c>
      <c r="K156" s="156">
        <f t="shared" si="62"/>
        <v>144.46</v>
      </c>
      <c r="L156" s="156">
        <f t="shared" si="63"/>
        <v>144.46</v>
      </c>
      <c r="M156" s="188">
        <f t="shared" si="41"/>
        <v>0.5</v>
      </c>
      <c r="N156" s="81"/>
      <c r="O156" s="7"/>
      <c r="P156" s="79"/>
      <c r="Q156" s="79"/>
      <c r="R156" s="79"/>
      <c r="S156" s="16"/>
      <c r="T156" s="82"/>
      <c r="U156" s="14"/>
      <c r="V156" s="14"/>
      <c r="W156" s="84"/>
      <c r="X156" s="83"/>
      <c r="Y156" s="85"/>
      <c r="Z156" s="85"/>
      <c r="AA156" s="85"/>
      <c r="AB156" s="85"/>
      <c r="AC156" s="85"/>
      <c r="AD156" s="85"/>
      <c r="AE156" s="85"/>
      <c r="AF156" s="85"/>
      <c r="AG156" s="85"/>
      <c r="AH156" s="86"/>
      <c r="AI156" s="86"/>
      <c r="AJ156" s="86"/>
      <c r="AK156" s="86"/>
      <c r="AL156" s="86"/>
      <c r="AM156" s="86"/>
      <c r="AN156" s="86"/>
      <c r="AO156" s="86"/>
      <c r="AP156" s="86"/>
      <c r="AQ156" s="86"/>
      <c r="AR156" s="86"/>
      <c r="AS156" s="86"/>
      <c r="AT156" s="86"/>
      <c r="AU156" s="86"/>
      <c r="AV156" s="86"/>
      <c r="AW156" s="86"/>
      <c r="AX156" s="86"/>
      <c r="AY156" s="86"/>
      <c r="AZ156" s="86"/>
      <c r="BA156" s="86"/>
      <c r="BB156" s="86"/>
      <c r="BC156" s="86"/>
      <c r="BD156" s="86"/>
      <c r="BE156" s="86"/>
      <c r="BF156" s="86"/>
      <c r="BG156" s="86"/>
      <c r="BH156" s="86"/>
      <c r="BI156" s="86"/>
    </row>
    <row r="157" spans="1:61" s="87" customFormat="1" ht="28.5">
      <c r="A157" s="156" t="s">
        <v>201</v>
      </c>
      <c r="B157" s="157" t="s">
        <v>202</v>
      </c>
      <c r="C157" s="156" t="s">
        <v>7</v>
      </c>
      <c r="D157" s="155">
        <v>1</v>
      </c>
      <c r="E157" s="156">
        <v>159.54</v>
      </c>
      <c r="F157" s="156">
        <f t="shared" si="59"/>
        <v>159.54</v>
      </c>
      <c r="G157" s="156">
        <v>0</v>
      </c>
      <c r="H157" s="156">
        <f>'MEMORIA BM 05'!L431</f>
        <v>1</v>
      </c>
      <c r="I157" s="156">
        <f t="shared" si="60"/>
        <v>1</v>
      </c>
      <c r="J157" s="156">
        <f t="shared" si="61"/>
        <v>0</v>
      </c>
      <c r="K157" s="156">
        <f t="shared" si="62"/>
        <v>159.54</v>
      </c>
      <c r="L157" s="156">
        <f t="shared" si="63"/>
        <v>159.54</v>
      </c>
      <c r="M157" s="188">
        <f t="shared" si="41"/>
        <v>1</v>
      </c>
      <c r="N157" s="81"/>
      <c r="O157" s="7"/>
      <c r="P157" s="79"/>
      <c r="Q157" s="79"/>
      <c r="R157" s="79"/>
      <c r="S157" s="16"/>
      <c r="T157" s="82"/>
      <c r="U157" s="14"/>
      <c r="V157" s="14"/>
      <c r="W157" s="84"/>
      <c r="X157" s="83"/>
      <c r="Y157" s="85"/>
      <c r="Z157" s="85"/>
      <c r="AA157" s="85"/>
      <c r="AB157" s="85"/>
      <c r="AC157" s="85"/>
      <c r="AD157" s="85"/>
      <c r="AE157" s="85"/>
      <c r="AF157" s="85"/>
      <c r="AG157" s="85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6"/>
      <c r="AU157" s="86"/>
      <c r="AV157" s="86"/>
      <c r="AW157" s="86"/>
      <c r="AX157" s="86"/>
      <c r="AY157" s="86"/>
      <c r="AZ157" s="86"/>
      <c r="BA157" s="86"/>
      <c r="BB157" s="86"/>
      <c r="BC157" s="86"/>
      <c r="BD157" s="86"/>
      <c r="BE157" s="86"/>
      <c r="BF157" s="86"/>
      <c r="BG157" s="86"/>
      <c r="BH157" s="86"/>
      <c r="BI157" s="86"/>
    </row>
    <row r="158" spans="1:61" s="87" customFormat="1">
      <c r="A158" s="156" t="s">
        <v>203</v>
      </c>
      <c r="B158" s="158" t="s">
        <v>204</v>
      </c>
      <c r="C158" s="156" t="s">
        <v>16</v>
      </c>
      <c r="D158" s="155">
        <v>3.2</v>
      </c>
      <c r="E158" s="156">
        <v>350.43</v>
      </c>
      <c r="F158" s="156">
        <f t="shared" si="59"/>
        <v>1121.376</v>
      </c>
      <c r="G158" s="156">
        <v>0</v>
      </c>
      <c r="H158" s="156"/>
      <c r="I158" s="156">
        <f t="shared" si="60"/>
        <v>0</v>
      </c>
      <c r="J158" s="156">
        <f t="shared" si="61"/>
        <v>0</v>
      </c>
      <c r="K158" s="156">
        <f t="shared" si="62"/>
        <v>0</v>
      </c>
      <c r="L158" s="156">
        <f t="shared" si="63"/>
        <v>0</v>
      </c>
      <c r="M158" s="188">
        <f t="shared" si="41"/>
        <v>0</v>
      </c>
      <c r="N158" s="81"/>
      <c r="O158" s="7"/>
      <c r="P158" s="79"/>
      <c r="Q158" s="79"/>
      <c r="R158" s="79"/>
      <c r="S158" s="16"/>
      <c r="T158" s="82"/>
      <c r="U158" s="14"/>
      <c r="V158" s="14"/>
      <c r="W158" s="84"/>
      <c r="X158" s="83"/>
      <c r="Y158" s="85"/>
      <c r="Z158" s="85"/>
      <c r="AA158" s="85"/>
      <c r="AB158" s="85"/>
      <c r="AC158" s="85"/>
      <c r="AD158" s="85"/>
      <c r="AE158" s="85"/>
      <c r="AF158" s="85"/>
      <c r="AG158" s="85"/>
      <c r="AH158" s="86"/>
      <c r="AI158" s="86"/>
      <c r="AJ158" s="86"/>
      <c r="AK158" s="86"/>
      <c r="AL158" s="86"/>
      <c r="AM158" s="86"/>
      <c r="AN158" s="86"/>
      <c r="AO158" s="86"/>
      <c r="AP158" s="86"/>
      <c r="AQ158" s="86"/>
      <c r="AR158" s="86"/>
      <c r="AS158" s="86"/>
      <c r="AT158" s="86"/>
      <c r="AU158" s="86"/>
      <c r="AV158" s="86"/>
      <c r="AW158" s="86"/>
      <c r="AX158" s="86"/>
      <c r="AY158" s="86"/>
      <c r="AZ158" s="86"/>
      <c r="BA158" s="86"/>
      <c r="BB158" s="86"/>
      <c r="BC158" s="86"/>
      <c r="BD158" s="86"/>
      <c r="BE158" s="86"/>
      <c r="BF158" s="86"/>
      <c r="BG158" s="86"/>
      <c r="BH158" s="86"/>
      <c r="BI158" s="86"/>
    </row>
    <row r="159" spans="1:61" s="87" customFormat="1" ht="28.5">
      <c r="A159" s="156" t="s">
        <v>205</v>
      </c>
      <c r="B159" s="157" t="s">
        <v>206</v>
      </c>
      <c r="C159" s="156" t="s">
        <v>7</v>
      </c>
      <c r="D159" s="155">
        <v>2</v>
      </c>
      <c r="E159" s="156">
        <v>707.44</v>
      </c>
      <c r="F159" s="156">
        <f t="shared" si="59"/>
        <v>1414.88</v>
      </c>
      <c r="G159" s="156">
        <v>0</v>
      </c>
      <c r="H159" s="156"/>
      <c r="I159" s="156">
        <f t="shared" si="60"/>
        <v>0</v>
      </c>
      <c r="J159" s="156">
        <f t="shared" si="61"/>
        <v>0</v>
      </c>
      <c r="K159" s="156">
        <f t="shared" si="62"/>
        <v>0</v>
      </c>
      <c r="L159" s="156">
        <f t="shared" si="63"/>
        <v>0</v>
      </c>
      <c r="M159" s="188">
        <f t="shared" si="41"/>
        <v>0</v>
      </c>
      <c r="N159" s="81"/>
      <c r="O159" s="7"/>
      <c r="P159" s="79"/>
      <c r="Q159" s="79"/>
      <c r="R159" s="79"/>
      <c r="S159" s="16"/>
      <c r="T159" s="82"/>
      <c r="U159" s="14"/>
      <c r="V159" s="14"/>
      <c r="W159" s="84"/>
      <c r="X159" s="83"/>
      <c r="Y159" s="85"/>
      <c r="Z159" s="85"/>
      <c r="AA159" s="85"/>
      <c r="AB159" s="85"/>
      <c r="AC159" s="85"/>
      <c r="AD159" s="85"/>
      <c r="AE159" s="85"/>
      <c r="AF159" s="85"/>
      <c r="AG159" s="85"/>
      <c r="AH159" s="86"/>
      <c r="AI159" s="86"/>
      <c r="AJ159" s="86"/>
      <c r="AK159" s="86"/>
      <c r="AL159" s="86"/>
      <c r="AM159" s="86"/>
      <c r="AN159" s="86"/>
      <c r="AO159" s="86"/>
      <c r="AP159" s="86"/>
      <c r="AQ159" s="86"/>
      <c r="AR159" s="86"/>
      <c r="AS159" s="86"/>
      <c r="AT159" s="86"/>
      <c r="AU159" s="86"/>
      <c r="AV159" s="86"/>
      <c r="AW159" s="86"/>
      <c r="AX159" s="86"/>
      <c r="AY159" s="86"/>
      <c r="AZ159" s="86"/>
      <c r="BA159" s="86"/>
      <c r="BB159" s="86"/>
      <c r="BC159" s="86"/>
      <c r="BD159" s="86"/>
      <c r="BE159" s="86"/>
      <c r="BF159" s="86"/>
      <c r="BG159" s="86"/>
      <c r="BH159" s="86"/>
      <c r="BI159" s="86"/>
    </row>
    <row r="160" spans="1:61" s="87" customFormat="1">
      <c r="A160" s="156" t="s">
        <v>207</v>
      </c>
      <c r="B160" s="158" t="s">
        <v>23</v>
      </c>
      <c r="C160" s="156" t="s">
        <v>16</v>
      </c>
      <c r="D160" s="155">
        <v>8.31</v>
      </c>
      <c r="E160" s="156">
        <v>250.9</v>
      </c>
      <c r="F160" s="156">
        <f t="shared" si="59"/>
        <v>2084.9790000000003</v>
      </c>
      <c r="G160" s="156">
        <v>0</v>
      </c>
      <c r="H160" s="156"/>
      <c r="I160" s="156">
        <f t="shared" si="60"/>
        <v>0</v>
      </c>
      <c r="J160" s="156">
        <f t="shared" si="61"/>
        <v>0</v>
      </c>
      <c r="K160" s="156">
        <f t="shared" si="62"/>
        <v>0</v>
      </c>
      <c r="L160" s="156">
        <f t="shared" si="63"/>
        <v>0</v>
      </c>
      <c r="M160" s="188">
        <f t="shared" ref="M160:M223" si="64">L160/F160</f>
        <v>0</v>
      </c>
      <c r="N160" s="81"/>
      <c r="O160" s="7"/>
      <c r="P160" s="79"/>
      <c r="Q160" s="79"/>
      <c r="R160" s="79"/>
      <c r="S160" s="16"/>
      <c r="T160" s="82"/>
      <c r="U160" s="14"/>
      <c r="V160" s="14"/>
      <c r="W160" s="84"/>
      <c r="X160" s="83"/>
      <c r="Y160" s="85"/>
      <c r="Z160" s="85"/>
      <c r="AA160" s="85"/>
      <c r="AB160" s="85"/>
      <c r="AC160" s="85"/>
      <c r="AD160" s="85"/>
      <c r="AE160" s="85"/>
      <c r="AF160" s="85"/>
      <c r="AG160" s="85"/>
      <c r="AH160" s="86"/>
      <c r="AI160" s="86"/>
      <c r="AJ160" s="86"/>
      <c r="AK160" s="86"/>
      <c r="AL160" s="86"/>
      <c r="AM160" s="86"/>
      <c r="AN160" s="86"/>
      <c r="AO160" s="86"/>
      <c r="AP160" s="86"/>
      <c r="AQ160" s="86"/>
      <c r="AR160" s="86"/>
      <c r="AS160" s="86"/>
      <c r="AT160" s="86"/>
      <c r="AU160" s="86"/>
      <c r="AV160" s="86"/>
      <c r="AW160" s="86"/>
      <c r="AX160" s="86"/>
      <c r="AY160" s="86"/>
      <c r="AZ160" s="86"/>
      <c r="BA160" s="86"/>
      <c r="BB160" s="86"/>
      <c r="BC160" s="86"/>
      <c r="BD160" s="86"/>
      <c r="BE160" s="86"/>
      <c r="BF160" s="86"/>
      <c r="BG160" s="86"/>
      <c r="BH160" s="86"/>
      <c r="BI160" s="86"/>
    </row>
    <row r="161" spans="1:66" s="87" customFormat="1" ht="45.75" customHeight="1">
      <c r="A161" s="156" t="s">
        <v>208</v>
      </c>
      <c r="B161" s="157" t="s">
        <v>209</v>
      </c>
      <c r="C161" s="156" t="s">
        <v>7</v>
      </c>
      <c r="D161" s="155">
        <v>14</v>
      </c>
      <c r="E161" s="156">
        <v>85.09</v>
      </c>
      <c r="F161" s="156">
        <f t="shared" si="59"/>
        <v>1191.26</v>
      </c>
      <c r="G161" s="156">
        <v>14</v>
      </c>
      <c r="H161" s="156"/>
      <c r="I161" s="156">
        <f t="shared" si="60"/>
        <v>14</v>
      </c>
      <c r="J161" s="156">
        <f t="shared" si="61"/>
        <v>1191.26</v>
      </c>
      <c r="K161" s="156">
        <f t="shared" si="62"/>
        <v>0</v>
      </c>
      <c r="L161" s="156">
        <f t="shared" si="63"/>
        <v>1191.26</v>
      </c>
      <c r="M161" s="188">
        <f t="shared" si="64"/>
        <v>1</v>
      </c>
      <c r="N161" s="81"/>
      <c r="O161" s="7"/>
      <c r="P161" s="79"/>
      <c r="Q161" s="79"/>
      <c r="R161" s="79"/>
      <c r="S161" s="16"/>
      <c r="T161" s="82"/>
      <c r="U161" s="14"/>
      <c r="V161" s="14"/>
      <c r="W161" s="84"/>
      <c r="X161" s="83"/>
      <c r="Y161" s="85"/>
      <c r="Z161" s="85"/>
      <c r="AA161" s="85"/>
      <c r="AB161" s="85"/>
      <c r="AC161" s="85"/>
      <c r="AD161" s="85"/>
      <c r="AE161" s="85"/>
      <c r="AF161" s="85"/>
      <c r="AG161" s="85"/>
      <c r="AH161" s="86"/>
      <c r="AI161" s="86"/>
      <c r="AJ161" s="86"/>
      <c r="AK161" s="86"/>
      <c r="AL161" s="86"/>
      <c r="AM161" s="86"/>
      <c r="AN161" s="86"/>
      <c r="AO161" s="86"/>
      <c r="AP161" s="86"/>
      <c r="AQ161" s="86"/>
      <c r="AR161" s="86"/>
      <c r="AS161" s="86"/>
      <c r="AT161" s="86"/>
      <c r="AU161" s="86"/>
      <c r="AV161" s="86"/>
      <c r="AW161" s="86"/>
      <c r="AX161" s="86"/>
      <c r="AY161" s="86"/>
      <c r="AZ161" s="86"/>
      <c r="BA161" s="86"/>
      <c r="BB161" s="86"/>
      <c r="BC161" s="86"/>
      <c r="BD161" s="86"/>
      <c r="BE161" s="86"/>
      <c r="BF161" s="86"/>
      <c r="BG161" s="86"/>
      <c r="BH161" s="86"/>
      <c r="BI161" s="86"/>
    </row>
    <row r="162" spans="1:66" s="87" customFormat="1" ht="42.75">
      <c r="A162" s="156" t="s">
        <v>210</v>
      </c>
      <c r="B162" s="157" t="s">
        <v>211</v>
      </c>
      <c r="C162" s="156" t="s">
        <v>7</v>
      </c>
      <c r="D162" s="155">
        <v>3</v>
      </c>
      <c r="E162" s="156">
        <v>205.43</v>
      </c>
      <c r="F162" s="156">
        <f t="shared" si="59"/>
        <v>616.29</v>
      </c>
      <c r="G162" s="156">
        <v>0</v>
      </c>
      <c r="H162" s="156"/>
      <c r="I162" s="156">
        <f t="shared" si="60"/>
        <v>0</v>
      </c>
      <c r="J162" s="156">
        <f t="shared" si="61"/>
        <v>0</v>
      </c>
      <c r="K162" s="156">
        <f t="shared" si="62"/>
        <v>0</v>
      </c>
      <c r="L162" s="156">
        <f t="shared" si="63"/>
        <v>0</v>
      </c>
      <c r="M162" s="188">
        <f t="shared" si="64"/>
        <v>0</v>
      </c>
      <c r="N162" s="81"/>
      <c r="O162" s="7"/>
      <c r="P162" s="79"/>
      <c r="Q162" s="79"/>
      <c r="R162" s="79"/>
      <c r="S162" s="16"/>
      <c r="T162" s="82"/>
      <c r="U162" s="14"/>
      <c r="V162" s="14"/>
      <c r="W162" s="84"/>
      <c r="X162" s="83"/>
      <c r="Y162" s="85"/>
      <c r="Z162" s="85"/>
      <c r="AA162" s="85"/>
      <c r="AB162" s="85"/>
      <c r="AC162" s="85"/>
      <c r="AD162" s="85"/>
      <c r="AE162" s="85"/>
      <c r="AF162" s="85"/>
      <c r="AG162" s="85"/>
      <c r="AH162" s="86"/>
      <c r="AI162" s="86"/>
      <c r="AJ162" s="86"/>
      <c r="AK162" s="86"/>
      <c r="AL162" s="86"/>
      <c r="AM162" s="86"/>
      <c r="AN162" s="86"/>
      <c r="AO162" s="86"/>
      <c r="AP162" s="86"/>
      <c r="AQ162" s="86"/>
      <c r="AR162" s="86"/>
      <c r="AS162" s="86"/>
      <c r="AT162" s="86"/>
      <c r="AU162" s="86"/>
      <c r="AV162" s="86"/>
      <c r="AW162" s="86"/>
      <c r="AX162" s="86"/>
      <c r="AY162" s="86"/>
      <c r="AZ162" s="86"/>
      <c r="BA162" s="86"/>
      <c r="BB162" s="86"/>
      <c r="BC162" s="86"/>
      <c r="BD162" s="86"/>
      <c r="BE162" s="86"/>
      <c r="BF162" s="86"/>
      <c r="BG162" s="86"/>
      <c r="BH162" s="86"/>
      <c r="BI162" s="86"/>
    </row>
    <row r="163" spans="1:66" s="87" customFormat="1" ht="99.75">
      <c r="A163" s="156" t="s">
        <v>212</v>
      </c>
      <c r="B163" s="157" t="s">
        <v>213</v>
      </c>
      <c r="C163" s="156" t="s">
        <v>7</v>
      </c>
      <c r="D163" s="155">
        <v>1</v>
      </c>
      <c r="E163" s="156">
        <v>2718.67</v>
      </c>
      <c r="F163" s="156">
        <f t="shared" si="59"/>
        <v>2718.67</v>
      </c>
      <c r="G163" s="156">
        <v>0</v>
      </c>
      <c r="H163" s="156"/>
      <c r="I163" s="156">
        <f t="shared" si="60"/>
        <v>0</v>
      </c>
      <c r="J163" s="156">
        <f t="shared" si="61"/>
        <v>0</v>
      </c>
      <c r="K163" s="156">
        <f t="shared" si="62"/>
        <v>0</v>
      </c>
      <c r="L163" s="156">
        <f t="shared" si="63"/>
        <v>0</v>
      </c>
      <c r="M163" s="188">
        <f t="shared" si="64"/>
        <v>0</v>
      </c>
      <c r="N163" s="81"/>
      <c r="O163" s="7"/>
      <c r="P163" s="79"/>
      <c r="Q163" s="79"/>
      <c r="R163" s="79"/>
      <c r="S163" s="16"/>
      <c r="T163" s="82"/>
      <c r="U163" s="14"/>
      <c r="V163" s="14"/>
      <c r="W163" s="84"/>
      <c r="X163" s="83"/>
      <c r="Y163" s="85"/>
      <c r="Z163" s="85"/>
      <c r="AA163" s="85"/>
      <c r="AB163" s="85"/>
      <c r="AC163" s="85"/>
      <c r="AD163" s="85"/>
      <c r="AE163" s="85"/>
      <c r="AF163" s="85"/>
      <c r="AG163" s="85"/>
      <c r="AH163" s="86"/>
      <c r="AI163" s="86"/>
      <c r="AJ163" s="86"/>
      <c r="AK163" s="86"/>
      <c r="AL163" s="86"/>
      <c r="AM163" s="86"/>
      <c r="AN163" s="86"/>
      <c r="AO163" s="86"/>
      <c r="AP163" s="86"/>
      <c r="AQ163" s="86"/>
      <c r="AR163" s="86"/>
      <c r="AS163" s="86"/>
      <c r="AT163" s="86"/>
      <c r="AU163" s="86"/>
      <c r="AV163" s="86"/>
      <c r="AW163" s="86"/>
      <c r="AX163" s="86"/>
      <c r="AY163" s="86"/>
      <c r="AZ163" s="86"/>
      <c r="BA163" s="86"/>
      <c r="BB163" s="86"/>
      <c r="BC163" s="86"/>
      <c r="BD163" s="86"/>
      <c r="BE163" s="86"/>
      <c r="BF163" s="86"/>
      <c r="BG163" s="86"/>
      <c r="BH163" s="86"/>
      <c r="BI163" s="86"/>
    </row>
    <row r="164" spans="1:66" s="87" customFormat="1">
      <c r="A164" s="156" t="s">
        <v>214</v>
      </c>
      <c r="B164" s="157" t="s">
        <v>215</v>
      </c>
      <c r="C164" s="156" t="s">
        <v>7</v>
      </c>
      <c r="D164" s="155">
        <v>1</v>
      </c>
      <c r="E164" s="156">
        <v>3978.99</v>
      </c>
      <c r="F164" s="156">
        <f t="shared" si="59"/>
        <v>3978.99</v>
      </c>
      <c r="G164" s="156">
        <v>0</v>
      </c>
      <c r="H164" s="156">
        <f>'MEMORIA BM 05'!L452</f>
        <v>1</v>
      </c>
      <c r="I164" s="156">
        <f t="shared" si="60"/>
        <v>1</v>
      </c>
      <c r="J164" s="156">
        <f t="shared" si="61"/>
        <v>0</v>
      </c>
      <c r="K164" s="156">
        <f t="shared" si="62"/>
        <v>3978.99</v>
      </c>
      <c r="L164" s="156">
        <f t="shared" si="63"/>
        <v>3978.99</v>
      </c>
      <c r="M164" s="188">
        <f t="shared" si="64"/>
        <v>1</v>
      </c>
      <c r="N164" s="81"/>
      <c r="O164" s="7"/>
      <c r="P164" s="79"/>
      <c r="Q164" s="79"/>
      <c r="R164" s="79"/>
      <c r="S164" s="16"/>
      <c r="T164" s="82"/>
      <c r="U164" s="14"/>
      <c r="V164" s="14"/>
      <c r="W164" s="84"/>
      <c r="X164" s="83"/>
      <c r="Y164" s="85"/>
      <c r="Z164" s="85"/>
      <c r="AA164" s="85"/>
      <c r="AB164" s="85"/>
      <c r="AC164" s="85"/>
      <c r="AD164" s="85"/>
      <c r="AE164" s="85"/>
      <c r="AF164" s="85"/>
      <c r="AG164" s="85"/>
      <c r="AH164" s="86"/>
      <c r="AI164" s="86"/>
      <c r="AJ164" s="86"/>
      <c r="AK164" s="86"/>
      <c r="AL164" s="86"/>
      <c r="AM164" s="86"/>
      <c r="AN164" s="86"/>
      <c r="AO164" s="86"/>
      <c r="AP164" s="86"/>
      <c r="AQ164" s="86"/>
      <c r="AR164" s="86"/>
      <c r="AS164" s="86"/>
      <c r="AT164" s="86"/>
      <c r="AU164" s="86"/>
      <c r="AV164" s="86"/>
      <c r="AW164" s="86"/>
      <c r="AX164" s="86"/>
      <c r="AY164" s="86"/>
      <c r="AZ164" s="86"/>
      <c r="BA164" s="86"/>
      <c r="BB164" s="86"/>
      <c r="BC164" s="86"/>
      <c r="BD164" s="86"/>
      <c r="BE164" s="86"/>
      <c r="BF164" s="86"/>
      <c r="BG164" s="86"/>
      <c r="BH164" s="86"/>
      <c r="BI164" s="86"/>
    </row>
    <row r="165" spans="1:66" s="87" customFormat="1" ht="28.5">
      <c r="A165" s="156" t="s">
        <v>615</v>
      </c>
      <c r="B165" s="157" t="s">
        <v>616</v>
      </c>
      <c r="C165" s="156" t="s">
        <v>602</v>
      </c>
      <c r="D165" s="155">
        <v>1</v>
      </c>
      <c r="E165" s="156">
        <v>134.91999999999999</v>
      </c>
      <c r="F165" s="156">
        <f t="shared" si="59"/>
        <v>134.91999999999999</v>
      </c>
      <c r="G165" s="156">
        <v>0</v>
      </c>
      <c r="H165" s="156"/>
      <c r="I165" s="156">
        <f t="shared" si="60"/>
        <v>0</v>
      </c>
      <c r="J165" s="156">
        <f t="shared" si="61"/>
        <v>0</v>
      </c>
      <c r="K165" s="156">
        <f t="shared" si="62"/>
        <v>0</v>
      </c>
      <c r="L165" s="156">
        <f t="shared" si="63"/>
        <v>0</v>
      </c>
      <c r="M165" s="188">
        <f t="shared" si="64"/>
        <v>0</v>
      </c>
      <c r="N165" s="81"/>
      <c r="O165" s="7"/>
      <c r="P165" s="79"/>
      <c r="Q165" s="79"/>
      <c r="R165" s="79"/>
      <c r="S165" s="16"/>
      <c r="T165" s="82"/>
      <c r="U165" s="14"/>
      <c r="V165" s="14"/>
      <c r="W165" s="84"/>
      <c r="X165" s="83"/>
      <c r="Y165" s="85"/>
      <c r="Z165" s="85"/>
      <c r="AA165" s="85"/>
      <c r="AB165" s="85"/>
      <c r="AC165" s="85"/>
      <c r="AD165" s="85"/>
      <c r="AE165" s="85"/>
      <c r="AF165" s="85"/>
      <c r="AG165" s="85"/>
      <c r="AH165" s="86"/>
      <c r="AI165" s="86"/>
      <c r="AJ165" s="86"/>
      <c r="AK165" s="86"/>
      <c r="AL165" s="86"/>
      <c r="AM165" s="86"/>
      <c r="AN165" s="86"/>
      <c r="AO165" s="86"/>
      <c r="AP165" s="86"/>
      <c r="AQ165" s="86"/>
      <c r="AR165" s="86"/>
      <c r="AS165" s="86"/>
      <c r="AT165" s="86"/>
      <c r="AU165" s="86"/>
      <c r="AV165" s="86"/>
      <c r="AW165" s="86"/>
      <c r="AX165" s="86"/>
      <c r="AY165" s="86"/>
      <c r="AZ165" s="86"/>
      <c r="BA165" s="86"/>
      <c r="BB165" s="86"/>
      <c r="BC165" s="86"/>
      <c r="BD165" s="86"/>
      <c r="BE165" s="86"/>
      <c r="BF165" s="86"/>
      <c r="BG165" s="86"/>
      <c r="BH165" s="86"/>
      <c r="BI165" s="86"/>
    </row>
    <row r="166" spans="1:66" s="87" customFormat="1" ht="28.5">
      <c r="A166" s="156" t="s">
        <v>617</v>
      </c>
      <c r="B166" s="157" t="s">
        <v>618</v>
      </c>
      <c r="C166" s="156" t="s">
        <v>43</v>
      </c>
      <c r="D166" s="155">
        <v>21</v>
      </c>
      <c r="E166" s="156">
        <v>8.49</v>
      </c>
      <c r="F166" s="156">
        <f t="shared" si="59"/>
        <v>178.29</v>
      </c>
      <c r="G166" s="156">
        <v>21</v>
      </c>
      <c r="H166" s="156"/>
      <c r="I166" s="156">
        <f t="shared" si="60"/>
        <v>21</v>
      </c>
      <c r="J166" s="156">
        <f t="shared" si="61"/>
        <v>178.29</v>
      </c>
      <c r="K166" s="156">
        <f t="shared" si="62"/>
        <v>0</v>
      </c>
      <c r="L166" s="156">
        <f t="shared" si="63"/>
        <v>178.29</v>
      </c>
      <c r="M166" s="188">
        <f t="shared" si="64"/>
        <v>1</v>
      </c>
      <c r="N166" s="81"/>
      <c r="O166" s="7"/>
      <c r="P166" s="79"/>
      <c r="Q166" s="79"/>
      <c r="R166" s="79"/>
      <c r="S166" s="16"/>
      <c r="T166" s="82"/>
      <c r="U166" s="14"/>
      <c r="V166" s="14"/>
      <c r="W166" s="84"/>
      <c r="X166" s="83"/>
      <c r="Y166" s="85"/>
      <c r="Z166" s="85"/>
      <c r="AA166" s="85"/>
      <c r="AB166" s="85"/>
      <c r="AC166" s="85"/>
      <c r="AD166" s="85"/>
      <c r="AE166" s="85"/>
      <c r="AF166" s="85"/>
      <c r="AG166" s="85"/>
      <c r="AH166" s="86"/>
      <c r="AI166" s="86"/>
      <c r="AJ166" s="86"/>
      <c r="AK166" s="86"/>
      <c r="AL166" s="86"/>
      <c r="AM166" s="86"/>
      <c r="AN166" s="86"/>
      <c r="AO166" s="86"/>
      <c r="AP166" s="86"/>
      <c r="AQ166" s="86"/>
      <c r="AR166" s="86"/>
      <c r="AS166" s="86"/>
      <c r="AT166" s="86"/>
      <c r="AU166" s="86"/>
      <c r="AV166" s="86"/>
      <c r="AW166" s="86"/>
      <c r="AX166" s="86"/>
      <c r="AY166" s="86"/>
      <c r="AZ166" s="86"/>
      <c r="BA166" s="86"/>
      <c r="BB166" s="86"/>
      <c r="BC166" s="86"/>
      <c r="BD166" s="86"/>
      <c r="BE166" s="86"/>
      <c r="BF166" s="86"/>
      <c r="BG166" s="86"/>
      <c r="BH166" s="86"/>
      <c r="BI166" s="86"/>
    </row>
    <row r="167" spans="1:66" s="87" customFormat="1" ht="28.5">
      <c r="A167" s="156" t="s">
        <v>619</v>
      </c>
      <c r="B167" s="157" t="s">
        <v>620</v>
      </c>
      <c r="C167" s="156" t="s">
        <v>602</v>
      </c>
      <c r="D167" s="155">
        <v>7</v>
      </c>
      <c r="E167" s="156">
        <v>3.09</v>
      </c>
      <c r="F167" s="156">
        <f t="shared" si="59"/>
        <v>21.63</v>
      </c>
      <c r="G167" s="156">
        <v>7</v>
      </c>
      <c r="H167" s="156"/>
      <c r="I167" s="156">
        <f t="shared" si="60"/>
        <v>7</v>
      </c>
      <c r="J167" s="156">
        <f t="shared" si="61"/>
        <v>21.63</v>
      </c>
      <c r="K167" s="156">
        <f t="shared" si="62"/>
        <v>0</v>
      </c>
      <c r="L167" s="156">
        <f t="shared" si="63"/>
        <v>21.63</v>
      </c>
      <c r="M167" s="188">
        <f t="shared" si="64"/>
        <v>1</v>
      </c>
      <c r="N167" s="81"/>
      <c r="O167" s="7"/>
      <c r="P167" s="79"/>
      <c r="Q167" s="79"/>
      <c r="R167" s="79"/>
      <c r="S167" s="16"/>
      <c r="T167" s="82"/>
      <c r="U167" s="14"/>
      <c r="V167" s="14"/>
      <c r="W167" s="84"/>
      <c r="X167" s="83"/>
      <c r="Y167" s="85"/>
      <c r="Z167" s="85"/>
      <c r="AA167" s="85"/>
      <c r="AB167" s="85"/>
      <c r="AC167" s="85"/>
      <c r="AD167" s="85"/>
      <c r="AE167" s="85"/>
      <c r="AF167" s="85"/>
      <c r="AG167" s="85"/>
      <c r="AH167" s="86"/>
      <c r="AI167" s="86"/>
      <c r="AJ167" s="86"/>
      <c r="AK167" s="86"/>
      <c r="AL167" s="86"/>
      <c r="AM167" s="86"/>
      <c r="AN167" s="86"/>
      <c r="AO167" s="86"/>
      <c r="AP167" s="86"/>
      <c r="AQ167" s="86"/>
      <c r="AR167" s="86"/>
      <c r="AS167" s="86"/>
      <c r="AT167" s="86"/>
      <c r="AU167" s="86"/>
      <c r="AV167" s="86"/>
      <c r="AW167" s="86"/>
      <c r="AX167" s="86"/>
      <c r="AY167" s="86"/>
      <c r="AZ167" s="86"/>
      <c r="BA167" s="86"/>
      <c r="BB167" s="86"/>
      <c r="BC167" s="86"/>
      <c r="BD167" s="86"/>
      <c r="BE167" s="86"/>
      <c r="BF167" s="86"/>
      <c r="BG167" s="86"/>
      <c r="BH167" s="86"/>
      <c r="BI167" s="86"/>
    </row>
    <row r="168" spans="1:66" s="87" customFormat="1">
      <c r="A168" s="156"/>
      <c r="B168" s="154"/>
      <c r="C168" s="156"/>
      <c r="D168" s="156"/>
      <c r="E168" s="156"/>
      <c r="F168" s="156"/>
      <c r="G168" s="156"/>
      <c r="H168" s="156"/>
      <c r="I168" s="156"/>
      <c r="J168" s="156"/>
      <c r="K168" s="156"/>
      <c r="L168" s="156"/>
      <c r="M168" s="188" t="e">
        <f t="shared" si="64"/>
        <v>#DIV/0!</v>
      </c>
      <c r="N168" s="81"/>
      <c r="O168" s="7"/>
      <c r="P168" s="79"/>
      <c r="Q168" s="79"/>
      <c r="R168" s="79"/>
      <c r="S168" s="16"/>
      <c r="T168" s="82"/>
      <c r="U168" s="14"/>
      <c r="V168" s="14"/>
      <c r="W168" s="84"/>
      <c r="X168" s="83"/>
      <c r="Y168" s="85"/>
      <c r="Z168" s="85"/>
      <c r="AA168" s="85"/>
      <c r="AB168" s="85"/>
      <c r="AC168" s="85"/>
      <c r="AD168" s="85"/>
      <c r="AE168" s="85"/>
      <c r="AF168" s="85"/>
      <c r="AG168" s="85"/>
      <c r="AH168" s="85"/>
      <c r="AI168" s="85"/>
      <c r="AJ168" s="85"/>
      <c r="AK168" s="85"/>
      <c r="AL168" s="85"/>
      <c r="AM168" s="85"/>
      <c r="AN168" s="85"/>
      <c r="AO168" s="85"/>
      <c r="AP168" s="85"/>
      <c r="AQ168" s="85"/>
      <c r="AR168" s="85"/>
      <c r="AS168" s="85"/>
      <c r="AT168" s="85"/>
      <c r="AU168" s="85"/>
      <c r="AV168" s="85"/>
      <c r="AW168" s="85"/>
      <c r="AX168" s="85"/>
      <c r="AY168" s="85"/>
      <c r="AZ168" s="85"/>
      <c r="BA168" s="85"/>
      <c r="BB168" s="85"/>
      <c r="BC168" s="85"/>
      <c r="BD168" s="85"/>
      <c r="BE168" s="85"/>
      <c r="BF168" s="85"/>
      <c r="BG168" s="85"/>
      <c r="BH168" s="85"/>
      <c r="BI168" s="85"/>
      <c r="BJ168" s="101"/>
      <c r="BK168" s="101"/>
      <c r="BL168" s="101"/>
      <c r="BM168" s="101"/>
      <c r="BN168" s="101"/>
    </row>
    <row r="169" spans="1:66" s="87" customFormat="1">
      <c r="A169" s="164" t="s">
        <v>216</v>
      </c>
      <c r="B169" s="165" t="s">
        <v>217</v>
      </c>
      <c r="C169" s="166"/>
      <c r="D169" s="167"/>
      <c r="E169" s="166"/>
      <c r="F169" s="166">
        <f>SUM(F171:F181)</f>
        <v>23125.97</v>
      </c>
      <c r="G169" s="166"/>
      <c r="H169" s="166"/>
      <c r="I169" s="166"/>
      <c r="J169" s="166">
        <f>SUM(J171:J181)</f>
        <v>19286.75</v>
      </c>
      <c r="K169" s="166">
        <f t="shared" ref="K169:L169" si="65">SUM(K171:K181)</f>
        <v>3839.22</v>
      </c>
      <c r="L169" s="166">
        <f t="shared" si="65"/>
        <v>23125.97</v>
      </c>
      <c r="M169" s="188">
        <f t="shared" si="64"/>
        <v>1</v>
      </c>
      <c r="N169" s="98"/>
      <c r="O169" s="7"/>
      <c r="P169" s="97"/>
      <c r="Q169" s="97"/>
      <c r="R169" s="79"/>
      <c r="S169" s="16"/>
      <c r="T169" s="82"/>
      <c r="U169" s="14"/>
      <c r="V169" s="14"/>
      <c r="W169" s="84"/>
      <c r="X169" s="83"/>
      <c r="Y169" s="85"/>
      <c r="Z169" s="85"/>
      <c r="AA169" s="85"/>
      <c r="AB169" s="85"/>
      <c r="AC169" s="85"/>
      <c r="AD169" s="85"/>
      <c r="AE169" s="85"/>
      <c r="AF169" s="85"/>
      <c r="AG169" s="85"/>
      <c r="AH169" s="85"/>
      <c r="AI169" s="85"/>
      <c r="AJ169" s="85"/>
      <c r="AK169" s="86"/>
      <c r="AL169" s="86"/>
      <c r="AM169" s="86"/>
      <c r="AN169" s="86"/>
      <c r="AO169" s="86"/>
      <c r="AP169" s="86"/>
      <c r="AQ169" s="86"/>
      <c r="AR169" s="86"/>
      <c r="AS169" s="86"/>
      <c r="AT169" s="86"/>
      <c r="AU169" s="86"/>
      <c r="AV169" s="86"/>
      <c r="AW169" s="86"/>
      <c r="AX169" s="86"/>
      <c r="AY169" s="86"/>
      <c r="AZ169" s="86"/>
      <c r="BA169" s="86"/>
      <c r="BB169" s="86"/>
      <c r="BC169" s="86"/>
      <c r="BD169" s="86"/>
      <c r="BE169" s="86"/>
      <c r="BF169" s="86"/>
      <c r="BG169" s="86"/>
      <c r="BH169" s="86"/>
      <c r="BI169" s="86"/>
    </row>
    <row r="170" spans="1:66" s="87" customFormat="1">
      <c r="A170" s="156"/>
      <c r="B170" s="154"/>
      <c r="C170" s="156"/>
      <c r="D170" s="156"/>
      <c r="E170" s="156"/>
      <c r="F170" s="156"/>
      <c r="G170" s="156"/>
      <c r="H170" s="156"/>
      <c r="I170" s="156"/>
      <c r="J170" s="156"/>
      <c r="K170" s="156"/>
      <c r="L170" s="156"/>
      <c r="M170" s="188" t="e">
        <f t="shared" si="64"/>
        <v>#DIV/0!</v>
      </c>
      <c r="N170" s="81"/>
      <c r="O170" s="7"/>
      <c r="P170" s="79"/>
      <c r="Q170" s="79"/>
      <c r="R170" s="79"/>
      <c r="S170" s="16"/>
      <c r="T170" s="82"/>
      <c r="U170" s="14"/>
      <c r="V170" s="14"/>
      <c r="W170" s="84"/>
      <c r="X170" s="83"/>
      <c r="Y170" s="85"/>
      <c r="Z170" s="85"/>
      <c r="AA170" s="85"/>
      <c r="AB170" s="85"/>
      <c r="AC170" s="85"/>
      <c r="AD170" s="85"/>
      <c r="AE170" s="85"/>
      <c r="AF170" s="85"/>
      <c r="AG170" s="85"/>
      <c r="AH170" s="85"/>
      <c r="AI170" s="85"/>
      <c r="AJ170" s="85"/>
      <c r="AK170" s="85"/>
      <c r="AL170" s="85"/>
      <c r="AM170" s="85"/>
      <c r="AN170" s="85"/>
      <c r="AO170" s="85"/>
      <c r="AP170" s="85"/>
      <c r="AQ170" s="85"/>
      <c r="AR170" s="85"/>
      <c r="AS170" s="85"/>
      <c r="AT170" s="85"/>
      <c r="AU170" s="85"/>
      <c r="AV170" s="85"/>
      <c r="AW170" s="85"/>
      <c r="AX170" s="85"/>
      <c r="AY170" s="85"/>
      <c r="AZ170" s="85"/>
      <c r="BA170" s="85"/>
      <c r="BB170" s="85"/>
      <c r="BC170" s="85"/>
      <c r="BD170" s="85"/>
      <c r="BE170" s="85"/>
      <c r="BF170" s="85"/>
      <c r="BG170" s="85"/>
      <c r="BH170" s="85"/>
      <c r="BI170" s="85"/>
      <c r="BJ170" s="101"/>
      <c r="BK170" s="101"/>
      <c r="BL170" s="101"/>
      <c r="BM170" s="101"/>
      <c r="BN170" s="101"/>
    </row>
    <row r="171" spans="1:66" s="87" customFormat="1" ht="42.75">
      <c r="A171" s="156" t="s">
        <v>218</v>
      </c>
      <c r="B171" s="157" t="s">
        <v>198</v>
      </c>
      <c r="C171" s="156" t="s">
        <v>7</v>
      </c>
      <c r="D171" s="156">
        <v>7</v>
      </c>
      <c r="E171" s="156">
        <v>7</v>
      </c>
      <c r="F171" s="156">
        <f t="shared" ref="F171:F181" si="66">D171*E171</f>
        <v>49</v>
      </c>
      <c r="G171" s="156">
        <v>7</v>
      </c>
      <c r="H171" s="156"/>
      <c r="I171" s="156">
        <f t="shared" ref="I171:I181" si="67">G171+H171</f>
        <v>7</v>
      </c>
      <c r="J171" s="156">
        <f t="shared" ref="J171:J181" si="68">E171*G171</f>
        <v>49</v>
      </c>
      <c r="K171" s="156">
        <f t="shared" ref="K171:K181" si="69">H171*E171</f>
        <v>0</v>
      </c>
      <c r="L171" s="156">
        <f t="shared" ref="L171:L181" si="70">J171+K171</f>
        <v>49</v>
      </c>
      <c r="M171" s="188">
        <f t="shared" si="64"/>
        <v>1</v>
      </c>
      <c r="N171" s="81"/>
      <c r="O171" s="7"/>
      <c r="P171" s="79"/>
      <c r="Q171" s="79"/>
      <c r="R171" s="79"/>
      <c r="S171" s="16"/>
      <c r="T171" s="82"/>
      <c r="U171" s="14"/>
      <c r="V171" s="14"/>
      <c r="W171" s="84"/>
      <c r="X171" s="83"/>
      <c r="Y171" s="85"/>
      <c r="Z171" s="85"/>
      <c r="AA171" s="85"/>
      <c r="AB171" s="85"/>
      <c r="AC171" s="85"/>
      <c r="AD171" s="85"/>
      <c r="AE171" s="85"/>
      <c r="AF171" s="85"/>
      <c r="AG171" s="85"/>
      <c r="AH171" s="85"/>
      <c r="AI171" s="85"/>
      <c r="AJ171" s="85"/>
      <c r="AK171" s="85"/>
      <c r="AL171" s="85"/>
      <c r="AM171" s="85"/>
      <c r="AN171" s="85"/>
      <c r="AO171" s="85"/>
      <c r="AP171" s="85"/>
      <c r="AQ171" s="85"/>
      <c r="AR171" s="85"/>
      <c r="AS171" s="85"/>
      <c r="AT171" s="85"/>
      <c r="AU171" s="85"/>
      <c r="AV171" s="85"/>
      <c r="AW171" s="85"/>
      <c r="AX171" s="85"/>
      <c r="AY171" s="85"/>
      <c r="AZ171" s="85"/>
      <c r="BA171" s="85"/>
      <c r="BB171" s="85"/>
      <c r="BC171" s="85"/>
      <c r="BD171" s="85"/>
      <c r="BE171" s="85"/>
      <c r="BF171" s="85"/>
      <c r="BG171" s="85"/>
      <c r="BH171" s="85"/>
      <c r="BI171" s="85"/>
      <c r="BJ171" s="101"/>
      <c r="BK171" s="101"/>
      <c r="BL171" s="101"/>
      <c r="BM171" s="101"/>
      <c r="BN171" s="101"/>
    </row>
    <row r="172" spans="1:66" s="87" customFormat="1" ht="57">
      <c r="A172" s="156" t="s">
        <v>219</v>
      </c>
      <c r="B172" s="157" t="s">
        <v>220</v>
      </c>
      <c r="C172" s="156" t="s">
        <v>5</v>
      </c>
      <c r="D172" s="156">
        <v>40</v>
      </c>
      <c r="E172" s="156">
        <v>45.13</v>
      </c>
      <c r="F172" s="156">
        <f t="shared" si="66"/>
        <v>1805.2</v>
      </c>
      <c r="G172" s="156">
        <v>40</v>
      </c>
      <c r="H172" s="156"/>
      <c r="I172" s="156">
        <f t="shared" si="67"/>
        <v>40</v>
      </c>
      <c r="J172" s="156">
        <f t="shared" si="68"/>
        <v>1805.2</v>
      </c>
      <c r="K172" s="156">
        <f t="shared" si="69"/>
        <v>0</v>
      </c>
      <c r="L172" s="156">
        <f t="shared" si="70"/>
        <v>1805.2</v>
      </c>
      <c r="M172" s="188">
        <f t="shared" si="64"/>
        <v>1</v>
      </c>
      <c r="N172" s="81"/>
      <c r="O172" s="7"/>
      <c r="P172" s="80"/>
      <c r="Q172" s="80"/>
      <c r="R172" s="91"/>
      <c r="S172" s="8"/>
      <c r="T172" s="82"/>
      <c r="U172" s="9"/>
      <c r="V172" s="9"/>
      <c r="W172" s="10"/>
      <c r="X172" s="9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2"/>
      <c r="BK172" s="12"/>
      <c r="BL172" s="12"/>
      <c r="BM172" s="12"/>
      <c r="BN172" s="12"/>
    </row>
    <row r="173" spans="1:66">
      <c r="A173" s="156" t="s">
        <v>221</v>
      </c>
      <c r="B173" s="158" t="s">
        <v>222</v>
      </c>
      <c r="C173" s="156" t="s">
        <v>7</v>
      </c>
      <c r="D173" s="156">
        <v>2</v>
      </c>
      <c r="E173" s="156">
        <v>443.39</v>
      </c>
      <c r="F173" s="156">
        <f t="shared" si="66"/>
        <v>886.78</v>
      </c>
      <c r="G173" s="156">
        <v>2</v>
      </c>
      <c r="H173" s="156"/>
      <c r="I173" s="156">
        <f t="shared" si="67"/>
        <v>2</v>
      </c>
      <c r="J173" s="156">
        <f t="shared" si="68"/>
        <v>886.78</v>
      </c>
      <c r="K173" s="156">
        <f t="shared" si="69"/>
        <v>0</v>
      </c>
      <c r="L173" s="156">
        <f t="shared" si="70"/>
        <v>886.78</v>
      </c>
      <c r="M173" s="188">
        <f t="shared" si="64"/>
        <v>1</v>
      </c>
      <c r="N173" s="81"/>
      <c r="O173" s="7"/>
      <c r="P173" s="80"/>
      <c r="Q173" s="80"/>
      <c r="R173" s="91"/>
      <c r="S173" s="8"/>
      <c r="T173" s="82"/>
      <c r="W173" s="10"/>
      <c r="X173" s="9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</row>
    <row r="174" spans="1:66">
      <c r="A174" s="156" t="s">
        <v>223</v>
      </c>
      <c r="B174" s="158" t="s">
        <v>224</v>
      </c>
      <c r="C174" s="156" t="s">
        <v>7</v>
      </c>
      <c r="D174" s="156">
        <v>1</v>
      </c>
      <c r="E174" s="156">
        <v>107.54</v>
      </c>
      <c r="F174" s="156">
        <f t="shared" si="66"/>
        <v>107.54</v>
      </c>
      <c r="G174" s="156">
        <v>1</v>
      </c>
      <c r="H174" s="156"/>
      <c r="I174" s="156">
        <f t="shared" si="67"/>
        <v>1</v>
      </c>
      <c r="J174" s="156">
        <f t="shared" si="68"/>
        <v>107.54</v>
      </c>
      <c r="K174" s="156">
        <f t="shared" si="69"/>
        <v>0</v>
      </c>
      <c r="L174" s="156">
        <f t="shared" si="70"/>
        <v>107.54</v>
      </c>
      <c r="M174" s="188">
        <f t="shared" si="64"/>
        <v>1</v>
      </c>
      <c r="N174" s="81"/>
      <c r="O174" s="7"/>
      <c r="P174" s="80"/>
      <c r="Q174" s="80"/>
      <c r="R174" s="91"/>
      <c r="S174" s="8"/>
      <c r="T174" s="82"/>
      <c r="W174" s="10"/>
      <c r="X174" s="9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</row>
    <row r="175" spans="1:66" ht="28.5">
      <c r="A175" s="156" t="s">
        <v>225</v>
      </c>
      <c r="B175" s="157" t="s">
        <v>226</v>
      </c>
      <c r="C175" s="156" t="s">
        <v>7</v>
      </c>
      <c r="D175" s="156">
        <v>4</v>
      </c>
      <c r="E175" s="156">
        <v>223.9</v>
      </c>
      <c r="F175" s="156">
        <f t="shared" si="66"/>
        <v>895.6</v>
      </c>
      <c r="G175" s="156">
        <v>4</v>
      </c>
      <c r="H175" s="156"/>
      <c r="I175" s="156">
        <f t="shared" si="67"/>
        <v>4</v>
      </c>
      <c r="J175" s="156">
        <f t="shared" si="68"/>
        <v>895.6</v>
      </c>
      <c r="K175" s="156">
        <f t="shared" si="69"/>
        <v>0</v>
      </c>
      <c r="L175" s="156">
        <f t="shared" si="70"/>
        <v>895.6</v>
      </c>
      <c r="M175" s="188">
        <f t="shared" si="64"/>
        <v>1</v>
      </c>
      <c r="N175" s="81"/>
      <c r="O175" s="7"/>
      <c r="P175" s="80"/>
      <c r="Q175" s="80"/>
      <c r="R175" s="91"/>
      <c r="S175" s="8"/>
      <c r="T175" s="82"/>
      <c r="W175" s="10"/>
      <c r="X175" s="9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</row>
    <row r="176" spans="1:66" ht="28.5">
      <c r="A176" s="156" t="s">
        <v>227</v>
      </c>
      <c r="B176" s="157" t="s">
        <v>228</v>
      </c>
      <c r="C176" s="156" t="s">
        <v>7</v>
      </c>
      <c r="D176" s="156">
        <v>10</v>
      </c>
      <c r="E176" s="156">
        <v>56.74</v>
      </c>
      <c r="F176" s="156">
        <f t="shared" si="66"/>
        <v>567.4</v>
      </c>
      <c r="G176" s="156">
        <v>10</v>
      </c>
      <c r="H176" s="156"/>
      <c r="I176" s="156">
        <f t="shared" si="67"/>
        <v>10</v>
      </c>
      <c r="J176" s="156">
        <f t="shared" si="68"/>
        <v>567.4</v>
      </c>
      <c r="K176" s="156">
        <f t="shared" si="69"/>
        <v>0</v>
      </c>
      <c r="L176" s="156">
        <f t="shared" si="70"/>
        <v>567.4</v>
      </c>
      <c r="M176" s="188">
        <f t="shared" si="64"/>
        <v>1</v>
      </c>
      <c r="N176" s="81"/>
      <c r="O176" s="7"/>
      <c r="P176" s="80"/>
      <c r="Q176" s="80"/>
      <c r="R176" s="91"/>
      <c r="S176" s="8"/>
      <c r="T176" s="82"/>
      <c r="W176" s="10"/>
      <c r="X176" s="9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</row>
    <row r="177" spans="1:66" ht="28.5">
      <c r="A177" s="156" t="s">
        <v>229</v>
      </c>
      <c r="B177" s="157" t="s">
        <v>230</v>
      </c>
      <c r="C177" s="156" t="s">
        <v>7</v>
      </c>
      <c r="D177" s="156">
        <v>2</v>
      </c>
      <c r="E177" s="156">
        <v>85.83</v>
      </c>
      <c r="F177" s="156">
        <f t="shared" si="66"/>
        <v>171.66</v>
      </c>
      <c r="G177" s="156">
        <v>2</v>
      </c>
      <c r="H177" s="156"/>
      <c r="I177" s="156">
        <f t="shared" si="67"/>
        <v>2</v>
      </c>
      <c r="J177" s="156">
        <f t="shared" si="68"/>
        <v>171.66</v>
      </c>
      <c r="K177" s="156">
        <f t="shared" si="69"/>
        <v>0</v>
      </c>
      <c r="L177" s="156">
        <f t="shared" si="70"/>
        <v>171.66</v>
      </c>
      <c r="M177" s="188">
        <f t="shared" si="64"/>
        <v>1</v>
      </c>
      <c r="N177" s="81"/>
      <c r="O177" s="7"/>
      <c r="P177" s="80"/>
      <c r="Q177" s="80"/>
      <c r="R177" s="91"/>
      <c r="S177" s="8"/>
      <c r="T177" s="82"/>
      <c r="W177" s="10"/>
      <c r="X177" s="9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</row>
    <row r="178" spans="1:66">
      <c r="A178" s="156" t="s">
        <v>233</v>
      </c>
      <c r="B178" s="157" t="s">
        <v>231</v>
      </c>
      <c r="C178" s="156" t="s">
        <v>232</v>
      </c>
      <c r="D178" s="156">
        <v>5</v>
      </c>
      <c r="E178" s="156">
        <v>87.88</v>
      </c>
      <c r="F178" s="156">
        <f t="shared" si="66"/>
        <v>439.4</v>
      </c>
      <c r="G178" s="156">
        <v>5</v>
      </c>
      <c r="H178" s="156"/>
      <c r="I178" s="156">
        <f t="shared" si="67"/>
        <v>5</v>
      </c>
      <c r="J178" s="156">
        <f t="shared" si="68"/>
        <v>439.4</v>
      </c>
      <c r="K178" s="156">
        <f t="shared" si="69"/>
        <v>0</v>
      </c>
      <c r="L178" s="156">
        <f t="shared" si="70"/>
        <v>439.4</v>
      </c>
      <c r="M178" s="188">
        <f t="shared" si="64"/>
        <v>1</v>
      </c>
      <c r="N178" s="81"/>
      <c r="O178" s="7"/>
      <c r="P178" s="80"/>
      <c r="Q178" s="80"/>
      <c r="R178" s="91"/>
      <c r="S178" s="8"/>
      <c r="T178" s="82"/>
      <c r="W178" s="10"/>
      <c r="X178" s="9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</row>
    <row r="179" spans="1:66" ht="28.5">
      <c r="A179" s="156" t="s">
        <v>621</v>
      </c>
      <c r="B179" s="157" t="s">
        <v>622</v>
      </c>
      <c r="C179" s="156" t="s">
        <v>602</v>
      </c>
      <c r="D179" s="156">
        <v>1</v>
      </c>
      <c r="E179" s="156">
        <v>7103.93</v>
      </c>
      <c r="F179" s="156">
        <f t="shared" si="66"/>
        <v>7103.93</v>
      </c>
      <c r="G179" s="156">
        <v>1</v>
      </c>
      <c r="H179" s="156"/>
      <c r="I179" s="156">
        <f t="shared" si="67"/>
        <v>1</v>
      </c>
      <c r="J179" s="156">
        <f t="shared" si="68"/>
        <v>7103.93</v>
      </c>
      <c r="K179" s="156">
        <f t="shared" si="69"/>
        <v>0</v>
      </c>
      <c r="L179" s="156">
        <f t="shared" si="70"/>
        <v>7103.93</v>
      </c>
      <c r="M179" s="188">
        <f t="shared" si="64"/>
        <v>1</v>
      </c>
      <c r="N179" s="81"/>
      <c r="O179" s="7"/>
      <c r="P179" s="80"/>
      <c r="Q179" s="80"/>
      <c r="R179" s="91"/>
      <c r="S179" s="8"/>
      <c r="T179" s="82"/>
      <c r="W179" s="10"/>
      <c r="X179" s="9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</row>
    <row r="180" spans="1:66" ht="28.5">
      <c r="A180" s="156" t="s">
        <v>623</v>
      </c>
      <c r="B180" s="157" t="s">
        <v>624</v>
      </c>
      <c r="C180" s="156" t="s">
        <v>602</v>
      </c>
      <c r="D180" s="156">
        <v>1</v>
      </c>
      <c r="E180" s="156">
        <v>7260.24</v>
      </c>
      <c r="F180" s="156">
        <f t="shared" si="66"/>
        <v>7260.24</v>
      </c>
      <c r="G180" s="156">
        <v>1</v>
      </c>
      <c r="H180" s="156"/>
      <c r="I180" s="156">
        <f t="shared" si="67"/>
        <v>1</v>
      </c>
      <c r="J180" s="156">
        <f t="shared" si="68"/>
        <v>7260.24</v>
      </c>
      <c r="K180" s="156">
        <f t="shared" si="69"/>
        <v>0</v>
      </c>
      <c r="L180" s="156">
        <f t="shared" si="70"/>
        <v>7260.24</v>
      </c>
      <c r="M180" s="188">
        <f t="shared" si="64"/>
        <v>1</v>
      </c>
      <c r="N180" s="81"/>
      <c r="O180" s="7"/>
      <c r="P180" s="80"/>
      <c r="Q180" s="80"/>
      <c r="R180" s="91"/>
      <c r="S180" s="8"/>
      <c r="T180" s="82"/>
      <c r="W180" s="10"/>
      <c r="X180" s="9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</row>
    <row r="181" spans="1:66" ht="28.5">
      <c r="A181" s="156" t="s">
        <v>625</v>
      </c>
      <c r="B181" s="157" t="s">
        <v>626</v>
      </c>
      <c r="C181" s="156" t="s">
        <v>5</v>
      </c>
      <c r="D181" s="156">
        <v>18</v>
      </c>
      <c r="E181" s="156">
        <v>213.29</v>
      </c>
      <c r="F181" s="156">
        <f t="shared" si="66"/>
        <v>3839.22</v>
      </c>
      <c r="G181" s="156">
        <v>0</v>
      </c>
      <c r="H181" s="156">
        <f>'MEMORIA BM 05'!L493</f>
        <v>18</v>
      </c>
      <c r="I181" s="156">
        <f t="shared" si="67"/>
        <v>18</v>
      </c>
      <c r="J181" s="156">
        <f t="shared" si="68"/>
        <v>0</v>
      </c>
      <c r="K181" s="156">
        <f t="shared" si="69"/>
        <v>3839.22</v>
      </c>
      <c r="L181" s="156">
        <f t="shared" si="70"/>
        <v>3839.22</v>
      </c>
      <c r="M181" s="188">
        <f t="shared" si="64"/>
        <v>1</v>
      </c>
      <c r="N181" s="81"/>
      <c r="O181" s="7"/>
      <c r="P181" s="80"/>
      <c r="Q181" s="80"/>
      <c r="R181" s="91"/>
      <c r="S181" s="8"/>
      <c r="T181" s="82"/>
      <c r="W181" s="10"/>
      <c r="X181" s="9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</row>
    <row r="182" spans="1:66">
      <c r="A182" s="156"/>
      <c r="B182" s="154"/>
      <c r="C182" s="156"/>
      <c r="D182" s="156"/>
      <c r="E182" s="156"/>
      <c r="F182" s="156"/>
      <c r="G182" s="156"/>
      <c r="H182" s="156"/>
      <c r="I182" s="156"/>
      <c r="J182" s="156"/>
      <c r="K182" s="156"/>
      <c r="L182" s="156"/>
      <c r="M182" s="188" t="e">
        <f t="shared" si="64"/>
        <v>#DIV/0!</v>
      </c>
      <c r="N182" s="81"/>
      <c r="O182" s="7"/>
      <c r="P182" s="79"/>
      <c r="Q182" s="79"/>
      <c r="R182" s="79"/>
      <c r="S182" s="16"/>
      <c r="T182" s="82"/>
      <c r="U182" s="14"/>
      <c r="V182" s="14"/>
      <c r="W182" s="84"/>
      <c r="X182" s="83"/>
      <c r="Y182" s="85"/>
      <c r="Z182" s="85"/>
      <c r="AA182" s="85"/>
      <c r="AB182" s="85"/>
      <c r="AC182" s="85"/>
      <c r="AD182" s="85"/>
      <c r="AE182" s="85"/>
      <c r="AF182" s="85"/>
      <c r="AG182" s="85"/>
      <c r="AH182" s="85"/>
      <c r="AI182" s="85"/>
      <c r="AJ182" s="85"/>
      <c r="AK182" s="85"/>
      <c r="AL182" s="85"/>
      <c r="AM182" s="85"/>
      <c r="AN182" s="85"/>
      <c r="AO182" s="85"/>
      <c r="AP182" s="85"/>
      <c r="AQ182" s="85"/>
      <c r="AR182" s="85"/>
      <c r="AS182" s="85"/>
      <c r="AT182" s="85"/>
      <c r="AU182" s="85"/>
      <c r="AV182" s="85"/>
      <c r="AW182" s="85"/>
      <c r="AX182" s="85"/>
      <c r="AY182" s="85"/>
      <c r="AZ182" s="85"/>
      <c r="BA182" s="85"/>
      <c r="BB182" s="85"/>
      <c r="BC182" s="85"/>
      <c r="BD182" s="85"/>
      <c r="BE182" s="85"/>
      <c r="BF182" s="85"/>
      <c r="BG182" s="85"/>
      <c r="BH182" s="85"/>
      <c r="BI182" s="85"/>
      <c r="BJ182" s="101"/>
      <c r="BK182" s="101"/>
      <c r="BL182" s="101"/>
      <c r="BM182" s="101"/>
      <c r="BN182" s="101"/>
    </row>
    <row r="183" spans="1:66" s="87" customFormat="1">
      <c r="A183" s="164" t="s">
        <v>234</v>
      </c>
      <c r="B183" s="165" t="s">
        <v>235</v>
      </c>
      <c r="C183" s="166"/>
      <c r="D183" s="167"/>
      <c r="E183" s="166"/>
      <c r="F183" s="166">
        <f>SUM(F185:F209)</f>
        <v>27838.5</v>
      </c>
      <c r="G183" s="166"/>
      <c r="H183" s="166"/>
      <c r="I183" s="166"/>
      <c r="J183" s="166">
        <f>SUM(J185:J209)</f>
        <v>1637.98</v>
      </c>
      <c r="K183" s="166">
        <f t="shared" ref="K183:L183" si="71">SUM(K185:K209)</f>
        <v>15687.509999999998</v>
      </c>
      <c r="L183" s="166">
        <f t="shared" si="71"/>
        <v>17325.490000000002</v>
      </c>
      <c r="M183" s="188">
        <f t="shared" si="64"/>
        <v>0.62235716723242995</v>
      </c>
      <c r="N183" s="98">
        <f>F183-L183</f>
        <v>10513.009999999998</v>
      </c>
      <c r="O183" s="7"/>
      <c r="P183" s="97"/>
      <c r="Q183" s="97"/>
      <c r="R183" s="79"/>
      <c r="S183" s="16"/>
      <c r="T183" s="82"/>
      <c r="U183" s="14"/>
      <c r="V183" s="14"/>
      <c r="W183" s="84"/>
      <c r="X183" s="83"/>
      <c r="Y183" s="85"/>
      <c r="Z183" s="85"/>
      <c r="AA183" s="85"/>
      <c r="AB183" s="85"/>
      <c r="AC183" s="85"/>
      <c r="AD183" s="85"/>
      <c r="AE183" s="85"/>
      <c r="AF183" s="85"/>
      <c r="AG183" s="85"/>
      <c r="AH183" s="85"/>
      <c r="AI183" s="85"/>
      <c r="AJ183" s="85"/>
      <c r="AK183" s="86"/>
      <c r="AL183" s="86"/>
      <c r="AM183" s="86"/>
      <c r="AN183" s="86"/>
      <c r="AO183" s="86"/>
      <c r="AP183" s="86"/>
      <c r="AQ183" s="86"/>
      <c r="AR183" s="86"/>
      <c r="AS183" s="86"/>
      <c r="AT183" s="86"/>
      <c r="AU183" s="86"/>
      <c r="AV183" s="86"/>
      <c r="AW183" s="86"/>
      <c r="AX183" s="86"/>
      <c r="AY183" s="86"/>
      <c r="AZ183" s="86"/>
      <c r="BA183" s="86"/>
      <c r="BB183" s="86"/>
      <c r="BC183" s="86"/>
      <c r="BD183" s="86"/>
      <c r="BE183" s="86"/>
      <c r="BF183" s="86"/>
      <c r="BG183" s="86"/>
      <c r="BH183" s="86"/>
      <c r="BI183" s="86"/>
    </row>
    <row r="184" spans="1:66">
      <c r="A184" s="156"/>
      <c r="B184" s="154"/>
      <c r="C184" s="156"/>
      <c r="D184" s="156"/>
      <c r="E184" s="156"/>
      <c r="F184" s="156"/>
      <c r="G184" s="156"/>
      <c r="H184" s="156"/>
      <c r="I184" s="156"/>
      <c r="J184" s="156"/>
      <c r="K184" s="156"/>
      <c r="L184" s="156"/>
      <c r="M184" s="188" t="e">
        <f t="shared" si="64"/>
        <v>#DIV/0!</v>
      </c>
      <c r="N184" s="81"/>
      <c r="O184" s="7"/>
      <c r="P184" s="80"/>
      <c r="Q184" s="80"/>
      <c r="R184" s="91"/>
      <c r="S184" s="8"/>
      <c r="T184" s="82"/>
      <c r="W184" s="10"/>
      <c r="X184" s="9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</row>
    <row r="185" spans="1:66" ht="28.5">
      <c r="A185" s="156" t="s">
        <v>236</v>
      </c>
      <c r="B185" s="157" t="s">
        <v>226</v>
      </c>
      <c r="C185" s="156" t="s">
        <v>7</v>
      </c>
      <c r="D185" s="156">
        <v>4</v>
      </c>
      <c r="E185" s="156">
        <v>220.04</v>
      </c>
      <c r="F185" s="156">
        <f t="shared" ref="F185:F209" si="72">D185*E185</f>
        <v>880.16</v>
      </c>
      <c r="G185" s="156">
        <v>2</v>
      </c>
      <c r="H185" s="156"/>
      <c r="I185" s="156">
        <f t="shared" ref="I185:I209" si="73">G185+H185</f>
        <v>2</v>
      </c>
      <c r="J185" s="156">
        <f t="shared" ref="J185:J209" si="74">E185*G185</f>
        <v>440.08</v>
      </c>
      <c r="K185" s="156">
        <f t="shared" ref="K185:K209" si="75">H185*E185</f>
        <v>0</v>
      </c>
      <c r="L185" s="156">
        <f t="shared" ref="L185:L209" si="76">J185+K185</f>
        <v>440.08</v>
      </c>
      <c r="M185" s="188">
        <f t="shared" si="64"/>
        <v>0.5</v>
      </c>
      <c r="N185" s="81"/>
      <c r="O185" s="7"/>
      <c r="P185" s="80"/>
      <c r="Q185" s="80"/>
      <c r="R185" s="91"/>
      <c r="S185" s="8"/>
      <c r="T185" s="82"/>
      <c r="W185" s="10"/>
      <c r="X185" s="9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</row>
    <row r="186" spans="1:66" ht="28.5">
      <c r="A186" s="156" t="s">
        <v>237</v>
      </c>
      <c r="B186" s="157" t="s">
        <v>238</v>
      </c>
      <c r="C186" s="156" t="s">
        <v>7</v>
      </c>
      <c r="D186" s="156">
        <v>1</v>
      </c>
      <c r="E186" s="156">
        <v>302.55</v>
      </c>
      <c r="F186" s="156">
        <f t="shared" si="72"/>
        <v>302.55</v>
      </c>
      <c r="G186" s="156">
        <v>0</v>
      </c>
      <c r="H186" s="156"/>
      <c r="I186" s="156">
        <f t="shared" si="73"/>
        <v>0</v>
      </c>
      <c r="J186" s="156">
        <f t="shared" si="74"/>
        <v>0</v>
      </c>
      <c r="K186" s="156">
        <f t="shared" si="75"/>
        <v>0</v>
      </c>
      <c r="L186" s="156">
        <f t="shared" si="76"/>
        <v>0</v>
      </c>
      <c r="M186" s="188">
        <f t="shared" si="64"/>
        <v>0</v>
      </c>
      <c r="N186" s="81"/>
      <c r="O186" s="7"/>
      <c r="P186" s="80"/>
      <c r="Q186" s="80"/>
      <c r="R186" s="91"/>
      <c r="S186" s="8"/>
      <c r="T186" s="82"/>
      <c r="W186" s="10"/>
      <c r="X186" s="9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</row>
    <row r="187" spans="1:66" ht="28.5">
      <c r="A187" s="156" t="s">
        <v>239</v>
      </c>
      <c r="B187" s="157" t="s">
        <v>240</v>
      </c>
      <c r="C187" s="156" t="s">
        <v>7</v>
      </c>
      <c r="D187" s="156">
        <v>7</v>
      </c>
      <c r="E187" s="156">
        <v>41.88</v>
      </c>
      <c r="F187" s="156">
        <f t="shared" si="72"/>
        <v>293.16000000000003</v>
      </c>
      <c r="G187" s="156">
        <v>0</v>
      </c>
      <c r="H187" s="156">
        <f>'MEMORIA BM 05'!L504</f>
        <v>7</v>
      </c>
      <c r="I187" s="156">
        <f t="shared" si="73"/>
        <v>7</v>
      </c>
      <c r="J187" s="156">
        <f t="shared" si="74"/>
        <v>0</v>
      </c>
      <c r="K187" s="156">
        <f t="shared" si="75"/>
        <v>293.16000000000003</v>
      </c>
      <c r="L187" s="156">
        <f t="shared" si="76"/>
        <v>293.16000000000003</v>
      </c>
      <c r="M187" s="188">
        <f t="shared" si="64"/>
        <v>1</v>
      </c>
      <c r="N187" s="81"/>
      <c r="O187" s="7"/>
      <c r="P187" s="80"/>
      <c r="Q187" s="80"/>
      <c r="R187" s="91"/>
      <c r="S187" s="8"/>
      <c r="T187" s="82"/>
      <c r="W187" s="10"/>
      <c r="X187" s="9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</row>
    <row r="188" spans="1:66" ht="28.5">
      <c r="A188" s="156" t="s">
        <v>241</v>
      </c>
      <c r="B188" s="157" t="s">
        <v>242</v>
      </c>
      <c r="C188" s="156" t="s">
        <v>7</v>
      </c>
      <c r="D188" s="156">
        <v>10</v>
      </c>
      <c r="E188" s="156">
        <v>45.02</v>
      </c>
      <c r="F188" s="156">
        <f t="shared" si="72"/>
        <v>450.20000000000005</v>
      </c>
      <c r="G188" s="156">
        <v>0</v>
      </c>
      <c r="H188" s="156">
        <f>'MEMORIA BM 05'!L507</f>
        <v>8</v>
      </c>
      <c r="I188" s="156">
        <f t="shared" si="73"/>
        <v>8</v>
      </c>
      <c r="J188" s="156">
        <f t="shared" si="74"/>
        <v>0</v>
      </c>
      <c r="K188" s="156">
        <f t="shared" si="75"/>
        <v>360.16</v>
      </c>
      <c r="L188" s="156">
        <f t="shared" si="76"/>
        <v>360.16</v>
      </c>
      <c r="M188" s="188">
        <f t="shared" si="64"/>
        <v>0.79999999999999993</v>
      </c>
      <c r="N188" s="81"/>
      <c r="O188" s="7"/>
      <c r="P188" s="80"/>
      <c r="Q188" s="80"/>
      <c r="R188" s="91"/>
      <c r="S188" s="8"/>
      <c r="T188" s="82"/>
      <c r="W188" s="10"/>
      <c r="X188" s="9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</row>
    <row r="189" spans="1:66" ht="28.5">
      <c r="A189" s="156" t="s">
        <v>243</v>
      </c>
      <c r="B189" s="157" t="s">
        <v>244</v>
      </c>
      <c r="C189" s="156" t="s">
        <v>7</v>
      </c>
      <c r="D189" s="156">
        <v>3</v>
      </c>
      <c r="E189" s="156">
        <v>39.47</v>
      </c>
      <c r="F189" s="156">
        <f t="shared" si="72"/>
        <v>118.41</v>
      </c>
      <c r="G189" s="156">
        <v>0</v>
      </c>
      <c r="H189" s="156"/>
      <c r="I189" s="156">
        <f t="shared" si="73"/>
        <v>0</v>
      </c>
      <c r="J189" s="156">
        <f t="shared" si="74"/>
        <v>0</v>
      </c>
      <c r="K189" s="156">
        <f t="shared" si="75"/>
        <v>0</v>
      </c>
      <c r="L189" s="156">
        <f t="shared" si="76"/>
        <v>0</v>
      </c>
      <c r="M189" s="188">
        <f t="shared" si="64"/>
        <v>0</v>
      </c>
      <c r="N189" s="81"/>
      <c r="O189" s="7"/>
      <c r="P189" s="80"/>
      <c r="Q189" s="80"/>
      <c r="R189" s="91"/>
      <c r="S189" s="8"/>
      <c r="T189" s="82"/>
      <c r="W189" s="10"/>
      <c r="X189" s="9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</row>
    <row r="190" spans="1:66" ht="28.5">
      <c r="A190" s="156" t="s">
        <v>245</v>
      </c>
      <c r="B190" s="157" t="s">
        <v>246</v>
      </c>
      <c r="C190" s="156" t="s">
        <v>7</v>
      </c>
      <c r="D190" s="156">
        <v>1</v>
      </c>
      <c r="E190" s="156">
        <v>42.9</v>
      </c>
      <c r="F190" s="156">
        <f t="shared" si="72"/>
        <v>42.9</v>
      </c>
      <c r="G190" s="156">
        <v>0</v>
      </c>
      <c r="H190" s="156"/>
      <c r="I190" s="156">
        <f t="shared" si="73"/>
        <v>0</v>
      </c>
      <c r="J190" s="156">
        <f t="shared" si="74"/>
        <v>0</v>
      </c>
      <c r="K190" s="156">
        <f t="shared" si="75"/>
        <v>0</v>
      </c>
      <c r="L190" s="156">
        <f t="shared" si="76"/>
        <v>0</v>
      </c>
      <c r="M190" s="188">
        <f t="shared" si="64"/>
        <v>0</v>
      </c>
      <c r="N190" s="81"/>
      <c r="O190" s="7"/>
      <c r="P190" s="80"/>
      <c r="Q190" s="80"/>
      <c r="R190" s="91"/>
      <c r="S190" s="8"/>
      <c r="T190" s="82"/>
      <c r="W190" s="10"/>
      <c r="X190" s="9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</row>
    <row r="191" spans="1:66" ht="28.5">
      <c r="A191" s="156" t="s">
        <v>247</v>
      </c>
      <c r="B191" s="157" t="s">
        <v>248</v>
      </c>
      <c r="C191" s="156" t="s">
        <v>7</v>
      </c>
      <c r="D191" s="156">
        <v>3</v>
      </c>
      <c r="E191" s="156">
        <v>53.64</v>
      </c>
      <c r="F191" s="156">
        <f t="shared" si="72"/>
        <v>160.92000000000002</v>
      </c>
      <c r="G191" s="156">
        <v>0</v>
      </c>
      <c r="H191" s="156">
        <f>'MEMORIA BM 05'!L516</f>
        <v>3</v>
      </c>
      <c r="I191" s="156">
        <f t="shared" si="73"/>
        <v>3</v>
      </c>
      <c r="J191" s="156">
        <f t="shared" si="74"/>
        <v>0</v>
      </c>
      <c r="K191" s="156">
        <f t="shared" si="75"/>
        <v>160.92000000000002</v>
      </c>
      <c r="L191" s="156">
        <f t="shared" si="76"/>
        <v>160.92000000000002</v>
      </c>
      <c r="M191" s="188">
        <f t="shared" si="64"/>
        <v>1</v>
      </c>
      <c r="N191" s="81"/>
      <c r="O191" s="7"/>
      <c r="P191" s="80"/>
      <c r="Q191" s="80"/>
      <c r="R191" s="91"/>
      <c r="S191" s="8"/>
      <c r="T191" s="82"/>
      <c r="W191" s="10"/>
      <c r="X191" s="9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</row>
    <row r="192" spans="1:66" ht="28.5">
      <c r="A192" s="156" t="s">
        <v>249</v>
      </c>
      <c r="B192" s="157" t="s">
        <v>250</v>
      </c>
      <c r="C192" s="156" t="s">
        <v>7</v>
      </c>
      <c r="D192" s="156">
        <v>17</v>
      </c>
      <c r="E192" s="156">
        <v>15.83</v>
      </c>
      <c r="F192" s="156">
        <f t="shared" si="72"/>
        <v>269.11</v>
      </c>
      <c r="G192" s="156">
        <v>0</v>
      </c>
      <c r="H192" s="156">
        <f>'MEMORIA BM 05'!L519</f>
        <v>16</v>
      </c>
      <c r="I192" s="156">
        <f t="shared" si="73"/>
        <v>16</v>
      </c>
      <c r="J192" s="156">
        <f t="shared" si="74"/>
        <v>0</v>
      </c>
      <c r="K192" s="156">
        <f t="shared" si="75"/>
        <v>253.28</v>
      </c>
      <c r="L192" s="156">
        <f t="shared" si="76"/>
        <v>253.28</v>
      </c>
      <c r="M192" s="188">
        <f t="shared" si="64"/>
        <v>0.94117647058823528</v>
      </c>
      <c r="N192" s="81"/>
      <c r="O192" s="7"/>
      <c r="P192" s="80"/>
      <c r="Q192" s="80"/>
      <c r="R192" s="91"/>
      <c r="S192" s="8"/>
      <c r="T192" s="82"/>
      <c r="W192" s="10"/>
      <c r="X192" s="9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</row>
    <row r="193" spans="1:61" ht="28.5">
      <c r="A193" s="156" t="s">
        <v>251</v>
      </c>
      <c r="B193" s="157" t="s">
        <v>252</v>
      </c>
      <c r="C193" s="156" t="s">
        <v>7</v>
      </c>
      <c r="D193" s="156">
        <v>6</v>
      </c>
      <c r="E193" s="156">
        <v>25.08</v>
      </c>
      <c r="F193" s="156">
        <f t="shared" si="72"/>
        <v>150.47999999999999</v>
      </c>
      <c r="G193" s="156">
        <v>0</v>
      </c>
      <c r="H193" s="156">
        <f>'MEMORIA BM 05'!L522</f>
        <v>6</v>
      </c>
      <c r="I193" s="156">
        <f t="shared" si="73"/>
        <v>6</v>
      </c>
      <c r="J193" s="156">
        <f t="shared" si="74"/>
        <v>0</v>
      </c>
      <c r="K193" s="156">
        <f t="shared" si="75"/>
        <v>150.47999999999999</v>
      </c>
      <c r="L193" s="156">
        <f t="shared" si="76"/>
        <v>150.47999999999999</v>
      </c>
      <c r="M193" s="188">
        <f t="shared" si="64"/>
        <v>1</v>
      </c>
      <c r="N193" s="81"/>
      <c r="O193" s="7"/>
      <c r="P193" s="80"/>
      <c r="Q193" s="80"/>
      <c r="R193" s="91"/>
      <c r="S193" s="8"/>
      <c r="T193" s="82"/>
      <c r="W193" s="10"/>
      <c r="X193" s="9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</row>
    <row r="194" spans="1:61" ht="42.75">
      <c r="A194" s="156" t="s">
        <v>253</v>
      </c>
      <c r="B194" s="157" t="s">
        <v>254</v>
      </c>
      <c r="C194" s="156" t="s">
        <v>7</v>
      </c>
      <c r="D194" s="156">
        <v>24</v>
      </c>
      <c r="E194" s="156">
        <v>62.36</v>
      </c>
      <c r="F194" s="156">
        <f t="shared" si="72"/>
        <v>1496.6399999999999</v>
      </c>
      <c r="G194" s="156">
        <v>0</v>
      </c>
      <c r="H194" s="156"/>
      <c r="I194" s="156">
        <f t="shared" si="73"/>
        <v>0</v>
      </c>
      <c r="J194" s="156">
        <f t="shared" si="74"/>
        <v>0</v>
      </c>
      <c r="K194" s="156">
        <f t="shared" si="75"/>
        <v>0</v>
      </c>
      <c r="L194" s="156">
        <f t="shared" si="76"/>
        <v>0</v>
      </c>
      <c r="M194" s="188">
        <f t="shared" si="64"/>
        <v>0</v>
      </c>
      <c r="N194" s="81"/>
      <c r="O194" s="7"/>
      <c r="P194" s="80"/>
      <c r="Q194" s="80"/>
      <c r="R194" s="91"/>
      <c r="S194" s="8"/>
      <c r="T194" s="82"/>
      <c r="W194" s="10"/>
      <c r="X194" s="9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</row>
    <row r="195" spans="1:61" ht="42.75">
      <c r="A195" s="156" t="s">
        <v>255</v>
      </c>
      <c r="B195" s="157" t="s">
        <v>256</v>
      </c>
      <c r="C195" s="156" t="s">
        <v>7</v>
      </c>
      <c r="D195" s="156">
        <v>53</v>
      </c>
      <c r="E195" s="156">
        <v>84.66</v>
      </c>
      <c r="F195" s="156">
        <f t="shared" si="72"/>
        <v>4486.9799999999996</v>
      </c>
      <c r="G195" s="156">
        <v>0</v>
      </c>
      <c r="H195" s="156"/>
      <c r="I195" s="156">
        <f t="shared" si="73"/>
        <v>0</v>
      </c>
      <c r="J195" s="156">
        <f t="shared" si="74"/>
        <v>0</v>
      </c>
      <c r="K195" s="156">
        <f t="shared" si="75"/>
        <v>0</v>
      </c>
      <c r="L195" s="156">
        <f t="shared" si="76"/>
        <v>0</v>
      </c>
      <c r="M195" s="188">
        <f t="shared" si="64"/>
        <v>0</v>
      </c>
      <c r="N195" s="81"/>
      <c r="O195" s="7"/>
      <c r="P195" s="80"/>
      <c r="Q195" s="80"/>
      <c r="R195" s="91"/>
      <c r="S195" s="8"/>
      <c r="T195" s="82"/>
      <c r="W195" s="10"/>
      <c r="X195" s="9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</row>
    <row r="196" spans="1:61" ht="28.5">
      <c r="A196" s="156" t="s">
        <v>257</v>
      </c>
      <c r="B196" s="157" t="s">
        <v>258</v>
      </c>
      <c r="C196" s="156" t="s">
        <v>7</v>
      </c>
      <c r="D196" s="156">
        <v>8</v>
      </c>
      <c r="E196" s="156">
        <v>23.26</v>
      </c>
      <c r="F196" s="156">
        <f t="shared" si="72"/>
        <v>186.08</v>
      </c>
      <c r="G196" s="156">
        <v>0</v>
      </c>
      <c r="H196" s="156"/>
      <c r="I196" s="156">
        <f t="shared" si="73"/>
        <v>0</v>
      </c>
      <c r="J196" s="156">
        <f t="shared" si="74"/>
        <v>0</v>
      </c>
      <c r="K196" s="156">
        <f t="shared" si="75"/>
        <v>0</v>
      </c>
      <c r="L196" s="156">
        <f t="shared" si="76"/>
        <v>0</v>
      </c>
      <c r="M196" s="188">
        <f t="shared" si="64"/>
        <v>0</v>
      </c>
      <c r="N196" s="81"/>
      <c r="O196" s="7"/>
      <c r="P196" s="80"/>
      <c r="Q196" s="80"/>
      <c r="R196" s="91"/>
      <c r="S196" s="8"/>
      <c r="T196" s="82"/>
      <c r="W196" s="10"/>
      <c r="X196" s="9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</row>
    <row r="197" spans="1:61" ht="42.75">
      <c r="A197" s="156" t="s">
        <v>259</v>
      </c>
      <c r="B197" s="157" t="s">
        <v>260</v>
      </c>
      <c r="C197" s="156" t="s">
        <v>7</v>
      </c>
      <c r="D197" s="156">
        <v>91</v>
      </c>
      <c r="E197" s="156">
        <v>90.03</v>
      </c>
      <c r="F197" s="156">
        <f t="shared" si="72"/>
        <v>8192.73</v>
      </c>
      <c r="G197" s="156">
        <v>0</v>
      </c>
      <c r="H197" s="156">
        <f>'MEMORIA BM 05'!L534</f>
        <v>76</v>
      </c>
      <c r="I197" s="156">
        <f t="shared" si="73"/>
        <v>76</v>
      </c>
      <c r="J197" s="156">
        <f t="shared" si="74"/>
        <v>0</v>
      </c>
      <c r="K197" s="156">
        <f t="shared" si="75"/>
        <v>6842.28</v>
      </c>
      <c r="L197" s="156">
        <f t="shared" si="76"/>
        <v>6842.28</v>
      </c>
      <c r="M197" s="188">
        <f t="shared" si="64"/>
        <v>0.8351648351648352</v>
      </c>
      <c r="N197" s="81"/>
      <c r="O197" s="7"/>
      <c r="P197" s="80"/>
      <c r="Q197" s="80"/>
      <c r="R197" s="91"/>
      <c r="S197" s="8"/>
      <c r="T197" s="82"/>
      <c r="W197" s="10"/>
      <c r="X197" s="9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</row>
    <row r="198" spans="1:61" ht="28.5">
      <c r="A198" s="156" t="s">
        <v>261</v>
      </c>
      <c r="B198" s="157" t="s">
        <v>262</v>
      </c>
      <c r="C198" s="156" t="s">
        <v>7</v>
      </c>
      <c r="D198" s="156">
        <v>18</v>
      </c>
      <c r="E198" s="156">
        <v>110.51</v>
      </c>
      <c r="F198" s="156">
        <f t="shared" si="72"/>
        <v>1989.18</v>
      </c>
      <c r="G198" s="156">
        <v>0</v>
      </c>
      <c r="H198" s="156">
        <f>'MEMORIA BM 05'!L537</f>
        <v>18</v>
      </c>
      <c r="I198" s="156">
        <f t="shared" si="73"/>
        <v>18</v>
      </c>
      <c r="J198" s="156">
        <f t="shared" si="74"/>
        <v>0</v>
      </c>
      <c r="K198" s="156">
        <f t="shared" si="75"/>
        <v>1989.18</v>
      </c>
      <c r="L198" s="156">
        <f t="shared" si="76"/>
        <v>1989.18</v>
      </c>
      <c r="M198" s="188">
        <f t="shared" si="64"/>
        <v>1</v>
      </c>
      <c r="N198" s="81"/>
      <c r="O198" s="7"/>
      <c r="P198" s="80"/>
      <c r="Q198" s="80"/>
      <c r="R198" s="91"/>
      <c r="S198" s="8"/>
      <c r="T198" s="82"/>
      <c r="W198" s="10"/>
      <c r="X198" s="9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</row>
    <row r="199" spans="1:61" ht="28.5">
      <c r="A199" s="156" t="s">
        <v>263</v>
      </c>
      <c r="B199" s="157" t="s">
        <v>264</v>
      </c>
      <c r="C199" s="156" t="s">
        <v>7</v>
      </c>
      <c r="D199" s="156">
        <v>12</v>
      </c>
      <c r="E199" s="156">
        <v>117.49</v>
      </c>
      <c r="F199" s="156">
        <f t="shared" si="72"/>
        <v>1409.8799999999999</v>
      </c>
      <c r="G199" s="156">
        <v>0</v>
      </c>
      <c r="H199" s="156">
        <f>'MEMORIA BM 05'!L540</f>
        <v>12</v>
      </c>
      <c r="I199" s="156">
        <f t="shared" si="73"/>
        <v>12</v>
      </c>
      <c r="J199" s="156">
        <f t="shared" si="74"/>
        <v>0</v>
      </c>
      <c r="K199" s="156">
        <f t="shared" si="75"/>
        <v>1409.8799999999999</v>
      </c>
      <c r="L199" s="156">
        <f t="shared" si="76"/>
        <v>1409.8799999999999</v>
      </c>
      <c r="M199" s="188">
        <f t="shared" si="64"/>
        <v>1</v>
      </c>
      <c r="N199" s="81"/>
      <c r="O199" s="7"/>
      <c r="P199" s="80"/>
      <c r="Q199" s="80"/>
      <c r="R199" s="91"/>
      <c r="S199" s="8"/>
      <c r="T199" s="82"/>
      <c r="W199" s="10"/>
      <c r="X199" s="9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</row>
    <row r="200" spans="1:61" ht="42.75">
      <c r="A200" s="156" t="s">
        <v>265</v>
      </c>
      <c r="B200" s="157" t="s">
        <v>266</v>
      </c>
      <c r="C200" s="156" t="s">
        <v>7</v>
      </c>
      <c r="D200" s="156">
        <v>7</v>
      </c>
      <c r="E200" s="156">
        <v>167.48</v>
      </c>
      <c r="F200" s="156">
        <f t="shared" si="72"/>
        <v>1172.3599999999999</v>
      </c>
      <c r="G200" s="156">
        <v>0</v>
      </c>
      <c r="H200" s="156">
        <f>'MEMORIA BM 05'!L543</f>
        <v>7</v>
      </c>
      <c r="I200" s="156">
        <f t="shared" si="73"/>
        <v>7</v>
      </c>
      <c r="J200" s="156">
        <f t="shared" si="74"/>
        <v>0</v>
      </c>
      <c r="K200" s="156">
        <f t="shared" si="75"/>
        <v>1172.3599999999999</v>
      </c>
      <c r="L200" s="156">
        <f t="shared" si="76"/>
        <v>1172.3599999999999</v>
      </c>
      <c r="M200" s="188">
        <f t="shared" si="64"/>
        <v>1</v>
      </c>
      <c r="N200" s="81"/>
      <c r="O200" s="7"/>
      <c r="P200" s="80"/>
      <c r="Q200" s="80"/>
      <c r="R200" s="91"/>
      <c r="S200" s="8"/>
      <c r="T200" s="82"/>
      <c r="W200" s="10"/>
      <c r="X200" s="9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</row>
    <row r="201" spans="1:61" ht="42.75">
      <c r="A201" s="156" t="s">
        <v>267</v>
      </c>
      <c r="B201" s="157" t="s">
        <v>266</v>
      </c>
      <c r="C201" s="156" t="s">
        <v>7</v>
      </c>
      <c r="D201" s="156">
        <v>11</v>
      </c>
      <c r="E201" s="156">
        <v>167.48</v>
      </c>
      <c r="F201" s="156">
        <f t="shared" si="72"/>
        <v>1842.28</v>
      </c>
      <c r="G201" s="156">
        <v>0</v>
      </c>
      <c r="H201" s="156">
        <f>'MEMORIA BM 05'!L546</f>
        <v>11</v>
      </c>
      <c r="I201" s="156">
        <f t="shared" si="73"/>
        <v>11</v>
      </c>
      <c r="J201" s="156">
        <f t="shared" si="74"/>
        <v>0</v>
      </c>
      <c r="K201" s="156">
        <f t="shared" si="75"/>
        <v>1842.28</v>
      </c>
      <c r="L201" s="156">
        <f t="shared" si="76"/>
        <v>1842.28</v>
      </c>
      <c r="M201" s="188">
        <f t="shared" si="64"/>
        <v>1</v>
      </c>
      <c r="N201" s="81"/>
      <c r="O201" s="7"/>
      <c r="P201" s="80"/>
      <c r="Q201" s="80"/>
      <c r="R201" s="91"/>
      <c r="S201" s="8"/>
      <c r="T201" s="82"/>
      <c r="W201" s="10"/>
      <c r="X201" s="9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</row>
    <row r="202" spans="1:61" ht="42.75">
      <c r="A202" s="156" t="s">
        <v>268</v>
      </c>
      <c r="B202" s="157" t="s">
        <v>269</v>
      </c>
      <c r="C202" s="156" t="s">
        <v>7</v>
      </c>
      <c r="D202" s="156">
        <v>1</v>
      </c>
      <c r="E202" s="156">
        <v>424.3</v>
      </c>
      <c r="F202" s="156">
        <f t="shared" si="72"/>
        <v>424.3</v>
      </c>
      <c r="G202" s="156">
        <v>0</v>
      </c>
      <c r="H202" s="156">
        <f>'MEMORIA BM 05'!L549</f>
        <v>1</v>
      </c>
      <c r="I202" s="156">
        <f t="shared" si="73"/>
        <v>1</v>
      </c>
      <c r="J202" s="156">
        <f t="shared" si="74"/>
        <v>0</v>
      </c>
      <c r="K202" s="156">
        <f t="shared" si="75"/>
        <v>424.3</v>
      </c>
      <c r="L202" s="156">
        <f t="shared" si="76"/>
        <v>424.3</v>
      </c>
      <c r="M202" s="188">
        <f t="shared" si="64"/>
        <v>1</v>
      </c>
      <c r="N202" s="81"/>
      <c r="O202" s="7"/>
      <c r="P202" s="80"/>
      <c r="Q202" s="80"/>
      <c r="R202" s="91"/>
      <c r="S202" s="8"/>
      <c r="T202" s="82"/>
      <c r="W202" s="10"/>
      <c r="X202" s="9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</row>
    <row r="203" spans="1:61" ht="42.75">
      <c r="A203" s="156" t="s">
        <v>270</v>
      </c>
      <c r="B203" s="157" t="s">
        <v>271</v>
      </c>
      <c r="C203" s="156" t="s">
        <v>7</v>
      </c>
      <c r="D203" s="156">
        <v>1</v>
      </c>
      <c r="E203" s="156">
        <v>292.16000000000003</v>
      </c>
      <c r="F203" s="156">
        <f t="shared" si="72"/>
        <v>292.16000000000003</v>
      </c>
      <c r="G203" s="156">
        <v>0</v>
      </c>
      <c r="H203" s="156">
        <f>'MEMORIA BM 05'!L552</f>
        <v>1</v>
      </c>
      <c r="I203" s="156">
        <f t="shared" si="73"/>
        <v>1</v>
      </c>
      <c r="J203" s="156">
        <f t="shared" si="74"/>
        <v>0</v>
      </c>
      <c r="K203" s="156">
        <f t="shared" si="75"/>
        <v>292.16000000000003</v>
      </c>
      <c r="L203" s="156">
        <f t="shared" si="76"/>
        <v>292.16000000000003</v>
      </c>
      <c r="M203" s="188">
        <f t="shared" si="64"/>
        <v>1</v>
      </c>
      <c r="N203" s="81"/>
      <c r="O203" s="7"/>
      <c r="P203" s="80"/>
      <c r="Q203" s="80"/>
      <c r="R203" s="91"/>
      <c r="S203" s="8"/>
      <c r="T203" s="82"/>
      <c r="W203" s="10"/>
      <c r="X203" s="9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</row>
    <row r="204" spans="1:61" ht="18" customHeight="1">
      <c r="A204" s="156" t="s">
        <v>272</v>
      </c>
      <c r="B204" s="157" t="s">
        <v>273</v>
      </c>
      <c r="C204" s="156" t="s">
        <v>7</v>
      </c>
      <c r="D204" s="156">
        <v>3</v>
      </c>
      <c r="E204" s="156">
        <v>120.03</v>
      </c>
      <c r="F204" s="156">
        <f t="shared" si="72"/>
        <v>360.09000000000003</v>
      </c>
      <c r="G204" s="156">
        <v>0</v>
      </c>
      <c r="H204" s="156"/>
      <c r="I204" s="156">
        <f t="shared" si="73"/>
        <v>0</v>
      </c>
      <c r="J204" s="156">
        <f t="shared" si="74"/>
        <v>0</v>
      </c>
      <c r="K204" s="156">
        <f t="shared" si="75"/>
        <v>0</v>
      </c>
      <c r="L204" s="156">
        <f t="shared" si="76"/>
        <v>0</v>
      </c>
      <c r="M204" s="188">
        <f t="shared" si="64"/>
        <v>0</v>
      </c>
      <c r="N204" s="81"/>
      <c r="O204" s="7"/>
      <c r="P204" s="80"/>
      <c r="Q204" s="80"/>
      <c r="R204" s="91"/>
      <c r="S204" s="8"/>
      <c r="T204" s="82"/>
      <c r="W204" s="10"/>
      <c r="X204" s="9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</row>
    <row r="205" spans="1:61" ht="28.5">
      <c r="A205" s="156" t="s">
        <v>274</v>
      </c>
      <c r="B205" s="157" t="s">
        <v>275</v>
      </c>
      <c r="C205" s="156" t="s">
        <v>232</v>
      </c>
      <c r="D205" s="156">
        <v>1</v>
      </c>
      <c r="E205" s="156">
        <v>239.87</v>
      </c>
      <c r="F205" s="156">
        <f t="shared" si="72"/>
        <v>239.87</v>
      </c>
      <c r="G205" s="156">
        <v>0</v>
      </c>
      <c r="H205" s="156"/>
      <c r="I205" s="156">
        <f t="shared" si="73"/>
        <v>0</v>
      </c>
      <c r="J205" s="156">
        <f t="shared" si="74"/>
        <v>0</v>
      </c>
      <c r="K205" s="156">
        <f t="shared" si="75"/>
        <v>0</v>
      </c>
      <c r="L205" s="156">
        <f t="shared" si="76"/>
        <v>0</v>
      </c>
      <c r="M205" s="188">
        <f t="shared" si="64"/>
        <v>0</v>
      </c>
      <c r="N205" s="81"/>
      <c r="O205" s="7"/>
      <c r="P205" s="80"/>
      <c r="Q205" s="80"/>
      <c r="R205" s="91"/>
      <c r="S205" s="8"/>
      <c r="T205" s="82"/>
      <c r="W205" s="10"/>
      <c r="X205" s="9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</row>
    <row r="206" spans="1:61" ht="42.75">
      <c r="A206" s="156" t="s">
        <v>276</v>
      </c>
      <c r="B206" s="157" t="s">
        <v>277</v>
      </c>
      <c r="C206" s="156" t="s">
        <v>7</v>
      </c>
      <c r="D206" s="156">
        <v>1</v>
      </c>
      <c r="E206" s="156">
        <v>1383.09</v>
      </c>
      <c r="F206" s="156">
        <f t="shared" si="72"/>
        <v>1383.09</v>
      </c>
      <c r="G206" s="156">
        <v>0</v>
      </c>
      <c r="H206" s="156"/>
      <c r="I206" s="156">
        <f t="shared" si="73"/>
        <v>0</v>
      </c>
      <c r="J206" s="156">
        <f t="shared" si="74"/>
        <v>0</v>
      </c>
      <c r="K206" s="156">
        <f t="shared" si="75"/>
        <v>0</v>
      </c>
      <c r="L206" s="156">
        <f t="shared" si="76"/>
        <v>0</v>
      </c>
      <c r="M206" s="188">
        <f t="shared" si="64"/>
        <v>0</v>
      </c>
      <c r="N206" s="81"/>
      <c r="O206" s="7"/>
      <c r="P206" s="80"/>
      <c r="Q206" s="80"/>
      <c r="R206" s="91"/>
      <c r="S206" s="8"/>
      <c r="T206" s="82"/>
      <c r="W206" s="10"/>
      <c r="X206" s="9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</row>
    <row r="207" spans="1:61" ht="28.5">
      <c r="A207" s="156" t="s">
        <v>278</v>
      </c>
      <c r="B207" s="157" t="s">
        <v>279</v>
      </c>
      <c r="C207" s="156" t="s">
        <v>7</v>
      </c>
      <c r="D207" s="156">
        <v>1</v>
      </c>
      <c r="E207" s="156">
        <v>15.07</v>
      </c>
      <c r="F207" s="156">
        <f t="shared" si="72"/>
        <v>15.07</v>
      </c>
      <c r="G207" s="156">
        <v>0</v>
      </c>
      <c r="H207" s="156">
        <f>'MEMORIA BM 05'!L564</f>
        <v>1</v>
      </c>
      <c r="I207" s="156">
        <f t="shared" si="73"/>
        <v>1</v>
      </c>
      <c r="J207" s="156">
        <f t="shared" si="74"/>
        <v>0</v>
      </c>
      <c r="K207" s="156">
        <f t="shared" si="75"/>
        <v>15.07</v>
      </c>
      <c r="L207" s="156">
        <f t="shared" si="76"/>
        <v>15.07</v>
      </c>
      <c r="M207" s="188">
        <f t="shared" si="64"/>
        <v>1</v>
      </c>
      <c r="N207" s="81"/>
      <c r="O207" s="7"/>
      <c r="P207" s="80"/>
      <c r="Q207" s="80"/>
      <c r="R207" s="91"/>
      <c r="S207" s="8"/>
      <c r="T207" s="82"/>
      <c r="W207" s="10"/>
      <c r="X207" s="9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</row>
    <row r="208" spans="1:61" ht="42.75">
      <c r="A208" s="156" t="s">
        <v>280</v>
      </c>
      <c r="B208" s="157" t="s">
        <v>281</v>
      </c>
      <c r="C208" s="156" t="s">
        <v>7</v>
      </c>
      <c r="D208" s="156">
        <v>1</v>
      </c>
      <c r="E208" s="156">
        <v>1197.9000000000001</v>
      </c>
      <c r="F208" s="156">
        <f t="shared" si="72"/>
        <v>1197.9000000000001</v>
      </c>
      <c r="G208" s="156">
        <v>1</v>
      </c>
      <c r="H208" s="156"/>
      <c r="I208" s="156">
        <f t="shared" si="73"/>
        <v>1</v>
      </c>
      <c r="J208" s="156">
        <f t="shared" si="74"/>
        <v>1197.9000000000001</v>
      </c>
      <c r="K208" s="156">
        <f t="shared" si="75"/>
        <v>0</v>
      </c>
      <c r="L208" s="156">
        <f t="shared" si="76"/>
        <v>1197.9000000000001</v>
      </c>
      <c r="M208" s="188">
        <f t="shared" si="64"/>
        <v>1</v>
      </c>
      <c r="N208" s="81"/>
      <c r="O208" s="7"/>
      <c r="P208" s="80"/>
      <c r="Q208" s="80"/>
      <c r="R208" s="91"/>
      <c r="S208" s="8"/>
      <c r="T208" s="82"/>
      <c r="W208" s="10"/>
      <c r="X208" s="9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</row>
    <row r="209" spans="1:61" ht="28.5">
      <c r="A209" s="156" t="s">
        <v>627</v>
      </c>
      <c r="B209" s="157" t="s">
        <v>628</v>
      </c>
      <c r="C209" s="156" t="s">
        <v>27</v>
      </c>
      <c r="D209" s="156">
        <v>10</v>
      </c>
      <c r="E209" s="156">
        <v>48.2</v>
      </c>
      <c r="F209" s="156">
        <f t="shared" si="72"/>
        <v>482</v>
      </c>
      <c r="G209" s="156">
        <v>0</v>
      </c>
      <c r="H209" s="156">
        <f>'MEMORIA BM 05'!L570</f>
        <v>10</v>
      </c>
      <c r="I209" s="156">
        <f t="shared" si="73"/>
        <v>10</v>
      </c>
      <c r="J209" s="156">
        <f t="shared" si="74"/>
        <v>0</v>
      </c>
      <c r="K209" s="156">
        <f t="shared" si="75"/>
        <v>482</v>
      </c>
      <c r="L209" s="156">
        <f t="shared" si="76"/>
        <v>482</v>
      </c>
      <c r="M209" s="188">
        <f t="shared" si="64"/>
        <v>1</v>
      </c>
      <c r="N209" s="81"/>
      <c r="O209" s="7"/>
      <c r="P209" s="80"/>
      <c r="Q209" s="80"/>
      <c r="R209" s="91"/>
      <c r="S209" s="8"/>
      <c r="T209" s="82"/>
      <c r="W209" s="10"/>
      <c r="X209" s="9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</row>
    <row r="210" spans="1:61">
      <c r="A210" s="156"/>
      <c r="B210" s="154"/>
      <c r="C210" s="156"/>
      <c r="D210" s="156"/>
      <c r="E210" s="156"/>
      <c r="F210" s="156"/>
      <c r="G210" s="156"/>
      <c r="H210" s="156"/>
      <c r="I210" s="156"/>
      <c r="J210" s="156"/>
      <c r="K210" s="156"/>
      <c r="L210" s="156"/>
      <c r="M210" s="188" t="e">
        <f t="shared" si="64"/>
        <v>#DIV/0!</v>
      </c>
      <c r="N210" s="81"/>
      <c r="O210" s="7"/>
      <c r="P210" s="80"/>
      <c r="Q210" s="80"/>
      <c r="R210" s="91"/>
      <c r="S210" s="8"/>
      <c r="T210" s="82"/>
      <c r="W210" s="10"/>
      <c r="X210" s="9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</row>
    <row r="211" spans="1:61" s="87" customFormat="1">
      <c r="A211" s="164" t="s">
        <v>282</v>
      </c>
      <c r="B211" s="165" t="s">
        <v>283</v>
      </c>
      <c r="C211" s="166"/>
      <c r="D211" s="167"/>
      <c r="E211" s="166"/>
      <c r="F211" s="166">
        <f>SUM(F213:F219)</f>
        <v>7637.2927999999993</v>
      </c>
      <c r="G211" s="166"/>
      <c r="H211" s="166"/>
      <c r="I211" s="166"/>
      <c r="J211" s="166">
        <f>SUM(J213:J219)</f>
        <v>0</v>
      </c>
      <c r="K211" s="166">
        <f>SUM(K213:K219)</f>
        <v>0</v>
      </c>
      <c r="L211" s="166">
        <f>SUM(L213:L219)</f>
        <v>0</v>
      </c>
      <c r="M211" s="188">
        <f t="shared" si="64"/>
        <v>0</v>
      </c>
      <c r="N211" s="98">
        <f>F211</f>
        <v>7637.2927999999993</v>
      </c>
      <c r="O211" s="7"/>
      <c r="P211" s="97"/>
      <c r="Q211" s="97"/>
      <c r="R211" s="79"/>
      <c r="S211" s="16"/>
      <c r="T211" s="82"/>
      <c r="U211" s="14"/>
      <c r="V211" s="14"/>
      <c r="W211" s="84"/>
      <c r="X211" s="83"/>
      <c r="Y211" s="85"/>
      <c r="Z211" s="85"/>
      <c r="AA211" s="85"/>
      <c r="AB211" s="85"/>
      <c r="AC211" s="85"/>
      <c r="AD211" s="85"/>
      <c r="AE211" s="85"/>
      <c r="AF211" s="85"/>
      <c r="AG211" s="85"/>
      <c r="AH211" s="85"/>
      <c r="AI211" s="85"/>
      <c r="AJ211" s="85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</row>
    <row r="212" spans="1:61">
      <c r="A212" s="156"/>
      <c r="B212" s="154"/>
      <c r="C212" s="156"/>
      <c r="D212" s="156"/>
      <c r="E212" s="156"/>
      <c r="F212" s="156"/>
      <c r="G212" s="156"/>
      <c r="H212" s="156"/>
      <c r="I212" s="156"/>
      <c r="J212" s="156"/>
      <c r="K212" s="156"/>
      <c r="L212" s="156"/>
      <c r="M212" s="188" t="e">
        <f t="shared" si="64"/>
        <v>#DIV/0!</v>
      </c>
      <c r="N212" s="81"/>
      <c r="O212" s="7"/>
      <c r="P212" s="80"/>
      <c r="Q212" s="80"/>
      <c r="R212" s="91"/>
      <c r="S212" s="8"/>
      <c r="T212" s="82"/>
      <c r="W212" s="10"/>
      <c r="X212" s="9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</row>
    <row r="213" spans="1:61" ht="42.75">
      <c r="A213" s="156" t="s">
        <v>284</v>
      </c>
      <c r="B213" s="157" t="s">
        <v>285</v>
      </c>
      <c r="C213" s="156" t="s">
        <v>7</v>
      </c>
      <c r="D213" s="156">
        <v>30</v>
      </c>
      <c r="E213" s="156">
        <v>12.84</v>
      </c>
      <c r="F213" s="156">
        <f t="shared" ref="F213:F219" si="77">D213*E213</f>
        <v>385.2</v>
      </c>
      <c r="G213" s="156">
        <v>0</v>
      </c>
      <c r="H213" s="156"/>
      <c r="I213" s="156">
        <f t="shared" ref="I213:I219" si="78">G213+H213</f>
        <v>0</v>
      </c>
      <c r="J213" s="156">
        <f t="shared" ref="J213:J219" si="79">E213*G213</f>
        <v>0</v>
      </c>
      <c r="K213" s="156">
        <f t="shared" ref="K213:K219" si="80">H213*E213</f>
        <v>0</v>
      </c>
      <c r="L213" s="156">
        <f t="shared" ref="L213:L219" si="81">J213+K213</f>
        <v>0</v>
      </c>
      <c r="M213" s="188">
        <f t="shared" si="64"/>
        <v>0</v>
      </c>
      <c r="N213" s="81"/>
      <c r="O213" s="7"/>
      <c r="P213" s="80"/>
      <c r="Q213" s="80"/>
      <c r="R213" s="91"/>
      <c r="S213" s="8"/>
      <c r="T213" s="82"/>
      <c r="W213" s="10"/>
      <c r="X213" s="9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</row>
    <row r="214" spans="1:61">
      <c r="A214" s="156" t="s">
        <v>286</v>
      </c>
      <c r="B214" s="157" t="s">
        <v>287</v>
      </c>
      <c r="C214" s="156" t="s">
        <v>7</v>
      </c>
      <c r="D214" s="156">
        <v>1</v>
      </c>
      <c r="E214" s="156">
        <v>1146.02</v>
      </c>
      <c r="F214" s="156">
        <f t="shared" si="77"/>
        <v>1146.02</v>
      </c>
      <c r="G214" s="156">
        <v>0</v>
      </c>
      <c r="H214" s="156"/>
      <c r="I214" s="156">
        <f t="shared" si="78"/>
        <v>0</v>
      </c>
      <c r="J214" s="156">
        <f t="shared" si="79"/>
        <v>0</v>
      </c>
      <c r="K214" s="156">
        <f t="shared" si="80"/>
        <v>0</v>
      </c>
      <c r="L214" s="156">
        <f t="shared" si="81"/>
        <v>0</v>
      </c>
      <c r="M214" s="188">
        <f t="shared" si="64"/>
        <v>0</v>
      </c>
      <c r="N214" s="81"/>
      <c r="O214" s="7"/>
      <c r="P214" s="80"/>
      <c r="Q214" s="80"/>
      <c r="R214" s="91"/>
      <c r="S214" s="8"/>
      <c r="T214" s="82"/>
      <c r="W214" s="10"/>
      <c r="X214" s="9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</row>
    <row r="215" spans="1:61">
      <c r="A215" s="156" t="s">
        <v>288</v>
      </c>
      <c r="B215" s="157" t="s">
        <v>289</v>
      </c>
      <c r="C215" s="156" t="s">
        <v>7</v>
      </c>
      <c r="D215" s="156">
        <v>2</v>
      </c>
      <c r="E215" s="156">
        <v>410.9</v>
      </c>
      <c r="F215" s="156">
        <f t="shared" si="77"/>
        <v>821.8</v>
      </c>
      <c r="G215" s="156">
        <v>0</v>
      </c>
      <c r="H215" s="156"/>
      <c r="I215" s="156">
        <f t="shared" si="78"/>
        <v>0</v>
      </c>
      <c r="J215" s="156">
        <f t="shared" si="79"/>
        <v>0</v>
      </c>
      <c r="K215" s="156">
        <f t="shared" si="80"/>
        <v>0</v>
      </c>
      <c r="L215" s="156">
        <f t="shared" si="81"/>
        <v>0</v>
      </c>
      <c r="M215" s="188">
        <f t="shared" si="64"/>
        <v>0</v>
      </c>
      <c r="N215" s="81"/>
      <c r="O215" s="7"/>
      <c r="P215" s="80"/>
      <c r="Q215" s="80"/>
      <c r="R215" s="91"/>
      <c r="S215" s="8"/>
      <c r="T215" s="82"/>
      <c r="W215" s="10"/>
      <c r="X215" s="9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</row>
    <row r="216" spans="1:61">
      <c r="A216" s="156" t="s">
        <v>290</v>
      </c>
      <c r="B216" s="157" t="s">
        <v>289</v>
      </c>
      <c r="C216" s="156" t="s">
        <v>7</v>
      </c>
      <c r="D216" s="156">
        <v>1</v>
      </c>
      <c r="E216" s="156">
        <v>410.9</v>
      </c>
      <c r="F216" s="156">
        <f t="shared" si="77"/>
        <v>410.9</v>
      </c>
      <c r="G216" s="156">
        <v>0</v>
      </c>
      <c r="H216" s="156"/>
      <c r="I216" s="156">
        <f t="shared" si="78"/>
        <v>0</v>
      </c>
      <c r="J216" s="156">
        <f t="shared" si="79"/>
        <v>0</v>
      </c>
      <c r="K216" s="156">
        <f t="shared" si="80"/>
        <v>0</v>
      </c>
      <c r="L216" s="156">
        <f t="shared" si="81"/>
        <v>0</v>
      </c>
      <c r="M216" s="188">
        <f t="shared" si="64"/>
        <v>0</v>
      </c>
      <c r="N216" s="81"/>
      <c r="O216" s="7"/>
      <c r="P216" s="80"/>
      <c r="Q216" s="80"/>
      <c r="R216" s="91"/>
      <c r="S216" s="8"/>
      <c r="T216" s="82"/>
      <c r="W216" s="10"/>
      <c r="X216" s="9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</row>
    <row r="217" spans="1:61">
      <c r="A217" s="156" t="s">
        <v>291</v>
      </c>
      <c r="B217" s="158" t="s">
        <v>292</v>
      </c>
      <c r="C217" s="156" t="s">
        <v>16</v>
      </c>
      <c r="D217" s="156">
        <v>15.36</v>
      </c>
      <c r="E217" s="156">
        <v>284.23</v>
      </c>
      <c r="F217" s="156">
        <f t="shared" si="77"/>
        <v>4365.7727999999997</v>
      </c>
      <c r="G217" s="156">
        <v>0</v>
      </c>
      <c r="H217" s="156"/>
      <c r="I217" s="156">
        <f t="shared" si="78"/>
        <v>0</v>
      </c>
      <c r="J217" s="156">
        <f t="shared" si="79"/>
        <v>0</v>
      </c>
      <c r="K217" s="156">
        <f t="shared" si="80"/>
        <v>0</v>
      </c>
      <c r="L217" s="156">
        <f t="shared" si="81"/>
        <v>0</v>
      </c>
      <c r="M217" s="188">
        <f t="shared" si="64"/>
        <v>0</v>
      </c>
      <c r="N217" s="81"/>
      <c r="O217" s="7"/>
      <c r="P217" s="80"/>
      <c r="Q217" s="80"/>
      <c r="R217" s="91"/>
      <c r="S217" s="8"/>
      <c r="T217" s="82"/>
      <c r="W217" s="10"/>
      <c r="X217" s="9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</row>
    <row r="218" spans="1:61" ht="28.5">
      <c r="A218" s="156" t="s">
        <v>293</v>
      </c>
      <c r="B218" s="157" t="s">
        <v>294</v>
      </c>
      <c r="C218" s="156" t="s">
        <v>7</v>
      </c>
      <c r="D218" s="156">
        <v>1</v>
      </c>
      <c r="E218" s="156">
        <v>171.9</v>
      </c>
      <c r="F218" s="156">
        <f t="shared" si="77"/>
        <v>171.9</v>
      </c>
      <c r="G218" s="156">
        <v>0</v>
      </c>
      <c r="H218" s="156"/>
      <c r="I218" s="156">
        <f t="shared" si="78"/>
        <v>0</v>
      </c>
      <c r="J218" s="156">
        <f t="shared" si="79"/>
        <v>0</v>
      </c>
      <c r="K218" s="156">
        <f t="shared" si="80"/>
        <v>0</v>
      </c>
      <c r="L218" s="156">
        <f t="shared" si="81"/>
        <v>0</v>
      </c>
      <c r="M218" s="188">
        <f t="shared" si="64"/>
        <v>0</v>
      </c>
      <c r="N218" s="81"/>
      <c r="O218" s="7"/>
      <c r="P218" s="80"/>
      <c r="Q218" s="80"/>
      <c r="R218" s="91"/>
      <c r="S218" s="8"/>
      <c r="T218" s="82"/>
      <c r="W218" s="10"/>
      <c r="X218" s="9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</row>
    <row r="219" spans="1:61" ht="28.5">
      <c r="A219" s="156" t="s">
        <v>295</v>
      </c>
      <c r="B219" s="157" t="s">
        <v>296</v>
      </c>
      <c r="C219" s="156" t="s">
        <v>7</v>
      </c>
      <c r="D219" s="156">
        <v>2</v>
      </c>
      <c r="E219" s="156">
        <v>167.85</v>
      </c>
      <c r="F219" s="156">
        <f t="shared" si="77"/>
        <v>335.7</v>
      </c>
      <c r="G219" s="156">
        <v>0</v>
      </c>
      <c r="H219" s="156"/>
      <c r="I219" s="156">
        <f t="shared" si="78"/>
        <v>0</v>
      </c>
      <c r="J219" s="156">
        <f t="shared" si="79"/>
        <v>0</v>
      </c>
      <c r="K219" s="156">
        <f t="shared" si="80"/>
        <v>0</v>
      </c>
      <c r="L219" s="156">
        <f t="shared" si="81"/>
        <v>0</v>
      </c>
      <c r="M219" s="188">
        <f t="shared" si="64"/>
        <v>0</v>
      </c>
      <c r="N219" s="81"/>
      <c r="O219" s="7"/>
      <c r="P219" s="80"/>
      <c r="Q219" s="80"/>
      <c r="R219" s="91"/>
      <c r="S219" s="8"/>
      <c r="T219" s="82"/>
      <c r="W219" s="10"/>
      <c r="X219" s="9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</row>
    <row r="220" spans="1:61">
      <c r="A220" s="156"/>
      <c r="B220" s="154"/>
      <c r="C220" s="156"/>
      <c r="D220" s="156"/>
      <c r="E220" s="156"/>
      <c r="F220" s="156"/>
      <c r="G220" s="156"/>
      <c r="H220" s="156"/>
      <c r="I220" s="156"/>
      <c r="J220" s="156"/>
      <c r="K220" s="156"/>
      <c r="L220" s="156"/>
      <c r="M220" s="188" t="e">
        <f t="shared" si="64"/>
        <v>#DIV/0!</v>
      </c>
      <c r="N220" s="81"/>
      <c r="O220" s="7"/>
      <c r="P220" s="80"/>
      <c r="Q220" s="80"/>
      <c r="R220" s="91"/>
      <c r="S220" s="8"/>
      <c r="T220" s="82"/>
      <c r="W220" s="10"/>
      <c r="X220" s="9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</row>
    <row r="221" spans="1:61" s="87" customFormat="1">
      <c r="A221" s="164" t="s">
        <v>297</v>
      </c>
      <c r="B221" s="165" t="s">
        <v>298</v>
      </c>
      <c r="C221" s="166"/>
      <c r="D221" s="167"/>
      <c r="E221" s="166"/>
      <c r="F221" s="166">
        <f>SUM(F223:F224)</f>
        <v>2055.0042000000003</v>
      </c>
      <c r="G221" s="166"/>
      <c r="H221" s="166"/>
      <c r="I221" s="166"/>
      <c r="J221" s="166">
        <f>SUM(J223:J224)</f>
        <v>0</v>
      </c>
      <c r="K221" s="166">
        <f>SUM(K223:K224)</f>
        <v>0</v>
      </c>
      <c r="L221" s="166">
        <f>SUM(L223:L224)</f>
        <v>0</v>
      </c>
      <c r="M221" s="188">
        <f t="shared" si="64"/>
        <v>0</v>
      </c>
      <c r="N221" s="98">
        <f>F221</f>
        <v>2055.0042000000003</v>
      </c>
      <c r="O221" s="7"/>
      <c r="P221" s="97"/>
      <c r="Q221" s="97"/>
      <c r="R221" s="79"/>
      <c r="S221" s="16"/>
      <c r="T221" s="82"/>
      <c r="U221" s="14"/>
      <c r="V221" s="14"/>
      <c r="W221" s="84"/>
      <c r="X221" s="83"/>
      <c r="Y221" s="85"/>
      <c r="Z221" s="85"/>
      <c r="AA221" s="85"/>
      <c r="AB221" s="85"/>
      <c r="AC221" s="85"/>
      <c r="AD221" s="85"/>
      <c r="AE221" s="85"/>
      <c r="AF221" s="85"/>
      <c r="AG221" s="85"/>
      <c r="AH221" s="85"/>
      <c r="AI221" s="85"/>
      <c r="AJ221" s="85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</row>
    <row r="222" spans="1:61">
      <c r="A222" s="156"/>
      <c r="B222" s="154"/>
      <c r="C222" s="156"/>
      <c r="D222" s="156"/>
      <c r="E222" s="156"/>
      <c r="F222" s="156"/>
      <c r="G222" s="156"/>
      <c r="H222" s="156"/>
      <c r="I222" s="156"/>
      <c r="J222" s="156"/>
      <c r="K222" s="156"/>
      <c r="L222" s="156"/>
      <c r="M222" s="188" t="e">
        <f t="shared" si="64"/>
        <v>#DIV/0!</v>
      </c>
      <c r="N222" s="81"/>
      <c r="O222" s="7"/>
      <c r="P222" s="80"/>
      <c r="Q222" s="80"/>
      <c r="R222" s="91"/>
      <c r="S222" s="8"/>
      <c r="T222" s="82"/>
      <c r="W222" s="10"/>
      <c r="X222" s="9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</row>
    <row r="223" spans="1:61">
      <c r="A223" s="156" t="s">
        <v>299</v>
      </c>
      <c r="B223" s="158" t="s">
        <v>300</v>
      </c>
      <c r="C223" s="156" t="s">
        <v>16</v>
      </c>
      <c r="D223" s="156">
        <v>604</v>
      </c>
      <c r="E223" s="156">
        <v>1.73</v>
      </c>
      <c r="F223" s="156">
        <f t="shared" ref="F223:F224" si="82">D223*E223</f>
        <v>1044.92</v>
      </c>
      <c r="G223" s="156">
        <v>0</v>
      </c>
      <c r="H223" s="156"/>
      <c r="I223" s="156">
        <f t="shared" ref="I223:I224" si="83">G223+H223</f>
        <v>0</v>
      </c>
      <c r="J223" s="156">
        <f t="shared" ref="J223:J224" si="84">E223*G223</f>
        <v>0</v>
      </c>
      <c r="K223" s="156">
        <f t="shared" ref="K223:K224" si="85">H223*E223</f>
        <v>0</v>
      </c>
      <c r="L223" s="156">
        <f t="shared" ref="L223:L224" si="86">J223+K223</f>
        <v>0</v>
      </c>
      <c r="M223" s="188">
        <f t="shared" si="64"/>
        <v>0</v>
      </c>
      <c r="N223" s="81"/>
      <c r="O223" s="7"/>
      <c r="P223" s="80"/>
      <c r="Q223" s="80"/>
      <c r="R223" s="91"/>
      <c r="S223" s="8"/>
      <c r="T223" s="82"/>
      <c r="W223" s="10"/>
      <c r="X223" s="9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</row>
    <row r="224" spans="1:61" ht="28.5">
      <c r="A224" s="156" t="s">
        <v>301</v>
      </c>
      <c r="B224" s="157" t="s">
        <v>302</v>
      </c>
      <c r="C224" s="156" t="s">
        <v>17</v>
      </c>
      <c r="D224" s="156">
        <v>81.59</v>
      </c>
      <c r="E224" s="156">
        <v>12.38</v>
      </c>
      <c r="F224" s="156">
        <f t="shared" si="82"/>
        <v>1010.0842000000001</v>
      </c>
      <c r="G224" s="156">
        <v>0</v>
      </c>
      <c r="H224" s="156"/>
      <c r="I224" s="156">
        <f t="shared" si="83"/>
        <v>0</v>
      </c>
      <c r="J224" s="156">
        <f t="shared" si="84"/>
        <v>0</v>
      </c>
      <c r="K224" s="156">
        <f t="shared" si="85"/>
        <v>0</v>
      </c>
      <c r="L224" s="156">
        <f t="shared" si="86"/>
        <v>0</v>
      </c>
      <c r="M224" s="188">
        <f t="shared" ref="M224:M287" si="87">L224/F224</f>
        <v>0</v>
      </c>
      <c r="N224" s="81"/>
      <c r="O224" s="7"/>
      <c r="P224" s="80"/>
      <c r="Q224" s="80"/>
      <c r="R224" s="91"/>
      <c r="S224" s="8"/>
      <c r="T224" s="82"/>
      <c r="W224" s="10"/>
      <c r="X224" s="9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</row>
    <row r="225" spans="1:61" ht="14.25" customHeight="1">
      <c r="A225" s="156"/>
      <c r="B225" s="154"/>
      <c r="C225" s="156"/>
      <c r="D225" s="156"/>
      <c r="E225" s="156"/>
      <c r="F225" s="156"/>
      <c r="G225" s="156"/>
      <c r="H225" s="156"/>
      <c r="I225" s="156"/>
      <c r="J225" s="156"/>
      <c r="K225" s="156"/>
      <c r="L225" s="156"/>
      <c r="M225" s="188" t="e">
        <f t="shared" si="87"/>
        <v>#DIV/0!</v>
      </c>
      <c r="N225" s="81"/>
      <c r="O225" s="7"/>
      <c r="P225" s="80"/>
      <c r="Q225" s="80"/>
      <c r="R225" s="91"/>
      <c r="S225" s="8"/>
      <c r="T225" s="82"/>
      <c r="W225" s="10"/>
      <c r="X225" s="9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</row>
    <row r="226" spans="1:61" ht="14.25" customHeight="1">
      <c r="A226" s="262" t="s">
        <v>303</v>
      </c>
      <c r="B226" s="262"/>
      <c r="C226" s="262"/>
      <c r="D226" s="262"/>
      <c r="E226" s="262"/>
      <c r="F226" s="262"/>
      <c r="G226" s="262"/>
      <c r="H226" s="262"/>
      <c r="I226" s="262"/>
      <c r="J226" s="262"/>
      <c r="K226" s="262"/>
      <c r="L226" s="262"/>
      <c r="M226" s="188" t="e">
        <f t="shared" si="87"/>
        <v>#DIV/0!</v>
      </c>
      <c r="N226" s="81"/>
      <c r="O226" s="7"/>
      <c r="P226" s="80"/>
      <c r="Q226" s="80"/>
      <c r="R226" s="91"/>
      <c r="S226" s="8"/>
      <c r="T226" s="82"/>
      <c r="W226" s="10"/>
      <c r="X226" s="9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</row>
    <row r="227" spans="1:61" ht="14.25" customHeight="1">
      <c r="A227" s="262"/>
      <c r="B227" s="262"/>
      <c r="C227" s="262"/>
      <c r="D227" s="262"/>
      <c r="E227" s="262"/>
      <c r="F227" s="262"/>
      <c r="G227" s="262"/>
      <c r="H227" s="262"/>
      <c r="I227" s="262"/>
      <c r="J227" s="262"/>
      <c r="K227" s="262"/>
      <c r="L227" s="262"/>
      <c r="M227" s="188" t="e">
        <f t="shared" si="87"/>
        <v>#DIV/0!</v>
      </c>
      <c r="N227" s="81"/>
      <c r="O227" s="7"/>
      <c r="P227" s="80"/>
      <c r="Q227" s="80"/>
      <c r="R227" s="91"/>
      <c r="S227" s="8"/>
      <c r="T227" s="82"/>
      <c r="W227" s="10"/>
      <c r="X227" s="9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</row>
    <row r="228" spans="1:61" s="87" customFormat="1">
      <c r="A228" s="164" t="s">
        <v>11</v>
      </c>
      <c r="B228" s="165" t="s">
        <v>0</v>
      </c>
      <c r="C228" s="166"/>
      <c r="D228" s="167"/>
      <c r="E228" s="166"/>
      <c r="F228" s="166">
        <f>F230</f>
        <v>1165.1199999999999</v>
      </c>
      <c r="G228" s="166"/>
      <c r="H228" s="166"/>
      <c r="I228" s="166"/>
      <c r="J228" s="166">
        <f>J230</f>
        <v>1165.1199999999999</v>
      </c>
      <c r="K228" s="166">
        <f>K230</f>
        <v>0</v>
      </c>
      <c r="L228" s="166">
        <f>L230</f>
        <v>1165.1199999999999</v>
      </c>
      <c r="M228" s="188">
        <f t="shared" si="87"/>
        <v>1</v>
      </c>
      <c r="N228" s="98">
        <f>SUM(N229:N289)</f>
        <v>5908.7600000000011</v>
      </c>
      <c r="O228" s="7"/>
      <c r="P228" s="97"/>
      <c r="Q228" s="97"/>
      <c r="R228" s="79"/>
      <c r="S228" s="16"/>
      <c r="T228" s="82"/>
      <c r="U228" s="14"/>
      <c r="V228" s="14"/>
      <c r="W228" s="84"/>
      <c r="X228" s="83"/>
      <c r="Y228" s="85"/>
      <c r="Z228" s="85"/>
      <c r="AA228" s="85"/>
      <c r="AB228" s="85"/>
      <c r="AC228" s="85"/>
      <c r="AD228" s="85"/>
      <c r="AE228" s="85"/>
      <c r="AF228" s="85"/>
      <c r="AG228" s="85"/>
      <c r="AH228" s="85"/>
      <c r="AI228" s="85"/>
      <c r="AJ228" s="85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</row>
    <row r="229" spans="1:61" ht="14.25" customHeight="1">
      <c r="A229" s="156"/>
      <c r="B229" s="154"/>
      <c r="C229" s="156"/>
      <c r="D229" s="156"/>
      <c r="E229" s="156"/>
      <c r="F229" s="156"/>
      <c r="G229" s="156"/>
      <c r="H229" s="156"/>
      <c r="I229" s="156"/>
      <c r="J229" s="156"/>
      <c r="K229" s="156"/>
      <c r="L229" s="156"/>
      <c r="M229" s="188" t="e">
        <f t="shared" si="87"/>
        <v>#DIV/0!</v>
      </c>
      <c r="N229" s="81"/>
      <c r="O229" s="7"/>
      <c r="P229" s="80"/>
      <c r="Q229" s="80"/>
      <c r="R229" s="91"/>
      <c r="S229" s="8"/>
      <c r="T229" s="82"/>
      <c r="W229" s="10"/>
      <c r="X229" s="9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</row>
    <row r="230" spans="1:61" ht="28.5">
      <c r="A230" s="156" t="s">
        <v>304</v>
      </c>
      <c r="B230" s="157" t="s">
        <v>305</v>
      </c>
      <c r="C230" s="156" t="s">
        <v>5</v>
      </c>
      <c r="D230" s="156">
        <v>32</v>
      </c>
      <c r="E230" s="156">
        <v>36.409999999999997</v>
      </c>
      <c r="F230" s="156">
        <f t="shared" ref="F230" si="88">D230*E230</f>
        <v>1165.1199999999999</v>
      </c>
      <c r="G230" s="156">
        <v>32</v>
      </c>
      <c r="H230" s="156"/>
      <c r="I230" s="156">
        <f t="shared" ref="I230" si="89">G230+H230</f>
        <v>32</v>
      </c>
      <c r="J230" s="156">
        <f t="shared" ref="J230" si="90">E230*G230</f>
        <v>1165.1199999999999</v>
      </c>
      <c r="K230" s="156">
        <f t="shared" ref="K230" si="91">H230*E230</f>
        <v>0</v>
      </c>
      <c r="L230" s="156">
        <f t="shared" ref="L230" si="92">J230+K230</f>
        <v>1165.1199999999999</v>
      </c>
      <c r="M230" s="188">
        <f t="shared" si="87"/>
        <v>1</v>
      </c>
      <c r="N230" s="81"/>
      <c r="O230" s="7"/>
      <c r="P230" s="80"/>
      <c r="Q230" s="80"/>
      <c r="R230" s="91"/>
      <c r="S230" s="8"/>
      <c r="T230" s="82"/>
      <c r="W230" s="10"/>
      <c r="X230" s="9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</row>
    <row r="231" spans="1:61" ht="14.25" customHeight="1">
      <c r="A231" s="156"/>
      <c r="B231" s="154"/>
      <c r="C231" s="156"/>
      <c r="D231" s="156"/>
      <c r="E231" s="156"/>
      <c r="F231" s="156"/>
      <c r="G231" s="156"/>
      <c r="H231" s="156"/>
      <c r="I231" s="156"/>
      <c r="J231" s="156"/>
      <c r="K231" s="156"/>
      <c r="L231" s="156"/>
      <c r="M231" s="188" t="e">
        <f t="shared" si="87"/>
        <v>#DIV/0!</v>
      </c>
      <c r="N231" s="81"/>
      <c r="O231" s="7"/>
      <c r="P231" s="80"/>
      <c r="Q231" s="80"/>
      <c r="R231" s="91"/>
      <c r="S231" s="8"/>
      <c r="T231" s="82"/>
      <c r="W231" s="10"/>
      <c r="X231" s="9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</row>
    <row r="232" spans="1:61" ht="14.25" customHeight="1">
      <c r="A232" s="164" t="s">
        <v>13</v>
      </c>
      <c r="B232" s="165" t="s">
        <v>12</v>
      </c>
      <c r="C232" s="166"/>
      <c r="D232" s="167"/>
      <c r="E232" s="166"/>
      <c r="F232" s="166">
        <f>SUM(F234:F235)</f>
        <v>1010.024</v>
      </c>
      <c r="G232" s="166"/>
      <c r="H232" s="166"/>
      <c r="I232" s="166"/>
      <c r="J232" s="166">
        <f>SUM(J234:J235)</f>
        <v>1010.024</v>
      </c>
      <c r="K232" s="166">
        <f>SUM(K234:K235)</f>
        <v>0</v>
      </c>
      <c r="L232" s="166">
        <f>SUM(L234:L235)</f>
        <v>1010.024</v>
      </c>
      <c r="M232" s="188">
        <f t="shared" si="87"/>
        <v>1</v>
      </c>
      <c r="N232" s="81"/>
      <c r="O232" s="7"/>
      <c r="P232" s="80"/>
      <c r="Q232" s="80"/>
      <c r="R232" s="91"/>
      <c r="S232" s="8"/>
      <c r="T232" s="82"/>
      <c r="W232" s="10"/>
      <c r="X232" s="9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</row>
    <row r="233" spans="1:61" ht="14.25" customHeight="1">
      <c r="A233" s="156"/>
      <c r="B233" s="154"/>
      <c r="C233" s="156"/>
      <c r="D233" s="156"/>
      <c r="E233" s="156"/>
      <c r="F233" s="156"/>
      <c r="G233" s="156"/>
      <c r="H233" s="156"/>
      <c r="I233" s="156"/>
      <c r="J233" s="156"/>
      <c r="K233" s="156"/>
      <c r="L233" s="156"/>
      <c r="M233" s="188" t="e">
        <f t="shared" si="87"/>
        <v>#DIV/0!</v>
      </c>
      <c r="N233" s="81"/>
      <c r="O233" s="7"/>
      <c r="P233" s="80"/>
      <c r="Q233" s="80"/>
      <c r="R233" s="91"/>
      <c r="S233" s="8"/>
      <c r="T233" s="82"/>
      <c r="W233" s="10"/>
      <c r="X233" s="9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</row>
    <row r="234" spans="1:61" ht="28.5">
      <c r="A234" s="156" t="s">
        <v>306</v>
      </c>
      <c r="B234" s="157" t="s">
        <v>52</v>
      </c>
      <c r="C234" s="156" t="s">
        <v>17</v>
      </c>
      <c r="D234" s="156">
        <v>18.2</v>
      </c>
      <c r="E234" s="156">
        <v>8.32</v>
      </c>
      <c r="F234" s="156">
        <f t="shared" ref="F234:F235" si="93">D234*E234</f>
        <v>151.42400000000001</v>
      </c>
      <c r="G234" s="156">
        <v>18.2</v>
      </c>
      <c r="H234" s="156"/>
      <c r="I234" s="156">
        <f t="shared" ref="I234:I235" si="94">G234+H234</f>
        <v>18.2</v>
      </c>
      <c r="J234" s="156">
        <f t="shared" ref="J234:J235" si="95">E234*G234</f>
        <v>151.42400000000001</v>
      </c>
      <c r="K234" s="156">
        <f t="shared" ref="K234:K235" si="96">H234*E234</f>
        <v>0</v>
      </c>
      <c r="L234" s="156">
        <f t="shared" ref="L234:L235" si="97">J234+K234</f>
        <v>151.42400000000001</v>
      </c>
      <c r="M234" s="188">
        <f t="shared" si="87"/>
        <v>1</v>
      </c>
      <c r="N234" s="81"/>
      <c r="O234" s="7"/>
      <c r="P234" s="80"/>
      <c r="Q234" s="80"/>
      <c r="R234" s="91"/>
      <c r="S234" s="8"/>
      <c r="T234" s="82"/>
      <c r="W234" s="10"/>
      <c r="X234" s="9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</row>
    <row r="235" spans="1:61" ht="28.5">
      <c r="A235" s="156" t="s">
        <v>307</v>
      </c>
      <c r="B235" s="157" t="s">
        <v>59</v>
      </c>
      <c r="C235" s="156" t="s">
        <v>17</v>
      </c>
      <c r="D235" s="156">
        <v>2.5</v>
      </c>
      <c r="E235" s="156">
        <v>343.44</v>
      </c>
      <c r="F235" s="156">
        <f t="shared" si="93"/>
        <v>858.6</v>
      </c>
      <c r="G235" s="156">
        <v>2.5</v>
      </c>
      <c r="H235" s="156"/>
      <c r="I235" s="156">
        <f t="shared" si="94"/>
        <v>2.5</v>
      </c>
      <c r="J235" s="156">
        <f t="shared" si="95"/>
        <v>858.6</v>
      </c>
      <c r="K235" s="156">
        <f t="shared" si="96"/>
        <v>0</v>
      </c>
      <c r="L235" s="156">
        <f t="shared" si="97"/>
        <v>858.6</v>
      </c>
      <c r="M235" s="188">
        <f t="shared" si="87"/>
        <v>1</v>
      </c>
      <c r="N235" s="81"/>
      <c r="O235" s="7"/>
      <c r="P235" s="80"/>
      <c r="Q235" s="80"/>
      <c r="R235" s="91"/>
      <c r="S235" s="8"/>
      <c r="T235" s="82"/>
      <c r="W235" s="10"/>
      <c r="X235" s="9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</row>
    <row r="236" spans="1:61">
      <c r="A236" s="156"/>
      <c r="B236" s="157"/>
      <c r="C236" s="156"/>
      <c r="D236" s="156"/>
      <c r="E236" s="156"/>
      <c r="F236" s="156"/>
      <c r="G236" s="156"/>
      <c r="H236" s="156"/>
      <c r="I236" s="156"/>
      <c r="J236" s="156"/>
      <c r="K236" s="156"/>
      <c r="L236" s="156"/>
      <c r="M236" s="188" t="e">
        <f t="shared" si="87"/>
        <v>#DIV/0!</v>
      </c>
      <c r="N236" s="81"/>
      <c r="O236" s="7"/>
      <c r="P236" s="80"/>
      <c r="Q236" s="80"/>
      <c r="R236" s="91"/>
      <c r="S236" s="8"/>
      <c r="T236" s="82"/>
      <c r="W236" s="10"/>
      <c r="X236" s="9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</row>
    <row r="237" spans="1:61" ht="14.25" customHeight="1">
      <c r="A237" s="164" t="s">
        <v>24</v>
      </c>
      <c r="B237" s="165" t="s">
        <v>18</v>
      </c>
      <c r="C237" s="166"/>
      <c r="D237" s="167"/>
      <c r="E237" s="166"/>
      <c r="F237" s="166">
        <f>SUM(F238:F242)</f>
        <v>8414.0084000000006</v>
      </c>
      <c r="G237" s="166"/>
      <c r="H237" s="166"/>
      <c r="I237" s="166"/>
      <c r="J237" s="166">
        <f>SUM(J238:J242)</f>
        <v>8414.0083999999988</v>
      </c>
      <c r="K237" s="166">
        <f t="shared" ref="K237:L237" si="98">SUM(K238:K242)</f>
        <v>0</v>
      </c>
      <c r="L237" s="166">
        <f t="shared" si="98"/>
        <v>8414.0083999999988</v>
      </c>
      <c r="M237" s="188">
        <f t="shared" si="87"/>
        <v>0.99999999999999978</v>
      </c>
      <c r="N237" s="81"/>
      <c r="O237" s="7"/>
      <c r="P237" s="80"/>
      <c r="Q237" s="80"/>
      <c r="R237" s="91"/>
      <c r="S237" s="8"/>
      <c r="T237" s="82"/>
      <c r="W237" s="10"/>
      <c r="X237" s="9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</row>
    <row r="238" spans="1:61">
      <c r="A238" s="156"/>
      <c r="B238" s="157"/>
      <c r="C238" s="156"/>
      <c r="D238" s="156"/>
      <c r="E238" s="156"/>
      <c r="F238" s="156"/>
      <c r="G238" s="156"/>
      <c r="H238" s="156"/>
      <c r="I238" s="156"/>
      <c r="J238" s="156"/>
      <c r="K238" s="156"/>
      <c r="L238" s="156"/>
      <c r="M238" s="188" t="e">
        <f t="shared" si="87"/>
        <v>#DIV/0!</v>
      </c>
      <c r="N238" s="81"/>
      <c r="O238" s="7"/>
      <c r="P238" s="80"/>
      <c r="Q238" s="80"/>
      <c r="R238" s="91"/>
      <c r="S238" s="8"/>
      <c r="T238" s="82"/>
      <c r="W238" s="10"/>
      <c r="X238" s="9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</row>
    <row r="239" spans="1:61">
      <c r="A239" s="156" t="s">
        <v>309</v>
      </c>
      <c r="B239" s="158" t="s">
        <v>63</v>
      </c>
      <c r="C239" s="156" t="s">
        <v>17</v>
      </c>
      <c r="D239" s="156">
        <v>0.7</v>
      </c>
      <c r="E239" s="156">
        <v>402.72</v>
      </c>
      <c r="F239" s="156">
        <f t="shared" ref="F239:F242" si="99">D239*E239</f>
        <v>281.904</v>
      </c>
      <c r="G239" s="156">
        <v>0.7</v>
      </c>
      <c r="H239" s="156"/>
      <c r="I239" s="156">
        <f t="shared" ref="I239:I242" si="100">G239+H239</f>
        <v>0.7</v>
      </c>
      <c r="J239" s="156">
        <f t="shared" ref="J239:J242" si="101">E239*G239</f>
        <v>281.904</v>
      </c>
      <c r="K239" s="156">
        <f t="shared" ref="K239:K242" si="102">H239*E239</f>
        <v>0</v>
      </c>
      <c r="L239" s="156">
        <f t="shared" ref="L239:L242" si="103">J239+K239</f>
        <v>281.904</v>
      </c>
      <c r="M239" s="188">
        <f t="shared" si="87"/>
        <v>1</v>
      </c>
      <c r="N239" s="81"/>
      <c r="O239" s="7"/>
      <c r="P239" s="80"/>
      <c r="Q239" s="80"/>
      <c r="R239" s="91"/>
      <c r="S239" s="8"/>
      <c r="T239" s="82"/>
      <c r="W239" s="10"/>
      <c r="X239" s="9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</row>
    <row r="240" spans="1:61" ht="28.5">
      <c r="A240" s="156" t="s">
        <v>310</v>
      </c>
      <c r="B240" s="157" t="s">
        <v>308</v>
      </c>
      <c r="C240" s="156" t="s">
        <v>17</v>
      </c>
      <c r="D240" s="156">
        <v>1.5</v>
      </c>
      <c r="E240" s="156">
        <v>1618.18</v>
      </c>
      <c r="F240" s="156">
        <f t="shared" si="99"/>
        <v>2427.27</v>
      </c>
      <c r="G240" s="156">
        <v>1.5</v>
      </c>
      <c r="H240" s="156"/>
      <c r="I240" s="156">
        <f t="shared" si="100"/>
        <v>1.5</v>
      </c>
      <c r="J240" s="156">
        <f t="shared" si="101"/>
        <v>2427.27</v>
      </c>
      <c r="K240" s="156">
        <f t="shared" si="102"/>
        <v>0</v>
      </c>
      <c r="L240" s="156">
        <f t="shared" si="103"/>
        <v>2427.27</v>
      </c>
      <c r="M240" s="188">
        <f t="shared" si="87"/>
        <v>1</v>
      </c>
      <c r="N240" s="81"/>
      <c r="O240" s="7"/>
      <c r="P240" s="80"/>
      <c r="Q240" s="80"/>
      <c r="R240" s="91"/>
      <c r="S240" s="8"/>
      <c r="T240" s="82"/>
      <c r="W240" s="10"/>
      <c r="X240" s="9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</row>
    <row r="241" spans="1:61" ht="42.75">
      <c r="A241" s="156" t="s">
        <v>311</v>
      </c>
      <c r="B241" s="157" t="s">
        <v>312</v>
      </c>
      <c r="C241" s="156" t="s">
        <v>17</v>
      </c>
      <c r="D241" s="156">
        <v>1.4</v>
      </c>
      <c r="E241" s="156">
        <v>1618.18</v>
      </c>
      <c r="F241" s="156">
        <f t="shared" si="99"/>
        <v>2265.4519999999998</v>
      </c>
      <c r="G241" s="156">
        <v>1.4</v>
      </c>
      <c r="H241" s="156"/>
      <c r="I241" s="156">
        <f t="shared" si="100"/>
        <v>1.4</v>
      </c>
      <c r="J241" s="156">
        <f t="shared" si="101"/>
        <v>2265.4519999999998</v>
      </c>
      <c r="K241" s="156">
        <f t="shared" si="102"/>
        <v>0</v>
      </c>
      <c r="L241" s="156">
        <f t="shared" si="103"/>
        <v>2265.4519999999998</v>
      </c>
      <c r="M241" s="188">
        <f t="shared" si="87"/>
        <v>1</v>
      </c>
      <c r="N241" s="92"/>
      <c r="O241" s="7"/>
      <c r="P241" s="80"/>
      <c r="Q241" s="80"/>
      <c r="R241" s="91"/>
      <c r="S241" s="8"/>
      <c r="T241" s="82"/>
      <c r="W241" s="10"/>
      <c r="X241" s="9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</row>
    <row r="242" spans="1:61" ht="57">
      <c r="A242" s="156" t="s">
        <v>629</v>
      </c>
      <c r="B242" s="157" t="s">
        <v>630</v>
      </c>
      <c r="C242" s="156" t="s">
        <v>81</v>
      </c>
      <c r="D242" s="156">
        <v>62.24</v>
      </c>
      <c r="E242" s="156">
        <v>55.26</v>
      </c>
      <c r="F242" s="156">
        <f t="shared" si="99"/>
        <v>3439.3824</v>
      </c>
      <c r="G242" s="156">
        <v>62.239999999999995</v>
      </c>
      <c r="H242" s="156"/>
      <c r="I242" s="156">
        <f t="shared" si="100"/>
        <v>62.239999999999995</v>
      </c>
      <c r="J242" s="156">
        <f t="shared" si="101"/>
        <v>3439.3823999999995</v>
      </c>
      <c r="K242" s="156">
        <f t="shared" si="102"/>
        <v>0</v>
      </c>
      <c r="L242" s="156">
        <f t="shared" si="103"/>
        <v>3439.3823999999995</v>
      </c>
      <c r="M242" s="188">
        <f t="shared" si="87"/>
        <v>0.99999999999999989</v>
      </c>
      <c r="N242" s="92"/>
      <c r="O242" s="7"/>
      <c r="P242" s="80"/>
      <c r="Q242" s="80"/>
      <c r="R242" s="91"/>
      <c r="S242" s="8"/>
      <c r="T242" s="82"/>
      <c r="W242" s="10"/>
      <c r="X242" s="9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</row>
    <row r="243" spans="1:61">
      <c r="A243" s="156"/>
      <c r="B243" s="157"/>
      <c r="C243" s="156"/>
      <c r="D243" s="156"/>
      <c r="E243" s="156"/>
      <c r="F243" s="156"/>
      <c r="G243" s="156"/>
      <c r="H243" s="156"/>
      <c r="I243" s="156"/>
      <c r="J243" s="156"/>
      <c r="K243" s="156"/>
      <c r="L243" s="156"/>
      <c r="M243" s="188" t="e">
        <f t="shared" si="87"/>
        <v>#DIV/0!</v>
      </c>
      <c r="N243" s="81"/>
      <c r="O243" s="7"/>
      <c r="P243" s="80"/>
      <c r="Q243" s="80"/>
      <c r="R243" s="91"/>
      <c r="S243" s="8"/>
      <c r="T243" s="82"/>
      <c r="W243" s="10"/>
      <c r="X243" s="9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</row>
    <row r="244" spans="1:61" ht="14.25" customHeight="1">
      <c r="A244" s="164" t="s">
        <v>313</v>
      </c>
      <c r="B244" s="165" t="s">
        <v>2</v>
      </c>
      <c r="C244" s="166"/>
      <c r="D244" s="167"/>
      <c r="E244" s="166"/>
      <c r="F244" s="166">
        <f>SUM(F245:F246)</f>
        <v>2081.4347999999995</v>
      </c>
      <c r="G244" s="166"/>
      <c r="H244" s="166"/>
      <c r="I244" s="166"/>
      <c r="J244" s="166">
        <f>SUM(J245:J246)</f>
        <v>2081.4347999999995</v>
      </c>
      <c r="K244" s="166">
        <f>SUM(K245:K246)</f>
        <v>0</v>
      </c>
      <c r="L244" s="166">
        <f>SUM(L245:L246)</f>
        <v>2081.4347999999995</v>
      </c>
      <c r="M244" s="188">
        <f t="shared" si="87"/>
        <v>1</v>
      </c>
      <c r="N244" s="81"/>
      <c r="O244" s="7"/>
      <c r="P244" s="80"/>
      <c r="Q244" s="80"/>
      <c r="R244" s="91"/>
      <c r="S244" s="8"/>
      <c r="T244" s="82"/>
      <c r="W244" s="10"/>
      <c r="X244" s="9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</row>
    <row r="245" spans="1:61">
      <c r="A245" s="156"/>
      <c r="B245" s="157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88" t="e">
        <f t="shared" si="87"/>
        <v>#DIV/0!</v>
      </c>
      <c r="N245" s="81"/>
      <c r="O245" s="7"/>
      <c r="P245" s="80"/>
      <c r="Q245" s="80"/>
      <c r="R245" s="91"/>
      <c r="S245" s="8"/>
      <c r="T245" s="82"/>
      <c r="W245" s="10"/>
      <c r="X245" s="9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</row>
    <row r="246" spans="1:61" ht="42.75">
      <c r="A246" s="156" t="s">
        <v>314</v>
      </c>
      <c r="B246" s="157" t="s">
        <v>315</v>
      </c>
      <c r="C246" s="156" t="s">
        <v>17</v>
      </c>
      <c r="D246" s="156">
        <v>1.1399999999999999</v>
      </c>
      <c r="E246" s="156">
        <v>1825.82</v>
      </c>
      <c r="F246" s="156">
        <f t="shared" ref="F246" si="104">D246*E246</f>
        <v>2081.4347999999995</v>
      </c>
      <c r="G246" s="156">
        <v>1.1399999999999999</v>
      </c>
      <c r="H246" s="156"/>
      <c r="I246" s="156">
        <f t="shared" ref="I246" si="105">G246+H246</f>
        <v>1.1399999999999999</v>
      </c>
      <c r="J246" s="156">
        <f t="shared" ref="J246" si="106">E246*G246</f>
        <v>2081.4347999999995</v>
      </c>
      <c r="K246" s="156">
        <f t="shared" ref="K246" si="107">H246*E246</f>
        <v>0</v>
      </c>
      <c r="L246" s="156">
        <f t="shared" ref="L246" si="108">J246+K246</f>
        <v>2081.4347999999995</v>
      </c>
      <c r="M246" s="188">
        <f t="shared" si="87"/>
        <v>1</v>
      </c>
      <c r="N246" s="92"/>
      <c r="O246" s="7"/>
      <c r="P246" s="80"/>
      <c r="Q246" s="80"/>
      <c r="R246" s="91"/>
      <c r="S246" s="8"/>
      <c r="T246" s="82"/>
      <c r="W246" s="10"/>
      <c r="X246" s="9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</row>
    <row r="247" spans="1:61">
      <c r="A247" s="156"/>
      <c r="B247" s="157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88" t="e">
        <f t="shared" si="87"/>
        <v>#DIV/0!</v>
      </c>
      <c r="N247" s="81"/>
      <c r="O247" s="7"/>
      <c r="P247" s="80"/>
      <c r="Q247" s="80"/>
      <c r="R247" s="91"/>
      <c r="S247" s="8"/>
      <c r="T247" s="82"/>
      <c r="W247" s="10"/>
      <c r="X247" s="9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</row>
    <row r="248" spans="1:61" ht="14.25" customHeight="1">
      <c r="A248" s="164" t="s">
        <v>316</v>
      </c>
      <c r="B248" s="165" t="s">
        <v>317</v>
      </c>
      <c r="C248" s="166"/>
      <c r="D248" s="167"/>
      <c r="E248" s="166"/>
      <c r="F248" s="166">
        <f>SUM(F249:F250)</f>
        <v>948.97280000000001</v>
      </c>
      <c r="G248" s="166"/>
      <c r="H248" s="166"/>
      <c r="I248" s="166"/>
      <c r="J248" s="166">
        <f>SUM(J249:J250)</f>
        <v>948.97280000000001</v>
      </c>
      <c r="K248" s="166">
        <f>SUM(K249:K250)</f>
        <v>0</v>
      </c>
      <c r="L248" s="166">
        <f>SUM(L249:L250)</f>
        <v>948.97280000000001</v>
      </c>
      <c r="M248" s="188">
        <f t="shared" si="87"/>
        <v>1</v>
      </c>
      <c r="N248" s="81"/>
      <c r="O248" s="7"/>
      <c r="P248" s="80"/>
      <c r="Q248" s="80"/>
      <c r="R248" s="91"/>
      <c r="S248" s="8"/>
      <c r="T248" s="82"/>
      <c r="W248" s="10"/>
      <c r="X248" s="9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</row>
    <row r="249" spans="1:61">
      <c r="A249" s="156"/>
      <c r="B249" s="157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M249" s="188" t="e">
        <f t="shared" si="87"/>
        <v>#DIV/0!</v>
      </c>
      <c r="N249" s="81"/>
      <c r="O249" s="7"/>
      <c r="P249" s="80"/>
      <c r="Q249" s="80"/>
      <c r="R249" s="91"/>
      <c r="S249" s="8"/>
      <c r="T249" s="82"/>
      <c r="W249" s="10"/>
      <c r="X249" s="9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</row>
    <row r="250" spans="1:61" ht="57">
      <c r="A250" s="156" t="s">
        <v>318</v>
      </c>
      <c r="B250" s="157" t="s">
        <v>80</v>
      </c>
      <c r="C250" s="156" t="s">
        <v>16</v>
      </c>
      <c r="D250" s="156">
        <v>18.559999999999999</v>
      </c>
      <c r="E250" s="156">
        <v>51.13</v>
      </c>
      <c r="F250" s="156">
        <f t="shared" ref="F250" si="109">D250*E250</f>
        <v>948.97280000000001</v>
      </c>
      <c r="G250" s="156">
        <v>18.559999999999999</v>
      </c>
      <c r="H250" s="156"/>
      <c r="I250" s="156">
        <f t="shared" ref="I250" si="110">G250+H250</f>
        <v>18.559999999999999</v>
      </c>
      <c r="J250" s="156">
        <f t="shared" ref="J250" si="111">E250*G250</f>
        <v>948.97280000000001</v>
      </c>
      <c r="K250" s="156">
        <f t="shared" ref="K250" si="112">H250*E250</f>
        <v>0</v>
      </c>
      <c r="L250" s="156">
        <f t="shared" ref="L250" si="113">J250+K250</f>
        <v>948.97280000000001</v>
      </c>
      <c r="M250" s="188">
        <f t="shared" si="87"/>
        <v>1</v>
      </c>
      <c r="N250" s="92"/>
      <c r="O250" s="7"/>
      <c r="P250" s="80"/>
      <c r="Q250" s="80"/>
      <c r="R250" s="91"/>
      <c r="S250" s="8"/>
      <c r="T250" s="82"/>
      <c r="W250" s="10"/>
      <c r="X250" s="9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</row>
    <row r="251" spans="1:61">
      <c r="A251" s="156"/>
      <c r="B251" s="157"/>
      <c r="C251" s="156"/>
      <c r="D251" s="156"/>
      <c r="E251" s="156"/>
      <c r="F251" s="156"/>
      <c r="G251" s="156"/>
      <c r="H251" s="156"/>
      <c r="I251" s="156"/>
      <c r="J251" s="156"/>
      <c r="K251" s="156"/>
      <c r="L251" s="156"/>
      <c r="M251" s="188" t="e">
        <f t="shared" si="87"/>
        <v>#DIV/0!</v>
      </c>
      <c r="N251" s="81"/>
      <c r="O251" s="7"/>
      <c r="P251" s="80"/>
      <c r="Q251" s="80"/>
      <c r="R251" s="91"/>
      <c r="S251" s="8"/>
      <c r="T251" s="82"/>
      <c r="W251" s="10"/>
      <c r="X251" s="9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</row>
    <row r="252" spans="1:61" ht="14.25" customHeight="1">
      <c r="A252" s="164" t="s">
        <v>319</v>
      </c>
      <c r="B252" s="165" t="s">
        <v>320</v>
      </c>
      <c r="C252" s="166"/>
      <c r="D252" s="167"/>
      <c r="E252" s="166"/>
      <c r="F252" s="166">
        <f>SUM(F253:F259)</f>
        <v>9832.2376000000004</v>
      </c>
      <c r="G252" s="166"/>
      <c r="H252" s="166"/>
      <c r="I252" s="166"/>
      <c r="J252" s="166">
        <f>SUM(J253:J259)</f>
        <v>9832.2376000000004</v>
      </c>
      <c r="K252" s="166">
        <f t="shared" ref="K252:L252" si="114">SUM(K253:K259)</f>
        <v>0</v>
      </c>
      <c r="L252" s="166">
        <f t="shared" si="114"/>
        <v>9832.2376000000004</v>
      </c>
      <c r="M252" s="188">
        <f t="shared" si="87"/>
        <v>1</v>
      </c>
      <c r="N252" s="81"/>
      <c r="O252" s="7"/>
      <c r="P252" s="80"/>
      <c r="Q252" s="80"/>
      <c r="R252" s="91"/>
      <c r="S252" s="8"/>
      <c r="T252" s="82"/>
      <c r="W252" s="10"/>
      <c r="X252" s="9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</row>
    <row r="253" spans="1:61">
      <c r="A253" s="156"/>
      <c r="B253" s="157"/>
      <c r="C253" s="156"/>
      <c r="D253" s="156"/>
      <c r="E253" s="156"/>
      <c r="F253" s="156"/>
      <c r="G253" s="156"/>
      <c r="H253" s="156"/>
      <c r="I253" s="156"/>
      <c r="J253" s="156"/>
      <c r="K253" s="156"/>
      <c r="L253" s="156"/>
      <c r="M253" s="188" t="e">
        <f t="shared" si="87"/>
        <v>#DIV/0!</v>
      </c>
      <c r="N253" s="81"/>
      <c r="O253" s="7"/>
      <c r="P253" s="80"/>
      <c r="Q253" s="80"/>
      <c r="R253" s="91"/>
      <c r="S253" s="8"/>
      <c r="T253" s="82"/>
      <c r="W253" s="10"/>
      <c r="X253" s="9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</row>
    <row r="254" spans="1:61" ht="42.75">
      <c r="A254" s="156" t="s">
        <v>321</v>
      </c>
      <c r="B254" s="157" t="s">
        <v>110</v>
      </c>
      <c r="C254" s="156" t="s">
        <v>16</v>
      </c>
      <c r="D254" s="156">
        <v>0</v>
      </c>
      <c r="E254" s="156">
        <v>22.8</v>
      </c>
      <c r="F254" s="156">
        <f t="shared" ref="F254:F259" si="115">D254*E254</f>
        <v>0</v>
      </c>
      <c r="G254" s="156">
        <v>0</v>
      </c>
      <c r="H254" s="156"/>
      <c r="I254" s="156">
        <f t="shared" ref="I254:I259" si="116">G254+H254</f>
        <v>0</v>
      </c>
      <c r="J254" s="156">
        <f t="shared" ref="J254:J259" si="117">E254*G254</f>
        <v>0</v>
      </c>
      <c r="K254" s="156">
        <f t="shared" ref="K254:K259" si="118">H254*E254</f>
        <v>0</v>
      </c>
      <c r="L254" s="156">
        <f t="shared" ref="L254:L259" si="119">J254+K254</f>
        <v>0</v>
      </c>
      <c r="M254" s="188" t="e">
        <f t="shared" si="87"/>
        <v>#DIV/0!</v>
      </c>
      <c r="N254" s="81"/>
      <c r="O254" s="7"/>
      <c r="P254" s="80"/>
      <c r="Q254" s="80"/>
      <c r="R254" s="91"/>
      <c r="S254" s="8"/>
      <c r="T254" s="82"/>
      <c r="W254" s="10"/>
      <c r="X254" s="9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</row>
    <row r="255" spans="1:61" ht="42.75">
      <c r="A255" s="156" t="s">
        <v>322</v>
      </c>
      <c r="B255" s="157" t="s">
        <v>323</v>
      </c>
      <c r="C255" s="156" t="s">
        <v>7</v>
      </c>
      <c r="D255" s="156">
        <v>0</v>
      </c>
      <c r="E255" s="156">
        <v>319.25</v>
      </c>
      <c r="F255" s="156">
        <f t="shared" si="115"/>
        <v>0</v>
      </c>
      <c r="G255" s="156">
        <v>0</v>
      </c>
      <c r="H255" s="156"/>
      <c r="I255" s="156">
        <f t="shared" si="116"/>
        <v>0</v>
      </c>
      <c r="J255" s="156">
        <f t="shared" si="117"/>
        <v>0</v>
      </c>
      <c r="K255" s="156">
        <f t="shared" si="118"/>
        <v>0</v>
      </c>
      <c r="L255" s="156">
        <f t="shared" si="119"/>
        <v>0</v>
      </c>
      <c r="M255" s="188" t="e">
        <f t="shared" si="87"/>
        <v>#DIV/0!</v>
      </c>
      <c r="N255" s="81"/>
      <c r="O255" s="7"/>
      <c r="P255" s="80"/>
      <c r="Q255" s="80"/>
      <c r="R255" s="91"/>
      <c r="S255" s="8"/>
      <c r="T255" s="82"/>
      <c r="W255" s="10"/>
      <c r="X255" s="9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</row>
    <row r="256" spans="1:61" ht="28.5">
      <c r="A256" s="156" t="s">
        <v>324</v>
      </c>
      <c r="B256" s="157" t="s">
        <v>114</v>
      </c>
      <c r="C256" s="156" t="s">
        <v>16</v>
      </c>
      <c r="D256" s="156">
        <v>83.16</v>
      </c>
      <c r="E256" s="156">
        <v>25.93</v>
      </c>
      <c r="F256" s="156">
        <f t="shared" si="115"/>
        <v>2156.3388</v>
      </c>
      <c r="G256" s="156">
        <v>83.16</v>
      </c>
      <c r="H256" s="156"/>
      <c r="I256" s="156">
        <f t="shared" si="116"/>
        <v>83.16</v>
      </c>
      <c r="J256" s="156">
        <f t="shared" si="117"/>
        <v>2156.3388</v>
      </c>
      <c r="K256" s="156">
        <f t="shared" si="118"/>
        <v>0</v>
      </c>
      <c r="L256" s="156">
        <f t="shared" si="119"/>
        <v>2156.3388</v>
      </c>
      <c r="M256" s="188">
        <f t="shared" si="87"/>
        <v>1</v>
      </c>
      <c r="N256" s="81"/>
      <c r="O256" s="7"/>
      <c r="P256" s="80"/>
      <c r="Q256" s="80"/>
      <c r="R256" s="91"/>
      <c r="S256" s="8"/>
      <c r="T256" s="82"/>
      <c r="W256" s="10"/>
      <c r="X256" s="9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</row>
    <row r="257" spans="1:61" ht="43.5" customHeight="1">
      <c r="A257" s="156" t="s">
        <v>325</v>
      </c>
      <c r="B257" s="157" t="s">
        <v>116</v>
      </c>
      <c r="C257" s="156" t="s">
        <v>6</v>
      </c>
      <c r="D257" s="156">
        <v>12.6</v>
      </c>
      <c r="E257" s="156">
        <v>10.52</v>
      </c>
      <c r="F257" s="156">
        <f t="shared" si="115"/>
        <v>132.55199999999999</v>
      </c>
      <c r="G257" s="156">
        <v>12.6</v>
      </c>
      <c r="H257" s="156"/>
      <c r="I257" s="156">
        <f t="shared" si="116"/>
        <v>12.6</v>
      </c>
      <c r="J257" s="156">
        <f t="shared" si="117"/>
        <v>132.55199999999999</v>
      </c>
      <c r="K257" s="156">
        <f t="shared" si="118"/>
        <v>0</v>
      </c>
      <c r="L257" s="156">
        <f t="shared" si="119"/>
        <v>132.55199999999999</v>
      </c>
      <c r="M257" s="188">
        <f t="shared" si="87"/>
        <v>1</v>
      </c>
      <c r="N257" s="81"/>
      <c r="O257" s="7"/>
      <c r="P257" s="80"/>
      <c r="Q257" s="80"/>
      <c r="R257" s="91"/>
      <c r="S257" s="8"/>
      <c r="T257" s="82"/>
      <c r="W257" s="10"/>
      <c r="X257" s="9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</row>
    <row r="258" spans="1:61" ht="42.75">
      <c r="A258" s="156" t="s">
        <v>631</v>
      </c>
      <c r="B258" s="157" t="s">
        <v>632</v>
      </c>
      <c r="C258" s="156" t="s">
        <v>602</v>
      </c>
      <c r="D258" s="156">
        <v>4</v>
      </c>
      <c r="E258" s="156">
        <v>872.74</v>
      </c>
      <c r="F258" s="156">
        <f t="shared" si="115"/>
        <v>3490.96</v>
      </c>
      <c r="G258" s="156">
        <v>4</v>
      </c>
      <c r="H258" s="156"/>
      <c r="I258" s="156">
        <f t="shared" si="116"/>
        <v>4</v>
      </c>
      <c r="J258" s="156">
        <f t="shared" si="117"/>
        <v>3490.96</v>
      </c>
      <c r="K258" s="156">
        <f t="shared" si="118"/>
        <v>0</v>
      </c>
      <c r="L258" s="156">
        <f t="shared" si="119"/>
        <v>3490.96</v>
      </c>
      <c r="M258" s="188">
        <f t="shared" si="87"/>
        <v>1</v>
      </c>
      <c r="N258" s="81"/>
      <c r="O258" s="7"/>
      <c r="P258" s="80"/>
      <c r="Q258" s="80"/>
      <c r="R258" s="91"/>
      <c r="S258" s="8"/>
      <c r="T258" s="82"/>
      <c r="W258" s="10"/>
      <c r="X258" s="9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</row>
    <row r="259" spans="1:61" ht="42.75">
      <c r="A259" s="156" t="s">
        <v>633</v>
      </c>
      <c r="B259" s="157" t="s">
        <v>634</v>
      </c>
      <c r="C259" s="156" t="s">
        <v>81</v>
      </c>
      <c r="D259" s="156">
        <v>83.16</v>
      </c>
      <c r="E259" s="156">
        <v>48.73</v>
      </c>
      <c r="F259" s="156">
        <f t="shared" si="115"/>
        <v>4052.3867999999998</v>
      </c>
      <c r="G259" s="156">
        <v>83.16</v>
      </c>
      <c r="H259" s="156"/>
      <c r="I259" s="156">
        <f t="shared" si="116"/>
        <v>83.16</v>
      </c>
      <c r="J259" s="156">
        <f t="shared" si="117"/>
        <v>4052.3867999999998</v>
      </c>
      <c r="K259" s="156">
        <f t="shared" si="118"/>
        <v>0</v>
      </c>
      <c r="L259" s="156">
        <f t="shared" si="119"/>
        <v>4052.3867999999998</v>
      </c>
      <c r="M259" s="188">
        <f t="shared" si="87"/>
        <v>1</v>
      </c>
      <c r="N259" s="81"/>
      <c r="O259" s="7"/>
      <c r="P259" s="80"/>
      <c r="Q259" s="80"/>
      <c r="R259" s="91"/>
      <c r="S259" s="8"/>
      <c r="T259" s="82"/>
      <c r="W259" s="10"/>
      <c r="X259" s="9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</row>
    <row r="260" spans="1:61">
      <c r="A260" s="156"/>
      <c r="B260" s="157"/>
      <c r="C260" s="156"/>
      <c r="D260" s="156"/>
      <c r="E260" s="156"/>
      <c r="F260" s="156"/>
      <c r="G260" s="156"/>
      <c r="H260" s="156"/>
      <c r="I260" s="156"/>
      <c r="J260" s="156"/>
      <c r="K260" s="156"/>
      <c r="L260" s="156"/>
      <c r="M260" s="188" t="e">
        <f t="shared" si="87"/>
        <v>#DIV/0!</v>
      </c>
      <c r="N260" s="81"/>
      <c r="O260" s="7"/>
      <c r="P260" s="80"/>
      <c r="Q260" s="80"/>
      <c r="R260" s="91"/>
      <c r="S260" s="8"/>
      <c r="T260" s="82"/>
      <c r="W260" s="10"/>
      <c r="X260" s="9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</row>
    <row r="261" spans="1:61" ht="14.25" customHeight="1">
      <c r="A261" s="164" t="s">
        <v>326</v>
      </c>
      <c r="B261" s="165" t="s">
        <v>327</v>
      </c>
      <c r="C261" s="166"/>
      <c r="D261" s="167"/>
      <c r="E261" s="166"/>
      <c r="F261" s="166">
        <f>SUM(F262:F266)</f>
        <v>2578.8735999999999</v>
      </c>
      <c r="G261" s="166"/>
      <c r="H261" s="166"/>
      <c r="I261" s="166"/>
      <c r="J261" s="166">
        <f>SUM(J262:J266)</f>
        <v>1627.4880000000001</v>
      </c>
      <c r="K261" s="166">
        <f t="shared" ref="K261:L261" si="120">SUM(K262:K266)</f>
        <v>0</v>
      </c>
      <c r="L261" s="166">
        <f t="shared" si="120"/>
        <v>1627.4880000000001</v>
      </c>
      <c r="M261" s="188">
        <f t="shared" si="87"/>
        <v>0.631084827112116</v>
      </c>
      <c r="N261" s="81">
        <f>F261-J261</f>
        <v>951.38559999999984</v>
      </c>
      <c r="O261" s="7"/>
      <c r="P261" s="80"/>
      <c r="Q261" s="80"/>
      <c r="R261" s="91"/>
      <c r="S261" s="8"/>
      <c r="T261" s="82"/>
      <c r="W261" s="10"/>
      <c r="X261" s="9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</row>
    <row r="262" spans="1:61">
      <c r="A262" s="156"/>
      <c r="B262" s="157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88" t="e">
        <f t="shared" si="87"/>
        <v>#DIV/0!</v>
      </c>
      <c r="N262" s="81"/>
      <c r="O262" s="7"/>
      <c r="P262" s="80"/>
      <c r="Q262" s="80"/>
      <c r="R262" s="91"/>
      <c r="S262" s="8"/>
      <c r="T262" s="82"/>
      <c r="W262" s="10"/>
      <c r="X262" s="9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</row>
    <row r="263" spans="1:61" ht="42.75">
      <c r="A263" s="156" t="s">
        <v>328</v>
      </c>
      <c r="B263" s="157" t="s">
        <v>128</v>
      </c>
      <c r="C263" s="156" t="s">
        <v>16</v>
      </c>
      <c r="D263" s="156">
        <v>66.88</v>
      </c>
      <c r="E263" s="156">
        <v>2.92</v>
      </c>
      <c r="F263" s="156">
        <f t="shared" ref="F263:F266" si="121">D263*E263</f>
        <v>195.28959999999998</v>
      </c>
      <c r="G263" s="156">
        <v>66.88</v>
      </c>
      <c r="H263" s="156"/>
      <c r="I263" s="156">
        <f t="shared" ref="I263:I266" si="122">G263+H263</f>
        <v>66.88</v>
      </c>
      <c r="J263" s="156">
        <f t="shared" ref="J263:J266" si="123">E263*G263</f>
        <v>195.28959999999998</v>
      </c>
      <c r="K263" s="156">
        <f t="shared" ref="K263:K266" si="124">H263*E263</f>
        <v>0</v>
      </c>
      <c r="L263" s="156">
        <f t="shared" ref="L263:L266" si="125">J263+K263</f>
        <v>195.28959999999998</v>
      </c>
      <c r="M263" s="188">
        <f t="shared" si="87"/>
        <v>1</v>
      </c>
      <c r="N263" s="81"/>
      <c r="O263" s="7"/>
      <c r="P263" s="80"/>
      <c r="Q263" s="80"/>
      <c r="R263" s="91"/>
      <c r="S263" s="8"/>
      <c r="T263" s="82"/>
      <c r="W263" s="10"/>
      <c r="X263" s="9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</row>
    <row r="264" spans="1:61" ht="60" customHeight="1">
      <c r="A264" s="156" t="s">
        <v>329</v>
      </c>
      <c r="B264" s="157" t="s">
        <v>130</v>
      </c>
      <c r="C264" s="156" t="s">
        <v>16</v>
      </c>
      <c r="D264" s="156">
        <v>48.32</v>
      </c>
      <c r="E264" s="156">
        <v>21.42</v>
      </c>
      <c r="F264" s="156">
        <f t="shared" si="121"/>
        <v>1035.0144</v>
      </c>
      <c r="G264" s="156">
        <v>48.319999999999993</v>
      </c>
      <c r="H264" s="156"/>
      <c r="I264" s="156">
        <f t="shared" si="122"/>
        <v>48.319999999999993</v>
      </c>
      <c r="J264" s="156">
        <f t="shared" si="123"/>
        <v>1035.0144</v>
      </c>
      <c r="K264" s="156">
        <f t="shared" si="124"/>
        <v>0</v>
      </c>
      <c r="L264" s="156">
        <f t="shared" si="125"/>
        <v>1035.0144</v>
      </c>
      <c r="M264" s="188">
        <f t="shared" si="87"/>
        <v>1</v>
      </c>
      <c r="N264" s="81"/>
      <c r="O264" s="7"/>
      <c r="P264" s="80"/>
      <c r="Q264" s="80"/>
      <c r="R264" s="91"/>
      <c r="S264" s="8"/>
      <c r="T264" s="82"/>
      <c r="W264" s="10"/>
      <c r="X264" s="9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</row>
    <row r="265" spans="1:61" ht="42.75">
      <c r="A265" s="156" t="s">
        <v>330</v>
      </c>
      <c r="B265" s="157" t="s">
        <v>134</v>
      </c>
      <c r="C265" s="156" t="s">
        <v>16</v>
      </c>
      <c r="D265" s="156">
        <v>18.559999999999999</v>
      </c>
      <c r="E265" s="156">
        <v>51.26</v>
      </c>
      <c r="F265" s="156">
        <f t="shared" si="121"/>
        <v>951.38559999999995</v>
      </c>
      <c r="G265" s="156">
        <v>0</v>
      </c>
      <c r="H265" s="156"/>
      <c r="I265" s="156">
        <f t="shared" si="122"/>
        <v>0</v>
      </c>
      <c r="J265" s="156">
        <f t="shared" si="123"/>
        <v>0</v>
      </c>
      <c r="K265" s="156">
        <f t="shared" si="124"/>
        <v>0</v>
      </c>
      <c r="L265" s="156">
        <f t="shared" si="125"/>
        <v>0</v>
      </c>
      <c r="M265" s="188">
        <f t="shared" si="87"/>
        <v>0</v>
      </c>
      <c r="N265" s="81"/>
      <c r="O265" s="7"/>
      <c r="P265" s="80"/>
      <c r="Q265" s="80"/>
      <c r="R265" s="91"/>
      <c r="S265" s="8"/>
      <c r="T265" s="82"/>
      <c r="W265" s="10"/>
      <c r="X265" s="9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</row>
    <row r="266" spans="1:61" ht="42.75">
      <c r="A266" s="156" t="s">
        <v>635</v>
      </c>
      <c r="B266" s="157" t="s">
        <v>636</v>
      </c>
      <c r="C266" s="156" t="s">
        <v>81</v>
      </c>
      <c r="D266" s="156">
        <v>18.559999999999999</v>
      </c>
      <c r="E266" s="156">
        <v>21.4</v>
      </c>
      <c r="F266" s="156">
        <f t="shared" si="121"/>
        <v>397.18399999999997</v>
      </c>
      <c r="G266" s="156">
        <v>18.559999999999999</v>
      </c>
      <c r="H266" s="156"/>
      <c r="I266" s="156">
        <f t="shared" si="122"/>
        <v>18.559999999999999</v>
      </c>
      <c r="J266" s="156">
        <f t="shared" si="123"/>
        <v>397.18399999999997</v>
      </c>
      <c r="K266" s="156">
        <f t="shared" si="124"/>
        <v>0</v>
      </c>
      <c r="L266" s="156">
        <f t="shared" si="125"/>
        <v>397.18399999999997</v>
      </c>
      <c r="M266" s="188">
        <f t="shared" si="87"/>
        <v>1</v>
      </c>
      <c r="N266" s="81"/>
      <c r="O266" s="7"/>
      <c r="P266" s="80"/>
      <c r="Q266" s="80"/>
      <c r="R266" s="91"/>
      <c r="S266" s="8"/>
      <c r="T266" s="82"/>
      <c r="W266" s="10"/>
      <c r="X266" s="9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</row>
    <row r="267" spans="1:61">
      <c r="A267" s="156"/>
      <c r="B267" s="157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88" t="e">
        <f t="shared" si="87"/>
        <v>#DIV/0!</v>
      </c>
      <c r="N267" s="81"/>
      <c r="O267" s="7"/>
      <c r="P267" s="80"/>
      <c r="Q267" s="80"/>
      <c r="R267" s="91"/>
      <c r="S267" s="8"/>
      <c r="T267" s="82"/>
      <c r="W267" s="10"/>
      <c r="X267" s="9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</row>
    <row r="268" spans="1:61" ht="14.25" customHeight="1">
      <c r="A268" s="164" t="s">
        <v>331</v>
      </c>
      <c r="B268" s="165" t="s">
        <v>332</v>
      </c>
      <c r="C268" s="166"/>
      <c r="D268" s="167"/>
      <c r="E268" s="166"/>
      <c r="F268" s="166">
        <f>SUM(F269:F273)</f>
        <v>6167.6136000000006</v>
      </c>
      <c r="G268" s="166"/>
      <c r="H268" s="166"/>
      <c r="I268" s="166"/>
      <c r="J268" s="166">
        <f>SUM(J269:J273)</f>
        <v>1819.6309999999999</v>
      </c>
      <c r="K268" s="166">
        <f t="shared" ref="K268:L268" si="126">SUM(K269:K273)</f>
        <v>2272.2226000000001</v>
      </c>
      <c r="L268" s="166">
        <f t="shared" si="126"/>
        <v>4091.8535999999999</v>
      </c>
      <c r="M268" s="188">
        <f t="shared" si="87"/>
        <v>0.66344195103272996</v>
      </c>
      <c r="N268" s="81">
        <f>F268-L268</f>
        <v>2075.7600000000007</v>
      </c>
      <c r="O268" s="7"/>
      <c r="P268" s="80"/>
      <c r="Q268" s="80"/>
      <c r="R268" s="91"/>
      <c r="S268" s="8"/>
      <c r="T268" s="82"/>
      <c r="W268" s="10"/>
      <c r="X268" s="9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</row>
    <row r="269" spans="1:61">
      <c r="A269" s="156"/>
      <c r="B269" s="157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88" t="e">
        <f t="shared" si="87"/>
        <v>#DIV/0!</v>
      </c>
      <c r="N269" s="81"/>
      <c r="O269" s="7"/>
      <c r="P269" s="80"/>
      <c r="Q269" s="80"/>
      <c r="R269" s="91"/>
      <c r="S269" s="8"/>
      <c r="T269" s="82"/>
      <c r="W269" s="10"/>
      <c r="X269" s="9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</row>
    <row r="270" spans="1:61" ht="28.5">
      <c r="A270" s="156" t="s">
        <v>333</v>
      </c>
      <c r="B270" s="157" t="s">
        <v>154</v>
      </c>
      <c r="C270" s="156" t="s">
        <v>16</v>
      </c>
      <c r="D270" s="156">
        <v>72</v>
      </c>
      <c r="E270" s="156">
        <v>19.77</v>
      </c>
      <c r="F270" s="156">
        <f t="shared" ref="F270:F273" si="127">D270*E270</f>
        <v>1423.44</v>
      </c>
      <c r="G270" s="156">
        <v>47.3</v>
      </c>
      <c r="H270" s="156">
        <f>'MEMORIA BM 05'!L679</f>
        <v>24.700000000000003</v>
      </c>
      <c r="I270" s="156">
        <f t="shared" ref="I270:I273" si="128">G270+H270</f>
        <v>72</v>
      </c>
      <c r="J270" s="156">
        <f t="shared" ref="J270:J273" si="129">E270*G270</f>
        <v>935.12099999999987</v>
      </c>
      <c r="K270" s="156">
        <f t="shared" ref="K270:K273" si="130">H270*E270</f>
        <v>488.31900000000007</v>
      </c>
      <c r="L270" s="156">
        <f t="shared" ref="L270:L273" si="131">J270+K270</f>
        <v>1423.44</v>
      </c>
      <c r="M270" s="188">
        <f t="shared" si="87"/>
        <v>1</v>
      </c>
      <c r="N270" s="92"/>
      <c r="O270" s="7"/>
      <c r="P270" s="80"/>
      <c r="Q270" s="80"/>
      <c r="R270" s="91"/>
      <c r="S270" s="8"/>
      <c r="T270" s="82"/>
      <c r="W270" s="10"/>
      <c r="X270" s="9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</row>
    <row r="271" spans="1:61">
      <c r="A271" s="156" t="s">
        <v>334</v>
      </c>
      <c r="B271" s="157" t="s">
        <v>156</v>
      </c>
      <c r="C271" s="156" t="s">
        <v>16</v>
      </c>
      <c r="D271" s="156">
        <v>72</v>
      </c>
      <c r="E271" s="156">
        <v>18.7</v>
      </c>
      <c r="F271" s="156">
        <f t="shared" si="127"/>
        <v>1346.3999999999999</v>
      </c>
      <c r="G271" s="156">
        <v>47.3</v>
      </c>
      <c r="H271" s="156">
        <f>'MEMORIA BM 05'!L682</f>
        <v>24.700000000000003</v>
      </c>
      <c r="I271" s="156">
        <f t="shared" si="128"/>
        <v>72</v>
      </c>
      <c r="J271" s="156">
        <f t="shared" si="129"/>
        <v>884.50999999999988</v>
      </c>
      <c r="K271" s="156">
        <f t="shared" si="130"/>
        <v>461.89000000000004</v>
      </c>
      <c r="L271" s="156">
        <f t="shared" si="131"/>
        <v>1346.3999999999999</v>
      </c>
      <c r="M271" s="188">
        <f t="shared" si="87"/>
        <v>1</v>
      </c>
      <c r="N271" s="92"/>
      <c r="O271" s="7"/>
      <c r="P271" s="80"/>
      <c r="Q271" s="80"/>
      <c r="R271" s="91"/>
      <c r="S271" s="8"/>
      <c r="T271" s="82"/>
      <c r="W271" s="10"/>
      <c r="X271" s="9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</row>
    <row r="272" spans="1:61" ht="28.5">
      <c r="A272" s="156" t="s">
        <v>335</v>
      </c>
      <c r="B272" s="157" t="s">
        <v>160</v>
      </c>
      <c r="C272" s="156" t="s">
        <v>16</v>
      </c>
      <c r="D272" s="156">
        <v>72</v>
      </c>
      <c r="E272" s="156">
        <v>28.83</v>
      </c>
      <c r="F272" s="156">
        <f t="shared" si="127"/>
        <v>2075.7599999999998</v>
      </c>
      <c r="G272" s="156">
        <v>0</v>
      </c>
      <c r="H272" s="156"/>
      <c r="I272" s="156">
        <f t="shared" si="128"/>
        <v>0</v>
      </c>
      <c r="J272" s="156">
        <f t="shared" si="129"/>
        <v>0</v>
      </c>
      <c r="K272" s="156">
        <f t="shared" si="130"/>
        <v>0</v>
      </c>
      <c r="L272" s="156">
        <f t="shared" si="131"/>
        <v>0</v>
      </c>
      <c r="M272" s="188">
        <f t="shared" si="87"/>
        <v>0</v>
      </c>
      <c r="N272" s="92"/>
      <c r="O272" s="7"/>
      <c r="P272" s="80"/>
      <c r="Q272" s="80"/>
      <c r="R272" s="91"/>
      <c r="S272" s="8"/>
      <c r="T272" s="82"/>
      <c r="W272" s="10"/>
      <c r="X272" s="9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</row>
    <row r="273" spans="1:61" ht="42.75">
      <c r="A273" s="156" t="s">
        <v>637</v>
      </c>
      <c r="B273" s="157" t="s">
        <v>638</v>
      </c>
      <c r="C273" s="156" t="s">
        <v>81</v>
      </c>
      <c r="D273" s="156">
        <v>22.32</v>
      </c>
      <c r="E273" s="156">
        <v>59.23</v>
      </c>
      <c r="F273" s="156">
        <f t="shared" si="127"/>
        <v>1322.0136</v>
      </c>
      <c r="G273" s="156">
        <v>0</v>
      </c>
      <c r="H273" s="156">
        <f>'MEMORIA BM 05'!L688</f>
        <v>22.319999999999997</v>
      </c>
      <c r="I273" s="156">
        <f t="shared" si="128"/>
        <v>22.319999999999997</v>
      </c>
      <c r="J273" s="156">
        <f t="shared" si="129"/>
        <v>0</v>
      </c>
      <c r="K273" s="156">
        <f t="shared" si="130"/>
        <v>1322.0135999999998</v>
      </c>
      <c r="L273" s="156">
        <f t="shared" si="131"/>
        <v>1322.0135999999998</v>
      </c>
      <c r="M273" s="188">
        <f t="shared" si="87"/>
        <v>0.99999999999999978</v>
      </c>
      <c r="N273" s="92"/>
      <c r="O273" s="7"/>
      <c r="P273" s="80"/>
      <c r="Q273" s="80"/>
      <c r="R273" s="91"/>
      <c r="S273" s="8"/>
      <c r="T273" s="82"/>
      <c r="W273" s="10"/>
      <c r="X273" s="9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</row>
    <row r="274" spans="1:61">
      <c r="A274" s="156"/>
      <c r="B274" s="157"/>
      <c r="C274" s="156"/>
      <c r="D274" s="156"/>
      <c r="E274" s="156"/>
      <c r="F274" s="156"/>
      <c r="G274" s="156"/>
      <c r="H274" s="156"/>
      <c r="I274" s="156"/>
      <c r="J274" s="156"/>
      <c r="K274" s="156"/>
      <c r="L274" s="156"/>
      <c r="M274" s="188" t="e">
        <f t="shared" si="87"/>
        <v>#DIV/0!</v>
      </c>
      <c r="N274" s="81"/>
      <c r="O274" s="7"/>
      <c r="P274" s="80"/>
      <c r="Q274" s="80"/>
      <c r="R274" s="91"/>
      <c r="S274" s="8"/>
      <c r="T274" s="82"/>
      <c r="W274" s="10"/>
      <c r="X274" s="9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</row>
    <row r="275" spans="1:61" ht="14.25" customHeight="1">
      <c r="A275" s="164" t="s">
        <v>336</v>
      </c>
      <c r="B275" s="165" t="s">
        <v>337</v>
      </c>
      <c r="C275" s="166"/>
      <c r="D275" s="167"/>
      <c r="E275" s="166"/>
      <c r="F275" s="166">
        <f>SUM(F276:F281)</f>
        <v>2430.9776000000002</v>
      </c>
      <c r="G275" s="166"/>
      <c r="H275" s="166"/>
      <c r="I275" s="166"/>
      <c r="J275" s="166">
        <f>SUM(J276:J281)</f>
        <v>0</v>
      </c>
      <c r="K275" s="166">
        <f>SUM(K276:K281)</f>
        <v>940.61760000000004</v>
      </c>
      <c r="L275" s="166">
        <f>SUM(L276:L281)</f>
        <v>940.61760000000004</v>
      </c>
      <c r="M275" s="188">
        <f t="shared" si="87"/>
        <v>0.3869297685013634</v>
      </c>
      <c r="N275" s="81">
        <f>F275</f>
        <v>2430.9776000000002</v>
      </c>
      <c r="O275" s="7"/>
      <c r="P275" s="80"/>
      <c r="Q275" s="80"/>
      <c r="R275" s="91"/>
      <c r="S275" s="8"/>
      <c r="T275" s="82"/>
      <c r="W275" s="10"/>
      <c r="X275" s="9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</row>
    <row r="276" spans="1:61">
      <c r="A276" s="156"/>
      <c r="B276" s="157"/>
      <c r="C276" s="156"/>
      <c r="D276" s="156"/>
      <c r="E276" s="156"/>
      <c r="F276" s="156"/>
      <c r="G276" s="156"/>
      <c r="H276" s="156"/>
      <c r="I276" s="156"/>
      <c r="J276" s="156"/>
      <c r="K276" s="156"/>
      <c r="L276" s="156"/>
      <c r="M276" s="188" t="e">
        <f t="shared" si="87"/>
        <v>#DIV/0!</v>
      </c>
      <c r="N276" s="81"/>
      <c r="O276" s="7"/>
      <c r="P276" s="80"/>
      <c r="Q276" s="80"/>
      <c r="R276" s="91"/>
      <c r="S276" s="8"/>
      <c r="T276" s="82"/>
      <c r="W276" s="10"/>
      <c r="X276" s="9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</row>
    <row r="277" spans="1:61" ht="28.5">
      <c r="A277" s="156" t="s">
        <v>338</v>
      </c>
      <c r="B277" s="157" t="s">
        <v>262</v>
      </c>
      <c r="C277" s="156" t="s">
        <v>7</v>
      </c>
      <c r="D277" s="156">
        <v>4</v>
      </c>
      <c r="E277" s="156">
        <v>116.16</v>
      </c>
      <c r="F277" s="156">
        <f t="shared" ref="F277:F281" si="132">D277*E277</f>
        <v>464.64</v>
      </c>
      <c r="G277" s="156">
        <v>0</v>
      </c>
      <c r="H277" s="156">
        <f>'MEMORIA BM 05'!L694</f>
        <v>4</v>
      </c>
      <c r="I277" s="156">
        <f t="shared" ref="I277:I281" si="133">G277+H277</f>
        <v>4</v>
      </c>
      <c r="J277" s="156">
        <f t="shared" ref="J277:J281" si="134">E277*G277</f>
        <v>0</v>
      </c>
      <c r="K277" s="156">
        <f t="shared" ref="K277:K281" si="135">H277*E277</f>
        <v>464.64</v>
      </c>
      <c r="L277" s="156">
        <f t="shared" ref="L277:L281" si="136">J277+K277</f>
        <v>464.64</v>
      </c>
      <c r="M277" s="188">
        <f t="shared" si="87"/>
        <v>1</v>
      </c>
      <c r="N277" s="81"/>
      <c r="O277" s="7"/>
      <c r="P277" s="80"/>
      <c r="Q277" s="80"/>
      <c r="R277" s="91"/>
      <c r="S277" s="8"/>
      <c r="T277" s="82"/>
      <c r="W277" s="10"/>
      <c r="X277" s="9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</row>
    <row r="278" spans="1:61" ht="42.75">
      <c r="A278" s="156" t="s">
        <v>339</v>
      </c>
      <c r="B278" s="157" t="s">
        <v>260</v>
      </c>
      <c r="C278" s="156" t="s">
        <v>7</v>
      </c>
      <c r="D278" s="156">
        <v>4</v>
      </c>
      <c r="E278" s="156">
        <v>90.95</v>
      </c>
      <c r="F278" s="156">
        <f t="shared" si="132"/>
        <v>363.8</v>
      </c>
      <c r="G278" s="156">
        <v>0</v>
      </c>
      <c r="H278" s="156">
        <f>'MEMORIA BM 05'!L697</f>
        <v>4</v>
      </c>
      <c r="I278" s="156">
        <f t="shared" si="133"/>
        <v>4</v>
      </c>
      <c r="J278" s="156">
        <f t="shared" si="134"/>
        <v>0</v>
      </c>
      <c r="K278" s="156">
        <f t="shared" si="135"/>
        <v>363.8</v>
      </c>
      <c r="L278" s="156">
        <f t="shared" si="136"/>
        <v>363.8</v>
      </c>
      <c r="M278" s="188">
        <f t="shared" si="87"/>
        <v>1</v>
      </c>
      <c r="N278" s="81"/>
      <c r="O278" s="7"/>
      <c r="P278" s="80"/>
      <c r="Q278" s="80"/>
      <c r="R278" s="91"/>
      <c r="S278" s="8"/>
      <c r="T278" s="82"/>
      <c r="W278" s="10"/>
      <c r="X278" s="9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  <c r="BH278" s="11"/>
      <c r="BI278" s="11"/>
    </row>
    <row r="279" spans="1:61" ht="28.5">
      <c r="A279" s="156" t="s">
        <v>340</v>
      </c>
      <c r="B279" s="157" t="s">
        <v>341</v>
      </c>
      <c r="C279" s="156" t="s">
        <v>7</v>
      </c>
      <c r="D279" s="156">
        <v>4</v>
      </c>
      <c r="E279" s="156">
        <v>372.59</v>
      </c>
      <c r="F279" s="156">
        <f t="shared" si="132"/>
        <v>1490.36</v>
      </c>
      <c r="G279" s="156">
        <v>0</v>
      </c>
      <c r="H279" s="156"/>
      <c r="I279" s="156">
        <f t="shared" si="133"/>
        <v>0</v>
      </c>
      <c r="J279" s="156">
        <f t="shared" si="134"/>
        <v>0</v>
      </c>
      <c r="K279" s="156">
        <f t="shared" si="135"/>
        <v>0</v>
      </c>
      <c r="L279" s="156">
        <f t="shared" si="136"/>
        <v>0</v>
      </c>
      <c r="M279" s="188">
        <f t="shared" si="87"/>
        <v>0</v>
      </c>
      <c r="N279" s="81"/>
      <c r="O279" s="7"/>
      <c r="P279" s="80"/>
      <c r="Q279" s="80"/>
      <c r="R279" s="91"/>
      <c r="S279" s="8"/>
      <c r="T279" s="82"/>
      <c r="W279" s="10"/>
      <c r="X279" s="9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</row>
    <row r="280" spans="1:61" ht="28.5">
      <c r="A280" s="156" t="s">
        <v>342</v>
      </c>
      <c r="B280" s="157" t="s">
        <v>343</v>
      </c>
      <c r="C280" s="156" t="s">
        <v>7</v>
      </c>
      <c r="D280" s="156">
        <v>2</v>
      </c>
      <c r="E280" s="156">
        <v>11.09</v>
      </c>
      <c r="F280" s="156">
        <f t="shared" si="132"/>
        <v>22.18</v>
      </c>
      <c r="G280" s="156">
        <v>0</v>
      </c>
      <c r="H280" s="156">
        <f>'MEMORIA BM 05'!L703</f>
        <v>2</v>
      </c>
      <c r="I280" s="156">
        <f t="shared" si="133"/>
        <v>2</v>
      </c>
      <c r="J280" s="156">
        <f t="shared" si="134"/>
        <v>0</v>
      </c>
      <c r="K280" s="156">
        <f t="shared" si="135"/>
        <v>22.18</v>
      </c>
      <c r="L280" s="156">
        <f t="shared" si="136"/>
        <v>22.18</v>
      </c>
      <c r="M280" s="188">
        <f t="shared" si="87"/>
        <v>1</v>
      </c>
      <c r="N280" s="81"/>
      <c r="O280" s="7"/>
      <c r="P280" s="80"/>
      <c r="Q280" s="80"/>
      <c r="R280" s="91"/>
      <c r="S280" s="8"/>
      <c r="T280" s="82"/>
      <c r="W280" s="10"/>
      <c r="X280" s="9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</row>
    <row r="281" spans="1:61" ht="28.5">
      <c r="A281" s="156" t="s">
        <v>344</v>
      </c>
      <c r="B281" s="157" t="s">
        <v>345</v>
      </c>
      <c r="C281" s="156" t="s">
        <v>16</v>
      </c>
      <c r="D281" s="156">
        <v>19.48</v>
      </c>
      <c r="E281" s="156">
        <v>4.62</v>
      </c>
      <c r="F281" s="156">
        <f t="shared" si="132"/>
        <v>89.997600000000006</v>
      </c>
      <c r="G281" s="156">
        <v>0</v>
      </c>
      <c r="H281" s="156">
        <f>'MEMORIA BM 05'!L706</f>
        <v>19.48</v>
      </c>
      <c r="I281" s="156">
        <f t="shared" si="133"/>
        <v>19.48</v>
      </c>
      <c r="J281" s="156">
        <f t="shared" si="134"/>
        <v>0</v>
      </c>
      <c r="K281" s="156">
        <f t="shared" si="135"/>
        <v>89.997600000000006</v>
      </c>
      <c r="L281" s="156">
        <f t="shared" si="136"/>
        <v>89.997600000000006</v>
      </c>
      <c r="M281" s="188">
        <f t="shared" si="87"/>
        <v>1</v>
      </c>
      <c r="N281" s="81"/>
      <c r="O281" s="7"/>
      <c r="P281" s="80"/>
      <c r="Q281" s="80"/>
      <c r="R281" s="91"/>
      <c r="S281" s="8"/>
      <c r="T281" s="82"/>
      <c r="W281" s="10"/>
      <c r="X281" s="9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</row>
    <row r="282" spans="1:61">
      <c r="A282" s="147"/>
      <c r="B282" s="94"/>
      <c r="C282" s="147"/>
      <c r="D282" s="147"/>
      <c r="E282" s="147"/>
      <c r="F282" s="147"/>
      <c r="G282" s="147"/>
      <c r="H282" s="147"/>
      <c r="I282" s="147"/>
      <c r="J282" s="147"/>
      <c r="K282" s="147"/>
      <c r="L282" s="147"/>
      <c r="M282" s="188" t="e">
        <f t="shared" si="87"/>
        <v>#DIV/0!</v>
      </c>
      <c r="N282" s="81"/>
      <c r="O282" s="7"/>
      <c r="P282" s="80"/>
      <c r="Q282" s="80"/>
      <c r="R282" s="91"/>
      <c r="S282" s="8"/>
      <c r="T282" s="82"/>
      <c r="W282" s="10"/>
      <c r="X282" s="9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</row>
    <row r="283" spans="1:61" ht="14.25" customHeight="1">
      <c r="A283" s="164" t="s">
        <v>639</v>
      </c>
      <c r="B283" s="165" t="s">
        <v>8</v>
      </c>
      <c r="C283" s="166"/>
      <c r="D283" s="167"/>
      <c r="E283" s="166"/>
      <c r="F283" s="166">
        <f>SUM(F284:F287)</f>
        <v>450.63679999999999</v>
      </c>
      <c r="G283" s="166"/>
      <c r="H283" s="166"/>
      <c r="I283" s="166"/>
      <c r="J283" s="166">
        <f>SUM(J284:J287)</f>
        <v>0</v>
      </c>
      <c r="K283" s="166">
        <f t="shared" ref="K283:L283" si="137">SUM(K284:K287)</f>
        <v>0</v>
      </c>
      <c r="L283" s="166">
        <f t="shared" si="137"/>
        <v>0</v>
      </c>
      <c r="M283" s="188">
        <f t="shared" si="87"/>
        <v>0</v>
      </c>
      <c r="N283" s="81">
        <f>F283</f>
        <v>450.63679999999999</v>
      </c>
      <c r="O283" s="7"/>
      <c r="P283" s="80"/>
      <c r="Q283" s="80"/>
      <c r="R283" s="91"/>
      <c r="S283" s="8"/>
      <c r="T283" s="82"/>
      <c r="W283" s="10"/>
      <c r="X283" s="9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</row>
    <row r="284" spans="1:61" ht="14.25" customHeight="1">
      <c r="A284" s="156"/>
      <c r="B284" s="154"/>
      <c r="C284" s="156"/>
      <c r="D284" s="156"/>
      <c r="E284" s="156"/>
      <c r="F284" s="156"/>
      <c r="G284" s="156"/>
      <c r="H284" s="156"/>
      <c r="I284" s="156"/>
      <c r="J284" s="156"/>
      <c r="K284" s="156"/>
      <c r="L284" s="156"/>
      <c r="M284" s="188" t="e">
        <f t="shared" si="87"/>
        <v>#DIV/0!</v>
      </c>
      <c r="N284" s="81"/>
      <c r="O284" s="7"/>
      <c r="P284" s="80"/>
      <c r="Q284" s="80"/>
      <c r="R284" s="91"/>
      <c r="S284" s="8"/>
      <c r="T284" s="82"/>
      <c r="W284" s="10"/>
      <c r="X284" s="9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</row>
    <row r="285" spans="1:61" ht="14.25" customHeight="1">
      <c r="A285" s="156" t="s">
        <v>640</v>
      </c>
      <c r="B285" s="154" t="s">
        <v>137</v>
      </c>
      <c r="C285" s="156" t="s">
        <v>81</v>
      </c>
      <c r="D285" s="156">
        <v>18.559999999999999</v>
      </c>
      <c r="E285" s="156">
        <v>1.79</v>
      </c>
      <c r="F285" s="156">
        <f t="shared" ref="F285:F287" si="138">D285*E285</f>
        <v>33.2224</v>
      </c>
      <c r="G285" s="156">
        <v>0</v>
      </c>
      <c r="H285" s="156"/>
      <c r="I285" s="156">
        <f t="shared" ref="I285:I287" si="139">G285+H285</f>
        <v>0</v>
      </c>
      <c r="J285" s="156">
        <f t="shared" ref="J285:J287" si="140">E285*G285</f>
        <v>0</v>
      </c>
      <c r="K285" s="156">
        <f t="shared" ref="K285:K287" si="141">H285*E285</f>
        <v>0</v>
      </c>
      <c r="L285" s="156">
        <f t="shared" ref="L285:L287" si="142">J285+K285</f>
        <v>0</v>
      </c>
      <c r="M285" s="188">
        <f t="shared" si="87"/>
        <v>0</v>
      </c>
      <c r="N285" s="81"/>
      <c r="O285" s="7"/>
      <c r="P285" s="80"/>
      <c r="Q285" s="80"/>
      <c r="R285" s="91"/>
      <c r="S285" s="8"/>
      <c r="T285" s="82"/>
      <c r="W285" s="10"/>
      <c r="X285" s="9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</row>
    <row r="286" spans="1:61" ht="28.5">
      <c r="A286" s="156" t="s">
        <v>641</v>
      </c>
      <c r="B286" s="157" t="s">
        <v>141</v>
      </c>
      <c r="C286" s="156" t="s">
        <v>81</v>
      </c>
      <c r="D286" s="156">
        <v>18.559999999999999</v>
      </c>
      <c r="E286" s="156">
        <v>11.88</v>
      </c>
      <c r="F286" s="156">
        <f t="shared" si="138"/>
        <v>220.49279999999999</v>
      </c>
      <c r="G286" s="156">
        <v>0</v>
      </c>
      <c r="H286" s="156"/>
      <c r="I286" s="156">
        <f t="shared" si="139"/>
        <v>0</v>
      </c>
      <c r="J286" s="156">
        <f t="shared" si="140"/>
        <v>0</v>
      </c>
      <c r="K286" s="156">
        <f t="shared" si="141"/>
        <v>0</v>
      </c>
      <c r="L286" s="156">
        <f t="shared" si="142"/>
        <v>0</v>
      </c>
      <c r="M286" s="188">
        <f t="shared" si="87"/>
        <v>0</v>
      </c>
      <c r="N286" s="81"/>
      <c r="O286" s="7"/>
      <c r="P286" s="80"/>
      <c r="Q286" s="80"/>
      <c r="R286" s="91"/>
      <c r="S286" s="8"/>
      <c r="T286" s="82"/>
      <c r="W286" s="10"/>
      <c r="X286" s="9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</row>
    <row r="287" spans="1:61" ht="28.5">
      <c r="A287" s="156" t="s">
        <v>642</v>
      </c>
      <c r="B287" s="157" t="s">
        <v>143</v>
      </c>
      <c r="C287" s="156" t="s">
        <v>81</v>
      </c>
      <c r="D287" s="156">
        <v>18.559999999999999</v>
      </c>
      <c r="E287" s="156">
        <v>10.61</v>
      </c>
      <c r="F287" s="156">
        <f t="shared" si="138"/>
        <v>196.92159999999998</v>
      </c>
      <c r="G287" s="156">
        <v>0</v>
      </c>
      <c r="H287" s="156"/>
      <c r="I287" s="156">
        <f t="shared" si="139"/>
        <v>0</v>
      </c>
      <c r="J287" s="156">
        <f t="shared" si="140"/>
        <v>0</v>
      </c>
      <c r="K287" s="156">
        <f t="shared" si="141"/>
        <v>0</v>
      </c>
      <c r="L287" s="156">
        <f t="shared" si="142"/>
        <v>0</v>
      </c>
      <c r="M287" s="188">
        <f t="shared" si="87"/>
        <v>0</v>
      </c>
      <c r="N287" s="81"/>
      <c r="O287" s="7"/>
      <c r="P287" s="80"/>
      <c r="Q287" s="80"/>
      <c r="R287" s="91"/>
      <c r="S287" s="8"/>
      <c r="T287" s="82"/>
      <c r="W287" s="10"/>
      <c r="X287" s="9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</row>
    <row r="288" spans="1:61" ht="16.5" thickBot="1">
      <c r="A288" s="156"/>
      <c r="B288" s="157"/>
      <c r="C288" s="156"/>
      <c r="D288" s="156"/>
      <c r="E288" s="156"/>
      <c r="F288" s="156"/>
      <c r="G288" s="156"/>
      <c r="H288" s="156"/>
      <c r="I288" s="156"/>
      <c r="J288" s="156"/>
      <c r="K288" s="156"/>
      <c r="L288" s="156"/>
      <c r="M288" s="188" t="e">
        <f t="shared" ref="M288:M289" si="143">L288/F288</f>
        <v>#DIV/0!</v>
      </c>
      <c r="N288" s="81"/>
      <c r="O288" s="7"/>
      <c r="P288" s="80"/>
      <c r="Q288" s="80"/>
      <c r="R288" s="91"/>
      <c r="S288" s="8"/>
      <c r="T288" s="82"/>
      <c r="W288" s="10"/>
      <c r="X288" s="9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</row>
    <row r="289" spans="1:61" ht="15.75" customHeight="1" thickBot="1">
      <c r="A289" s="257" t="s">
        <v>347</v>
      </c>
      <c r="B289" s="258"/>
      <c r="C289" s="258"/>
      <c r="D289" s="258"/>
      <c r="E289" s="259"/>
      <c r="F289" s="102">
        <f>SUM(F31+F43+F50+F59+F66+F78+F94+F107+F114+F128+F139+F169+F183+F211+F221+F228+F232+F237+F244+F248+F252+F261+F268+F275+F283)</f>
        <v>751811.60013000015</v>
      </c>
      <c r="G289" s="187"/>
      <c r="H289" s="103"/>
      <c r="I289" s="103"/>
      <c r="J289" s="102">
        <f>SUM(J31+J43+J50+J59+J66+J78+J94+J107+J114+J128+J139+J169+J183+J211+J221+J228+J232+J237+J244+J248+J252+J261+J268+J275)+0.01</f>
        <v>562639.5952000001</v>
      </c>
      <c r="K289" s="102">
        <f>SUM(K31+K43+K50+K59+K66+K78+K94+K107+K114+K128+K139+K169+K183+K211+K221+K228+K232+K237+K244+K248+K252+K261+K268+K275)</f>
        <v>86344.372699999993</v>
      </c>
      <c r="L289" s="102">
        <f>SUM(L31+L43+L50+L59+L66+L78+L94+L107+L114+L128+L139+L169+L183+L211+L221+L228+L232+L237+L244+L248+L252+L261+L268+L275)+0.01</f>
        <v>648983.96790000005</v>
      </c>
      <c r="M289" s="188">
        <f t="shared" si="143"/>
        <v>0.86322686134103332</v>
      </c>
    </row>
    <row r="290" spans="1:61">
      <c r="B290" s="94"/>
      <c r="C290" s="94"/>
      <c r="D290" s="94"/>
      <c r="E290" s="94"/>
      <c r="F290" s="94"/>
      <c r="G290" s="94"/>
      <c r="H290" s="94"/>
      <c r="I290" s="94"/>
      <c r="J290" s="94"/>
      <c r="K290" s="94"/>
      <c r="L290" s="94"/>
      <c r="M290" s="80"/>
      <c r="N290" s="81"/>
      <c r="O290" s="7"/>
      <c r="P290" s="80"/>
      <c r="Q290" s="80"/>
      <c r="R290" s="91"/>
      <c r="S290" s="8"/>
      <c r="T290" s="82"/>
      <c r="W290" s="10"/>
      <c r="X290" s="9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</row>
    <row r="291" spans="1:61">
      <c r="B291" s="292" t="s">
        <v>777</v>
      </c>
      <c r="C291" s="292"/>
      <c r="D291" s="292"/>
      <c r="E291" s="292"/>
      <c r="F291" s="292"/>
      <c r="G291" s="292"/>
      <c r="H291" s="292"/>
      <c r="I291" s="292"/>
      <c r="J291" s="292"/>
      <c r="K291" s="292"/>
      <c r="L291" s="94"/>
      <c r="M291" s="80"/>
      <c r="N291" s="81"/>
      <c r="O291" s="7"/>
      <c r="P291" s="80"/>
      <c r="Q291" s="80"/>
      <c r="R291" s="91"/>
      <c r="S291" s="8"/>
      <c r="T291" s="82"/>
      <c r="W291" s="10"/>
      <c r="X291" s="9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1"/>
    </row>
    <row r="292" spans="1:61">
      <c r="B292" s="94"/>
      <c r="C292" s="94"/>
      <c r="D292" s="94"/>
      <c r="E292" s="94"/>
      <c r="F292" s="94"/>
      <c r="G292" s="94"/>
      <c r="H292" s="94"/>
      <c r="I292" s="94"/>
      <c r="J292" s="94"/>
      <c r="K292" s="94"/>
      <c r="L292" s="94"/>
      <c r="M292" s="80"/>
      <c r="N292" s="81"/>
      <c r="O292" s="7"/>
      <c r="P292" s="80"/>
      <c r="Q292" s="80"/>
      <c r="R292" s="91"/>
      <c r="S292" s="8"/>
      <c r="T292" s="82"/>
      <c r="W292" s="10"/>
      <c r="X292" s="9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</row>
    <row r="293" spans="1:61">
      <c r="B293" s="94"/>
      <c r="E293" s="106"/>
      <c r="F293" s="106"/>
      <c r="G293" s="106"/>
      <c r="H293" s="106"/>
      <c r="I293" s="106"/>
      <c r="J293" s="106"/>
      <c r="K293" s="106"/>
      <c r="L293" s="106"/>
      <c r="M293" s="80"/>
      <c r="N293" s="81"/>
      <c r="O293" s="7"/>
      <c r="P293" s="80"/>
      <c r="Q293" s="80"/>
      <c r="R293" s="91"/>
      <c r="S293" s="8"/>
      <c r="T293" s="82"/>
      <c r="W293" s="10"/>
      <c r="X293" s="9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</row>
    <row r="294" spans="1:61">
      <c r="B294" s="94"/>
      <c r="E294" s="106"/>
      <c r="F294" s="106"/>
      <c r="G294" s="106"/>
      <c r="H294" s="106"/>
      <c r="I294" s="106"/>
      <c r="J294" s="106"/>
      <c r="K294" s="106"/>
      <c r="L294" s="106"/>
    </row>
    <row r="295" spans="1:61">
      <c r="E295" s="106"/>
      <c r="F295" s="106"/>
      <c r="G295" s="106"/>
      <c r="H295" s="106"/>
      <c r="I295" s="106"/>
      <c r="J295" s="106"/>
      <c r="K295" s="106"/>
      <c r="L295" s="106"/>
    </row>
    <row r="296" spans="1:61">
      <c r="E296" s="106"/>
      <c r="F296" s="106"/>
      <c r="G296" s="106"/>
      <c r="H296" s="106"/>
      <c r="I296" s="106"/>
      <c r="J296" s="106"/>
      <c r="K296" s="106"/>
      <c r="L296" s="106"/>
    </row>
    <row r="297" spans="1:61">
      <c r="E297" s="106"/>
      <c r="F297" s="106"/>
      <c r="G297" s="106"/>
      <c r="H297" s="106"/>
      <c r="I297" s="106"/>
      <c r="J297" s="106"/>
      <c r="K297" s="106"/>
      <c r="L297" s="106"/>
    </row>
    <row r="298" spans="1:61">
      <c r="E298" s="106"/>
      <c r="F298" s="106"/>
      <c r="G298" s="106"/>
      <c r="H298" s="106"/>
      <c r="I298" s="106"/>
      <c r="J298" s="106"/>
      <c r="K298" s="106"/>
      <c r="L298" s="106"/>
    </row>
    <row r="299" spans="1:61">
      <c r="E299" s="106"/>
      <c r="F299" s="106"/>
      <c r="G299" s="106"/>
      <c r="H299" s="106"/>
      <c r="I299" s="106"/>
      <c r="J299" s="106"/>
      <c r="K299" s="106"/>
      <c r="L299" s="106"/>
    </row>
    <row r="300" spans="1:61">
      <c r="E300" s="106"/>
      <c r="F300" s="106"/>
      <c r="G300" s="106"/>
      <c r="H300" s="106"/>
      <c r="I300" s="106"/>
      <c r="J300" s="106"/>
      <c r="K300" s="106"/>
      <c r="L300" s="106"/>
    </row>
    <row r="301" spans="1:61">
      <c r="E301" s="106"/>
      <c r="F301" s="106"/>
      <c r="G301" s="106"/>
      <c r="H301" s="106"/>
      <c r="I301" s="106"/>
      <c r="J301" s="106"/>
      <c r="K301" s="106"/>
      <c r="L301" s="106"/>
    </row>
    <row r="302" spans="1:61">
      <c r="E302" s="106"/>
      <c r="F302" s="106"/>
      <c r="G302" s="106"/>
      <c r="I302" s="106"/>
      <c r="J302" s="106"/>
      <c r="K302" s="106"/>
      <c r="L302" s="106"/>
    </row>
    <row r="303" spans="1:61">
      <c r="E303" s="106"/>
      <c r="F303" s="106"/>
      <c r="G303" s="106"/>
      <c r="I303" s="106"/>
      <c r="J303" s="106"/>
      <c r="K303" s="106"/>
      <c r="L303" s="106"/>
    </row>
    <row r="304" spans="1:61">
      <c r="E304" s="106"/>
      <c r="F304" s="106"/>
      <c r="G304" s="106"/>
      <c r="I304" s="106"/>
      <c r="J304" s="106"/>
      <c r="K304" s="106"/>
      <c r="L304" s="106"/>
    </row>
    <row r="305" spans="1:66">
      <c r="E305" s="106"/>
      <c r="F305" s="106"/>
      <c r="G305" s="106"/>
      <c r="I305" s="106"/>
      <c r="J305" s="106"/>
      <c r="K305" s="106"/>
      <c r="L305" s="106"/>
    </row>
    <row r="306" spans="1:66">
      <c r="C306" s="59"/>
      <c r="D306" s="59"/>
      <c r="E306" s="59"/>
      <c r="F306" s="59">
        <v>719635.08</v>
      </c>
      <c r="G306" s="59"/>
      <c r="H306" s="60">
        <v>0.23880000000000001</v>
      </c>
      <c r="I306" s="59"/>
      <c r="J306" s="59"/>
      <c r="K306" s="59"/>
      <c r="L306" s="59" t="s">
        <v>346</v>
      </c>
    </row>
    <row r="307" spans="1:66">
      <c r="C307" s="59"/>
      <c r="D307" s="59"/>
      <c r="E307" s="59"/>
      <c r="F307" s="59">
        <f>SUM(F306*H306+F306)</f>
        <v>891483.93710400001</v>
      </c>
      <c r="G307" s="59"/>
      <c r="H307" s="59"/>
      <c r="I307" s="59"/>
      <c r="J307" s="59"/>
      <c r="K307" s="59"/>
      <c r="L307" s="59" t="s">
        <v>25</v>
      </c>
    </row>
    <row r="308" spans="1:66" s="24" customFormat="1">
      <c r="A308" s="104"/>
      <c r="B308" s="105"/>
      <c r="C308" s="59"/>
      <c r="D308" s="59"/>
      <c r="E308" s="59"/>
      <c r="F308" s="59"/>
      <c r="G308" s="59"/>
      <c r="H308" s="59"/>
      <c r="I308" s="59"/>
      <c r="J308" s="59"/>
      <c r="K308" s="59"/>
      <c r="L308" s="59"/>
      <c r="N308" s="14"/>
      <c r="O308" s="15"/>
      <c r="P308" s="7"/>
      <c r="T308" s="8"/>
      <c r="U308" s="9"/>
      <c r="V308" s="9"/>
      <c r="W308" s="9"/>
      <c r="X308" s="10"/>
      <c r="Y308" s="9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  <c r="BN308" s="12"/>
    </row>
    <row r="309" spans="1:66" s="24" customFormat="1">
      <c r="A309" s="104"/>
      <c r="B309" s="105"/>
      <c r="C309" s="106"/>
      <c r="D309" s="106"/>
      <c r="E309" s="106"/>
      <c r="F309" s="106"/>
      <c r="G309" s="106"/>
      <c r="H309" s="107"/>
      <c r="I309" s="106"/>
      <c r="J309" s="106"/>
      <c r="K309" s="106"/>
      <c r="L309" s="106"/>
      <c r="N309" s="14"/>
      <c r="O309" s="15"/>
      <c r="P309" s="7"/>
      <c r="T309" s="8"/>
      <c r="U309" s="9"/>
      <c r="V309" s="9"/>
      <c r="W309" s="9"/>
      <c r="X309" s="10"/>
      <c r="Y309" s="9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  <c r="BN309" s="12"/>
    </row>
    <row r="310" spans="1:66" s="24" customFormat="1">
      <c r="A310" s="104"/>
      <c r="B310" s="105"/>
      <c r="C310" s="106"/>
      <c r="D310" s="106"/>
      <c r="E310" s="106"/>
      <c r="F310" s="106"/>
      <c r="G310" s="106"/>
      <c r="H310" s="107"/>
      <c r="I310" s="106"/>
      <c r="J310" s="106"/>
      <c r="K310" s="106"/>
      <c r="L310" s="106"/>
      <c r="N310" s="14"/>
      <c r="O310" s="15"/>
      <c r="P310" s="7"/>
      <c r="T310" s="8"/>
      <c r="U310" s="9"/>
      <c r="V310" s="9"/>
      <c r="W310" s="9"/>
      <c r="X310" s="10"/>
      <c r="Y310" s="9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  <c r="BN310" s="12"/>
    </row>
    <row r="311" spans="1:66" s="24" customFormat="1">
      <c r="A311" s="104"/>
      <c r="B311" s="105"/>
      <c r="C311" s="106"/>
      <c r="D311" s="106"/>
      <c r="E311" s="106"/>
      <c r="F311" s="106"/>
      <c r="G311" s="106"/>
      <c r="H311" s="107"/>
      <c r="I311" s="106"/>
      <c r="J311" s="106"/>
      <c r="K311" s="106"/>
      <c r="L311" s="106"/>
      <c r="N311" s="14"/>
      <c r="O311" s="15"/>
      <c r="P311" s="7"/>
      <c r="T311" s="8"/>
      <c r="U311" s="9"/>
      <c r="V311" s="9"/>
      <c r="W311" s="9"/>
      <c r="X311" s="10"/>
      <c r="Y311" s="9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BL311" s="12"/>
      <c r="BM311" s="12"/>
      <c r="BN311" s="12"/>
    </row>
    <row r="312" spans="1:66" s="24" customFormat="1">
      <c r="A312" s="104"/>
      <c r="B312" s="105"/>
      <c r="C312" s="106"/>
      <c r="D312" s="106"/>
      <c r="E312" s="106"/>
      <c r="F312" s="106"/>
      <c r="G312" s="106"/>
      <c r="H312" s="107"/>
      <c r="I312" s="106"/>
      <c r="J312" s="106"/>
      <c r="K312" s="106"/>
      <c r="L312" s="106"/>
      <c r="N312" s="14"/>
      <c r="O312" s="15"/>
      <c r="P312" s="7"/>
      <c r="T312" s="8"/>
      <c r="U312" s="9"/>
      <c r="V312" s="9"/>
      <c r="W312" s="9"/>
      <c r="X312" s="10"/>
      <c r="Y312" s="9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</row>
    <row r="313" spans="1:66" s="24" customFormat="1">
      <c r="A313" s="104"/>
      <c r="B313" s="105"/>
      <c r="C313" s="106"/>
      <c r="D313" s="106"/>
      <c r="E313" s="106"/>
      <c r="F313" s="106"/>
      <c r="G313" s="106"/>
      <c r="H313" s="107"/>
      <c r="I313" s="106"/>
      <c r="J313" s="106"/>
      <c r="K313" s="106"/>
      <c r="L313" s="106"/>
      <c r="N313" s="14"/>
      <c r="O313" s="15"/>
      <c r="P313" s="7"/>
      <c r="T313" s="8"/>
      <c r="U313" s="9"/>
      <c r="V313" s="9"/>
      <c r="W313" s="9"/>
      <c r="X313" s="10"/>
      <c r="Y313" s="9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BL313" s="12"/>
      <c r="BM313" s="12"/>
      <c r="BN313" s="12"/>
    </row>
    <row r="314" spans="1:66" s="24" customFormat="1">
      <c r="A314" s="104"/>
      <c r="B314" s="105"/>
      <c r="C314" s="106"/>
      <c r="D314" s="106"/>
      <c r="E314" s="106"/>
      <c r="F314" s="106"/>
      <c r="G314" s="106"/>
      <c r="H314" s="107"/>
      <c r="I314" s="106"/>
      <c r="J314" s="106"/>
      <c r="K314" s="106"/>
      <c r="L314" s="106"/>
      <c r="N314" s="14"/>
      <c r="O314" s="15"/>
      <c r="P314" s="7"/>
      <c r="T314" s="8"/>
      <c r="U314" s="9"/>
      <c r="V314" s="9"/>
      <c r="W314" s="9"/>
      <c r="X314" s="10"/>
      <c r="Y314" s="9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BL314" s="12"/>
      <c r="BM314" s="12"/>
      <c r="BN314" s="12"/>
    </row>
    <row r="315" spans="1:66" s="24" customFormat="1">
      <c r="A315" s="104"/>
      <c r="B315" s="105"/>
      <c r="C315" s="106"/>
      <c r="D315" s="106"/>
      <c r="E315" s="106"/>
      <c r="F315" s="106"/>
      <c r="G315" s="106"/>
      <c r="H315" s="107"/>
      <c r="I315" s="106"/>
      <c r="J315" s="106"/>
      <c r="K315" s="106"/>
      <c r="L315" s="106"/>
      <c r="N315" s="14"/>
      <c r="O315" s="15"/>
      <c r="P315" s="7"/>
      <c r="T315" s="8"/>
      <c r="U315" s="9"/>
      <c r="V315" s="9"/>
      <c r="W315" s="9"/>
      <c r="X315" s="10"/>
      <c r="Y315" s="9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</row>
    <row r="316" spans="1:66" s="24" customFormat="1">
      <c r="A316" s="104"/>
      <c r="B316" s="105"/>
      <c r="C316" s="106"/>
      <c r="D316" s="106"/>
      <c r="E316" s="106"/>
      <c r="F316" s="106"/>
      <c r="G316" s="106"/>
      <c r="H316" s="107"/>
      <c r="I316" s="106"/>
      <c r="J316" s="106"/>
      <c r="K316" s="106"/>
      <c r="L316" s="106"/>
      <c r="N316" s="14"/>
      <c r="O316" s="15"/>
      <c r="P316" s="7"/>
      <c r="T316" s="8"/>
      <c r="U316" s="9"/>
      <c r="V316" s="9"/>
      <c r="W316" s="9"/>
      <c r="X316" s="10"/>
      <c r="Y316" s="9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</row>
    <row r="317" spans="1:66" s="24" customFormat="1">
      <c r="A317" s="104"/>
      <c r="B317" s="105"/>
      <c r="C317" s="106"/>
      <c r="D317" s="106"/>
      <c r="E317" s="106"/>
      <c r="F317" s="106"/>
      <c r="G317" s="106"/>
      <c r="H317" s="107"/>
      <c r="I317" s="106"/>
      <c r="J317" s="106"/>
      <c r="K317" s="106"/>
      <c r="L317" s="106"/>
      <c r="N317" s="14"/>
      <c r="O317" s="15"/>
      <c r="P317" s="7"/>
      <c r="T317" s="8"/>
      <c r="U317" s="9"/>
      <c r="V317" s="9"/>
      <c r="W317" s="9"/>
      <c r="X317" s="10"/>
      <c r="Y317" s="9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</row>
    <row r="318" spans="1:66" s="24" customFormat="1">
      <c r="A318" s="104"/>
      <c r="B318" s="105"/>
      <c r="C318" s="106"/>
      <c r="D318" s="106"/>
      <c r="E318" s="106"/>
      <c r="F318" s="106"/>
      <c r="G318" s="106"/>
      <c r="H318" s="107"/>
      <c r="I318" s="106"/>
      <c r="J318" s="106"/>
      <c r="K318" s="106"/>
      <c r="L318" s="106"/>
      <c r="N318" s="14"/>
      <c r="O318" s="15"/>
      <c r="P318" s="7"/>
      <c r="T318" s="8"/>
      <c r="U318" s="9"/>
      <c r="V318" s="9"/>
      <c r="W318" s="9"/>
      <c r="X318" s="10"/>
      <c r="Y318" s="9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</row>
    <row r="319" spans="1:66" s="24" customFormat="1">
      <c r="A319" s="104"/>
      <c r="B319" s="105"/>
      <c r="C319" s="106"/>
      <c r="D319" s="106"/>
      <c r="E319" s="106"/>
      <c r="F319" s="106"/>
      <c r="G319" s="106"/>
      <c r="H319" s="107"/>
      <c r="I319" s="106"/>
      <c r="J319" s="106"/>
      <c r="K319" s="106"/>
      <c r="L319" s="106"/>
      <c r="N319" s="14"/>
      <c r="O319" s="15"/>
      <c r="P319" s="7"/>
      <c r="T319" s="8"/>
      <c r="U319" s="9"/>
      <c r="V319" s="9"/>
      <c r="W319" s="9"/>
      <c r="X319" s="10"/>
      <c r="Y319" s="9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</row>
    <row r="320" spans="1:66" s="24" customFormat="1">
      <c r="A320" s="104"/>
      <c r="B320" s="105"/>
      <c r="C320" s="106"/>
      <c r="D320" s="106"/>
      <c r="E320" s="106"/>
      <c r="F320" s="106"/>
      <c r="G320" s="106"/>
      <c r="H320" s="107"/>
      <c r="I320" s="106"/>
      <c r="J320" s="106"/>
      <c r="K320" s="106"/>
      <c r="L320" s="106"/>
      <c r="N320" s="14"/>
      <c r="O320" s="15"/>
      <c r="P320" s="7"/>
      <c r="T320" s="8"/>
      <c r="U320" s="9"/>
      <c r="V320" s="9"/>
      <c r="W320" s="9"/>
      <c r="X320" s="10"/>
      <c r="Y320" s="9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</row>
    <row r="321" spans="1:66" s="24" customFormat="1">
      <c r="A321" s="104"/>
      <c r="B321" s="105"/>
      <c r="C321" s="106"/>
      <c r="D321" s="106"/>
      <c r="E321" s="106"/>
      <c r="F321" s="106"/>
      <c r="G321" s="106"/>
      <c r="H321" s="107"/>
      <c r="I321" s="106"/>
      <c r="J321" s="106"/>
      <c r="K321" s="106"/>
      <c r="L321" s="106"/>
      <c r="N321" s="14"/>
      <c r="O321" s="15"/>
      <c r="P321" s="7"/>
      <c r="T321" s="8"/>
      <c r="U321" s="9"/>
      <c r="V321" s="9"/>
      <c r="W321" s="9"/>
      <c r="X321" s="10"/>
      <c r="Y321" s="9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</row>
    <row r="322" spans="1:66" s="24" customFormat="1">
      <c r="A322" s="104"/>
      <c r="B322" s="105"/>
      <c r="C322" s="106"/>
      <c r="D322" s="106"/>
      <c r="E322" s="106"/>
      <c r="F322" s="106"/>
      <c r="G322" s="106"/>
      <c r="H322" s="107"/>
      <c r="I322" s="106"/>
      <c r="J322" s="106"/>
      <c r="K322" s="106"/>
      <c r="L322" s="106"/>
      <c r="N322" s="14"/>
      <c r="O322" s="15"/>
      <c r="P322" s="7"/>
      <c r="T322" s="8"/>
      <c r="U322" s="9"/>
      <c r="V322" s="9"/>
      <c r="W322" s="9"/>
      <c r="X322" s="10"/>
      <c r="Y322" s="9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</row>
    <row r="323" spans="1:66" s="24" customFormat="1">
      <c r="A323" s="104"/>
      <c r="B323" s="105"/>
      <c r="C323" s="106"/>
      <c r="D323" s="106"/>
      <c r="E323" s="106"/>
      <c r="F323" s="106"/>
      <c r="G323" s="106"/>
      <c r="H323" s="107"/>
      <c r="I323" s="106"/>
      <c r="J323" s="106"/>
      <c r="K323" s="106"/>
      <c r="L323" s="106"/>
      <c r="N323" s="14"/>
      <c r="O323" s="15"/>
      <c r="P323" s="7"/>
      <c r="T323" s="8"/>
      <c r="U323" s="9"/>
      <c r="V323" s="9"/>
      <c r="W323" s="9"/>
      <c r="X323" s="10"/>
      <c r="Y323" s="9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</row>
    <row r="324" spans="1:66" s="24" customFormat="1">
      <c r="A324" s="104"/>
      <c r="B324" s="105"/>
      <c r="C324" s="106"/>
      <c r="D324" s="106"/>
      <c r="E324" s="106"/>
      <c r="F324" s="106"/>
      <c r="G324" s="106"/>
      <c r="H324" s="107"/>
      <c r="I324" s="106"/>
      <c r="J324" s="106"/>
      <c r="K324" s="106"/>
      <c r="L324" s="106"/>
      <c r="N324" s="14"/>
      <c r="O324" s="15"/>
      <c r="P324" s="7"/>
      <c r="T324" s="8"/>
      <c r="U324" s="9"/>
      <c r="V324" s="9"/>
      <c r="W324" s="9"/>
      <c r="X324" s="10"/>
      <c r="Y324" s="9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</row>
    <row r="325" spans="1:66" s="24" customFormat="1">
      <c r="A325" s="104"/>
      <c r="B325" s="105"/>
      <c r="C325" s="106"/>
      <c r="D325" s="106"/>
      <c r="E325" s="106"/>
      <c r="F325" s="106"/>
      <c r="G325" s="106"/>
      <c r="H325" s="107"/>
      <c r="I325" s="106"/>
      <c r="J325" s="106"/>
      <c r="K325" s="106"/>
      <c r="L325" s="106"/>
      <c r="N325" s="14"/>
      <c r="O325" s="15"/>
      <c r="P325" s="7"/>
      <c r="T325" s="8"/>
      <c r="U325" s="9"/>
      <c r="V325" s="9"/>
      <c r="W325" s="9"/>
      <c r="X325" s="10"/>
      <c r="Y325" s="9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</row>
    <row r="326" spans="1:66" s="24" customFormat="1">
      <c r="A326" s="104"/>
      <c r="B326" s="105"/>
      <c r="C326" s="106"/>
      <c r="D326" s="106"/>
      <c r="E326" s="106"/>
      <c r="F326" s="106"/>
      <c r="G326" s="106"/>
      <c r="H326" s="107"/>
      <c r="I326" s="106"/>
      <c r="J326" s="106"/>
      <c r="K326" s="106"/>
      <c r="L326" s="106"/>
      <c r="N326" s="14"/>
      <c r="O326" s="15"/>
      <c r="P326" s="7"/>
      <c r="T326" s="8"/>
      <c r="U326" s="9"/>
      <c r="V326" s="9"/>
      <c r="W326" s="9"/>
      <c r="X326" s="10"/>
      <c r="Y326" s="9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</row>
    <row r="327" spans="1:66" s="24" customFormat="1">
      <c r="A327" s="104"/>
      <c r="B327" s="105"/>
      <c r="C327" s="106"/>
      <c r="D327" s="106"/>
      <c r="E327" s="106"/>
      <c r="F327" s="106"/>
      <c r="G327" s="106"/>
      <c r="H327" s="107"/>
      <c r="I327" s="106"/>
      <c r="J327" s="106"/>
      <c r="K327" s="106"/>
      <c r="L327" s="106"/>
      <c r="N327" s="14"/>
      <c r="O327" s="15"/>
      <c r="P327" s="7"/>
      <c r="T327" s="8"/>
      <c r="U327" s="9"/>
      <c r="V327" s="9"/>
      <c r="W327" s="9"/>
      <c r="X327" s="10"/>
      <c r="Y327" s="9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</row>
    <row r="328" spans="1:66" s="24" customFormat="1">
      <c r="A328" s="104"/>
      <c r="B328" s="105"/>
      <c r="C328" s="106"/>
      <c r="D328" s="106"/>
      <c r="E328" s="106"/>
      <c r="F328" s="106"/>
      <c r="G328" s="106"/>
      <c r="H328" s="107"/>
      <c r="I328" s="106"/>
      <c r="J328" s="106"/>
      <c r="K328" s="106"/>
      <c r="L328" s="106"/>
      <c r="N328" s="14"/>
      <c r="O328" s="15"/>
      <c r="P328" s="7"/>
      <c r="T328" s="8"/>
      <c r="U328" s="9"/>
      <c r="V328" s="9"/>
      <c r="W328" s="9"/>
      <c r="X328" s="10"/>
      <c r="Y328" s="9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</row>
    <row r="329" spans="1:66" s="24" customFormat="1">
      <c r="A329" s="104"/>
      <c r="B329" s="105"/>
      <c r="C329" s="106"/>
      <c r="D329" s="106"/>
      <c r="E329" s="106"/>
      <c r="F329" s="106"/>
      <c r="G329" s="106"/>
      <c r="H329" s="107"/>
      <c r="I329" s="106"/>
      <c r="J329" s="106"/>
      <c r="K329" s="106"/>
      <c r="L329" s="106"/>
      <c r="N329" s="14"/>
      <c r="O329" s="15"/>
      <c r="P329" s="7"/>
      <c r="T329" s="8"/>
      <c r="U329" s="9"/>
      <c r="V329" s="9"/>
      <c r="W329" s="9"/>
      <c r="X329" s="10"/>
      <c r="Y329" s="9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</row>
    <row r="330" spans="1:66" s="24" customFormat="1">
      <c r="A330" s="104"/>
      <c r="B330" s="105"/>
      <c r="C330" s="106"/>
      <c r="D330" s="106"/>
      <c r="E330" s="106"/>
      <c r="F330" s="106"/>
      <c r="G330" s="106"/>
      <c r="H330" s="107"/>
      <c r="I330" s="106"/>
      <c r="J330" s="106"/>
      <c r="K330" s="106"/>
      <c r="L330" s="106"/>
      <c r="N330" s="14"/>
      <c r="O330" s="15"/>
      <c r="P330" s="7"/>
      <c r="T330" s="8"/>
      <c r="U330" s="9"/>
      <c r="V330" s="9"/>
      <c r="W330" s="9"/>
      <c r="X330" s="10"/>
      <c r="Y330" s="9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</row>
    <row r="331" spans="1:66" s="24" customFormat="1">
      <c r="A331" s="104"/>
      <c r="B331" s="105"/>
      <c r="C331" s="106"/>
      <c r="D331" s="106"/>
      <c r="E331" s="106"/>
      <c r="F331" s="106"/>
      <c r="G331" s="106"/>
      <c r="H331" s="107"/>
      <c r="I331" s="106"/>
      <c r="J331" s="106"/>
      <c r="K331" s="106"/>
      <c r="L331" s="106"/>
      <c r="N331" s="14"/>
      <c r="O331" s="15"/>
      <c r="P331" s="7"/>
      <c r="T331" s="8"/>
      <c r="U331" s="9"/>
      <c r="V331" s="9"/>
      <c r="W331" s="9"/>
      <c r="X331" s="10"/>
      <c r="Y331" s="9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</row>
  </sheetData>
  <mergeCells count="24">
    <mergeCell ref="B291:K291"/>
    <mergeCell ref="A28:A29"/>
    <mergeCell ref="B28:B29"/>
    <mergeCell ref="C28:C29"/>
    <mergeCell ref="D28:D29"/>
    <mergeCell ref="E28:E29"/>
    <mergeCell ref="F28:F29"/>
    <mergeCell ref="G28:I28"/>
    <mergeCell ref="J28:L28"/>
    <mergeCell ref="A30:L30"/>
    <mergeCell ref="A226:L227"/>
    <mergeCell ref="A289:E289"/>
    <mergeCell ref="A25:B25"/>
    <mergeCell ref="A1:L1"/>
    <mergeCell ref="A2:L2"/>
    <mergeCell ref="A3:L3"/>
    <mergeCell ref="E8:L8"/>
    <mergeCell ref="E9:I9"/>
    <mergeCell ref="K9:L9"/>
    <mergeCell ref="A15:L15"/>
    <mergeCell ref="A16:L16"/>
    <mergeCell ref="I19:L19"/>
    <mergeCell ref="A20:H20"/>
    <mergeCell ref="A24:B24"/>
  </mergeCells>
  <printOptions horizontalCentered="1"/>
  <pageMargins left="0.31496062992125984" right="0.31496062992125984" top="0.70866141732283472" bottom="0.51181102362204722" header="0.31496062992125984" footer="0.31496062992125984"/>
  <pageSetup paperSize="9" scale="50" fitToHeight="0" orientation="landscape" r:id="rId1"/>
  <rowBreaks count="1" manualBreakCount="1">
    <brk id="54" max="11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660"/>
  <sheetViews>
    <sheetView tabSelected="1" view="pageBreakPreview" topLeftCell="A657" zoomScaleNormal="100" zoomScaleSheetLayoutView="100" workbookViewId="0">
      <selection activeCell="C1" sqref="A1:M660"/>
    </sheetView>
  </sheetViews>
  <sheetFormatPr defaultColWidth="2.28515625" defaultRowHeight="12.6" customHeight="1"/>
  <cols>
    <col min="1" max="1" width="8.5703125" style="108" customWidth="1"/>
    <col min="2" max="2" width="16" style="108" customWidth="1"/>
    <col min="3" max="3" width="9.28515625" style="108" customWidth="1"/>
    <col min="4" max="4" width="9.42578125" style="108" bestFit="1" customWidth="1"/>
    <col min="5" max="5" width="9.5703125" style="108" customWidth="1"/>
    <col min="6" max="6" width="9" style="108" customWidth="1"/>
    <col min="7" max="7" width="11.28515625" style="108" customWidth="1"/>
    <col min="8" max="8" width="10.7109375" style="108" customWidth="1"/>
    <col min="9" max="9" width="10.28515625" style="108" customWidth="1"/>
    <col min="10" max="10" width="11.5703125" style="108" customWidth="1"/>
    <col min="11" max="11" width="10.140625" style="108" bestFit="1" customWidth="1"/>
    <col min="12" max="12" width="10.85546875" style="108" bestFit="1" customWidth="1"/>
    <col min="13" max="13" width="6.140625" style="108" bestFit="1" customWidth="1"/>
    <col min="14" max="14" width="16.5703125" style="108" bestFit="1" customWidth="1"/>
    <col min="15" max="15" width="19.42578125" style="108" customWidth="1"/>
    <col min="16" max="16" width="11.28515625" style="108" customWidth="1"/>
    <col min="17" max="16384" width="2.28515625" style="108"/>
  </cols>
  <sheetData>
    <row r="1" spans="1:14" ht="16.5" thickBot="1">
      <c r="A1" s="217"/>
      <c r="B1" s="218"/>
      <c r="C1" s="223" t="s">
        <v>779</v>
      </c>
      <c r="D1" s="224"/>
      <c r="E1" s="224"/>
      <c r="F1" s="224"/>
      <c r="G1" s="224"/>
      <c r="H1" s="224"/>
      <c r="I1" s="224"/>
      <c r="J1" s="224"/>
      <c r="K1" s="224"/>
      <c r="L1" s="224"/>
      <c r="M1" s="225"/>
    </row>
    <row r="2" spans="1:14" ht="12.75">
      <c r="A2" s="219"/>
      <c r="B2" s="220"/>
      <c r="C2" s="226" t="s">
        <v>348</v>
      </c>
      <c r="D2" s="227"/>
      <c r="E2" s="227"/>
      <c r="F2" s="227"/>
      <c r="G2" s="228"/>
      <c r="H2" s="226" t="s">
        <v>349</v>
      </c>
      <c r="I2" s="227"/>
      <c r="J2" s="227"/>
      <c r="K2" s="227"/>
      <c r="L2" s="227"/>
      <c r="M2" s="228"/>
    </row>
    <row r="3" spans="1:14" ht="30.75" customHeight="1" thickBot="1">
      <c r="A3" s="219"/>
      <c r="B3" s="220"/>
      <c r="C3" s="229" t="s">
        <v>434</v>
      </c>
      <c r="D3" s="230"/>
      <c r="E3" s="230"/>
      <c r="F3" s="230"/>
      <c r="G3" s="231"/>
      <c r="H3" s="232" t="s">
        <v>435</v>
      </c>
      <c r="I3" s="230"/>
      <c r="J3" s="230"/>
      <c r="K3" s="230"/>
      <c r="L3" s="230"/>
      <c r="M3" s="231"/>
    </row>
    <row r="4" spans="1:14" ht="12.75">
      <c r="A4" s="219"/>
      <c r="B4" s="220"/>
      <c r="C4" s="226" t="s">
        <v>350</v>
      </c>
      <c r="D4" s="227"/>
      <c r="E4" s="227"/>
      <c r="F4" s="227"/>
      <c r="G4" s="228"/>
      <c r="H4" s="233" t="s">
        <v>351</v>
      </c>
      <c r="I4" s="234"/>
      <c r="J4" s="234"/>
      <c r="K4" s="235"/>
      <c r="L4" s="109"/>
      <c r="M4" s="110"/>
    </row>
    <row r="5" spans="1:14" ht="13.5" thickBot="1">
      <c r="A5" s="221"/>
      <c r="B5" s="222"/>
      <c r="C5" s="236" t="s">
        <v>436</v>
      </c>
      <c r="D5" s="237"/>
      <c r="E5" s="237"/>
      <c r="F5" s="237"/>
      <c r="G5" s="238"/>
      <c r="H5" s="239" t="s">
        <v>352</v>
      </c>
      <c r="I5" s="240"/>
      <c r="J5" s="240"/>
      <c r="K5" s="241"/>
      <c r="L5" s="111"/>
      <c r="M5" s="112"/>
    </row>
    <row r="6" spans="1:14" ht="13.5" thickBot="1">
      <c r="A6" s="113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5"/>
    </row>
    <row r="7" spans="1:14" ht="12.75">
      <c r="A7" s="201" t="s">
        <v>10</v>
      </c>
      <c r="B7" s="203" t="s">
        <v>353</v>
      </c>
      <c r="C7" s="204"/>
      <c r="D7" s="207" t="s">
        <v>354</v>
      </c>
      <c r="E7" s="214" t="s">
        <v>355</v>
      </c>
      <c r="F7" s="215"/>
      <c r="G7" s="215"/>
      <c r="H7" s="215"/>
      <c r="I7" s="215"/>
      <c r="J7" s="216"/>
      <c r="K7" s="214" t="s">
        <v>356</v>
      </c>
      <c r="L7" s="216"/>
      <c r="M7" s="242" t="s">
        <v>357</v>
      </c>
      <c r="N7" s="116"/>
    </row>
    <row r="8" spans="1:14" ht="13.5" thickBot="1">
      <c r="A8" s="202"/>
      <c r="B8" s="205"/>
      <c r="C8" s="206"/>
      <c r="D8" s="208"/>
      <c r="E8" s="117" t="s">
        <v>358</v>
      </c>
      <c r="F8" s="117" t="s">
        <v>359</v>
      </c>
      <c r="G8" s="117" t="s">
        <v>360</v>
      </c>
      <c r="H8" s="117" t="s">
        <v>361</v>
      </c>
      <c r="I8" s="117" t="s">
        <v>362</v>
      </c>
      <c r="J8" s="117" t="s">
        <v>363</v>
      </c>
      <c r="K8" s="117" t="s">
        <v>364</v>
      </c>
      <c r="L8" s="117" t="s">
        <v>9</v>
      </c>
      <c r="M8" s="243"/>
      <c r="N8" s="116"/>
    </row>
    <row r="9" spans="1:14" ht="13.5" thickBot="1">
      <c r="A9" s="118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20"/>
    </row>
    <row r="10" spans="1:14" ht="13.9" customHeight="1" thickBot="1">
      <c r="A10" s="272" t="str">
        <f>'BM02'!A29</f>
        <v>ETAPA 01: CONSTRUÇÃO DA ESCOLA</v>
      </c>
      <c r="B10" s="273"/>
      <c r="C10" s="273"/>
      <c r="D10" s="273"/>
      <c r="E10" s="273"/>
      <c r="F10" s="273"/>
      <c r="G10" s="273"/>
      <c r="H10" s="273"/>
      <c r="I10" s="273"/>
      <c r="J10" s="273"/>
      <c r="K10" s="273"/>
      <c r="L10" s="273"/>
      <c r="M10" s="274"/>
    </row>
    <row r="11" spans="1:14" ht="13.5" thickBot="1">
      <c r="A11" s="124"/>
      <c r="B11" s="125"/>
      <c r="C11" s="125"/>
      <c r="D11" s="125"/>
      <c r="E11" s="125"/>
      <c r="F11" s="125"/>
      <c r="G11" s="125"/>
      <c r="H11" s="125"/>
      <c r="I11" s="125"/>
      <c r="J11" s="125"/>
      <c r="K11" s="126"/>
      <c r="L11" s="125"/>
      <c r="M11" s="127"/>
    </row>
    <row r="12" spans="1:14" ht="13.5" thickBot="1">
      <c r="A12" s="121" t="s">
        <v>1</v>
      </c>
      <c r="B12" s="122" t="str">
        <f>'BM01'!B30</f>
        <v>SERVIÇOS PRELIMINARES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3"/>
    </row>
    <row r="13" spans="1:14" ht="12.75">
      <c r="A13" s="124"/>
      <c r="B13" s="125"/>
      <c r="C13" s="125"/>
      <c r="D13" s="125"/>
      <c r="E13" s="125"/>
      <c r="F13" s="125"/>
      <c r="G13" s="125"/>
      <c r="H13" s="125"/>
      <c r="I13" s="125"/>
      <c r="J13" s="125"/>
      <c r="K13" s="126"/>
      <c r="L13" s="125"/>
      <c r="M13" s="127"/>
    </row>
    <row r="14" spans="1:14" s="131" customFormat="1" ht="12.75">
      <c r="A14" s="128" t="str">
        <f>'BM02'!A32</f>
        <v>1.1.1</v>
      </c>
      <c r="B14" s="211" t="str">
        <f>'BM02'!B32</f>
        <v xml:space="preserve">PLACA   DE   OBRA   EM   CHAPA   DE   ACO GALVANIZADO </v>
      </c>
      <c r="C14" s="212"/>
      <c r="D14" s="212"/>
      <c r="E14" s="212"/>
      <c r="F14" s="212"/>
      <c r="G14" s="212"/>
      <c r="H14" s="212"/>
      <c r="I14" s="212"/>
      <c r="J14" s="212"/>
      <c r="K14" s="213"/>
      <c r="L14" s="129">
        <f>L15</f>
        <v>0</v>
      </c>
      <c r="M14" s="130" t="str">
        <f>'BM02'!C32</f>
        <v>m²</v>
      </c>
    </row>
    <row r="15" spans="1:14" ht="12.75">
      <c r="A15" s="132"/>
      <c r="B15" s="209"/>
      <c r="C15" s="210"/>
      <c r="D15" s="134"/>
      <c r="E15" s="134"/>
      <c r="F15" s="134"/>
      <c r="G15" s="134"/>
      <c r="H15" s="134"/>
      <c r="I15" s="134"/>
      <c r="J15" s="135"/>
      <c r="K15" s="135"/>
      <c r="L15" s="134">
        <f>ROUND(D15*K15,2)</f>
        <v>0</v>
      </c>
      <c r="M15" s="136"/>
    </row>
    <row r="16" spans="1:14" ht="12.75">
      <c r="A16" s="124"/>
      <c r="B16" s="125"/>
      <c r="C16" s="125"/>
      <c r="D16" s="125"/>
      <c r="E16" s="125"/>
      <c r="F16" s="125"/>
      <c r="G16" s="125"/>
      <c r="H16" s="125"/>
      <c r="I16" s="125"/>
      <c r="J16" s="125"/>
      <c r="K16" s="126"/>
      <c r="L16" s="125"/>
      <c r="M16" s="127"/>
    </row>
    <row r="17" spans="1:13" s="131" customFormat="1" ht="28.9" customHeight="1">
      <c r="A17" s="128" t="str">
        <f>'BM02'!A33</f>
        <v>1.1.2</v>
      </c>
      <c r="B17" s="211" t="str">
        <f>'BM02'!B33</f>
        <v>LOCACAO CONVENCIONAL DE OBRA, UTILIZANDO GABARITO DE TÁBUAS CORRIDAS PONTALETADAS A CADA 2,00M - 2 UTILIZAÇÕES. AF_10/2018</v>
      </c>
      <c r="C17" s="212"/>
      <c r="D17" s="212"/>
      <c r="E17" s="212"/>
      <c r="F17" s="212"/>
      <c r="G17" s="212"/>
      <c r="H17" s="212"/>
      <c r="I17" s="212"/>
      <c r="J17" s="212"/>
      <c r="K17" s="213"/>
      <c r="L17" s="129">
        <f>L18</f>
        <v>0</v>
      </c>
      <c r="M17" s="130" t="str">
        <f>'BM02'!C33</f>
        <v>M</v>
      </c>
    </row>
    <row r="18" spans="1:13" ht="12.75">
      <c r="A18" s="132"/>
      <c r="B18" s="209"/>
      <c r="C18" s="210"/>
      <c r="D18" s="134"/>
      <c r="E18" s="134"/>
      <c r="F18" s="134"/>
      <c r="G18" s="134"/>
      <c r="H18" s="134"/>
      <c r="I18" s="134"/>
      <c r="J18" s="135"/>
      <c r="K18" s="135"/>
      <c r="L18" s="134">
        <f>ROUND(D18*K18,2)</f>
        <v>0</v>
      </c>
      <c r="M18" s="136"/>
    </row>
    <row r="19" spans="1:13" ht="12.75">
      <c r="A19" s="124"/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7"/>
    </row>
    <row r="20" spans="1:13" s="131" customFormat="1" ht="28.9" customHeight="1">
      <c r="A20" s="128" t="str">
        <f>'BM02'!A34</f>
        <v>1.1.3</v>
      </c>
      <c r="B20" s="211" t="str">
        <f>'BM02'!B34</f>
        <v>LIMPEZA MECANIZADA DE CAMADA VEGETAL, VEGETAÇÃO E PEQUENAS ÁRVORES DIÂMETRO DE TRONCO MENOR QUE 0,20 M), COM TRATOR DE ESTEIRAS.AF_05/2018</v>
      </c>
      <c r="C20" s="212"/>
      <c r="D20" s="212"/>
      <c r="E20" s="212"/>
      <c r="F20" s="212"/>
      <c r="G20" s="212"/>
      <c r="H20" s="212"/>
      <c r="I20" s="212"/>
      <c r="J20" s="212"/>
      <c r="K20" s="213"/>
      <c r="L20" s="129">
        <f>L21</f>
        <v>0</v>
      </c>
      <c r="M20" s="130" t="str">
        <f>'BM02'!C34</f>
        <v>m²</v>
      </c>
    </row>
    <row r="21" spans="1:13" ht="12.75">
      <c r="A21" s="132"/>
      <c r="B21" s="209"/>
      <c r="C21" s="210"/>
      <c r="D21" s="134"/>
      <c r="E21" s="134"/>
      <c r="F21" s="134"/>
      <c r="G21" s="134"/>
      <c r="H21" s="134"/>
      <c r="I21" s="134"/>
      <c r="J21" s="135"/>
      <c r="K21" s="135"/>
      <c r="L21" s="134">
        <f>ROUND(D21*K21,2)</f>
        <v>0</v>
      </c>
      <c r="M21" s="136"/>
    </row>
    <row r="22" spans="1:13" ht="12.75">
      <c r="A22" s="124"/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7"/>
    </row>
    <row r="23" spans="1:13" s="131" customFormat="1" ht="28.9" customHeight="1">
      <c r="A23" s="128" t="str">
        <f>'BM02'!A35</f>
        <v>1.1.4</v>
      </c>
      <c r="B23" s="211" t="str">
        <f>'BM02'!B35</f>
        <v>LIGAÇÃO PREDIAL DE ÁGUA EM MURETA DE CONCRETO, PROVISÓRIA OU DEFINITIVA, COM FORNECIMENTO DE MATERIAL, INCLUSIVE MURETA E HIDRÔMETRO, REDE DN 50MM</v>
      </c>
      <c r="C23" s="212"/>
      <c r="D23" s="212"/>
      <c r="E23" s="212"/>
      <c r="F23" s="212"/>
      <c r="G23" s="212"/>
      <c r="H23" s="212"/>
      <c r="I23" s="212"/>
      <c r="J23" s="212"/>
      <c r="K23" s="213"/>
      <c r="L23" s="129">
        <f>L24</f>
        <v>0</v>
      </c>
      <c r="M23" s="130" t="str">
        <f>'BM02'!C35</f>
        <v>un</v>
      </c>
    </row>
    <row r="24" spans="1:13" ht="12.75">
      <c r="A24" s="132"/>
      <c r="B24" s="209"/>
      <c r="C24" s="210"/>
      <c r="D24" s="134"/>
      <c r="E24" s="134"/>
      <c r="F24" s="134"/>
      <c r="G24" s="134"/>
      <c r="H24" s="134"/>
      <c r="I24" s="134"/>
      <c r="J24" s="135"/>
      <c r="K24" s="135"/>
      <c r="L24" s="134">
        <f>ROUND(D24*K24,2)</f>
        <v>0</v>
      </c>
      <c r="M24" s="136"/>
    </row>
    <row r="25" spans="1:13" ht="12.75">
      <c r="A25" s="124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7"/>
    </row>
    <row r="26" spans="1:13" s="131" customFormat="1" ht="28.9" customHeight="1">
      <c r="A26" s="128" t="str">
        <f>'BM02'!A36</f>
        <v>1.1.5</v>
      </c>
      <c r="B26" s="211" t="str">
        <f>'BM02'!B36</f>
        <v>ENTRADA    DE    ENERGIA    ELETRICA MONOFASICA  COM  POSTE  DE  CONCRETO, INCLUSIVE   CABEAMENTO,   CAIXA   DE PROTECAO     PARA     MEDIDOR</v>
      </c>
      <c r="C26" s="212"/>
      <c r="D26" s="212"/>
      <c r="E26" s="212"/>
      <c r="F26" s="212"/>
      <c r="G26" s="212"/>
      <c r="H26" s="212"/>
      <c r="I26" s="212"/>
      <c r="J26" s="212"/>
      <c r="K26" s="213"/>
      <c r="L26" s="129">
        <f>L27</f>
        <v>0</v>
      </c>
      <c r="M26" s="130" t="str">
        <f>'BM02'!C36</f>
        <v>un</v>
      </c>
    </row>
    <row r="27" spans="1:13" ht="12.75">
      <c r="A27" s="132"/>
      <c r="B27" s="209"/>
      <c r="C27" s="210"/>
      <c r="D27" s="134"/>
      <c r="E27" s="134"/>
      <c r="F27" s="134"/>
      <c r="G27" s="134"/>
      <c r="H27" s="134"/>
      <c r="I27" s="134"/>
      <c r="J27" s="135"/>
      <c r="K27" s="135"/>
      <c r="L27" s="134">
        <f>ROUND(D27*K27,2)</f>
        <v>0</v>
      </c>
      <c r="M27" s="136"/>
    </row>
    <row r="28" spans="1:13" ht="12.75">
      <c r="A28" s="139"/>
      <c r="B28" s="140"/>
      <c r="C28" s="141"/>
      <c r="D28" s="142"/>
      <c r="E28" s="143"/>
      <c r="F28" s="142"/>
      <c r="G28" s="142"/>
      <c r="H28" s="143"/>
      <c r="I28" s="143"/>
      <c r="J28" s="144"/>
      <c r="K28" s="144"/>
      <c r="L28" s="142"/>
      <c r="M28" s="145"/>
    </row>
    <row r="29" spans="1:13" s="131" customFormat="1" ht="43.15" customHeight="1">
      <c r="A29" s="128" t="str">
        <f>'BM02'!A37</f>
        <v>1.1.6</v>
      </c>
      <c r="B29" s="211" t="str">
        <f>'BM02'!B37</f>
        <v>LIGACAO DOMICILIAR DE ESGOTO DN 100MM, DA  CASA  ATE  A  CAIXA,  COMPOSTO  POR 10,0M  TUBO  DE  PVC  ESGOTO  PREDIAL  DN
100MM E CAIXA DE ALVENARIA COM TAMPA DE   CONCRETO   -   FORNECIMENTO</v>
      </c>
      <c r="C29" s="212"/>
      <c r="D29" s="212"/>
      <c r="E29" s="212"/>
      <c r="F29" s="212"/>
      <c r="G29" s="212"/>
      <c r="H29" s="212"/>
      <c r="I29" s="212"/>
      <c r="J29" s="212"/>
      <c r="K29" s="213"/>
      <c r="L29" s="129">
        <f>SUM(L30)</f>
        <v>0</v>
      </c>
      <c r="M29" s="130" t="str">
        <f>'BM02'!C37</f>
        <v>un</v>
      </c>
    </row>
    <row r="30" spans="1:13" ht="12.75">
      <c r="A30" s="132"/>
      <c r="B30" s="209"/>
      <c r="C30" s="210"/>
      <c r="D30" s="134"/>
      <c r="E30" s="134"/>
      <c r="F30" s="134"/>
      <c r="G30" s="134"/>
      <c r="H30" s="134"/>
      <c r="I30" s="134"/>
      <c r="J30" s="135"/>
      <c r="K30" s="135"/>
      <c r="L30" s="134">
        <f>ROUND(D30*K30,2)</f>
        <v>0</v>
      </c>
      <c r="M30" s="136"/>
    </row>
    <row r="31" spans="1:13" ht="12.75">
      <c r="A31" s="146"/>
      <c r="B31" s="140"/>
      <c r="C31" s="143"/>
      <c r="D31" s="142"/>
      <c r="E31" s="142"/>
      <c r="F31" s="142"/>
      <c r="G31" s="142"/>
      <c r="H31" s="142"/>
      <c r="I31" s="142"/>
      <c r="J31" s="144"/>
      <c r="K31" s="144"/>
      <c r="L31" s="142"/>
      <c r="M31" s="145"/>
    </row>
    <row r="32" spans="1:13" s="131" customFormat="1" ht="12.75">
      <c r="A32" s="128" t="str">
        <f>'BM02'!A38</f>
        <v>1.1.7</v>
      </c>
      <c r="B32" s="211" t="str">
        <f>'BM02'!B38</f>
        <v>LOCAÇÃO DE CONTAINER - ALMOXARIFADO COM BANHEIRO - 6,00 X 2,30M</v>
      </c>
      <c r="C32" s="212"/>
      <c r="D32" s="212"/>
      <c r="E32" s="212"/>
      <c r="F32" s="212"/>
      <c r="G32" s="212"/>
      <c r="H32" s="212"/>
      <c r="I32" s="212"/>
      <c r="J32" s="212"/>
      <c r="K32" s="213"/>
      <c r="L32" s="129">
        <f>L33</f>
        <v>0</v>
      </c>
      <c r="M32" s="130" t="str">
        <f>'BM02'!C38</f>
        <v>mês</v>
      </c>
    </row>
    <row r="33" spans="1:13" ht="12.75">
      <c r="A33" s="132"/>
      <c r="B33" s="209"/>
      <c r="C33" s="210"/>
      <c r="D33" s="134"/>
      <c r="E33" s="134"/>
      <c r="F33" s="134"/>
      <c r="G33" s="134"/>
      <c r="H33" s="134"/>
      <c r="I33" s="134"/>
      <c r="J33" s="135"/>
      <c r="K33" s="135"/>
      <c r="L33" s="134">
        <f>ROUND(D33*K33,2)</f>
        <v>0</v>
      </c>
      <c r="M33" s="136"/>
    </row>
    <row r="34" spans="1:13" ht="12.75">
      <c r="A34" s="146"/>
      <c r="B34" s="140"/>
      <c r="C34" s="143"/>
      <c r="D34" s="142"/>
      <c r="E34" s="142"/>
      <c r="F34" s="142"/>
      <c r="G34" s="142"/>
      <c r="H34" s="142"/>
      <c r="I34" s="142"/>
      <c r="J34" s="144"/>
      <c r="K34" s="144"/>
      <c r="L34" s="142"/>
      <c r="M34" s="145"/>
    </row>
    <row r="35" spans="1:13" s="131" customFormat="1" ht="12.75">
      <c r="A35" s="128" t="str">
        <f>'BM02'!A39</f>
        <v>1.1.8</v>
      </c>
      <c r="B35" s="211" t="str">
        <f>'BM02'!B39</f>
        <v xml:space="preserve"> LOCAÇÃO DE CONTAINER - ESCRITÓRIO COM BANHEIRO - 6,20 X 2,20M</v>
      </c>
      <c r="C35" s="212"/>
      <c r="D35" s="212"/>
      <c r="E35" s="212"/>
      <c r="F35" s="212"/>
      <c r="G35" s="212"/>
      <c r="H35" s="212"/>
      <c r="I35" s="212"/>
      <c r="J35" s="212"/>
      <c r="K35" s="213"/>
      <c r="L35" s="129">
        <f>L36</f>
        <v>0</v>
      </c>
      <c r="M35" s="130" t="str">
        <f>'BM02'!C39</f>
        <v>mês</v>
      </c>
    </row>
    <row r="36" spans="1:13" ht="12.75">
      <c r="A36" s="132"/>
      <c r="B36" s="209"/>
      <c r="C36" s="210"/>
      <c r="D36" s="134"/>
      <c r="E36" s="134"/>
      <c r="F36" s="134"/>
      <c r="G36" s="134"/>
      <c r="H36" s="134"/>
      <c r="I36" s="134"/>
      <c r="J36" s="135"/>
      <c r="K36" s="135"/>
      <c r="L36" s="134">
        <f>ROUND(D36*K36,2)</f>
        <v>0</v>
      </c>
      <c r="M36" s="136"/>
    </row>
    <row r="37" spans="1:13" ht="12.75">
      <c r="A37" s="146"/>
      <c r="B37" s="140"/>
      <c r="C37" s="143"/>
      <c r="D37" s="142"/>
      <c r="E37" s="142"/>
      <c r="F37" s="142"/>
      <c r="G37" s="142"/>
      <c r="H37" s="142"/>
      <c r="I37" s="142"/>
      <c r="J37" s="144"/>
      <c r="K37" s="144"/>
      <c r="L37" s="142"/>
      <c r="M37" s="145"/>
    </row>
    <row r="38" spans="1:13" s="131" customFormat="1" ht="12.75">
      <c r="A38" s="128" t="str">
        <f>'BM04'!A41</f>
        <v>1.1.9</v>
      </c>
      <c r="B38" s="211" t="str">
        <f>'BM04'!B41</f>
        <v>EXECUÇÃO DE DEPÓSITO EM CANTEIRO DE OBRA EM ALVENARIA</v>
      </c>
      <c r="C38" s="212"/>
      <c r="D38" s="212"/>
      <c r="E38" s="212"/>
      <c r="F38" s="212"/>
      <c r="G38" s="212"/>
      <c r="H38" s="212"/>
      <c r="I38" s="212"/>
      <c r="J38" s="212"/>
      <c r="K38" s="213"/>
      <c r="L38" s="129">
        <f>L39</f>
        <v>0</v>
      </c>
      <c r="M38" s="130" t="str">
        <f>'BM04'!C41</f>
        <v>M²</v>
      </c>
    </row>
    <row r="39" spans="1:13" ht="12.75">
      <c r="A39" s="132"/>
      <c r="B39" s="209"/>
      <c r="C39" s="210"/>
      <c r="D39" s="134"/>
      <c r="E39" s="134"/>
      <c r="F39" s="134"/>
      <c r="G39" s="134"/>
      <c r="H39" s="134"/>
      <c r="I39" s="134"/>
      <c r="J39" s="135"/>
      <c r="K39" s="135"/>
      <c r="L39" s="134">
        <f>ROUND(D39*K39,2)</f>
        <v>0</v>
      </c>
      <c r="M39" s="136"/>
    </row>
    <row r="40" spans="1:13" ht="13.5" thickBot="1">
      <c r="A40" s="146"/>
      <c r="B40" s="140"/>
      <c r="C40" s="143"/>
      <c r="D40" s="142"/>
      <c r="E40" s="142"/>
      <c r="F40" s="142"/>
      <c r="G40" s="142"/>
      <c r="H40" s="142"/>
      <c r="I40" s="142"/>
      <c r="J40" s="144"/>
      <c r="K40" s="144"/>
      <c r="L40" s="142"/>
      <c r="M40" s="145"/>
    </row>
    <row r="41" spans="1:13" s="131" customFormat="1" ht="13.5" thickBot="1">
      <c r="A41" s="121" t="str">
        <f>'BM02'!A41</f>
        <v>1.2</v>
      </c>
      <c r="B41" s="122" t="str">
        <f>'BM02'!B41</f>
        <v>MOVIMENTO DE TERRA</v>
      </c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3"/>
    </row>
    <row r="42" spans="1:13" ht="12.75">
      <c r="A42" s="146"/>
      <c r="B42" s="140"/>
      <c r="C42" s="143"/>
      <c r="D42" s="142"/>
      <c r="E42" s="142"/>
      <c r="F42" s="142"/>
      <c r="G42" s="142"/>
      <c r="H42" s="142"/>
      <c r="I42" s="142"/>
      <c r="J42" s="144"/>
      <c r="K42" s="144"/>
      <c r="L42" s="142"/>
      <c r="M42" s="145"/>
    </row>
    <row r="43" spans="1:13" s="131" customFormat="1" ht="28.9" customHeight="1">
      <c r="A43" s="128" t="str">
        <f>'BM02'!A43</f>
        <v>1.2.1</v>
      </c>
      <c r="B43" s="211" t="str">
        <f>'BM02'!B43</f>
        <v>ESCAVACAO MECANICA DE VALA EM MATERIAL DE 2A. CATEGORIA ATE 2 M DE PROFUNDIDADE COM UTILIZACAO DE ESCAVADEIRA HIDRAULICA</v>
      </c>
      <c r="C43" s="212"/>
      <c r="D43" s="212"/>
      <c r="E43" s="212"/>
      <c r="F43" s="212"/>
      <c r="G43" s="212"/>
      <c r="H43" s="212"/>
      <c r="I43" s="212"/>
      <c r="J43" s="212"/>
      <c r="K43" s="213"/>
      <c r="L43" s="129">
        <f>SUM(L44:L44)</f>
        <v>0</v>
      </c>
      <c r="M43" s="130" t="str">
        <f>'BM02'!C43</f>
        <v>m³</v>
      </c>
    </row>
    <row r="44" spans="1:13" ht="12.75">
      <c r="A44" s="132"/>
      <c r="B44" s="209"/>
      <c r="C44" s="210"/>
      <c r="D44" s="134"/>
      <c r="E44" s="134"/>
      <c r="F44" s="134"/>
      <c r="G44" s="134"/>
      <c r="H44" s="134"/>
      <c r="I44" s="134"/>
      <c r="J44" s="135"/>
      <c r="K44" s="135"/>
      <c r="L44" s="134">
        <f>ROUND(D44*K44,2)</f>
        <v>0</v>
      </c>
      <c r="M44" s="136"/>
    </row>
    <row r="45" spans="1:13" ht="12.75">
      <c r="A45" s="146"/>
      <c r="B45" s="140"/>
      <c r="C45" s="143"/>
      <c r="D45" s="142"/>
      <c r="E45" s="142"/>
      <c r="F45" s="142"/>
      <c r="G45" s="142"/>
      <c r="H45" s="142"/>
      <c r="I45" s="142"/>
      <c r="J45" s="144"/>
      <c r="K45" s="144"/>
      <c r="L45" s="142"/>
      <c r="M45" s="145"/>
    </row>
    <row r="46" spans="1:13" s="131" customFormat="1" ht="12.75">
      <c r="A46" s="128" t="str">
        <f>'BM02'!A44</f>
        <v>1.2.2</v>
      </c>
      <c r="B46" s="211" t="str">
        <f>'BM02'!B44</f>
        <v>REATERRO MANUAL DE VALAS COM COMPACTAÇÃO MECANIZADA. AF_04/2016</v>
      </c>
      <c r="C46" s="212"/>
      <c r="D46" s="212"/>
      <c r="E46" s="212"/>
      <c r="F46" s="212"/>
      <c r="G46" s="212"/>
      <c r="H46" s="212"/>
      <c r="I46" s="212"/>
      <c r="J46" s="212"/>
      <c r="K46" s="213"/>
      <c r="L46" s="129">
        <f>SUM(L47:L47)</f>
        <v>0</v>
      </c>
      <c r="M46" s="130" t="str">
        <f>'BM02'!C44</f>
        <v>m³</v>
      </c>
    </row>
    <row r="47" spans="1:13" ht="12.75">
      <c r="A47" s="132"/>
      <c r="B47" s="209"/>
      <c r="C47" s="210"/>
      <c r="D47" s="134"/>
      <c r="E47" s="134"/>
      <c r="F47" s="134"/>
      <c r="G47" s="134"/>
      <c r="H47" s="134"/>
      <c r="I47" s="134"/>
      <c r="J47" s="135"/>
      <c r="K47" s="135"/>
      <c r="L47" s="134">
        <f>ROUND(D47*K47,2)</f>
        <v>0</v>
      </c>
      <c r="M47" s="136"/>
    </row>
    <row r="48" spans="1:13" ht="12.75">
      <c r="A48" s="146"/>
      <c r="B48" s="140"/>
      <c r="C48" s="143"/>
      <c r="D48" s="142"/>
      <c r="E48" s="142"/>
      <c r="F48" s="142"/>
      <c r="G48" s="142"/>
      <c r="H48" s="142"/>
      <c r="I48" s="142"/>
      <c r="J48" s="144"/>
      <c r="K48" s="144"/>
      <c r="L48" s="142"/>
      <c r="M48" s="145"/>
    </row>
    <row r="49" spans="1:13" s="131" customFormat="1" ht="12.75">
      <c r="A49" s="128" t="str">
        <f>'BM02'!A45</f>
        <v>1.2.3</v>
      </c>
      <c r="B49" s="137" t="str">
        <f>'BM02'!B45</f>
        <v>ATERRO MANUAL DE VALAS COM SOLO ARGILO-ARENOSO E COMPACTAÇÃO MECANIZADA. AF_05/2016</v>
      </c>
      <c r="C49" s="138"/>
      <c r="D49" s="138"/>
      <c r="E49" s="138"/>
      <c r="F49" s="138"/>
      <c r="G49" s="138"/>
      <c r="H49" s="138"/>
      <c r="I49" s="138"/>
      <c r="J49" s="138"/>
      <c r="K49" s="138"/>
      <c r="L49" s="129">
        <f>ROUND(SUM(L50:L50),2)</f>
        <v>0</v>
      </c>
      <c r="M49" s="130" t="str">
        <f>'BM02'!C45</f>
        <v>m³</v>
      </c>
    </row>
    <row r="50" spans="1:13" ht="28.9" customHeight="1">
      <c r="A50" s="132"/>
      <c r="B50" s="209"/>
      <c r="C50" s="210"/>
      <c r="D50" s="134"/>
      <c r="E50" s="134"/>
      <c r="F50" s="134"/>
      <c r="G50" s="134"/>
      <c r="H50" s="134"/>
      <c r="I50" s="134"/>
      <c r="J50" s="135"/>
      <c r="K50" s="135"/>
      <c r="L50" s="134">
        <f>-ROUND(D50*K50,2)</f>
        <v>0</v>
      </c>
      <c r="M50" s="136"/>
    </row>
    <row r="51" spans="1:13" ht="12.75">
      <c r="A51" s="146"/>
      <c r="B51" s="140"/>
      <c r="C51" s="143"/>
      <c r="D51" s="142"/>
      <c r="E51" s="142"/>
      <c r="F51" s="142"/>
      <c r="G51" s="142"/>
      <c r="H51" s="142"/>
      <c r="I51" s="142"/>
      <c r="J51" s="144"/>
      <c r="K51" s="144"/>
      <c r="L51" s="142"/>
      <c r="M51" s="145"/>
    </row>
    <row r="52" spans="1:13" s="131" customFormat="1" ht="12.75">
      <c r="A52" s="128" t="str">
        <f>'BM04'!A48</f>
        <v>1.2.4</v>
      </c>
      <c r="B52" s="137" t="str">
        <f>'BM04'!B48</f>
        <v>Transporte de material, por peso, com caminhão basculante, com ciclo definido e dmt 2001 a 3000m. Rev 01</v>
      </c>
      <c r="C52" s="138"/>
      <c r="D52" s="138"/>
      <c r="E52" s="138"/>
      <c r="F52" s="138"/>
      <c r="G52" s="138"/>
      <c r="H52" s="138"/>
      <c r="I52" s="138"/>
      <c r="J52" s="138"/>
      <c r="K52" s="138"/>
      <c r="L52" s="129">
        <f>ROUND(SUM(L53:L53),2)</f>
        <v>0</v>
      </c>
      <c r="M52" s="130" t="str">
        <f>'BM04'!C48</f>
        <v>t</v>
      </c>
    </row>
    <row r="53" spans="1:13" ht="12.75">
      <c r="A53" s="132"/>
      <c r="B53" s="209"/>
      <c r="C53" s="210"/>
      <c r="D53" s="134"/>
      <c r="E53" s="134"/>
      <c r="F53" s="134"/>
      <c r="G53" s="134"/>
      <c r="H53" s="134"/>
      <c r="I53" s="134"/>
      <c r="J53" s="135"/>
      <c r="K53" s="135"/>
      <c r="L53" s="134">
        <f>K53</f>
        <v>0</v>
      </c>
      <c r="M53" s="136"/>
    </row>
    <row r="54" spans="1:13" ht="13.5" thickBot="1">
      <c r="A54" s="146"/>
      <c r="B54" s="140"/>
      <c r="C54" s="143"/>
      <c r="D54" s="142"/>
      <c r="E54" s="142"/>
      <c r="F54" s="142"/>
      <c r="G54" s="142"/>
      <c r="H54" s="142"/>
      <c r="I54" s="142"/>
      <c r="J54" s="144"/>
      <c r="K54" s="144"/>
      <c r="L54" s="142"/>
      <c r="M54" s="145"/>
    </row>
    <row r="55" spans="1:13" s="131" customFormat="1" ht="13.5" thickBot="1">
      <c r="A55" s="121" t="str">
        <f>'BM02'!A47</f>
        <v>1.3</v>
      </c>
      <c r="B55" s="122" t="str">
        <f>'BM02'!B47</f>
        <v>INFRAESTRUTURA</v>
      </c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3"/>
    </row>
    <row r="56" spans="1:13" ht="12.75">
      <c r="A56" s="146"/>
      <c r="B56" s="140"/>
      <c r="C56" s="143"/>
      <c r="D56" s="142"/>
      <c r="E56" s="142"/>
      <c r="F56" s="142"/>
      <c r="G56" s="142"/>
      <c r="H56" s="142"/>
      <c r="I56" s="142"/>
      <c r="J56" s="144"/>
      <c r="K56" s="144"/>
      <c r="L56" s="142"/>
      <c r="M56" s="145"/>
    </row>
    <row r="57" spans="1:13" s="131" customFormat="1" ht="12.75">
      <c r="A57" s="128" t="str">
        <f>'BM02'!A49</f>
        <v>1.3.1</v>
      </c>
      <c r="B57" s="211" t="str">
        <f>'BM02'!B49</f>
        <v>EMBASAMENTO C/PEDRA ARGAMASSADA UTILIZADO ARG.CIM/AREIA 1:4 (ADAPTADO SINAPI 95467)</v>
      </c>
      <c r="C57" s="212"/>
      <c r="D57" s="212"/>
      <c r="E57" s="212"/>
      <c r="F57" s="212"/>
      <c r="G57" s="212"/>
      <c r="H57" s="212"/>
      <c r="I57" s="212"/>
      <c r="J57" s="212"/>
      <c r="K57" s="213"/>
      <c r="L57" s="129">
        <f>SUM(L58:L58)</f>
        <v>0</v>
      </c>
      <c r="M57" s="130" t="str">
        <f>'BM02'!C49</f>
        <v>m³</v>
      </c>
    </row>
    <row r="58" spans="1:13" s="131" customFormat="1" ht="12.75">
      <c r="A58" s="132"/>
      <c r="B58" s="178"/>
      <c r="C58" s="179"/>
      <c r="D58" s="134"/>
      <c r="E58" s="134"/>
      <c r="F58" s="134"/>
      <c r="G58" s="134"/>
      <c r="H58" s="134"/>
      <c r="I58" s="134"/>
      <c r="J58" s="135"/>
      <c r="K58" s="135"/>
      <c r="L58" s="134">
        <f t="shared" ref="L58" si="0">ROUND(D58*K58,2)</f>
        <v>0</v>
      </c>
      <c r="M58" s="180"/>
    </row>
    <row r="59" spans="1:13" ht="12.75">
      <c r="A59" s="146"/>
      <c r="B59" s="140"/>
      <c r="C59" s="143"/>
      <c r="D59" s="142"/>
      <c r="E59" s="142"/>
      <c r="F59" s="142"/>
      <c r="G59" s="142"/>
      <c r="H59" s="142"/>
      <c r="I59" s="142"/>
      <c r="J59" s="144"/>
      <c r="K59" s="144"/>
      <c r="L59" s="142"/>
      <c r="M59" s="145"/>
    </row>
    <row r="60" spans="1:13" s="131" customFormat="1" ht="43.15" customHeight="1">
      <c r="A60" s="128" t="str">
        <f>'BM01'!A50</f>
        <v>1.3.2</v>
      </c>
      <c r="B60" s="211" t="str">
        <f>'BM02'!B50</f>
        <v>ALVENARIA DE VEDAÇÃO DE BLOCOS CERÂMICOS FURADOS NA HORIZONTAL DE 9X19X19CM (ESPESSURA 9CM) DE PAREDES COM ÁREA LÍQUIDA MAIOR OU IGUAL A 6M² COM VÃOS E ARGAMASSA DE ASSENTAMENTO COM PREPARO MANUAL. AF_06/2014</v>
      </c>
      <c r="C60" s="212"/>
      <c r="D60" s="212"/>
      <c r="E60" s="212"/>
      <c r="F60" s="212"/>
      <c r="G60" s="212"/>
      <c r="H60" s="212"/>
      <c r="I60" s="212"/>
      <c r="J60" s="212"/>
      <c r="K60" s="213"/>
      <c r="L60" s="129">
        <f>ROUND(SUM(L61:L61),2)</f>
        <v>0</v>
      </c>
      <c r="M60" s="130" t="str">
        <f>'BM02'!C50</f>
        <v>m²</v>
      </c>
    </row>
    <row r="61" spans="1:13" s="131" customFormat="1" ht="12.75">
      <c r="A61" s="132"/>
      <c r="B61" s="209"/>
      <c r="C61" s="210"/>
      <c r="D61" s="134"/>
      <c r="E61" s="134"/>
      <c r="F61" s="134"/>
      <c r="G61" s="134"/>
      <c r="H61" s="134"/>
      <c r="I61" s="134"/>
      <c r="J61" s="135"/>
      <c r="K61" s="135"/>
      <c r="L61" s="134">
        <f>-K61</f>
        <v>0</v>
      </c>
      <c r="M61" s="180"/>
    </row>
    <row r="62" spans="1:13" ht="12.75">
      <c r="A62" s="146"/>
      <c r="B62" s="140"/>
      <c r="C62" s="143"/>
      <c r="D62" s="142"/>
      <c r="E62" s="142"/>
      <c r="F62" s="142"/>
      <c r="G62" s="142"/>
      <c r="H62" s="142"/>
      <c r="I62" s="142"/>
      <c r="J62" s="144"/>
      <c r="K62" s="144"/>
      <c r="L62" s="142"/>
      <c r="M62" s="145"/>
    </row>
    <row r="63" spans="1:13" s="131" customFormat="1" ht="12.75">
      <c r="A63" s="128" t="str">
        <f>'BM01'!A51</f>
        <v>1.3.3</v>
      </c>
      <c r="B63" s="211" t="str">
        <f>'BM02'!B51</f>
        <v>LASTRO DE CONCRETO MAGRO, APLICADO EM BLOCOS DE COROAMENTO OU SAPATAS. AF_08/2017</v>
      </c>
      <c r="C63" s="212"/>
      <c r="D63" s="212"/>
      <c r="E63" s="212"/>
      <c r="F63" s="212"/>
      <c r="G63" s="212"/>
      <c r="H63" s="212"/>
      <c r="I63" s="212"/>
      <c r="J63" s="212"/>
      <c r="K63" s="213"/>
      <c r="L63" s="129">
        <f>SUM(L64:L64)</f>
        <v>0</v>
      </c>
      <c r="M63" s="130" t="str">
        <f>'BM02'!C51</f>
        <v>m³</v>
      </c>
    </row>
    <row r="64" spans="1:13" s="131" customFormat="1" ht="12.75">
      <c r="A64" s="132"/>
      <c r="B64" s="178"/>
      <c r="C64" s="179"/>
      <c r="D64" s="134"/>
      <c r="E64" s="134"/>
      <c r="F64" s="134"/>
      <c r="G64" s="134"/>
      <c r="H64" s="134"/>
      <c r="I64" s="134"/>
      <c r="J64" s="135"/>
      <c r="K64" s="135"/>
      <c r="L64" s="134">
        <f t="shared" ref="L64" si="1">ROUND(D64*K64,2)</f>
        <v>0</v>
      </c>
      <c r="M64" s="180"/>
    </row>
    <row r="65" spans="1:13" ht="12.75">
      <c r="A65" s="146"/>
      <c r="B65" s="140"/>
      <c r="C65" s="143"/>
      <c r="D65" s="142"/>
      <c r="E65" s="142"/>
      <c r="F65" s="142"/>
      <c r="G65" s="142"/>
      <c r="H65" s="142"/>
      <c r="I65" s="142"/>
      <c r="J65" s="144"/>
      <c r="K65" s="144"/>
      <c r="L65" s="142"/>
      <c r="M65" s="145"/>
    </row>
    <row r="66" spans="1:13" s="131" customFormat="1" ht="28.9" customHeight="1">
      <c r="A66" s="128" t="str">
        <f>'BM01'!A52</f>
        <v>1.3.4</v>
      </c>
      <c r="B66" s="211" t="str">
        <f>'BM02'!B52</f>
        <v>CONCRETO ARMADO (PREPARO E LANÇAMENTO) PARA SAPATAS COM FCK=25MPA COM FORMA DE TABUA COM APROVEITAMENTO DE 2 VEZES COM BETONEIRA</v>
      </c>
      <c r="C66" s="212"/>
      <c r="D66" s="212"/>
      <c r="E66" s="212"/>
      <c r="F66" s="212"/>
      <c r="G66" s="212"/>
      <c r="H66" s="212"/>
      <c r="I66" s="212"/>
      <c r="J66" s="212"/>
      <c r="K66" s="213"/>
      <c r="L66" s="129">
        <f>SUM(L67:L67)</f>
        <v>0</v>
      </c>
      <c r="M66" s="130" t="str">
        <f>'BM02'!C52</f>
        <v>m³</v>
      </c>
    </row>
    <row r="67" spans="1:13" s="131" customFormat="1" ht="12.75">
      <c r="A67" s="132"/>
      <c r="B67" s="178"/>
      <c r="C67" s="179"/>
      <c r="D67" s="134"/>
      <c r="E67" s="134"/>
      <c r="F67" s="134"/>
      <c r="G67" s="134"/>
      <c r="H67" s="134"/>
      <c r="I67" s="134"/>
      <c r="J67" s="135"/>
      <c r="K67" s="135"/>
      <c r="L67" s="134">
        <f t="shared" ref="L67" si="2">ROUND(D67*K67,2)</f>
        <v>0</v>
      </c>
      <c r="M67" s="180"/>
    </row>
    <row r="68" spans="1:13" ht="12.75">
      <c r="A68" s="146"/>
      <c r="B68" s="140"/>
      <c r="C68" s="143"/>
      <c r="D68" s="142"/>
      <c r="E68" s="142"/>
      <c r="F68" s="142"/>
      <c r="G68" s="142"/>
      <c r="H68" s="142"/>
      <c r="I68" s="142"/>
      <c r="J68" s="144"/>
      <c r="K68" s="144"/>
      <c r="L68" s="142"/>
      <c r="M68" s="145"/>
    </row>
    <row r="69" spans="1:13" s="131" customFormat="1" ht="28.9" customHeight="1">
      <c r="A69" s="128" t="str">
        <f>'BM01'!A53</f>
        <v>1.3.5</v>
      </c>
      <c r="B69" s="211" t="str">
        <f>'BM02'!B53</f>
        <v>CONCRETO ARMADO (PREPARO E LANÇAMENTO) PARA RADIER COM FCK=25MPA COM TABUA DE MADEIRA COM APROVEITAMENTO DE 3 VEZES COM BETONEIRA</v>
      </c>
      <c r="C69" s="212"/>
      <c r="D69" s="212"/>
      <c r="E69" s="212"/>
      <c r="F69" s="212"/>
      <c r="G69" s="212"/>
      <c r="H69" s="212"/>
      <c r="I69" s="212"/>
      <c r="J69" s="212"/>
      <c r="K69" s="213"/>
      <c r="L69" s="129">
        <f>SUM(L70:L70)</f>
        <v>0</v>
      </c>
      <c r="M69" s="130" t="str">
        <f>'BM02'!C53</f>
        <v>m³</v>
      </c>
    </row>
    <row r="70" spans="1:13" ht="12.75">
      <c r="A70" s="132"/>
      <c r="B70" s="209"/>
      <c r="C70" s="210"/>
      <c r="D70" s="134"/>
      <c r="E70" s="134"/>
      <c r="F70" s="134"/>
      <c r="G70" s="134"/>
      <c r="H70" s="134"/>
      <c r="I70" s="134"/>
      <c r="J70" s="135"/>
      <c r="K70" s="135"/>
      <c r="L70" s="134">
        <f>-K70</f>
        <v>0</v>
      </c>
      <c r="M70" s="136"/>
    </row>
    <row r="71" spans="1:13" ht="12.75">
      <c r="A71" s="146"/>
      <c r="B71" s="181"/>
      <c r="C71" s="181"/>
      <c r="D71" s="142"/>
      <c r="E71" s="142"/>
      <c r="F71" s="142"/>
      <c r="G71" s="142"/>
      <c r="H71" s="142"/>
      <c r="I71" s="142"/>
      <c r="J71" s="144"/>
      <c r="K71" s="144"/>
      <c r="L71" s="142"/>
      <c r="M71" s="145"/>
    </row>
    <row r="72" spans="1:13" s="131" customFormat="1" ht="12.75">
      <c r="A72" s="128" t="str">
        <f>'BM04'!A57</f>
        <v>1.3.6</v>
      </c>
      <c r="B72" s="211" t="str">
        <f>'BM04'!B57</f>
        <v>IMPERMEABILIZAÇÃO DE SUPERFÍCIE COM EMULSÃO ASFÁLTICA, 2 DEMÃOS AF_06/2018</v>
      </c>
      <c r="C72" s="212"/>
      <c r="D72" s="212"/>
      <c r="E72" s="212"/>
      <c r="F72" s="212"/>
      <c r="G72" s="212"/>
      <c r="H72" s="212"/>
      <c r="I72" s="212"/>
      <c r="J72" s="212"/>
      <c r="K72" s="213"/>
      <c r="L72" s="129">
        <f>SUM(L73:L73)</f>
        <v>0</v>
      </c>
      <c r="M72" s="130" t="str">
        <f>'BM04'!C57</f>
        <v>M²</v>
      </c>
    </row>
    <row r="73" spans="1:13" ht="12.75">
      <c r="A73" s="132"/>
      <c r="B73" s="209"/>
      <c r="C73" s="210"/>
      <c r="D73" s="134"/>
      <c r="E73" s="134"/>
      <c r="F73" s="134"/>
      <c r="G73" s="134"/>
      <c r="H73" s="134"/>
      <c r="I73" s="134"/>
      <c r="J73" s="135"/>
      <c r="K73" s="135"/>
      <c r="L73" s="134">
        <f t="shared" ref="L73" si="3">ROUND(D73*K73,2)</f>
        <v>0</v>
      </c>
      <c r="M73" s="136"/>
    </row>
    <row r="74" spans="1:13" ht="13.5" thickBot="1">
      <c r="A74" s="146"/>
      <c r="B74" s="181"/>
      <c r="C74" s="181"/>
      <c r="D74" s="142"/>
      <c r="E74" s="142"/>
      <c r="F74" s="142"/>
      <c r="G74" s="142"/>
      <c r="H74" s="142"/>
      <c r="I74" s="142"/>
      <c r="J74" s="144"/>
      <c r="K74" s="144"/>
      <c r="L74" s="142"/>
      <c r="M74" s="145"/>
    </row>
    <row r="75" spans="1:13" ht="13.5" thickBot="1">
      <c r="A75" s="121" t="str">
        <f>'BM02'!A55</f>
        <v>1.4</v>
      </c>
      <c r="B75" s="122" t="str">
        <f>'BM02'!B55</f>
        <v>SUPERESTRUTURA</v>
      </c>
      <c r="C75" s="122"/>
      <c r="D75" s="122"/>
      <c r="E75" s="122"/>
      <c r="F75" s="122"/>
      <c r="G75" s="122"/>
      <c r="H75" s="122"/>
      <c r="I75" s="122"/>
      <c r="J75" s="122"/>
      <c r="K75" s="122"/>
      <c r="L75" s="122"/>
      <c r="M75" s="123"/>
    </row>
    <row r="76" spans="1:13" ht="12.75">
      <c r="A76" s="124"/>
      <c r="B76" s="125"/>
      <c r="C76" s="125"/>
      <c r="D76" s="125"/>
      <c r="E76" s="125"/>
      <c r="F76" s="125"/>
      <c r="G76" s="125"/>
      <c r="H76" s="125"/>
      <c r="I76" s="125"/>
      <c r="J76" s="125"/>
      <c r="K76" s="126"/>
      <c r="L76" s="125"/>
      <c r="M76" s="127"/>
    </row>
    <row r="77" spans="1:13" s="131" customFormat="1" ht="28.9" customHeight="1">
      <c r="A77" s="128" t="str">
        <f>'BM02'!A57</f>
        <v>1.4.1</v>
      </c>
      <c r="B77" s="211" t="str">
        <f>'BM02'!B57</f>
        <v>CONCRETO ARMADO (PREPARO E LANÇAMENTO) PARA VIGA COM FCK=25MPA, COM FORMA EM CHAPA DE MADEIRA COMPENSADA RESINADA, COM APROVEITAMENTO DE 3 VEZES COM BETONEIRA</v>
      </c>
      <c r="C77" s="212"/>
      <c r="D77" s="212"/>
      <c r="E77" s="212"/>
      <c r="F77" s="212"/>
      <c r="G77" s="212"/>
      <c r="H77" s="212"/>
      <c r="I77" s="212"/>
      <c r="J77" s="212"/>
      <c r="K77" s="213"/>
      <c r="L77" s="129">
        <f>SUM(L78:L78)</f>
        <v>0</v>
      </c>
      <c r="M77" s="130" t="str">
        <f>'BM02'!C57</f>
        <v>m²</v>
      </c>
    </row>
    <row r="78" spans="1:13" ht="12.75">
      <c r="A78" s="132"/>
      <c r="B78" s="209"/>
      <c r="C78" s="210"/>
      <c r="D78" s="134"/>
      <c r="E78" s="134"/>
      <c r="F78" s="134"/>
      <c r="G78" s="134"/>
      <c r="H78" s="134"/>
      <c r="I78" s="134"/>
      <c r="J78" s="135"/>
      <c r="K78" s="135"/>
      <c r="L78" s="134">
        <f>D78</f>
        <v>0</v>
      </c>
      <c r="M78" s="136"/>
    </row>
    <row r="79" spans="1:13" ht="12.75">
      <c r="A79" s="124"/>
      <c r="B79" s="125"/>
      <c r="C79" s="125"/>
      <c r="D79" s="125"/>
      <c r="E79" s="125"/>
      <c r="F79" s="125"/>
      <c r="G79" s="125"/>
      <c r="H79" s="125"/>
      <c r="I79" s="125"/>
      <c r="J79" s="125"/>
      <c r="K79" s="125"/>
      <c r="L79" s="125"/>
      <c r="M79" s="127"/>
    </row>
    <row r="80" spans="1:13" s="131" customFormat="1" ht="28.9" customHeight="1">
      <c r="A80" s="128" t="str">
        <f>'BM02'!A58</f>
        <v>1.4.2</v>
      </c>
      <c r="B80" s="211" t="str">
        <f>'BM02'!B58</f>
        <v>CONCRETO ARMADO (PREPARO E LANÇAMENTO) PARA PILARES COM FCK=25MPA, COM FORMA EM CHAPA DE MADEIRA COMPENSADA RESINADA, COM APROVEITAMENTO DE 3 VEZES COM BETONEIRA</v>
      </c>
      <c r="C80" s="212"/>
      <c r="D80" s="212"/>
      <c r="E80" s="212"/>
      <c r="F80" s="212"/>
      <c r="G80" s="212"/>
      <c r="H80" s="212"/>
      <c r="I80" s="212"/>
      <c r="J80" s="212"/>
      <c r="K80" s="213"/>
      <c r="L80" s="129">
        <f>ROUND(SUM(L81:L81),2)</f>
        <v>0</v>
      </c>
      <c r="M80" s="130" t="str">
        <f>'BM02'!C58</f>
        <v>m³</v>
      </c>
    </row>
    <row r="81" spans="1:13" ht="12.75">
      <c r="A81" s="132"/>
      <c r="B81" s="209"/>
      <c r="C81" s="210"/>
      <c r="D81" s="134"/>
      <c r="E81" s="134"/>
      <c r="F81" s="134"/>
      <c r="G81" s="134"/>
      <c r="H81" s="134"/>
      <c r="I81" s="134"/>
      <c r="J81" s="135"/>
      <c r="K81" s="135"/>
      <c r="L81" s="134">
        <f>D81*K81</f>
        <v>0</v>
      </c>
      <c r="M81" s="136"/>
    </row>
    <row r="82" spans="1:13" ht="12.75">
      <c r="A82" s="146"/>
      <c r="B82" s="181"/>
      <c r="C82" s="181"/>
      <c r="D82" s="142"/>
      <c r="E82" s="142"/>
      <c r="F82" s="142"/>
      <c r="G82" s="142"/>
      <c r="H82" s="142"/>
      <c r="I82" s="142"/>
      <c r="J82" s="144"/>
      <c r="K82" s="144"/>
      <c r="L82" s="142"/>
      <c r="M82" s="145"/>
    </row>
    <row r="83" spans="1:13" ht="12.75">
      <c r="A83" s="128" t="str">
        <f>'BM02'!A59</f>
        <v>1.4.3</v>
      </c>
      <c r="B83" s="137" t="str">
        <f>'BM02'!B59</f>
        <v>Prateleira em granito cinza andorinha, esp= 2cm</v>
      </c>
      <c r="C83" s="138"/>
      <c r="D83" s="138"/>
      <c r="E83" s="138"/>
      <c r="F83" s="138"/>
      <c r="G83" s="138"/>
      <c r="H83" s="138"/>
      <c r="I83" s="138"/>
      <c r="J83" s="138"/>
      <c r="K83" s="138"/>
      <c r="L83" s="129">
        <f>SUM(L84:L88)</f>
        <v>11.32</v>
      </c>
      <c r="M83" s="130" t="str">
        <f>'BM02'!C59</f>
        <v>m²</v>
      </c>
    </row>
    <row r="84" spans="1:13" ht="12.75">
      <c r="A84" s="132"/>
      <c r="B84" s="209" t="s">
        <v>780</v>
      </c>
      <c r="C84" s="210"/>
      <c r="D84" s="134">
        <v>1</v>
      </c>
      <c r="E84" s="134">
        <v>1.5</v>
      </c>
      <c r="F84" s="134"/>
      <c r="G84" s="134">
        <v>0.45</v>
      </c>
      <c r="H84" s="134"/>
      <c r="I84" s="134"/>
      <c r="J84" s="135"/>
      <c r="K84" s="135">
        <f t="shared" ref="K84" si="4">E84*G84</f>
        <v>0.67500000000000004</v>
      </c>
      <c r="L84" s="134">
        <f t="shared" ref="L84" si="5">ROUND(D84*K84,2)</f>
        <v>0.68</v>
      </c>
      <c r="M84" s="136"/>
    </row>
    <row r="85" spans="1:13" ht="12.75">
      <c r="A85" s="132"/>
      <c r="B85" s="209" t="s">
        <v>781</v>
      </c>
      <c r="C85" s="210"/>
      <c r="D85" s="134">
        <v>1</v>
      </c>
      <c r="E85" s="134">
        <v>1.5</v>
      </c>
      <c r="F85" s="134"/>
      <c r="G85" s="134">
        <v>0.45</v>
      </c>
      <c r="H85" s="134"/>
      <c r="I85" s="134"/>
      <c r="J85" s="135"/>
      <c r="K85" s="135">
        <f t="shared" ref="K85:K88" si="6">E85*G85</f>
        <v>0.67500000000000004</v>
      </c>
      <c r="L85" s="134">
        <f t="shared" ref="L85:L88" si="7">ROUND(D85*K85,2)</f>
        <v>0.68</v>
      </c>
      <c r="M85" s="136"/>
    </row>
    <row r="86" spans="1:13" ht="12.75">
      <c r="A86" s="132"/>
      <c r="B86" s="209" t="s">
        <v>782</v>
      </c>
      <c r="C86" s="210"/>
      <c r="D86" s="134">
        <v>3</v>
      </c>
      <c r="E86" s="134">
        <v>1.4</v>
      </c>
      <c r="F86" s="134"/>
      <c r="G86" s="134">
        <v>0.5</v>
      </c>
      <c r="H86" s="134"/>
      <c r="I86" s="134"/>
      <c r="J86" s="135"/>
      <c r="K86" s="135">
        <f t="shared" si="6"/>
        <v>0.7</v>
      </c>
      <c r="L86" s="134">
        <f t="shared" si="7"/>
        <v>2.1</v>
      </c>
      <c r="M86" s="136"/>
    </row>
    <row r="87" spans="1:13" ht="12.75">
      <c r="A87" s="132"/>
      <c r="B87" s="209" t="s">
        <v>783</v>
      </c>
      <c r="C87" s="210"/>
      <c r="D87" s="134">
        <v>3</v>
      </c>
      <c r="E87" s="134">
        <f>(1.8+1.2)</f>
        <v>3</v>
      </c>
      <c r="F87" s="134"/>
      <c r="G87" s="134">
        <v>0.5</v>
      </c>
      <c r="H87" s="134"/>
      <c r="I87" s="134"/>
      <c r="J87" s="135"/>
      <c r="K87" s="135">
        <f t="shared" si="6"/>
        <v>1.5</v>
      </c>
      <c r="L87" s="134">
        <f t="shared" si="7"/>
        <v>4.5</v>
      </c>
      <c r="M87" s="136"/>
    </row>
    <row r="88" spans="1:13" ht="12.75">
      <c r="A88" s="132"/>
      <c r="B88" s="209" t="s">
        <v>784</v>
      </c>
      <c r="C88" s="210"/>
      <c r="D88" s="134">
        <v>3</v>
      </c>
      <c r="E88" s="134">
        <f>(2+0.8)</f>
        <v>2.8</v>
      </c>
      <c r="F88" s="134"/>
      <c r="G88" s="134">
        <v>0.4</v>
      </c>
      <c r="H88" s="134"/>
      <c r="I88" s="134"/>
      <c r="J88" s="135"/>
      <c r="K88" s="135">
        <f t="shared" si="6"/>
        <v>1.1199999999999999</v>
      </c>
      <c r="L88" s="134">
        <f t="shared" si="7"/>
        <v>3.36</v>
      </c>
      <c r="M88" s="136"/>
    </row>
    <row r="89" spans="1:13" ht="12.75">
      <c r="A89" s="124"/>
      <c r="B89" s="125"/>
      <c r="C89" s="125"/>
      <c r="D89" s="125"/>
      <c r="E89" s="125"/>
      <c r="F89" s="125"/>
      <c r="G89" s="125"/>
      <c r="H89" s="125"/>
      <c r="I89" s="125"/>
      <c r="J89" s="125"/>
      <c r="K89" s="125"/>
      <c r="L89" s="125"/>
      <c r="M89" s="127"/>
    </row>
    <row r="90" spans="1:13" ht="12.75">
      <c r="A90" s="128" t="str">
        <f>'BM02'!A60</f>
        <v>1.4.4</v>
      </c>
      <c r="B90" s="211" t="str">
        <f>'BM02'!B60</f>
        <v>LAJE PRÉ-MOLDADA UNIDIRECIONAL, BIAPOIADA, PARA FORRO, ENCHIMENTO EM CERÂMICA, VIGOTA CONVENCIONAL, ALTURA TOTAL DA LAJE (ENCHIMENTO+CAPA) = (8+3). AF_11/2020</v>
      </c>
      <c r="C90" s="212"/>
      <c r="D90" s="212"/>
      <c r="E90" s="212"/>
      <c r="F90" s="212"/>
      <c r="G90" s="212"/>
      <c r="H90" s="212"/>
      <c r="I90" s="212"/>
      <c r="J90" s="212"/>
      <c r="K90" s="213"/>
      <c r="L90" s="129">
        <f>SUM(L91:L91)</f>
        <v>0</v>
      </c>
      <c r="M90" s="130" t="str">
        <f>'BM02'!C60</f>
        <v>m²</v>
      </c>
    </row>
    <row r="91" spans="1:13" ht="12.75">
      <c r="A91" s="132"/>
      <c r="B91" s="209"/>
      <c r="C91" s="210"/>
      <c r="D91" s="134"/>
      <c r="E91" s="134"/>
      <c r="F91" s="134"/>
      <c r="G91" s="134"/>
      <c r="H91" s="134"/>
      <c r="I91" s="134"/>
      <c r="J91" s="135"/>
      <c r="K91" s="135"/>
      <c r="L91" s="134"/>
      <c r="M91" s="136"/>
    </row>
    <row r="92" spans="1:13" ht="13.5" thickBot="1">
      <c r="A92" s="139"/>
      <c r="B92" s="140"/>
      <c r="C92" s="141"/>
      <c r="D92" s="142"/>
      <c r="E92" s="143"/>
      <c r="F92" s="142"/>
      <c r="G92" s="142"/>
      <c r="H92" s="143"/>
      <c r="I92" s="143"/>
      <c r="J92" s="144"/>
      <c r="K92" s="144"/>
      <c r="L92" s="142"/>
      <c r="M92" s="145"/>
    </row>
    <row r="93" spans="1:13" ht="13.5" thickBot="1">
      <c r="A93" s="121" t="str">
        <f>'BM02'!A62</f>
        <v>1.5</v>
      </c>
      <c r="B93" s="122" t="str">
        <f>'BM02'!B62</f>
        <v>PAREDES E PAINEIS</v>
      </c>
      <c r="C93" s="122"/>
      <c r="D93" s="122"/>
      <c r="E93" s="122"/>
      <c r="F93" s="122"/>
      <c r="G93" s="122"/>
      <c r="H93" s="122"/>
      <c r="I93" s="122"/>
      <c r="J93" s="122"/>
      <c r="K93" s="122"/>
      <c r="L93" s="122"/>
      <c r="M93" s="123"/>
    </row>
    <row r="94" spans="1:13" ht="12.75">
      <c r="A94" s="124"/>
      <c r="B94" s="125"/>
      <c r="C94" s="125"/>
      <c r="D94" s="125"/>
      <c r="E94" s="125"/>
      <c r="F94" s="125"/>
      <c r="G94" s="125"/>
      <c r="H94" s="125"/>
      <c r="I94" s="125"/>
      <c r="J94" s="125"/>
      <c r="K94" s="126"/>
      <c r="L94" s="125"/>
      <c r="M94" s="127"/>
    </row>
    <row r="95" spans="1:13" s="131" customFormat="1" ht="43.15" customHeight="1">
      <c r="A95" s="128" t="str">
        <f>'BM02'!A64</f>
        <v>1.5.1</v>
      </c>
      <c r="B95" s="211" t="str">
        <f>'BM02'!B64</f>
        <v>ALVENARIA DE VEDAÇÃO DE BLOCOS CERÂMICOS FURADOS NA HORIZONTAL DE 9X19X19CM (ESPESSURA 9CM) DE PAREDES COM ÁREA LÍQUIDA MAIOR OU IGUAL A 6M² SEM VÃOS E ARGAMASSA DE ASSENTAMENTO COM PREPARO MANUAL. AF_06/2014</v>
      </c>
      <c r="C95" s="212"/>
      <c r="D95" s="212"/>
      <c r="E95" s="212"/>
      <c r="F95" s="212"/>
      <c r="G95" s="212"/>
      <c r="H95" s="212"/>
      <c r="I95" s="212"/>
      <c r="J95" s="212"/>
      <c r="K95" s="213"/>
      <c r="L95" s="129">
        <f>SUM(L96:L96)</f>
        <v>0</v>
      </c>
      <c r="M95" s="130" t="str">
        <f>'BM02'!C64</f>
        <v>m²</v>
      </c>
    </row>
    <row r="96" spans="1:13" s="131" customFormat="1" ht="14.45" customHeight="1">
      <c r="A96" s="132"/>
      <c r="B96" s="209"/>
      <c r="C96" s="210"/>
      <c r="D96" s="134"/>
      <c r="E96" s="134"/>
      <c r="F96" s="134"/>
      <c r="G96" s="134"/>
      <c r="H96" s="134"/>
      <c r="I96" s="134"/>
      <c r="J96" s="135"/>
      <c r="K96" s="135"/>
      <c r="L96" s="134">
        <f>ROUND(D96*K96,2)</f>
        <v>0</v>
      </c>
      <c r="M96" s="136"/>
    </row>
    <row r="97" spans="1:13" s="131" customFormat="1" ht="12.75">
      <c r="A97" s="139"/>
      <c r="B97" s="140"/>
      <c r="C97" s="141"/>
      <c r="D97" s="142"/>
      <c r="E97" s="143"/>
      <c r="F97" s="142"/>
      <c r="G97" s="142"/>
      <c r="H97" s="143"/>
      <c r="I97" s="143"/>
      <c r="J97" s="144"/>
      <c r="K97" s="144"/>
      <c r="L97" s="142"/>
      <c r="M97" s="145"/>
    </row>
    <row r="98" spans="1:13" ht="30" customHeight="1">
      <c r="A98" s="128" t="str">
        <f>'BM02'!A65</f>
        <v>1.5.2</v>
      </c>
      <c r="B98" s="211" t="str">
        <f>'BM02'!B65</f>
        <v>COBOGO DE CONCRETO (ELEMENTO VAZADO)10X29X39CM ABERTURA COM VIDRO, ASSENTADO COM ARGAMASSA TRAÇO 1:4 (CIMENTO E AREIA MEDIA NÃO PNEIRADA)</v>
      </c>
      <c r="C98" s="212"/>
      <c r="D98" s="212"/>
      <c r="E98" s="212"/>
      <c r="F98" s="212"/>
      <c r="G98" s="212"/>
      <c r="H98" s="212"/>
      <c r="I98" s="212"/>
      <c r="J98" s="212"/>
      <c r="K98" s="213"/>
      <c r="L98" s="129">
        <f>SUM(L99:L99)</f>
        <v>0</v>
      </c>
      <c r="M98" s="130" t="str">
        <f>'BM02'!C65</f>
        <v>m²</v>
      </c>
    </row>
    <row r="99" spans="1:13" s="131" customFormat="1" ht="12.75">
      <c r="A99" s="132"/>
      <c r="B99" s="209"/>
      <c r="C99" s="210"/>
      <c r="D99" s="134"/>
      <c r="E99" s="134"/>
      <c r="F99" s="134"/>
      <c r="G99" s="134"/>
      <c r="H99" s="134"/>
      <c r="I99" s="134"/>
      <c r="J99" s="135"/>
      <c r="K99" s="135"/>
      <c r="L99" s="134"/>
      <c r="M99" s="136"/>
    </row>
    <row r="100" spans="1:13" s="131" customFormat="1" ht="12.75">
      <c r="A100" s="139"/>
      <c r="B100" s="140"/>
      <c r="C100" s="141"/>
      <c r="D100" s="142"/>
      <c r="E100" s="143"/>
      <c r="F100" s="142"/>
      <c r="G100" s="142"/>
      <c r="H100" s="143"/>
      <c r="I100" s="143"/>
      <c r="J100" s="144"/>
      <c r="K100" s="144"/>
      <c r="L100" s="142"/>
      <c r="M100" s="145"/>
    </row>
    <row r="101" spans="1:13" ht="30" customHeight="1">
      <c r="A101" s="128" t="str">
        <f>'BM02'!A66</f>
        <v>1.5.3</v>
      </c>
      <c r="B101" s="211" t="str">
        <f>'BM02'!B66</f>
        <v>Muro em alvenaria bloco cerâmico, e= 0,09m, c/ alv de pedra 0,35 x 0,60m, colunas (9x20cm) e cintamento (9x15cm) superior e inferior concreto armado fck = 15,0 Mpa cada 3,00m, chapisco e reboco</v>
      </c>
      <c r="C101" s="212"/>
      <c r="D101" s="212"/>
      <c r="E101" s="212"/>
      <c r="F101" s="212"/>
      <c r="G101" s="212"/>
      <c r="H101" s="212"/>
      <c r="I101" s="212"/>
      <c r="J101" s="212"/>
      <c r="K101" s="213"/>
      <c r="L101" s="129">
        <f>ROUND(SUM(L102:L102),2)</f>
        <v>0</v>
      </c>
      <c r="M101" s="130" t="str">
        <f>'BM02'!C66</f>
        <v>m²</v>
      </c>
    </row>
    <row r="102" spans="1:13" s="131" customFormat="1" ht="12.75">
      <c r="A102" s="132"/>
      <c r="B102" s="209"/>
      <c r="C102" s="210"/>
      <c r="D102" s="134"/>
      <c r="E102" s="134"/>
      <c r="F102" s="134"/>
      <c r="G102" s="134"/>
      <c r="H102" s="134"/>
      <c r="I102" s="134"/>
      <c r="J102" s="135"/>
      <c r="K102" s="135"/>
      <c r="L102" s="134">
        <f>D102*K102</f>
        <v>0</v>
      </c>
      <c r="M102" s="136"/>
    </row>
    <row r="103" spans="1:13" s="131" customFormat="1" ht="12.75">
      <c r="A103" s="139"/>
      <c r="B103" s="140"/>
      <c r="C103" s="141"/>
      <c r="D103" s="142"/>
      <c r="E103" s="143"/>
      <c r="F103" s="142"/>
      <c r="G103" s="142"/>
      <c r="H103" s="143"/>
      <c r="I103" s="143"/>
      <c r="J103" s="144"/>
      <c r="K103" s="144"/>
      <c r="L103" s="142"/>
      <c r="M103" s="145"/>
    </row>
    <row r="104" spans="1:13" ht="12.75">
      <c r="A104" s="128" t="str">
        <f>'BM04'!A71</f>
        <v>1.5.4</v>
      </c>
      <c r="B104" s="211" t="str">
        <f>'BM04'!B71</f>
        <v>VERGA MOLDADA IN LOCO EM CONCRETO PARA PORTAS COM ATÉ 1,5 M DE VÃO. AF_03/2016</v>
      </c>
      <c r="C104" s="212"/>
      <c r="D104" s="212"/>
      <c r="E104" s="212"/>
      <c r="F104" s="212"/>
      <c r="G104" s="212"/>
      <c r="H104" s="212"/>
      <c r="I104" s="212"/>
      <c r="J104" s="212"/>
      <c r="K104" s="213"/>
      <c r="L104" s="129">
        <f>ROUND(SUM(L105:L105),2)</f>
        <v>0</v>
      </c>
      <c r="M104" s="130" t="str">
        <f>'BM04'!C71</f>
        <v>M</v>
      </c>
    </row>
    <row r="105" spans="1:13" s="131" customFormat="1" ht="12.75">
      <c r="A105" s="132"/>
      <c r="B105" s="209"/>
      <c r="C105" s="210"/>
      <c r="D105" s="134"/>
      <c r="E105" s="134"/>
      <c r="F105" s="134"/>
      <c r="G105" s="134"/>
      <c r="H105" s="134"/>
      <c r="I105" s="134"/>
      <c r="J105" s="135"/>
      <c r="K105" s="135"/>
      <c r="L105" s="134">
        <f>D105</f>
        <v>0</v>
      </c>
      <c r="M105" s="136"/>
    </row>
    <row r="106" spans="1:13" s="131" customFormat="1" ht="12.75">
      <c r="A106" s="139"/>
      <c r="B106" s="140"/>
      <c r="C106" s="141"/>
      <c r="D106" s="142"/>
      <c r="E106" s="143"/>
      <c r="F106" s="142"/>
      <c r="G106" s="142"/>
      <c r="H106" s="143"/>
      <c r="I106" s="143"/>
      <c r="J106" s="144"/>
      <c r="K106" s="144"/>
      <c r="L106" s="142"/>
      <c r="M106" s="145"/>
    </row>
    <row r="107" spans="1:13" ht="12.75">
      <c r="A107" s="128" t="str">
        <f>'BM04'!A72</f>
        <v>1.5.5</v>
      </c>
      <c r="B107" s="211" t="str">
        <f>'BM04'!B72</f>
        <v>VERGA MOLDADA IN LOCO EM CONCRETO PARA PORTAS COM MAIS DE 1,5 M DE VÃO. AF_03/2016</v>
      </c>
      <c r="C107" s="212"/>
      <c r="D107" s="212"/>
      <c r="E107" s="212"/>
      <c r="F107" s="212"/>
      <c r="G107" s="212"/>
      <c r="H107" s="212"/>
      <c r="I107" s="212"/>
      <c r="J107" s="212"/>
      <c r="K107" s="213"/>
      <c r="L107" s="129">
        <f>ROUND(SUM(L108:L108),2)</f>
        <v>0</v>
      </c>
      <c r="M107" s="130" t="str">
        <f>'BM04'!C72</f>
        <v>M</v>
      </c>
    </row>
    <row r="108" spans="1:13" s="131" customFormat="1" ht="12.75">
      <c r="A108" s="132"/>
      <c r="B108" s="209"/>
      <c r="C108" s="210"/>
      <c r="D108" s="134"/>
      <c r="E108" s="134"/>
      <c r="F108" s="134"/>
      <c r="G108" s="134"/>
      <c r="H108" s="134"/>
      <c r="I108" s="134"/>
      <c r="J108" s="135"/>
      <c r="K108" s="135"/>
      <c r="L108" s="134">
        <f>D108</f>
        <v>0</v>
      </c>
      <c r="M108" s="136"/>
    </row>
    <row r="109" spans="1:13" s="131" customFormat="1" ht="12.75">
      <c r="A109" s="139"/>
      <c r="B109" s="140"/>
      <c r="C109" s="141"/>
      <c r="D109" s="142"/>
      <c r="E109" s="143"/>
      <c r="F109" s="142"/>
      <c r="G109" s="142"/>
      <c r="H109" s="143"/>
      <c r="I109" s="143"/>
      <c r="J109" s="144"/>
      <c r="K109" s="144"/>
      <c r="L109" s="142"/>
      <c r="M109" s="145"/>
    </row>
    <row r="110" spans="1:13" ht="12.75">
      <c r="A110" s="128" t="str">
        <f>'BM04'!A73</f>
        <v>1.5.6</v>
      </c>
      <c r="B110" s="211" t="str">
        <f>'BM04'!B73</f>
        <v>VERGA MOLDADA IN LOCO EM CONCRETO PARA JANELAS COM ATÉ 1,5 M DE VÃO. AF_03/2016</v>
      </c>
      <c r="C110" s="212"/>
      <c r="D110" s="212"/>
      <c r="E110" s="212"/>
      <c r="F110" s="212"/>
      <c r="G110" s="212"/>
      <c r="H110" s="212"/>
      <c r="I110" s="212"/>
      <c r="J110" s="212"/>
      <c r="K110" s="213"/>
      <c r="L110" s="129">
        <f>ROUND(SUM(L111:L111),2)</f>
        <v>0</v>
      </c>
      <c r="M110" s="130" t="str">
        <f>'BM04'!C73</f>
        <v>M</v>
      </c>
    </row>
    <row r="111" spans="1:13" s="131" customFormat="1" ht="12.75">
      <c r="A111" s="132"/>
      <c r="B111" s="209"/>
      <c r="C111" s="210"/>
      <c r="D111" s="134"/>
      <c r="E111" s="134"/>
      <c r="F111" s="134"/>
      <c r="G111" s="134"/>
      <c r="H111" s="134"/>
      <c r="I111" s="134"/>
      <c r="J111" s="135"/>
      <c r="K111" s="135"/>
      <c r="L111" s="134">
        <f>D111</f>
        <v>0</v>
      </c>
      <c r="M111" s="136"/>
    </row>
    <row r="112" spans="1:13" s="131" customFormat="1" ht="12.75">
      <c r="A112" s="139"/>
      <c r="B112" s="140"/>
      <c r="C112" s="141"/>
      <c r="D112" s="142"/>
      <c r="E112" s="143"/>
      <c r="F112" s="142"/>
      <c r="G112" s="142"/>
      <c r="H112" s="143"/>
      <c r="I112" s="143"/>
      <c r="J112" s="144"/>
      <c r="K112" s="144"/>
      <c r="L112" s="142"/>
      <c r="M112" s="145"/>
    </row>
    <row r="113" spans="1:13" ht="12.75">
      <c r="A113" s="128" t="str">
        <f>'BM04'!A74</f>
        <v>1.5.7</v>
      </c>
      <c r="B113" s="211" t="str">
        <f>'BM04'!B74</f>
        <v>VERGA MOLDADA IN LOCO EM CONCRETO PARA JANELAS COM MAIS DE 1,5 M DE VÃO. AF_03/2016</v>
      </c>
      <c r="C113" s="212"/>
      <c r="D113" s="212"/>
      <c r="E113" s="212"/>
      <c r="F113" s="212"/>
      <c r="G113" s="212"/>
      <c r="H113" s="212"/>
      <c r="I113" s="212"/>
      <c r="J113" s="212"/>
      <c r="K113" s="213"/>
      <c r="L113" s="129">
        <f>ROUND(SUM(L114:L114),2)</f>
        <v>0</v>
      </c>
      <c r="M113" s="130" t="str">
        <f>'BM04'!C74</f>
        <v>M</v>
      </c>
    </row>
    <row r="114" spans="1:13" s="131" customFormat="1" ht="12.75">
      <c r="A114" s="132"/>
      <c r="B114" s="209"/>
      <c r="C114" s="210"/>
      <c r="D114" s="134"/>
      <c r="E114" s="134"/>
      <c r="F114" s="134"/>
      <c r="G114" s="134"/>
      <c r="H114" s="134"/>
      <c r="I114" s="134"/>
      <c r="J114" s="135"/>
      <c r="K114" s="135"/>
      <c r="L114" s="134">
        <f>D114</f>
        <v>0</v>
      </c>
      <c r="M114" s="136"/>
    </row>
    <row r="115" spans="1:13" s="131" customFormat="1" ht="12.75">
      <c r="A115" s="139"/>
      <c r="B115" s="140"/>
      <c r="C115" s="141"/>
      <c r="D115" s="142"/>
      <c r="E115" s="143"/>
      <c r="F115" s="142"/>
      <c r="G115" s="142"/>
      <c r="H115" s="143"/>
      <c r="I115" s="143"/>
      <c r="J115" s="144"/>
      <c r="K115" s="144"/>
      <c r="L115" s="142"/>
      <c r="M115" s="145"/>
    </row>
    <row r="116" spans="1:13" ht="12.75">
      <c r="A116" s="128" t="str">
        <f>'BM04'!A75</f>
        <v>1.5.8</v>
      </c>
      <c r="B116" s="211" t="str">
        <f>'BM04'!B75</f>
        <v>CONTRAVERGA MOLDADA IN LOCO EM CONCRETO PARA VÃOS DE ATÉ 1,5 M DE COMPRIMENTO. AF_03/2016</v>
      </c>
      <c r="C116" s="212"/>
      <c r="D116" s="212"/>
      <c r="E116" s="212"/>
      <c r="F116" s="212"/>
      <c r="G116" s="212"/>
      <c r="H116" s="212"/>
      <c r="I116" s="212"/>
      <c r="J116" s="212"/>
      <c r="K116" s="213"/>
      <c r="L116" s="129">
        <f>ROUND(SUM(L117:L117),2)</f>
        <v>0</v>
      </c>
      <c r="M116" s="130" t="str">
        <f>'BM04'!C75</f>
        <v>M</v>
      </c>
    </row>
    <row r="117" spans="1:13" s="131" customFormat="1" ht="12.75">
      <c r="A117" s="132"/>
      <c r="B117" s="209"/>
      <c r="C117" s="210"/>
      <c r="D117" s="134"/>
      <c r="E117" s="134"/>
      <c r="F117" s="134"/>
      <c r="G117" s="134"/>
      <c r="H117" s="134"/>
      <c r="I117" s="134"/>
      <c r="J117" s="135"/>
      <c r="K117" s="135"/>
      <c r="L117" s="134">
        <f>D117</f>
        <v>0</v>
      </c>
      <c r="M117" s="136"/>
    </row>
    <row r="118" spans="1:13" s="131" customFormat="1" ht="12.75">
      <c r="A118" s="139"/>
      <c r="B118" s="140"/>
      <c r="C118" s="141"/>
      <c r="D118" s="142"/>
      <c r="E118" s="143"/>
      <c r="F118" s="142"/>
      <c r="G118" s="142"/>
      <c r="H118" s="143"/>
      <c r="I118" s="143"/>
      <c r="J118" s="144"/>
      <c r="K118" s="144"/>
      <c r="L118" s="142"/>
      <c r="M118" s="145"/>
    </row>
    <row r="119" spans="1:13" ht="12.75">
      <c r="A119" s="128" t="str">
        <f>'BM04'!A76</f>
        <v>1.5.9</v>
      </c>
      <c r="B119" s="211" t="str">
        <f>'BM04'!B76</f>
        <v>CONTRAVERGA MOLDADA IN LOCO EM CONCRETO PARA VÃOS DE MAIS DE 1,5 M DE COMPRIMENTO. AF_03/2016</v>
      </c>
      <c r="C119" s="212"/>
      <c r="D119" s="212"/>
      <c r="E119" s="212"/>
      <c r="F119" s="212"/>
      <c r="G119" s="212"/>
      <c r="H119" s="212"/>
      <c r="I119" s="212"/>
      <c r="J119" s="212"/>
      <c r="K119" s="213"/>
      <c r="L119" s="129">
        <f>ROUND(SUM(L120:L120),2)</f>
        <v>0</v>
      </c>
      <c r="M119" s="130" t="str">
        <f>'BM04'!C76</f>
        <v>M</v>
      </c>
    </row>
    <row r="120" spans="1:13" s="131" customFormat="1" ht="12.75">
      <c r="A120" s="132"/>
      <c r="B120" s="209"/>
      <c r="C120" s="210"/>
      <c r="D120" s="134"/>
      <c r="E120" s="134"/>
      <c r="F120" s="134"/>
      <c r="G120" s="134"/>
      <c r="H120" s="134"/>
      <c r="I120" s="134"/>
      <c r="J120" s="135"/>
      <c r="K120" s="135"/>
      <c r="L120" s="134">
        <f>D120</f>
        <v>0</v>
      </c>
      <c r="M120" s="136"/>
    </row>
    <row r="121" spans="1:13" s="131" customFormat="1" ht="13.5" thickBot="1">
      <c r="A121" s="139"/>
      <c r="B121" s="140"/>
      <c r="C121" s="141"/>
      <c r="D121" s="142"/>
      <c r="E121" s="143"/>
      <c r="F121" s="142"/>
      <c r="G121" s="142"/>
      <c r="H121" s="143"/>
      <c r="I121" s="143"/>
      <c r="J121" s="144"/>
      <c r="K121" s="144"/>
      <c r="L121" s="142"/>
      <c r="M121" s="145"/>
    </row>
    <row r="122" spans="1:13" ht="13.5" thickBot="1">
      <c r="A122" s="121" t="str">
        <f>'BM02'!A68</f>
        <v>1.6</v>
      </c>
      <c r="B122" s="122" t="str">
        <f>'BM02'!B68</f>
        <v>ESQUADRIAS, FERRAGENS E VIDROS</v>
      </c>
      <c r="C122" s="122"/>
      <c r="D122" s="122"/>
      <c r="E122" s="122"/>
      <c r="F122" s="122"/>
      <c r="G122" s="122"/>
      <c r="H122" s="122"/>
      <c r="I122" s="122"/>
      <c r="J122" s="122"/>
      <c r="K122" s="122"/>
      <c r="L122" s="122"/>
      <c r="M122" s="123"/>
    </row>
    <row r="123" spans="1:13" ht="12.75">
      <c r="A123" s="124"/>
      <c r="B123" s="125"/>
      <c r="C123" s="125"/>
      <c r="D123" s="125"/>
      <c r="E123" s="125"/>
      <c r="F123" s="125"/>
      <c r="G123" s="125"/>
      <c r="H123" s="125"/>
      <c r="I123" s="125"/>
      <c r="J123" s="125"/>
      <c r="K123" s="126"/>
      <c r="L123" s="125"/>
      <c r="M123" s="127"/>
    </row>
    <row r="124" spans="1:13" s="131" customFormat="1" ht="43.15" customHeight="1">
      <c r="A124" s="128" t="str">
        <f>'BM02'!A70</f>
        <v>1.6.1</v>
      </c>
      <c r="B124" s="211" t="str">
        <f>'BM02'!B70</f>
        <v>KIT DE PORTA DE MADEIRA FRISADA, SEMI-OCA (LEVE OU MÉDIA), PADRÃO POPULAR, 70X210CM, ESPESSURA DE 3CM, ITENS INCLUSOS: DOBRADIÇAS, MONTAGEM E INSTALAÇÃO DO BATENTE, SEM FECHADURA - FORNECIMENTO E INSTALAÇÃO. AF_12/2019</v>
      </c>
      <c r="C124" s="212"/>
      <c r="D124" s="212"/>
      <c r="E124" s="212"/>
      <c r="F124" s="212"/>
      <c r="G124" s="212"/>
      <c r="H124" s="212"/>
      <c r="I124" s="212"/>
      <c r="J124" s="212"/>
      <c r="K124" s="213"/>
      <c r="L124" s="129">
        <f>L125</f>
        <v>8</v>
      </c>
      <c r="M124" s="130" t="str">
        <f>'BM02'!C70</f>
        <v>un</v>
      </c>
    </row>
    <row r="125" spans="1:13" s="131" customFormat="1" ht="12.75">
      <c r="A125" s="132"/>
      <c r="B125" s="209" t="s">
        <v>785</v>
      </c>
      <c r="C125" s="210"/>
      <c r="D125" s="134">
        <f>8</f>
        <v>8</v>
      </c>
      <c r="E125" s="134"/>
      <c r="F125" s="134"/>
      <c r="G125" s="134"/>
      <c r="H125" s="134"/>
      <c r="I125" s="134"/>
      <c r="J125" s="135"/>
      <c r="K125" s="135"/>
      <c r="L125" s="134">
        <f>D125</f>
        <v>8</v>
      </c>
      <c r="M125" s="136"/>
    </row>
    <row r="126" spans="1:13" s="131" customFormat="1" ht="12.75">
      <c r="A126" s="139"/>
      <c r="B126" s="140"/>
      <c r="C126" s="141"/>
      <c r="D126" s="142"/>
      <c r="E126" s="143"/>
      <c r="F126" s="142"/>
      <c r="G126" s="142"/>
      <c r="H126" s="143"/>
      <c r="I126" s="143"/>
      <c r="J126" s="144"/>
      <c r="K126" s="144"/>
      <c r="L126" s="142"/>
      <c r="M126" s="145"/>
    </row>
    <row r="127" spans="1:13" s="131" customFormat="1" ht="43.15" customHeight="1">
      <c r="A127" s="128" t="str">
        <f>'BM02'!A71</f>
        <v>1.6.2</v>
      </c>
      <c r="B127" s="211" t="str">
        <f>'BM02'!B71</f>
        <v>KIT DE PORTA DE MADEIRA FRISADA, SEMI-OCA (LEVE OU MÉDIA), PADRÃO MÉDIO, 80X210CM, ESPESSURA DE 3,5CM, ITENS INCLUSOS: DOBRADIÇAS, MONTAGEM E INSTALAÇÃO DO BATENTE, SEM FECHADURA - FORNECIMENTO E INSTALAÇÃO. AF_12/2019</v>
      </c>
      <c r="C127" s="212"/>
      <c r="D127" s="212"/>
      <c r="E127" s="212"/>
      <c r="F127" s="212"/>
      <c r="G127" s="212"/>
      <c r="H127" s="212"/>
      <c r="I127" s="212"/>
      <c r="J127" s="212"/>
      <c r="K127" s="213"/>
      <c r="L127" s="129">
        <f>L128</f>
        <v>10</v>
      </c>
      <c r="M127" s="130" t="str">
        <f>'BM02'!C71</f>
        <v>un</v>
      </c>
    </row>
    <row r="128" spans="1:13" s="131" customFormat="1" ht="12.75">
      <c r="A128" s="132"/>
      <c r="B128" s="209" t="s">
        <v>786</v>
      </c>
      <c r="C128" s="210"/>
      <c r="D128" s="134">
        <f>10</f>
        <v>10</v>
      </c>
      <c r="E128" s="134"/>
      <c r="F128" s="134"/>
      <c r="G128" s="134"/>
      <c r="H128" s="134"/>
      <c r="I128" s="134"/>
      <c r="J128" s="135"/>
      <c r="K128" s="135"/>
      <c r="L128" s="134">
        <f>D128</f>
        <v>10</v>
      </c>
      <c r="M128" s="136"/>
    </row>
    <row r="129" spans="1:13" s="131" customFormat="1" ht="12.75">
      <c r="A129" s="139"/>
      <c r="B129" s="140"/>
      <c r="C129" s="141"/>
      <c r="D129" s="142"/>
      <c r="E129" s="143"/>
      <c r="F129" s="142"/>
      <c r="G129" s="142"/>
      <c r="H129" s="143"/>
      <c r="I129" s="143"/>
      <c r="J129" s="144"/>
      <c r="K129" s="144"/>
      <c r="L129" s="142"/>
      <c r="M129" s="145"/>
    </row>
    <row r="130" spans="1:13" s="131" customFormat="1" ht="43.15" customHeight="1">
      <c r="A130" s="128" t="str">
        <f>'BM02'!A72</f>
        <v>1.6.3</v>
      </c>
      <c r="B130" s="211" t="str">
        <f>'BM02'!B72</f>
        <v>KIT DE PORTA DE MADEIRA FRISADA, SEMI-OCA (LEVE OU MÉDIA), PADRÃO MÉDIO, 190X210CM, ESPESSURA DE 3,5CM, ITENS INCLUSOS: DOBRADIÇAS, MONTAGEM E INSTALAÇÃO DO BATENTE, SEM FECHADURA - FORNECIMENTO E INSTALAÇÃO. AF_12/2019</v>
      </c>
      <c r="C130" s="212"/>
      <c r="D130" s="212"/>
      <c r="E130" s="212"/>
      <c r="F130" s="212"/>
      <c r="G130" s="212"/>
      <c r="H130" s="212"/>
      <c r="I130" s="212"/>
      <c r="J130" s="212"/>
      <c r="K130" s="213"/>
      <c r="L130" s="129">
        <f>L131</f>
        <v>0</v>
      </c>
      <c r="M130" s="130" t="str">
        <f>'BM02'!C72</f>
        <v>un</v>
      </c>
    </row>
    <row r="131" spans="1:13" s="131" customFormat="1" ht="12.75">
      <c r="A131" s="132"/>
      <c r="B131" s="209"/>
      <c r="C131" s="210"/>
      <c r="D131" s="134"/>
      <c r="E131" s="134"/>
      <c r="F131" s="134"/>
      <c r="G131" s="134"/>
      <c r="H131" s="134"/>
      <c r="I131" s="134"/>
      <c r="J131" s="135"/>
      <c r="K131" s="135"/>
      <c r="L131" s="134">
        <f>ROUND(D131*K131,2)</f>
        <v>0</v>
      </c>
      <c r="M131" s="136"/>
    </row>
    <row r="132" spans="1:13" s="131" customFormat="1" ht="12.75">
      <c r="A132" s="139"/>
      <c r="B132" s="140"/>
      <c r="C132" s="141"/>
      <c r="D132" s="142"/>
      <c r="E132" s="143"/>
      <c r="F132" s="142"/>
      <c r="G132" s="142"/>
      <c r="H132" s="143"/>
      <c r="I132" s="143"/>
      <c r="J132" s="144"/>
      <c r="K132" s="144"/>
      <c r="L132" s="142"/>
      <c r="M132" s="145"/>
    </row>
    <row r="133" spans="1:13" ht="30" customHeight="1">
      <c r="A133" s="128" t="str">
        <f>'BM02'!A73</f>
        <v>1.6.4</v>
      </c>
      <c r="B133" s="211" t="str">
        <f>'BM02'!B73</f>
        <v>JANELA DE AÇO TIPO BASCULANTE PARA VIDROS, COM BATENTE, FERRAGENS E PINTURA ANTICORROSIVA. EXCLUSIVE VIDROS, ACABAMENTO, ALIZAR E CONTRAMARCO. FORNECIMENTO E INSTALAÇÃO. AF_12/2019</v>
      </c>
      <c r="C133" s="212"/>
      <c r="D133" s="212"/>
      <c r="E133" s="212"/>
      <c r="F133" s="212"/>
      <c r="G133" s="212"/>
      <c r="H133" s="212"/>
      <c r="I133" s="212"/>
      <c r="J133" s="212"/>
      <c r="K133" s="213"/>
      <c r="L133" s="129">
        <f>ROUND(SUM(L134:L134),2)</f>
        <v>0</v>
      </c>
      <c r="M133" s="130" t="str">
        <f>'BM02'!C73</f>
        <v>m²</v>
      </c>
    </row>
    <row r="134" spans="1:13" s="131" customFormat="1" ht="12.75">
      <c r="A134" s="132"/>
      <c r="B134" s="209"/>
      <c r="C134" s="210"/>
      <c r="D134" s="134"/>
      <c r="E134" s="134"/>
      <c r="F134" s="134"/>
      <c r="G134" s="134"/>
      <c r="H134" s="134"/>
      <c r="I134" s="134"/>
      <c r="J134" s="135"/>
      <c r="K134" s="135"/>
      <c r="L134" s="134">
        <f>ROUND(D134*K134,2)</f>
        <v>0</v>
      </c>
      <c r="M134" s="136"/>
    </row>
    <row r="135" spans="1:13" s="131" customFormat="1" ht="12.75">
      <c r="A135" s="139"/>
      <c r="B135" s="140"/>
      <c r="C135" s="141"/>
      <c r="D135" s="142"/>
      <c r="E135" s="143"/>
      <c r="F135" s="142"/>
      <c r="G135" s="142"/>
      <c r="H135" s="143"/>
      <c r="I135" s="143"/>
      <c r="J135" s="144"/>
      <c r="K135" s="144"/>
      <c r="L135" s="142"/>
      <c r="M135" s="145"/>
    </row>
    <row r="136" spans="1:13" ht="12.6" customHeight="1">
      <c r="A136" s="184" t="str">
        <f>'BM02'!A74</f>
        <v>1.6.5</v>
      </c>
      <c r="B136" s="211" t="str">
        <f>'BM02'!B74</f>
        <v>Gradil Nylofor 3D, malha 20x5cm, Ø 5mm 250x103 cm, pintura branca, Belgo ou similar, inclusive postes e acessórios</v>
      </c>
      <c r="C136" s="212"/>
      <c r="D136" s="212"/>
      <c r="E136" s="212"/>
      <c r="F136" s="212"/>
      <c r="G136" s="212"/>
      <c r="H136" s="212"/>
      <c r="I136" s="212"/>
      <c r="J136" s="212"/>
      <c r="K136" s="213"/>
      <c r="L136" s="129">
        <f>ROUND(SUM(L137:L137),2)</f>
        <v>0</v>
      </c>
      <c r="M136" s="185" t="str">
        <f>'BM02'!C74</f>
        <v>m²</v>
      </c>
    </row>
    <row r="137" spans="1:13" s="131" customFormat="1" ht="12.75">
      <c r="A137" s="132"/>
      <c r="B137" s="209"/>
      <c r="C137" s="210"/>
      <c r="D137" s="134"/>
      <c r="E137" s="134"/>
      <c r="F137" s="134"/>
      <c r="G137" s="134"/>
      <c r="H137" s="134"/>
      <c r="I137" s="134"/>
      <c r="J137" s="135"/>
      <c r="K137" s="135"/>
      <c r="L137" s="134">
        <f t="shared" ref="L137" si="8">ROUND(D137*K137,2)</f>
        <v>0</v>
      </c>
      <c r="M137" s="136"/>
    </row>
    <row r="138" spans="1:13" s="131" customFormat="1" ht="12.75">
      <c r="A138" s="139"/>
      <c r="B138" s="140"/>
      <c r="C138" s="141"/>
      <c r="D138" s="142"/>
      <c r="E138" s="143"/>
      <c r="F138" s="142"/>
      <c r="G138" s="142"/>
      <c r="H138" s="143"/>
      <c r="I138" s="143"/>
      <c r="J138" s="144"/>
      <c r="K138" s="144"/>
      <c r="L138" s="142"/>
      <c r="M138" s="145"/>
    </row>
    <row r="139" spans="1:13" ht="12.6" customHeight="1">
      <c r="A139" s="184" t="str">
        <f>'BM02'!A75</f>
        <v>1.6.6</v>
      </c>
      <c r="B139" s="211" t="str">
        <f>'BM02'!B75</f>
        <v>Portão em ferro, em gradil metálico, padrão belgo ou equivalente, de correr</v>
      </c>
      <c r="C139" s="212"/>
      <c r="D139" s="212"/>
      <c r="E139" s="212"/>
      <c r="F139" s="212"/>
      <c r="G139" s="212"/>
      <c r="H139" s="212"/>
      <c r="I139" s="212"/>
      <c r="J139" s="212"/>
      <c r="K139" s="213"/>
      <c r="L139" s="129">
        <f>L140</f>
        <v>0</v>
      </c>
      <c r="M139" s="185" t="str">
        <f>'BM02'!C75</f>
        <v>m²</v>
      </c>
    </row>
    <row r="140" spans="1:13" s="131" customFormat="1" ht="12.75">
      <c r="A140" s="132"/>
      <c r="B140" s="209"/>
      <c r="C140" s="210"/>
      <c r="D140" s="134"/>
      <c r="E140" s="134"/>
      <c r="F140" s="134"/>
      <c r="G140" s="134"/>
      <c r="H140" s="134"/>
      <c r="I140" s="134"/>
      <c r="J140" s="135"/>
      <c r="K140" s="135"/>
      <c r="L140" s="134">
        <f>ROUND(D140*K140,2)</f>
        <v>0</v>
      </c>
      <c r="M140" s="136"/>
    </row>
    <row r="141" spans="1:13" s="131" customFormat="1" ht="12.75">
      <c r="A141" s="139"/>
      <c r="B141" s="140"/>
      <c r="C141" s="141"/>
      <c r="D141" s="142"/>
      <c r="E141" s="143"/>
      <c r="F141" s="142"/>
      <c r="G141" s="142"/>
      <c r="H141" s="143"/>
      <c r="I141" s="143"/>
      <c r="J141" s="144"/>
      <c r="K141" s="144"/>
      <c r="L141" s="142"/>
      <c r="M141" s="145"/>
    </row>
    <row r="142" spans="1:13" ht="12.6" customHeight="1">
      <c r="A142" s="184" t="str">
        <f>'BM02'!A76</f>
        <v>1.6.7</v>
      </c>
      <c r="B142" s="211" t="str">
        <f>'BM02'!B76</f>
        <v>Gradil Nylofor 3D, malha 20x5cm, Ø 5mm 250x103 cm, pintura branca, Belgo ou similar, inclusive postes e acessórios</v>
      </c>
      <c r="C142" s="212"/>
      <c r="D142" s="212"/>
      <c r="E142" s="212"/>
      <c r="F142" s="212"/>
      <c r="G142" s="212"/>
      <c r="H142" s="212"/>
      <c r="I142" s="212"/>
      <c r="J142" s="212"/>
      <c r="K142" s="213"/>
      <c r="L142" s="129">
        <f>L143</f>
        <v>0</v>
      </c>
      <c r="M142" s="185" t="str">
        <f>'BM02'!C76</f>
        <v>m²</v>
      </c>
    </row>
    <row r="143" spans="1:13" s="131" customFormat="1" ht="12.75">
      <c r="A143" s="132"/>
      <c r="B143" s="209"/>
      <c r="C143" s="210"/>
      <c r="D143" s="134"/>
      <c r="E143" s="134"/>
      <c r="F143" s="134"/>
      <c r="G143" s="134"/>
      <c r="H143" s="134"/>
      <c r="I143" s="134"/>
      <c r="J143" s="135"/>
      <c r="K143" s="135"/>
      <c r="L143" s="134">
        <f>ROUND(D143*K143,2)</f>
        <v>0</v>
      </c>
      <c r="M143" s="136"/>
    </row>
    <row r="144" spans="1:13" s="131" customFormat="1" ht="12.75">
      <c r="A144" s="139"/>
      <c r="B144" s="140"/>
      <c r="C144" s="141"/>
      <c r="D144" s="142"/>
      <c r="E144" s="143"/>
      <c r="F144" s="142"/>
      <c r="G144" s="142"/>
      <c r="H144" s="143"/>
      <c r="I144" s="143"/>
      <c r="J144" s="144"/>
      <c r="K144" s="144"/>
      <c r="L144" s="142"/>
      <c r="M144" s="145"/>
    </row>
    <row r="145" spans="1:13" ht="12.6" customHeight="1">
      <c r="A145" s="184" t="str">
        <f>'BM02'!A77</f>
        <v>1.6.8</v>
      </c>
      <c r="B145" s="211" t="str">
        <f>'BM02'!B77</f>
        <v>Barra de apoio, reta, fixa, em aço inox, l=90cm, d=1 1/2", Jackwal ou similar</v>
      </c>
      <c r="C145" s="212"/>
      <c r="D145" s="212"/>
      <c r="E145" s="212"/>
      <c r="F145" s="212"/>
      <c r="G145" s="212"/>
      <c r="H145" s="212"/>
      <c r="I145" s="212"/>
      <c r="J145" s="212"/>
      <c r="K145" s="213"/>
      <c r="L145" s="129">
        <f>SUM(L146:L147)</f>
        <v>4</v>
      </c>
      <c r="M145" s="185" t="str">
        <f>'BM02'!C77</f>
        <v>un</v>
      </c>
    </row>
    <row r="146" spans="1:13" s="131" customFormat="1" ht="12.75">
      <c r="A146" s="132"/>
      <c r="B146" s="209" t="s">
        <v>553</v>
      </c>
      <c r="C146" s="210"/>
      <c r="D146" s="134">
        <v>2</v>
      </c>
      <c r="E146" s="134"/>
      <c r="F146" s="134"/>
      <c r="G146" s="134"/>
      <c r="H146" s="134"/>
      <c r="I146" s="134"/>
      <c r="J146" s="135"/>
      <c r="K146" s="135"/>
      <c r="L146" s="134">
        <f>D146</f>
        <v>2</v>
      </c>
      <c r="M146" s="136"/>
    </row>
    <row r="147" spans="1:13" s="131" customFormat="1" ht="12.75">
      <c r="A147" s="132"/>
      <c r="B147" s="209" t="s">
        <v>554</v>
      </c>
      <c r="C147" s="210"/>
      <c r="D147" s="134">
        <v>2</v>
      </c>
      <c r="E147" s="134"/>
      <c r="F147" s="134"/>
      <c r="G147" s="134"/>
      <c r="H147" s="134"/>
      <c r="I147" s="134"/>
      <c r="J147" s="135"/>
      <c r="K147" s="135"/>
      <c r="L147" s="134">
        <f>D147</f>
        <v>2</v>
      </c>
      <c r="M147" s="136"/>
    </row>
    <row r="148" spans="1:13" s="131" customFormat="1" ht="12.75">
      <c r="A148" s="139"/>
      <c r="B148" s="140"/>
      <c r="C148" s="141"/>
      <c r="D148" s="142"/>
      <c r="E148" s="143"/>
      <c r="F148" s="142"/>
      <c r="G148" s="142"/>
      <c r="H148" s="143"/>
      <c r="I148" s="143"/>
      <c r="J148" s="144"/>
      <c r="K148" s="144"/>
      <c r="L148" s="142"/>
      <c r="M148" s="145"/>
    </row>
    <row r="149" spans="1:13" ht="12.6" customHeight="1">
      <c r="A149" s="184" t="str">
        <f>'BM02'!A78</f>
        <v>1.6.9</v>
      </c>
      <c r="B149" s="211" t="str">
        <f>'BM02'!B78</f>
        <v>VIDRO FANTASIA CANELADO 4MM</v>
      </c>
      <c r="C149" s="212"/>
      <c r="D149" s="212"/>
      <c r="E149" s="212"/>
      <c r="F149" s="212"/>
      <c r="G149" s="212"/>
      <c r="H149" s="212"/>
      <c r="I149" s="212"/>
      <c r="J149" s="212"/>
      <c r="K149" s="213"/>
      <c r="L149" s="129">
        <f>L150</f>
        <v>42.65</v>
      </c>
      <c r="M149" s="185" t="str">
        <f>'BM02'!C78</f>
        <v>M²</v>
      </c>
    </row>
    <row r="150" spans="1:13" s="131" customFormat="1" ht="28.9" customHeight="1">
      <c r="A150" s="132"/>
      <c r="B150" s="209" t="s">
        <v>787</v>
      </c>
      <c r="C150" s="210"/>
      <c r="D150" s="134">
        <f>'BM06'!G83</f>
        <v>42.65</v>
      </c>
      <c r="E150" s="134"/>
      <c r="F150" s="134"/>
      <c r="G150" s="134"/>
      <c r="H150" s="134"/>
      <c r="I150" s="134"/>
      <c r="J150" s="135"/>
      <c r="K150" s="135"/>
      <c r="L150" s="134">
        <f>D150</f>
        <v>42.65</v>
      </c>
      <c r="M150" s="136"/>
    </row>
    <row r="151" spans="1:13" s="131" customFormat="1" ht="12.75">
      <c r="A151" s="139"/>
      <c r="B151" s="140"/>
      <c r="C151" s="141"/>
      <c r="D151" s="142"/>
      <c r="E151" s="143"/>
      <c r="F151" s="142"/>
      <c r="G151" s="142"/>
      <c r="H151" s="143"/>
      <c r="I151" s="143"/>
      <c r="J151" s="144"/>
      <c r="K151" s="144"/>
      <c r="L151" s="142"/>
      <c r="M151" s="145"/>
    </row>
    <row r="152" spans="1:13" ht="30" customHeight="1">
      <c r="A152" s="128" t="str">
        <f>'BM02'!A79</f>
        <v>1.6.10</v>
      </c>
      <c r="B152" s="211" t="str">
        <f>'BM02'!B79</f>
        <v>FECHADURA DE EMBUTIR COM CILINDRO, EXTERNA, COMPLETA, ACABAMENTO PADRÃO MÉDIO, INCLUSO EXECUÇÃO DE FURO - FORNECIMENTO E INSTALAÇÃO. AF_12/2019</v>
      </c>
      <c r="C152" s="212"/>
      <c r="D152" s="212"/>
      <c r="E152" s="212"/>
      <c r="F152" s="212"/>
      <c r="G152" s="212"/>
      <c r="H152" s="212"/>
      <c r="I152" s="212"/>
      <c r="J152" s="212"/>
      <c r="K152" s="213"/>
      <c r="L152" s="129">
        <f>L153</f>
        <v>16</v>
      </c>
      <c r="M152" s="185" t="str">
        <f>'BM02'!C79</f>
        <v>un</v>
      </c>
    </row>
    <row r="153" spans="1:13" s="131" customFormat="1" ht="12.75">
      <c r="A153" s="132"/>
      <c r="B153" s="209" t="s">
        <v>788</v>
      </c>
      <c r="C153" s="210"/>
      <c r="D153" s="134">
        <f>16</f>
        <v>16</v>
      </c>
      <c r="E153" s="134"/>
      <c r="F153" s="134"/>
      <c r="G153" s="134"/>
      <c r="H153" s="134"/>
      <c r="I153" s="134"/>
      <c r="J153" s="135"/>
      <c r="K153" s="135"/>
      <c r="L153" s="134">
        <f>D153</f>
        <v>16</v>
      </c>
      <c r="M153" s="136"/>
    </row>
    <row r="154" spans="1:13" s="131" customFormat="1" ht="12.75">
      <c r="A154" s="139"/>
      <c r="B154" s="140"/>
      <c r="C154" s="141"/>
      <c r="D154" s="142"/>
      <c r="E154" s="143"/>
      <c r="F154" s="142"/>
      <c r="G154" s="142"/>
      <c r="H154" s="143"/>
      <c r="I154" s="143"/>
      <c r="J154" s="144"/>
      <c r="K154" s="144"/>
      <c r="L154" s="142"/>
      <c r="M154" s="145"/>
    </row>
    <row r="155" spans="1:13" ht="30" customHeight="1">
      <c r="A155" s="128" t="str">
        <f>'BM02'!A80</f>
        <v>1.6.11</v>
      </c>
      <c r="B155" s="211" t="str">
        <f>'BM02'!B80</f>
        <v>FECHADURA DE EMBUTIR COM CILINDRO, EXTERNA, COMPLETA, ACABAMENTO PADRÃO POPULAR, INCLUSO EXECUÇÃO DE FURO - FORNECIMENTO E INSTALAÇÃO. AF_12/2019</v>
      </c>
      <c r="C155" s="212"/>
      <c r="D155" s="212"/>
      <c r="E155" s="212"/>
      <c r="F155" s="212"/>
      <c r="G155" s="212"/>
      <c r="H155" s="212"/>
      <c r="I155" s="212"/>
      <c r="J155" s="212"/>
      <c r="K155" s="213"/>
      <c r="L155" s="129">
        <f>L156</f>
        <v>2</v>
      </c>
      <c r="M155" s="185" t="str">
        <f>'BM02'!C80</f>
        <v>un</v>
      </c>
    </row>
    <row r="156" spans="1:13" s="131" customFormat="1" ht="12.75">
      <c r="A156" s="132"/>
      <c r="B156" s="209" t="s">
        <v>788</v>
      </c>
      <c r="C156" s="210"/>
      <c r="D156" s="134">
        <f>2</f>
        <v>2</v>
      </c>
      <c r="E156" s="134"/>
      <c r="F156" s="134"/>
      <c r="G156" s="134"/>
      <c r="H156" s="134"/>
      <c r="I156" s="134"/>
      <c r="J156" s="135"/>
      <c r="K156" s="135"/>
      <c r="L156" s="134">
        <f>D156</f>
        <v>2</v>
      </c>
      <c r="M156" s="136"/>
    </row>
    <row r="157" spans="1:13" s="131" customFormat="1" ht="12.75">
      <c r="A157" s="139"/>
      <c r="B157" s="140"/>
      <c r="C157" s="141"/>
      <c r="D157" s="142"/>
      <c r="E157" s="143"/>
      <c r="F157" s="142"/>
      <c r="G157" s="142"/>
      <c r="H157" s="143"/>
      <c r="I157" s="143"/>
      <c r="J157" s="144"/>
      <c r="K157" s="144"/>
      <c r="L157" s="142"/>
      <c r="M157" s="145"/>
    </row>
    <row r="158" spans="1:13" ht="30" customHeight="1">
      <c r="A158" s="128" t="str">
        <f>'BM04'!A91</f>
        <v>1.6.12</v>
      </c>
      <c r="B158" s="211" t="str">
        <f>'BM04'!B91</f>
        <v>PORTA EM AÇO DE ABRIR TIPO VENEZIANA SEM GUARNIÇÃO, 87X210CM, FIXAÇÃO COM PARAFUSOS - FORNECIMENTO E INSTALAÇÃO. AF_12/2019</v>
      </c>
      <c r="C158" s="212"/>
      <c r="D158" s="212"/>
      <c r="E158" s="212"/>
      <c r="F158" s="212"/>
      <c r="G158" s="212"/>
      <c r="H158" s="212"/>
      <c r="I158" s="212"/>
      <c r="J158" s="212"/>
      <c r="K158" s="213"/>
      <c r="L158" s="129">
        <f>SUM(L159:L159)</f>
        <v>0</v>
      </c>
      <c r="M158" s="185" t="str">
        <f>'BM04'!C91</f>
        <v>UN</v>
      </c>
    </row>
    <row r="159" spans="1:13" s="131" customFormat="1" ht="12.75">
      <c r="A159" s="132"/>
      <c r="B159" s="209"/>
      <c r="C159" s="210"/>
      <c r="D159" s="134"/>
      <c r="E159" s="134"/>
      <c r="F159" s="134"/>
      <c r="G159" s="134"/>
      <c r="H159" s="134"/>
      <c r="I159" s="134"/>
      <c r="J159" s="135"/>
      <c r="K159" s="135"/>
      <c r="L159" s="134">
        <f>D159</f>
        <v>0</v>
      </c>
      <c r="M159" s="136"/>
    </row>
    <row r="160" spans="1:13" s="131" customFormat="1" ht="12.75">
      <c r="A160" s="139"/>
      <c r="B160" s="140"/>
      <c r="C160" s="141"/>
      <c r="D160" s="142"/>
      <c r="E160" s="143"/>
      <c r="F160" s="142"/>
      <c r="G160" s="142"/>
      <c r="H160" s="143"/>
      <c r="I160" s="143"/>
      <c r="J160" s="144"/>
      <c r="K160" s="144"/>
      <c r="L160" s="142"/>
      <c r="M160" s="145"/>
    </row>
    <row r="161" spans="1:13" ht="12.75">
      <c r="A161" s="128" t="str">
        <f>'BM04'!A92</f>
        <v>1.6.13</v>
      </c>
      <c r="B161" s="211" t="str">
        <f>'BM04'!B92</f>
        <v>Gradil de ferro em barra chata 3/16"</v>
      </c>
      <c r="C161" s="212"/>
      <c r="D161" s="212"/>
      <c r="E161" s="212"/>
      <c r="F161" s="212"/>
      <c r="G161" s="212"/>
      <c r="H161" s="212"/>
      <c r="I161" s="212"/>
      <c r="J161" s="212"/>
      <c r="K161" s="213"/>
      <c r="L161" s="129">
        <f>L162</f>
        <v>0</v>
      </c>
      <c r="M161" s="185" t="str">
        <f>'BM04'!C92</f>
        <v>M²</v>
      </c>
    </row>
    <row r="162" spans="1:13" s="131" customFormat="1" ht="12.75">
      <c r="A162" s="132"/>
      <c r="B162" s="209"/>
      <c r="C162" s="210"/>
      <c r="D162" s="134"/>
      <c r="E162" s="134"/>
      <c r="F162" s="134"/>
      <c r="G162" s="134"/>
      <c r="H162" s="134"/>
      <c r="I162" s="134"/>
      <c r="J162" s="135"/>
      <c r="K162" s="135">
        <f>E162*I162</f>
        <v>0</v>
      </c>
      <c r="L162" s="134">
        <f>ROUND(D162*K162,2)</f>
        <v>0</v>
      </c>
      <c r="M162" s="136"/>
    </row>
    <row r="163" spans="1:13" s="131" customFormat="1" ht="13.5" thickBot="1">
      <c r="A163" s="139"/>
      <c r="B163" s="140"/>
      <c r="C163" s="141"/>
      <c r="D163" s="142"/>
      <c r="E163" s="143"/>
      <c r="F163" s="142"/>
      <c r="G163" s="142"/>
      <c r="H163" s="143"/>
      <c r="I163" s="143"/>
      <c r="J163" s="144"/>
      <c r="K163" s="144"/>
      <c r="L163" s="142"/>
      <c r="M163" s="145"/>
    </row>
    <row r="164" spans="1:13" ht="13.5" thickBot="1">
      <c r="A164" s="121" t="str">
        <f>'BM02'!A82</f>
        <v>1.7</v>
      </c>
      <c r="B164" s="122" t="str">
        <f>'BM02'!B82</f>
        <v>COBERTA</v>
      </c>
      <c r="C164" s="122"/>
      <c r="D164" s="122"/>
      <c r="E164" s="122"/>
      <c r="F164" s="122"/>
      <c r="G164" s="122"/>
      <c r="H164" s="122"/>
      <c r="I164" s="122"/>
      <c r="J164" s="122"/>
      <c r="K164" s="122"/>
      <c r="L164" s="122"/>
      <c r="M164" s="123"/>
    </row>
    <row r="165" spans="1:13" ht="12.75">
      <c r="A165" s="124"/>
      <c r="B165" s="125"/>
      <c r="C165" s="125"/>
      <c r="D165" s="125"/>
      <c r="E165" s="125"/>
      <c r="F165" s="125"/>
      <c r="G165" s="125"/>
      <c r="H165" s="125"/>
      <c r="I165" s="125"/>
      <c r="J165" s="125"/>
      <c r="K165" s="126"/>
      <c r="L165" s="125"/>
      <c r="M165" s="127"/>
    </row>
    <row r="166" spans="1:13" ht="30" customHeight="1">
      <c r="A166" s="128" t="str">
        <f>'BM02'!A84</f>
        <v>1.7.1</v>
      </c>
      <c r="B166" s="211" t="str">
        <f>'BM02'!B84</f>
        <v>FABRICAÇÃO E INSTALAÇÃO DE ESTRUTURA PONTALETADA DE MADEIRA NÃO APARELHADA PARA TELHADOS COM ATÉ 2 ÁGUAS E PARA TELHA CERÂMICA OU DE CONCRETO, INCLUSO TRANSPORTE VERTICAL. AF_12/2015</v>
      </c>
      <c r="C166" s="212"/>
      <c r="D166" s="212"/>
      <c r="E166" s="212"/>
      <c r="F166" s="212"/>
      <c r="G166" s="212"/>
      <c r="H166" s="212"/>
      <c r="I166" s="212"/>
      <c r="J166" s="212"/>
      <c r="K166" s="213"/>
      <c r="L166" s="129">
        <f>ROUND(SUM(L167:L167),2)</f>
        <v>0</v>
      </c>
      <c r="M166" s="130" t="str">
        <f>'BM02'!C84</f>
        <v>m²</v>
      </c>
    </row>
    <row r="167" spans="1:13" s="131" customFormat="1" ht="12.75">
      <c r="A167" s="132"/>
      <c r="B167" s="209"/>
      <c r="C167" s="210"/>
      <c r="D167" s="134"/>
      <c r="E167" s="134"/>
      <c r="F167" s="134"/>
      <c r="G167" s="134"/>
      <c r="H167" s="134"/>
      <c r="I167" s="134"/>
      <c r="J167" s="135"/>
      <c r="K167" s="135"/>
      <c r="L167" s="134">
        <f>ROUND(D167*K167,2)</f>
        <v>0</v>
      </c>
      <c r="M167" s="136"/>
    </row>
    <row r="168" spans="1:13" s="131" customFormat="1" ht="12.75">
      <c r="A168" s="139"/>
      <c r="B168" s="140"/>
      <c r="C168" s="141"/>
      <c r="D168" s="142"/>
      <c r="E168" s="143"/>
      <c r="F168" s="142"/>
      <c r="G168" s="142"/>
      <c r="H168" s="143"/>
      <c r="I168" s="143"/>
      <c r="J168" s="144"/>
      <c r="K168" s="144"/>
      <c r="L168" s="142"/>
      <c r="M168" s="145"/>
    </row>
    <row r="169" spans="1:13" ht="30" customHeight="1">
      <c r="A169" s="128" t="str">
        <f>'BM02'!A85</f>
        <v>1.7.2</v>
      </c>
      <c r="B169" s="211" t="str">
        <f>'BM02'!B85</f>
        <v>TRAMA DE MADEIRA COMPOSTA POR RIPAS, CAIBROS E TERÇAS PARA TELHADOS DE ATÉ 2 ÁGUAS PARA TELHA CERÂMICA CAPA-CANAL, INCLUSO TRANSPORTE VERTICAL. AF_07/2019</v>
      </c>
      <c r="C169" s="212"/>
      <c r="D169" s="212"/>
      <c r="E169" s="212"/>
      <c r="F169" s="212"/>
      <c r="G169" s="212"/>
      <c r="H169" s="212"/>
      <c r="I169" s="212"/>
      <c r="J169" s="212"/>
      <c r="K169" s="213"/>
      <c r="L169" s="129">
        <f>ROUND(SUM(L170:L170),2)</f>
        <v>0</v>
      </c>
      <c r="M169" s="130" t="str">
        <f>'BM02'!C85</f>
        <v>m²</v>
      </c>
    </row>
    <row r="170" spans="1:13" s="131" customFormat="1" ht="12.75">
      <c r="A170" s="132"/>
      <c r="B170" s="209"/>
      <c r="C170" s="210"/>
      <c r="D170" s="134"/>
      <c r="E170" s="134"/>
      <c r="F170" s="134"/>
      <c r="G170" s="134"/>
      <c r="H170" s="134"/>
      <c r="I170" s="134"/>
      <c r="J170" s="135"/>
      <c r="K170" s="135"/>
      <c r="L170" s="134">
        <f>D170</f>
        <v>0</v>
      </c>
      <c r="M170" s="136"/>
    </row>
    <row r="171" spans="1:13" s="131" customFormat="1" ht="12.75">
      <c r="A171" s="139"/>
      <c r="B171" s="140"/>
      <c r="C171" s="141"/>
      <c r="D171" s="142"/>
      <c r="E171" s="143"/>
      <c r="F171" s="142"/>
      <c r="G171" s="142"/>
      <c r="H171" s="143"/>
      <c r="I171" s="143"/>
      <c r="J171" s="144"/>
      <c r="K171" s="144"/>
      <c r="L171" s="142"/>
      <c r="M171" s="145"/>
    </row>
    <row r="172" spans="1:13" ht="30" customHeight="1">
      <c r="A172" s="128" t="str">
        <f>'BM02'!A86</f>
        <v>1.7.3</v>
      </c>
      <c r="B172" s="211" t="str">
        <f>'BM02'!B86</f>
        <v>TELHAMENTO COM TELHA CERÂMICA CAPA-CANAL, TIPO PLAN, COM ATÉ 2 ÁGUAS, INCLUSO TRANSPORTE VERTICAL. AF_07/2019</v>
      </c>
      <c r="C172" s="212"/>
      <c r="D172" s="212"/>
      <c r="E172" s="212"/>
      <c r="F172" s="212"/>
      <c r="G172" s="212"/>
      <c r="H172" s="212"/>
      <c r="I172" s="212"/>
      <c r="J172" s="212"/>
      <c r="K172" s="213"/>
      <c r="L172" s="129">
        <f>ROUND(SUM(L173:L173),2)</f>
        <v>0</v>
      </c>
      <c r="M172" s="130" t="str">
        <f>'BM02'!C86</f>
        <v>m²</v>
      </c>
    </row>
    <row r="173" spans="1:13" s="131" customFormat="1" ht="12.75">
      <c r="A173" s="132"/>
      <c r="B173" s="209"/>
      <c r="C173" s="210"/>
      <c r="D173" s="134"/>
      <c r="E173" s="134"/>
      <c r="F173" s="134"/>
      <c r="G173" s="134"/>
      <c r="H173" s="134"/>
      <c r="I173" s="134"/>
      <c r="J173" s="135"/>
      <c r="K173" s="135"/>
      <c r="L173" s="134">
        <f>D173</f>
        <v>0</v>
      </c>
      <c r="M173" s="136"/>
    </row>
    <row r="174" spans="1:13" s="131" customFormat="1" ht="12.75">
      <c r="A174" s="139"/>
      <c r="B174" s="140"/>
      <c r="C174" s="141"/>
      <c r="D174" s="142"/>
      <c r="E174" s="143"/>
      <c r="F174" s="142"/>
      <c r="G174" s="142"/>
      <c r="H174" s="143"/>
      <c r="I174" s="143"/>
      <c r="J174" s="144"/>
      <c r="K174" s="144"/>
      <c r="L174" s="142"/>
      <c r="M174" s="145"/>
    </row>
    <row r="175" spans="1:13" ht="30" customHeight="1">
      <c r="A175" s="128" t="str">
        <f>'BM02'!A87</f>
        <v>1.7.4</v>
      </c>
      <c r="B175" s="211" t="str">
        <f>'BM02'!B87</f>
        <v>CUMEEIRA PARA TELHA CERÂMICA EMBOÇADA COM ARGAMASSA TRAÇO 1:2:9 (CIMENTO, CAL E AREIA) PARA TELHADOS COM ATÉ 2 ÁGUAS, INCLUSO TRANSPORTE VERTICAL. AF_07/2019</v>
      </c>
      <c r="C175" s="212"/>
      <c r="D175" s="212"/>
      <c r="E175" s="212"/>
      <c r="F175" s="212"/>
      <c r="G175" s="212"/>
      <c r="H175" s="212"/>
      <c r="I175" s="212"/>
      <c r="J175" s="212"/>
      <c r="K175" s="213"/>
      <c r="L175" s="129">
        <f>ROUND(SUM(L176:L176),2)</f>
        <v>0</v>
      </c>
      <c r="M175" s="130" t="str">
        <f>'BM02'!C87</f>
        <v xml:space="preserve">m </v>
      </c>
    </row>
    <row r="176" spans="1:13" s="131" customFormat="1" ht="12.75">
      <c r="A176" s="132"/>
      <c r="B176" s="209"/>
      <c r="C176" s="210"/>
      <c r="D176" s="134"/>
      <c r="E176" s="134"/>
      <c r="F176" s="134"/>
      <c r="G176" s="134"/>
      <c r="H176" s="134"/>
      <c r="I176" s="134"/>
      <c r="J176" s="135"/>
      <c r="K176" s="135"/>
      <c r="L176" s="134">
        <f>ROUND(D176*K176,2)</f>
        <v>0</v>
      </c>
      <c r="M176" s="136"/>
    </row>
    <row r="177" spans="1:13" s="131" customFormat="1" ht="12.75">
      <c r="A177" s="139"/>
      <c r="B177" s="140"/>
      <c r="C177" s="141"/>
      <c r="D177" s="142"/>
      <c r="E177" s="143"/>
      <c r="F177" s="142"/>
      <c r="G177" s="142"/>
      <c r="H177" s="143"/>
      <c r="I177" s="143"/>
      <c r="J177" s="144"/>
      <c r="K177" s="144"/>
      <c r="L177" s="142"/>
      <c r="M177" s="145"/>
    </row>
    <row r="178" spans="1:13" ht="12.75">
      <c r="A178" s="184" t="str">
        <f>'BM02'!A88</f>
        <v>1.7.5</v>
      </c>
      <c r="B178" s="211" t="str">
        <f>'BM02'!B88</f>
        <v>ALGEROZ (RUFO) DE CONCRETO ARMADO FCK=20MPA L=40CM E H=5CM - ORSE (00304)</v>
      </c>
      <c r="C178" s="212"/>
      <c r="D178" s="212"/>
      <c r="E178" s="212"/>
      <c r="F178" s="212"/>
      <c r="G178" s="212"/>
      <c r="H178" s="212"/>
      <c r="I178" s="212"/>
      <c r="J178" s="212"/>
      <c r="K178" s="213"/>
      <c r="L178" s="129">
        <f>ROUND(SUM(L179:L179),2)</f>
        <v>0</v>
      </c>
      <c r="M178" s="130" t="str">
        <f>'BM02'!C88</f>
        <v>m</v>
      </c>
    </row>
    <row r="179" spans="1:13" s="131" customFormat="1" ht="12.75">
      <c r="A179" s="132"/>
      <c r="B179" s="209"/>
      <c r="C179" s="210"/>
      <c r="D179" s="134"/>
      <c r="E179" s="134"/>
      <c r="F179" s="134"/>
      <c r="G179" s="134"/>
      <c r="H179" s="134"/>
      <c r="I179" s="134"/>
      <c r="J179" s="135"/>
      <c r="K179" s="135"/>
      <c r="L179" s="134">
        <f>ROUND(D179*K179,2)</f>
        <v>0</v>
      </c>
      <c r="M179" s="136"/>
    </row>
    <row r="180" spans="1:13" s="131" customFormat="1" ht="12.75">
      <c r="A180" s="139"/>
      <c r="B180" s="140"/>
      <c r="C180" s="141"/>
      <c r="D180" s="142"/>
      <c r="E180" s="143"/>
      <c r="F180" s="142"/>
      <c r="G180" s="142"/>
      <c r="H180" s="143"/>
      <c r="I180" s="143"/>
      <c r="J180" s="144"/>
      <c r="K180" s="144"/>
      <c r="L180" s="142"/>
      <c r="M180" s="145"/>
    </row>
    <row r="181" spans="1:13" ht="12.75">
      <c r="A181" s="184" t="str">
        <f>'BM02'!A89</f>
        <v>1.7.6</v>
      </c>
      <c r="B181" s="211" t="str">
        <f>'BM02'!B89</f>
        <v>EMBOÇAMENTO COM ARGAMASSA TRAÇO 1:2:9 (CIMENTO, CAL E AREIA). AF_07/2019</v>
      </c>
      <c r="C181" s="212"/>
      <c r="D181" s="212"/>
      <c r="E181" s="212"/>
      <c r="F181" s="212"/>
      <c r="G181" s="212"/>
      <c r="H181" s="212"/>
      <c r="I181" s="212"/>
      <c r="J181" s="212"/>
      <c r="K181" s="213"/>
      <c r="L181" s="129">
        <f>ROUND(SUM(L182:L182),2)</f>
        <v>0</v>
      </c>
      <c r="M181" s="130" t="str">
        <f>'BM02'!C89</f>
        <v>m</v>
      </c>
    </row>
    <row r="182" spans="1:13" s="131" customFormat="1" ht="12.75">
      <c r="A182" s="132"/>
      <c r="B182" s="209"/>
      <c r="C182" s="210"/>
      <c r="D182" s="134"/>
      <c r="E182" s="134"/>
      <c r="F182" s="134"/>
      <c r="G182" s="134"/>
      <c r="H182" s="134"/>
      <c r="I182" s="134"/>
      <c r="J182" s="135"/>
      <c r="K182" s="135"/>
      <c r="L182" s="134">
        <f>ROUND(D182*K182,2)</f>
        <v>0</v>
      </c>
      <c r="M182" s="136"/>
    </row>
    <row r="183" spans="1:13" s="131" customFormat="1" ht="12.75">
      <c r="A183" s="139"/>
      <c r="B183" s="140"/>
      <c r="C183" s="141"/>
      <c r="D183" s="142"/>
      <c r="E183" s="143"/>
      <c r="F183" s="142"/>
      <c r="G183" s="142"/>
      <c r="H183" s="143"/>
      <c r="I183" s="143"/>
      <c r="J183" s="144"/>
      <c r="K183" s="144"/>
      <c r="L183" s="142"/>
      <c r="M183" s="145"/>
    </row>
    <row r="184" spans="1:13" ht="12.75">
      <c r="A184" s="184" t="str">
        <f>'BM02'!A90</f>
        <v>1.7.7</v>
      </c>
      <c r="B184" s="211" t="str">
        <f>'BM02'!B90</f>
        <v>Impermeabilização com aplicação de argamassa polimérica tipo Denvertec 100 ou similar</v>
      </c>
      <c r="C184" s="212"/>
      <c r="D184" s="212"/>
      <c r="E184" s="212"/>
      <c r="F184" s="212"/>
      <c r="G184" s="212"/>
      <c r="H184" s="212"/>
      <c r="I184" s="212"/>
      <c r="J184" s="212"/>
      <c r="K184" s="213"/>
      <c r="L184" s="129">
        <f>ROUND(SUM(L185:L185),2)</f>
        <v>0</v>
      </c>
      <c r="M184" s="130" t="str">
        <f>'BM02'!C90</f>
        <v>m²</v>
      </c>
    </row>
    <row r="185" spans="1:13" s="131" customFormat="1" ht="12.75">
      <c r="A185" s="132"/>
      <c r="B185" s="209"/>
      <c r="C185" s="210"/>
      <c r="D185" s="134"/>
      <c r="E185" s="134"/>
      <c r="F185" s="134"/>
      <c r="G185" s="134"/>
      <c r="H185" s="134"/>
      <c r="I185" s="134"/>
      <c r="J185" s="135"/>
      <c r="K185" s="135"/>
      <c r="L185" s="134">
        <f>D185</f>
        <v>0</v>
      </c>
      <c r="M185" s="136"/>
    </row>
    <row r="186" spans="1:13" s="131" customFormat="1" ht="12.75">
      <c r="A186" s="139"/>
      <c r="B186" s="140"/>
      <c r="C186" s="141"/>
      <c r="D186" s="142"/>
      <c r="E186" s="143"/>
      <c r="F186" s="142"/>
      <c r="G186" s="142"/>
      <c r="H186" s="143"/>
      <c r="I186" s="143"/>
      <c r="J186" s="144"/>
      <c r="K186" s="144"/>
      <c r="L186" s="142"/>
      <c r="M186" s="145"/>
    </row>
    <row r="187" spans="1:13" ht="30" customHeight="1">
      <c r="A187" s="128" t="str">
        <f>'BM02'!A91</f>
        <v>1.7.8</v>
      </c>
      <c r="B187" s="211" t="str">
        <f>'BM02'!B91</f>
        <v>FORRO EM RÉGUAS DE PVC, FRISADO, PARA AMBIENTES RESIDENCIAIS, INCLUSIVE ESTRUTURA DE FIXAÇÃO. AF_05/2017_P</v>
      </c>
      <c r="C187" s="212"/>
      <c r="D187" s="212"/>
      <c r="E187" s="212"/>
      <c r="F187" s="212"/>
      <c r="G187" s="212"/>
      <c r="H187" s="212"/>
      <c r="I187" s="212"/>
      <c r="J187" s="212"/>
      <c r="K187" s="213"/>
      <c r="L187" s="129">
        <f>ROUND(SUM(L188:L188),2)</f>
        <v>0</v>
      </c>
      <c r="M187" s="130" t="str">
        <f>'BM02'!C91</f>
        <v>m²</v>
      </c>
    </row>
    <row r="188" spans="1:13" s="131" customFormat="1" ht="12.75">
      <c r="A188" s="132"/>
      <c r="B188" s="209"/>
      <c r="C188" s="210"/>
      <c r="D188" s="134"/>
      <c r="E188" s="134"/>
      <c r="F188" s="134"/>
      <c r="G188" s="134"/>
      <c r="H188" s="134"/>
      <c r="I188" s="134"/>
      <c r="J188" s="135"/>
      <c r="K188" s="135"/>
      <c r="L188" s="134"/>
      <c r="M188" s="136"/>
    </row>
    <row r="189" spans="1:13" s="131" customFormat="1" ht="12.75">
      <c r="A189" s="139"/>
      <c r="B189" s="140"/>
      <c r="C189" s="141"/>
      <c r="D189" s="142"/>
      <c r="E189" s="143"/>
      <c r="F189" s="142"/>
      <c r="G189" s="142"/>
      <c r="H189" s="143"/>
      <c r="I189" s="143"/>
      <c r="J189" s="144"/>
      <c r="K189" s="144"/>
      <c r="L189" s="142"/>
      <c r="M189" s="145"/>
    </row>
    <row r="190" spans="1:13" ht="12.75">
      <c r="A190" s="128" t="str">
        <f>'BM04'!A104</f>
        <v>1.7.9</v>
      </c>
      <c r="B190" s="211" t="str">
        <f>'BM04'!B104</f>
        <v>FORRO EM PLACAS DE GESSO, PARA AMBIENTES COMERCIAIS. AF_05/2017_P</v>
      </c>
      <c r="C190" s="212"/>
      <c r="D190" s="212"/>
      <c r="E190" s="212"/>
      <c r="F190" s="212"/>
      <c r="G190" s="212"/>
      <c r="H190" s="212"/>
      <c r="I190" s="212"/>
      <c r="J190" s="212"/>
      <c r="K190" s="213"/>
      <c r="L190" s="129">
        <f>ROUND(SUM(L191:L191),2)</f>
        <v>0</v>
      </c>
      <c r="M190" s="130" t="str">
        <f>'BM04'!C104</f>
        <v>M²</v>
      </c>
    </row>
    <row r="191" spans="1:13" s="131" customFormat="1" ht="12.75">
      <c r="A191" s="132"/>
      <c r="B191" s="209"/>
      <c r="C191" s="210"/>
      <c r="D191" s="134"/>
      <c r="E191" s="134"/>
      <c r="F191" s="134"/>
      <c r="G191" s="134"/>
      <c r="H191" s="134"/>
      <c r="I191" s="134"/>
      <c r="J191" s="135"/>
      <c r="K191" s="135"/>
      <c r="L191" s="134">
        <f t="shared" ref="L191" si="9">ROUND(D191*K191,2)</f>
        <v>0</v>
      </c>
      <c r="M191" s="136"/>
    </row>
    <row r="192" spans="1:13" s="131" customFormat="1" ht="12.75">
      <c r="A192" s="139"/>
      <c r="B192" s="140"/>
      <c r="C192" s="141"/>
      <c r="D192" s="142"/>
      <c r="E192" s="143"/>
      <c r="F192" s="142"/>
      <c r="G192" s="142"/>
      <c r="H192" s="143"/>
      <c r="I192" s="143"/>
      <c r="J192" s="144"/>
      <c r="K192" s="144"/>
      <c r="L192" s="142"/>
      <c r="M192" s="145"/>
    </row>
    <row r="193" spans="1:14" ht="12.75">
      <c r="A193" s="128" t="str">
        <f>'BM04'!A105</f>
        <v>1.7.10</v>
      </c>
      <c r="B193" s="211" t="str">
        <f>'BM04'!B105</f>
        <v>Emassamento de beiral de telha ceramica</v>
      </c>
      <c r="C193" s="212"/>
      <c r="D193" s="212"/>
      <c r="E193" s="212"/>
      <c r="F193" s="212"/>
      <c r="G193" s="212"/>
      <c r="H193" s="212"/>
      <c r="I193" s="212"/>
      <c r="J193" s="212"/>
      <c r="K193" s="213"/>
      <c r="L193" s="129">
        <f>ROUND(SUM(L194:L194),2)</f>
        <v>0</v>
      </c>
      <c r="M193" s="130" t="str">
        <f>'BM04'!C105</f>
        <v>M</v>
      </c>
    </row>
    <row r="194" spans="1:14" s="131" customFormat="1" ht="12.75">
      <c r="A194" s="132"/>
      <c r="B194" s="209"/>
      <c r="C194" s="210"/>
      <c r="D194" s="134"/>
      <c r="E194" s="134"/>
      <c r="F194" s="134"/>
      <c r="G194" s="134"/>
      <c r="H194" s="134"/>
      <c r="I194" s="134"/>
      <c r="J194" s="135"/>
      <c r="K194" s="135"/>
      <c r="L194" s="134">
        <f>ROUND(D194*K194,2)</f>
        <v>0</v>
      </c>
      <c r="M194" s="136"/>
    </row>
    <row r="195" spans="1:14" s="131" customFormat="1" ht="13.5" thickBot="1">
      <c r="A195" s="139"/>
      <c r="B195" s="140"/>
      <c r="C195" s="141"/>
      <c r="D195" s="142"/>
      <c r="E195" s="143"/>
      <c r="F195" s="142"/>
      <c r="G195" s="142"/>
      <c r="H195" s="143"/>
      <c r="I195" s="143"/>
      <c r="J195" s="144"/>
      <c r="K195" s="144"/>
      <c r="L195" s="142"/>
      <c r="M195" s="145"/>
    </row>
    <row r="196" spans="1:14" ht="13.5" thickBot="1">
      <c r="A196" s="121" t="str">
        <f>'BM02'!A93</f>
        <v>1.8</v>
      </c>
      <c r="B196" s="122" t="str">
        <f>'BM02'!B93</f>
        <v>REVESTIMENTO E FORRO</v>
      </c>
      <c r="C196" s="122"/>
      <c r="D196" s="122"/>
      <c r="E196" s="122"/>
      <c r="F196" s="122"/>
      <c r="G196" s="122"/>
      <c r="H196" s="122"/>
      <c r="I196" s="122"/>
      <c r="J196" s="122"/>
      <c r="K196" s="122"/>
      <c r="L196" s="122"/>
      <c r="M196" s="123"/>
    </row>
    <row r="197" spans="1:14" ht="12.75">
      <c r="A197" s="124"/>
      <c r="B197" s="125"/>
      <c r="C197" s="125"/>
      <c r="D197" s="125"/>
      <c r="E197" s="125"/>
      <c r="F197" s="125"/>
      <c r="G197" s="125"/>
      <c r="H197" s="125"/>
      <c r="I197" s="125"/>
      <c r="J197" s="125"/>
      <c r="K197" s="126"/>
      <c r="L197" s="125"/>
      <c r="M197" s="127"/>
    </row>
    <row r="198" spans="1:14" ht="30" customHeight="1">
      <c r="A198" s="128" t="str">
        <f>'BM02'!A95</f>
        <v>1.8.1</v>
      </c>
      <c r="B198" s="211" t="str">
        <f>'BM02'!B95</f>
        <v>CHAPISCO APLICADO EM ALVENARIAS E ESTRUTURAS DE CONCRETO INTERNAS, COM COLHER DE PEDREIRO. ARGAMASSA TRAÇO 1:3 COM PREPARO EM BETONEIRA 400L. AF_06/2014</v>
      </c>
      <c r="C198" s="212"/>
      <c r="D198" s="212"/>
      <c r="E198" s="212"/>
      <c r="F198" s="212"/>
      <c r="G198" s="212"/>
      <c r="H198" s="212"/>
      <c r="I198" s="212"/>
      <c r="J198" s="212"/>
      <c r="K198" s="213"/>
      <c r="L198" s="129">
        <f>SUM(L199:L199)</f>
        <v>0</v>
      </c>
      <c r="M198" s="130" t="str">
        <f>'BM02'!C95</f>
        <v>m²</v>
      </c>
    </row>
    <row r="199" spans="1:14" s="131" customFormat="1" ht="13.5" thickBot="1">
      <c r="A199" s="132"/>
      <c r="B199" s="290"/>
      <c r="C199" s="291"/>
      <c r="D199" s="134"/>
      <c r="E199" s="134"/>
      <c r="F199" s="134"/>
      <c r="G199" s="134"/>
      <c r="H199" s="134"/>
      <c r="I199" s="134"/>
      <c r="J199" s="135"/>
      <c r="K199" s="135"/>
      <c r="L199" s="134">
        <f>K199</f>
        <v>0</v>
      </c>
      <c r="M199" s="136"/>
    </row>
    <row r="200" spans="1:14" s="131" customFormat="1" ht="12.75">
      <c r="A200" s="146"/>
      <c r="B200" s="181"/>
      <c r="C200" s="181"/>
      <c r="D200" s="142"/>
      <c r="E200" s="142"/>
      <c r="F200" s="142"/>
      <c r="G200" s="142"/>
      <c r="H200" s="142"/>
      <c r="I200" s="142"/>
      <c r="J200" s="144"/>
      <c r="K200" s="144"/>
      <c r="L200" s="142"/>
      <c r="M200" s="145"/>
    </row>
    <row r="201" spans="1:14" s="131" customFormat="1" ht="43.15" customHeight="1">
      <c r="A201" s="128" t="str">
        <f>'BM02'!A96</f>
        <v>1.8.2</v>
      </c>
      <c r="B201" s="211" t="str">
        <f>'BM02'!B96</f>
        <v>MASSA ÚNICA, PARA RECEBIMENTO DE PINTURA, EM ARGAMASSA TRAÇO 1:2:8, PREPARO MECÂNICO COM BETONEIRA 400L, APLICADA MANUALMENTE EM FACES INTERNAS DE PAREDES, ESPESSURA DE 20MM, COM EXECUÇÃO DE TALISCAS. AF_06/2014</v>
      </c>
      <c r="C201" s="212"/>
      <c r="D201" s="212"/>
      <c r="E201" s="212"/>
      <c r="F201" s="212"/>
      <c r="G201" s="212"/>
      <c r="H201" s="212"/>
      <c r="I201" s="212"/>
      <c r="J201" s="212"/>
      <c r="K201" s="213"/>
      <c r="L201" s="129">
        <f>SUM(L202:L202)</f>
        <v>0</v>
      </c>
      <c r="M201" s="130" t="str">
        <f>'BM02'!C96</f>
        <v>m²</v>
      </c>
    </row>
    <row r="202" spans="1:14" s="131" customFormat="1" ht="12.75">
      <c r="A202" s="132"/>
      <c r="B202" s="209"/>
      <c r="C202" s="210"/>
      <c r="D202" s="134"/>
      <c r="E202" s="134"/>
      <c r="F202" s="134"/>
      <c r="G202" s="134"/>
      <c r="H202" s="134"/>
      <c r="I202" s="134"/>
      <c r="J202" s="135"/>
      <c r="K202" s="135"/>
      <c r="L202" s="134">
        <f>ROUND(K202,2)</f>
        <v>0</v>
      </c>
      <c r="M202" s="136"/>
    </row>
    <row r="203" spans="1:14" s="131" customFormat="1" ht="12.75">
      <c r="A203" s="139"/>
      <c r="B203" s="140"/>
      <c r="C203" s="141"/>
      <c r="D203" s="142"/>
      <c r="E203" s="143"/>
      <c r="F203" s="142"/>
      <c r="G203" s="142"/>
      <c r="H203" s="143"/>
      <c r="I203" s="143"/>
      <c r="J203" s="144"/>
      <c r="K203" s="144"/>
      <c r="L203" s="142"/>
      <c r="M203" s="145"/>
    </row>
    <row r="204" spans="1:14" s="131" customFormat="1" ht="43.15" customHeight="1">
      <c r="A204" s="128" t="str">
        <f>'BM02'!A97</f>
        <v>1.8.3</v>
      </c>
      <c r="B204" s="211" t="str">
        <f>'BM02'!B97</f>
        <v>EMBOÇO, PARA RECEBIMENTO DE CERÂMICA, EM ARGAMASSA TRAÇO 1:2:8, PREPARO MANUAL, APLICADO MANUALMENTE EM FACES INTERNAS DE PAREDES, PARA AMBIENTE COM ÁREA MAIOR QUE 10M2, ESPESSURA DE 20MM, COM EXECUÇÃO DE TALISCAS. AF_06/2014</v>
      </c>
      <c r="C204" s="212"/>
      <c r="D204" s="212"/>
      <c r="E204" s="212"/>
      <c r="F204" s="212"/>
      <c r="G204" s="212"/>
      <c r="H204" s="212"/>
      <c r="I204" s="212"/>
      <c r="J204" s="212"/>
      <c r="K204" s="213"/>
      <c r="L204" s="129">
        <f>SUM(L205:L205)</f>
        <v>0</v>
      </c>
      <c r="M204" s="130" t="str">
        <f>'BM02'!C97</f>
        <v>m²</v>
      </c>
    </row>
    <row r="205" spans="1:14" s="131" customFormat="1" ht="14.45" customHeight="1">
      <c r="A205" s="132"/>
      <c r="B205" s="209"/>
      <c r="C205" s="210"/>
      <c r="D205" s="134"/>
      <c r="E205" s="134"/>
      <c r="F205" s="134"/>
      <c r="G205" s="134"/>
      <c r="H205" s="134"/>
      <c r="I205" s="134"/>
      <c r="J205" s="135"/>
      <c r="K205" s="135"/>
      <c r="L205" s="134">
        <f>ROUND(K205,2)</f>
        <v>0</v>
      </c>
      <c r="M205" s="136"/>
    </row>
    <row r="206" spans="1:14" s="131" customFormat="1" ht="12.75">
      <c r="A206" s="139"/>
      <c r="B206" s="140"/>
      <c r="C206" s="141"/>
      <c r="D206" s="142"/>
      <c r="E206" s="143"/>
      <c r="F206" s="142"/>
      <c r="G206" s="142"/>
      <c r="H206" s="143"/>
      <c r="I206" s="143"/>
      <c r="J206" s="144"/>
      <c r="K206" s="144"/>
      <c r="L206" s="142"/>
      <c r="M206" s="145"/>
    </row>
    <row r="207" spans="1:14" ht="30" customHeight="1">
      <c r="A207" s="128" t="str">
        <f>'BM02'!A98</f>
        <v>1.8.4</v>
      </c>
      <c r="B207" s="211" t="str">
        <f>'BM02'!B98</f>
        <v>Revestimento cerâmico para parede, 10 x 10 cm, Eliane, linha galeria chumbo mesh ou similar, pei - 2, aplicado com argamassa industrializada ac-ii, rejuntado, exclusive regularização de base ou emboço - Rev 01</v>
      </c>
      <c r="C207" s="212"/>
      <c r="D207" s="212"/>
      <c r="E207" s="212"/>
      <c r="F207" s="212"/>
      <c r="G207" s="212"/>
      <c r="H207" s="212"/>
      <c r="I207" s="212"/>
      <c r="J207" s="212"/>
      <c r="K207" s="213"/>
      <c r="L207" s="129">
        <f>SUM(L209:L228)</f>
        <v>30.09</v>
      </c>
      <c r="M207" s="130" t="str">
        <f>'BM02'!C98</f>
        <v>m²</v>
      </c>
      <c r="N207" s="196"/>
    </row>
    <row r="208" spans="1:14" s="131" customFormat="1" ht="12.75">
      <c r="A208" s="132"/>
      <c r="B208" s="288" t="s">
        <v>737</v>
      </c>
      <c r="C208" s="289"/>
      <c r="D208" s="134"/>
      <c r="E208" s="134"/>
      <c r="F208" s="134"/>
      <c r="G208" s="134"/>
      <c r="H208" s="134"/>
      <c r="I208" s="134"/>
      <c r="J208" s="135"/>
      <c r="K208" s="135"/>
      <c r="L208" s="134"/>
      <c r="M208" s="136"/>
    </row>
    <row r="209" spans="1:13" s="131" customFormat="1" ht="12.75">
      <c r="A209" s="132"/>
      <c r="B209" s="209" t="s">
        <v>493</v>
      </c>
      <c r="C209" s="210"/>
      <c r="D209" s="134">
        <v>4</v>
      </c>
      <c r="E209" s="134">
        <f>(2*7.2)+7.45</f>
        <v>21.85</v>
      </c>
      <c r="F209" s="134"/>
      <c r="G209" s="134">
        <v>0.1</v>
      </c>
      <c r="H209" s="134"/>
      <c r="I209" s="134"/>
      <c r="J209" s="135"/>
      <c r="K209" s="135">
        <f>E209*G209</f>
        <v>2.1850000000000001</v>
      </c>
      <c r="L209" s="134">
        <f t="shared" ref="L209:L227" si="10">ROUND(D209*K209,2)</f>
        <v>8.74</v>
      </c>
      <c r="M209" s="136"/>
    </row>
    <row r="210" spans="1:13" s="131" customFormat="1" ht="12.75">
      <c r="A210" s="132"/>
      <c r="B210" s="209" t="s">
        <v>494</v>
      </c>
      <c r="C210" s="210"/>
      <c r="D210" s="134">
        <v>1</v>
      </c>
      <c r="E210" s="134">
        <v>12</v>
      </c>
      <c r="F210" s="134"/>
      <c r="G210" s="134">
        <v>0.1</v>
      </c>
      <c r="H210" s="134"/>
      <c r="I210" s="134"/>
      <c r="J210" s="135"/>
      <c r="K210" s="135">
        <f t="shared" ref="K210:K228" si="11">E210*G210</f>
        <v>1.2000000000000002</v>
      </c>
      <c r="L210" s="134">
        <f t="shared" si="10"/>
        <v>1.2</v>
      </c>
      <c r="M210" s="136"/>
    </row>
    <row r="211" spans="1:13" s="131" customFormat="1" ht="12.75">
      <c r="A211" s="132"/>
      <c r="B211" s="209" t="s">
        <v>495</v>
      </c>
      <c r="C211" s="210"/>
      <c r="D211" s="134">
        <v>1</v>
      </c>
      <c r="E211" s="134">
        <v>11.6</v>
      </c>
      <c r="F211" s="134"/>
      <c r="G211" s="134">
        <v>0.1</v>
      </c>
      <c r="H211" s="134"/>
      <c r="I211" s="134"/>
      <c r="J211" s="135"/>
      <c r="K211" s="135">
        <f t="shared" si="11"/>
        <v>1.1599999999999999</v>
      </c>
      <c r="L211" s="134">
        <f t="shared" si="10"/>
        <v>1.1599999999999999</v>
      </c>
      <c r="M211" s="136"/>
    </row>
    <row r="212" spans="1:13" s="131" customFormat="1" ht="12.75">
      <c r="A212" s="132"/>
      <c r="B212" s="209" t="s">
        <v>496</v>
      </c>
      <c r="C212" s="210"/>
      <c r="D212" s="134">
        <v>1</v>
      </c>
      <c r="E212" s="134">
        <v>8.6999999999999993</v>
      </c>
      <c r="F212" s="134"/>
      <c r="G212" s="134">
        <v>0.1</v>
      </c>
      <c r="H212" s="134"/>
      <c r="I212" s="134"/>
      <c r="J212" s="135"/>
      <c r="K212" s="135">
        <f t="shared" si="11"/>
        <v>0.87</v>
      </c>
      <c r="L212" s="134">
        <f t="shared" si="10"/>
        <v>0.87</v>
      </c>
      <c r="M212" s="136"/>
    </row>
    <row r="213" spans="1:13" s="131" customFormat="1" ht="12.75">
      <c r="A213" s="132"/>
      <c r="B213" s="209" t="s">
        <v>497</v>
      </c>
      <c r="C213" s="210"/>
      <c r="D213" s="134">
        <v>1</v>
      </c>
      <c r="E213" s="134">
        <v>11.7</v>
      </c>
      <c r="F213" s="134"/>
      <c r="G213" s="134">
        <v>0.1</v>
      </c>
      <c r="H213" s="134"/>
      <c r="I213" s="134"/>
      <c r="J213" s="135"/>
      <c r="K213" s="135">
        <f t="shared" si="11"/>
        <v>1.17</v>
      </c>
      <c r="L213" s="134">
        <f t="shared" si="10"/>
        <v>1.17</v>
      </c>
      <c r="M213" s="136"/>
    </row>
    <row r="214" spans="1:13" s="131" customFormat="1" ht="72" customHeight="1">
      <c r="A214" s="132"/>
      <c r="B214" s="209" t="s">
        <v>550</v>
      </c>
      <c r="C214" s="210"/>
      <c r="D214" s="134">
        <v>1</v>
      </c>
      <c r="E214" s="134">
        <v>95.100000000000023</v>
      </c>
      <c r="F214" s="134"/>
      <c r="G214" s="134">
        <v>0.1</v>
      </c>
      <c r="H214" s="134"/>
      <c r="I214" s="134"/>
      <c r="J214" s="135"/>
      <c r="K214" s="135">
        <f t="shared" si="11"/>
        <v>9.5100000000000033</v>
      </c>
      <c r="L214" s="134">
        <f t="shared" si="10"/>
        <v>9.51</v>
      </c>
      <c r="M214" s="136"/>
    </row>
    <row r="215" spans="1:13" s="131" customFormat="1" ht="12.75">
      <c r="A215" s="132"/>
      <c r="B215" s="209" t="s">
        <v>499</v>
      </c>
      <c r="C215" s="210"/>
      <c r="D215" s="134">
        <v>9</v>
      </c>
      <c r="E215" s="134">
        <v>1.2</v>
      </c>
      <c r="F215" s="134"/>
      <c r="G215" s="134">
        <v>0.1</v>
      </c>
      <c r="H215" s="134"/>
      <c r="I215" s="134"/>
      <c r="J215" s="135"/>
      <c r="K215" s="135">
        <f t="shared" si="11"/>
        <v>0.12</v>
      </c>
      <c r="L215" s="134">
        <f t="shared" si="10"/>
        <v>1.08</v>
      </c>
      <c r="M215" s="136"/>
    </row>
    <row r="216" spans="1:13" s="131" customFormat="1" ht="12.75">
      <c r="A216" s="132"/>
      <c r="B216" s="209" t="s">
        <v>500</v>
      </c>
      <c r="C216" s="210"/>
      <c r="D216" s="134">
        <v>1</v>
      </c>
      <c r="E216" s="134">
        <v>6.4</v>
      </c>
      <c r="F216" s="134"/>
      <c r="G216" s="134">
        <v>0.1</v>
      </c>
      <c r="H216" s="134"/>
      <c r="I216" s="134"/>
      <c r="J216" s="135"/>
      <c r="K216" s="135">
        <f t="shared" si="11"/>
        <v>0.64000000000000012</v>
      </c>
      <c r="L216" s="134">
        <f t="shared" si="10"/>
        <v>0.64</v>
      </c>
      <c r="M216" s="136"/>
    </row>
    <row r="217" spans="1:13" s="131" customFormat="1" ht="12.75">
      <c r="A217" s="132"/>
      <c r="B217" s="209" t="s">
        <v>501</v>
      </c>
      <c r="C217" s="210"/>
      <c r="D217" s="134">
        <v>1</v>
      </c>
      <c r="E217" s="134">
        <v>6.4</v>
      </c>
      <c r="F217" s="134"/>
      <c r="G217" s="134">
        <v>0.1</v>
      </c>
      <c r="H217" s="134"/>
      <c r="I217" s="134"/>
      <c r="J217" s="135"/>
      <c r="K217" s="135">
        <f t="shared" si="11"/>
        <v>0.64000000000000012</v>
      </c>
      <c r="L217" s="134">
        <f t="shared" si="10"/>
        <v>0.64</v>
      </c>
      <c r="M217" s="136"/>
    </row>
    <row r="218" spans="1:13" s="131" customFormat="1" ht="57.6" customHeight="1">
      <c r="A218" s="132"/>
      <c r="B218" s="209" t="s">
        <v>556</v>
      </c>
      <c r="C218" s="210"/>
      <c r="D218" s="134">
        <v>1</v>
      </c>
      <c r="E218" s="134">
        <v>22.3</v>
      </c>
      <c r="F218" s="134"/>
      <c r="G218" s="134">
        <v>0.1</v>
      </c>
      <c r="H218" s="134"/>
      <c r="I218" s="134"/>
      <c r="J218" s="135"/>
      <c r="K218" s="135">
        <f t="shared" si="11"/>
        <v>2.23</v>
      </c>
      <c r="L218" s="134">
        <f t="shared" si="10"/>
        <v>2.23</v>
      </c>
      <c r="M218" s="136"/>
    </row>
    <row r="219" spans="1:13" s="131" customFormat="1" ht="12.75">
      <c r="A219" s="132"/>
      <c r="B219" s="209" t="s">
        <v>508</v>
      </c>
      <c r="C219" s="210"/>
      <c r="D219" s="134">
        <v>1</v>
      </c>
      <c r="E219" s="134">
        <v>20.420000000000002</v>
      </c>
      <c r="F219" s="134"/>
      <c r="G219" s="134">
        <v>0.1</v>
      </c>
      <c r="H219" s="134"/>
      <c r="I219" s="134"/>
      <c r="J219" s="135"/>
      <c r="K219" s="135">
        <f t="shared" si="11"/>
        <v>2.0420000000000003</v>
      </c>
      <c r="L219" s="134">
        <f>ROUND(-D219*K219,2)</f>
        <v>-2.04</v>
      </c>
      <c r="M219" s="136"/>
    </row>
    <row r="220" spans="1:13" s="131" customFormat="1" ht="12.75">
      <c r="A220" s="132"/>
      <c r="B220" s="209" t="s">
        <v>509</v>
      </c>
      <c r="C220" s="210"/>
      <c r="D220" s="134">
        <v>1</v>
      </c>
      <c r="E220" s="134">
        <v>7.2</v>
      </c>
      <c r="F220" s="134"/>
      <c r="G220" s="134">
        <v>0.1</v>
      </c>
      <c r="H220" s="134"/>
      <c r="I220" s="134"/>
      <c r="J220" s="135"/>
      <c r="K220" s="135">
        <f t="shared" si="11"/>
        <v>0.72000000000000008</v>
      </c>
      <c r="L220" s="134">
        <f t="shared" si="10"/>
        <v>0.72</v>
      </c>
      <c r="M220" s="136"/>
    </row>
    <row r="221" spans="1:13" s="131" customFormat="1" ht="12.75">
      <c r="A221" s="132"/>
      <c r="B221" s="209" t="s">
        <v>510</v>
      </c>
      <c r="C221" s="210"/>
      <c r="D221" s="134">
        <v>1</v>
      </c>
      <c r="E221" s="134">
        <v>10.46</v>
      </c>
      <c r="F221" s="134"/>
      <c r="G221" s="134">
        <v>0.1</v>
      </c>
      <c r="H221" s="134"/>
      <c r="I221" s="134"/>
      <c r="J221" s="135"/>
      <c r="K221" s="135">
        <f t="shared" si="11"/>
        <v>1.046</v>
      </c>
      <c r="L221" s="134">
        <f t="shared" si="10"/>
        <v>1.05</v>
      </c>
      <c r="M221" s="136"/>
    </row>
    <row r="222" spans="1:13" s="131" customFormat="1" ht="12.75">
      <c r="A222" s="132"/>
      <c r="B222" s="209" t="s">
        <v>511</v>
      </c>
      <c r="C222" s="210"/>
      <c r="D222" s="134">
        <v>1</v>
      </c>
      <c r="E222" s="134">
        <v>6</v>
      </c>
      <c r="F222" s="134"/>
      <c r="G222" s="134">
        <v>0.1</v>
      </c>
      <c r="H222" s="134"/>
      <c r="I222" s="134"/>
      <c r="J222" s="135"/>
      <c r="K222" s="135">
        <f t="shared" si="11"/>
        <v>0.60000000000000009</v>
      </c>
      <c r="L222" s="134">
        <f t="shared" si="10"/>
        <v>0.6</v>
      </c>
      <c r="M222" s="136"/>
    </row>
    <row r="223" spans="1:13" s="131" customFormat="1" ht="12.75">
      <c r="A223" s="132"/>
      <c r="B223" s="209" t="s">
        <v>551</v>
      </c>
      <c r="C223" s="210"/>
      <c r="D223" s="134">
        <v>1</v>
      </c>
      <c r="E223" s="134">
        <v>5</v>
      </c>
      <c r="F223" s="134"/>
      <c r="G223" s="134">
        <v>0.1</v>
      </c>
      <c r="H223" s="134"/>
      <c r="I223" s="134"/>
      <c r="J223" s="135"/>
      <c r="K223" s="135">
        <f t="shared" si="11"/>
        <v>0.5</v>
      </c>
      <c r="L223" s="134">
        <f t="shared" si="10"/>
        <v>0.5</v>
      </c>
      <c r="M223" s="136"/>
    </row>
    <row r="224" spans="1:13" s="131" customFormat="1" ht="12.75">
      <c r="A224" s="132"/>
      <c r="B224" s="209" t="s">
        <v>552</v>
      </c>
      <c r="C224" s="210"/>
      <c r="D224" s="134">
        <v>1</v>
      </c>
      <c r="E224" s="134">
        <v>5.38</v>
      </c>
      <c r="F224" s="134"/>
      <c r="G224" s="134">
        <v>0.1</v>
      </c>
      <c r="H224" s="134"/>
      <c r="I224" s="134"/>
      <c r="J224" s="135"/>
      <c r="K224" s="135">
        <f t="shared" si="11"/>
        <v>0.53800000000000003</v>
      </c>
      <c r="L224" s="134">
        <f t="shared" si="10"/>
        <v>0.54</v>
      </c>
      <c r="M224" s="136"/>
    </row>
    <row r="225" spans="1:14" s="131" customFormat="1" ht="12.75">
      <c r="A225" s="132"/>
      <c r="B225" s="209" t="s">
        <v>553</v>
      </c>
      <c r="C225" s="210"/>
      <c r="D225" s="134">
        <v>1</v>
      </c>
      <c r="E225" s="134">
        <v>7.62</v>
      </c>
      <c r="F225" s="134"/>
      <c r="G225" s="134">
        <v>0.1</v>
      </c>
      <c r="H225" s="134"/>
      <c r="I225" s="134"/>
      <c r="J225" s="135"/>
      <c r="K225" s="135">
        <f t="shared" si="11"/>
        <v>0.76200000000000001</v>
      </c>
      <c r="L225" s="134">
        <f t="shared" si="10"/>
        <v>0.76</v>
      </c>
      <c r="M225" s="136"/>
    </row>
    <row r="226" spans="1:14" s="131" customFormat="1" ht="12.75">
      <c r="A226" s="132"/>
      <c r="B226" s="209" t="s">
        <v>554</v>
      </c>
      <c r="C226" s="210"/>
      <c r="D226" s="134">
        <v>1</v>
      </c>
      <c r="E226" s="134">
        <v>8.16</v>
      </c>
      <c r="F226" s="134"/>
      <c r="G226" s="134">
        <v>0.1</v>
      </c>
      <c r="H226" s="134"/>
      <c r="I226" s="134"/>
      <c r="J226" s="135"/>
      <c r="K226" s="135">
        <f t="shared" si="11"/>
        <v>0.81600000000000006</v>
      </c>
      <c r="L226" s="134">
        <f t="shared" si="10"/>
        <v>0.82</v>
      </c>
      <c r="M226" s="136"/>
    </row>
    <row r="227" spans="1:14" s="131" customFormat="1" ht="12.75">
      <c r="A227" s="132"/>
      <c r="B227" s="209" t="s">
        <v>512</v>
      </c>
      <c r="C227" s="210"/>
      <c r="D227" s="134">
        <v>1</v>
      </c>
      <c r="E227" s="134">
        <v>7.7</v>
      </c>
      <c r="F227" s="134"/>
      <c r="G227" s="134">
        <v>0.1</v>
      </c>
      <c r="H227" s="134"/>
      <c r="I227" s="134"/>
      <c r="J227" s="135"/>
      <c r="K227" s="135">
        <f t="shared" si="11"/>
        <v>0.77</v>
      </c>
      <c r="L227" s="134">
        <f t="shared" si="10"/>
        <v>0.77</v>
      </c>
      <c r="M227" s="136"/>
    </row>
    <row r="228" spans="1:14" s="131" customFormat="1" ht="43.15" customHeight="1">
      <c r="A228" s="132"/>
      <c r="B228" s="209" t="s">
        <v>555</v>
      </c>
      <c r="C228" s="210"/>
      <c r="D228" s="134">
        <v>1</v>
      </c>
      <c r="E228" s="134">
        <v>8.6999999999999993</v>
      </c>
      <c r="F228" s="134"/>
      <c r="G228" s="134">
        <v>0.1</v>
      </c>
      <c r="H228" s="134"/>
      <c r="I228" s="134"/>
      <c r="J228" s="135"/>
      <c r="K228" s="135">
        <f t="shared" si="11"/>
        <v>0.87</v>
      </c>
      <c r="L228" s="134">
        <f>ROUND(-D228*K228,2)</f>
        <v>-0.87</v>
      </c>
      <c r="M228" s="136"/>
    </row>
    <row r="229" spans="1:14" s="131" customFormat="1" ht="13.5" thickBot="1">
      <c r="A229" s="139"/>
      <c r="B229" s="140"/>
      <c r="C229" s="141"/>
      <c r="D229" s="142"/>
      <c r="E229" s="143"/>
      <c r="F229" s="142"/>
      <c r="G229" s="142"/>
      <c r="H229" s="143"/>
      <c r="I229" s="143"/>
      <c r="J229" s="144"/>
      <c r="K229" s="144"/>
      <c r="L229" s="142"/>
      <c r="M229" s="145"/>
    </row>
    <row r="230" spans="1:14" ht="13.5" thickBot="1">
      <c r="A230" s="121" t="str">
        <f>'BM02'!A100</f>
        <v>1.9</v>
      </c>
      <c r="B230" s="122" t="str">
        <f>'BM02'!B100</f>
        <v>PINTURA</v>
      </c>
      <c r="C230" s="122"/>
      <c r="D230" s="122"/>
      <c r="E230" s="122"/>
      <c r="F230" s="122"/>
      <c r="G230" s="122"/>
      <c r="H230" s="122"/>
      <c r="I230" s="122"/>
      <c r="J230" s="122"/>
      <c r="K230" s="122"/>
      <c r="L230" s="122"/>
      <c r="M230" s="123"/>
    </row>
    <row r="231" spans="1:14" ht="12.75">
      <c r="A231" s="124"/>
      <c r="B231" s="125"/>
      <c r="C231" s="125"/>
      <c r="D231" s="125"/>
      <c r="E231" s="125"/>
      <c r="F231" s="125"/>
      <c r="G231" s="125"/>
      <c r="H231" s="125"/>
      <c r="I231" s="125"/>
      <c r="J231" s="125"/>
      <c r="K231" s="126"/>
      <c r="L231" s="125"/>
      <c r="M231" s="127"/>
    </row>
    <row r="232" spans="1:14" ht="12.75">
      <c r="A232" s="184" t="str">
        <f>'BM02'!A102</f>
        <v>1.9.1</v>
      </c>
      <c r="B232" s="211" t="str">
        <f>'BM02'!B102</f>
        <v>APLICAÇÃO DE FUNDO SELADOR ACRÍLICO EM PAREDES, UMA DEMÃO. AF_06/2014</v>
      </c>
      <c r="C232" s="212"/>
      <c r="D232" s="212"/>
      <c r="E232" s="212"/>
      <c r="F232" s="212"/>
      <c r="G232" s="212"/>
      <c r="H232" s="212"/>
      <c r="I232" s="212"/>
      <c r="J232" s="212"/>
      <c r="K232" s="213"/>
      <c r="L232" s="129">
        <f>SUM(L233:L233)</f>
        <v>0</v>
      </c>
      <c r="M232" s="185" t="str">
        <f>'BM02'!C102</f>
        <v>m²</v>
      </c>
    </row>
    <row r="233" spans="1:14" s="131" customFormat="1" ht="14.45" customHeight="1">
      <c r="A233" s="191"/>
      <c r="B233" s="275"/>
      <c r="C233" s="276"/>
      <c r="D233" s="134"/>
      <c r="E233" s="134"/>
      <c r="F233" s="134"/>
      <c r="G233" s="134"/>
      <c r="H233" s="134"/>
      <c r="I233" s="134"/>
      <c r="J233" s="135"/>
      <c r="K233" s="135"/>
      <c r="L233" s="134">
        <f>2*D233*K233</f>
        <v>0</v>
      </c>
      <c r="M233" s="136"/>
    </row>
    <row r="234" spans="1:14" s="131" customFormat="1" ht="12.75">
      <c r="A234" s="139"/>
      <c r="B234" s="140"/>
      <c r="C234" s="141"/>
      <c r="D234" s="142"/>
      <c r="E234" s="143"/>
      <c r="F234" s="142"/>
      <c r="G234" s="142"/>
      <c r="H234" s="143"/>
      <c r="I234" s="143"/>
      <c r="J234" s="144"/>
      <c r="K234" s="144"/>
      <c r="L234" s="142"/>
      <c r="M234" s="145"/>
    </row>
    <row r="235" spans="1:14" ht="12.75">
      <c r="A235" s="184" t="str">
        <f>'BM02'!A103</f>
        <v>1.9.2</v>
      </c>
      <c r="B235" s="211" t="str">
        <f>'BM02'!B103</f>
        <v>APLICAÇÃO E LIXAMENTO DE MASSA LÁTEX EM PAREDES, DUAS DEMÃOS. AF_06/2014</v>
      </c>
      <c r="C235" s="212"/>
      <c r="D235" s="212"/>
      <c r="E235" s="212"/>
      <c r="F235" s="212"/>
      <c r="G235" s="212"/>
      <c r="H235" s="212"/>
      <c r="I235" s="212"/>
      <c r="J235" s="212"/>
      <c r="K235" s="213"/>
      <c r="L235" s="129">
        <f>L236</f>
        <v>0</v>
      </c>
      <c r="M235" s="185" t="str">
        <f>'BM02'!C103</f>
        <v>m²</v>
      </c>
      <c r="N235" s="131"/>
    </row>
    <row r="236" spans="1:14" s="131" customFormat="1" ht="12.75">
      <c r="A236" s="132"/>
      <c r="B236" s="209"/>
      <c r="C236" s="210"/>
      <c r="D236" s="134"/>
      <c r="E236" s="134"/>
      <c r="F236" s="134"/>
      <c r="G236" s="134"/>
      <c r="H236" s="134"/>
      <c r="I236" s="134"/>
      <c r="J236" s="135"/>
      <c r="K236" s="135"/>
      <c r="L236" s="134">
        <f>D236</f>
        <v>0</v>
      </c>
      <c r="M236" s="136"/>
    </row>
    <row r="237" spans="1:14" s="131" customFormat="1" ht="12.75">
      <c r="A237" s="139"/>
      <c r="B237" s="140"/>
      <c r="C237" s="141"/>
      <c r="D237" s="142"/>
      <c r="E237" s="143"/>
      <c r="F237" s="142"/>
      <c r="G237" s="142"/>
      <c r="H237" s="143"/>
      <c r="I237" s="143"/>
      <c r="J237" s="144"/>
      <c r="K237" s="144"/>
      <c r="L237" s="142"/>
      <c r="M237" s="145"/>
    </row>
    <row r="238" spans="1:14" ht="30" customHeight="1">
      <c r="A238" s="128" t="str">
        <f>'BM02'!A104</f>
        <v>1.9.3</v>
      </c>
      <c r="B238" s="211" t="str">
        <f>'BM02'!B104</f>
        <v>APLICAÇÃO MANUAL DE MASSA ACRÍLICA EM PANOS DE FACHADA SEM PRESENÇA DE VÃOS, DE EDIFÍCIOS DE MÚLTIPLOS PAVIMENTOS, DUAS DEMÃOS. AF_05/2017</v>
      </c>
      <c r="C238" s="212"/>
      <c r="D238" s="212"/>
      <c r="E238" s="212"/>
      <c r="F238" s="212"/>
      <c r="G238" s="212"/>
      <c r="H238" s="212"/>
      <c r="I238" s="212"/>
      <c r="J238" s="212"/>
      <c r="K238" s="213"/>
      <c r="L238" s="129">
        <f>SUM(L239:L241)</f>
        <v>171.29000000000002</v>
      </c>
      <c r="M238" s="185" t="str">
        <f>'BM02'!C104</f>
        <v>m²</v>
      </c>
    </row>
    <row r="239" spans="1:14" s="131" customFormat="1" ht="57.6" customHeight="1">
      <c r="A239" s="132"/>
      <c r="B239" s="209" t="s">
        <v>790</v>
      </c>
      <c r="C239" s="210"/>
      <c r="D239" s="134">
        <f>(7.65+4.85+9.74+4.18+2.15*2+1.27+2.85)*3 + ((9.95*1.4)/2) + ((8.75*1.4)/2)</f>
        <v>117.61000000000001</v>
      </c>
      <c r="E239" s="134"/>
      <c r="F239" s="134"/>
      <c r="G239" s="134"/>
      <c r="H239" s="134"/>
      <c r="I239" s="134"/>
      <c r="J239" s="135"/>
      <c r="K239" s="135"/>
      <c r="L239" s="134">
        <f>D239</f>
        <v>117.61000000000001</v>
      </c>
      <c r="M239" s="136"/>
    </row>
    <row r="240" spans="1:14" s="131" customFormat="1" ht="28.9" customHeight="1">
      <c r="A240" s="132"/>
      <c r="B240" s="209" t="s">
        <v>789</v>
      </c>
      <c r="C240" s="210"/>
      <c r="D240" s="134">
        <f>(6.85*2+3.3*2)*2.9</f>
        <v>58.86999999999999</v>
      </c>
      <c r="E240" s="134"/>
      <c r="F240" s="134"/>
      <c r="G240" s="134"/>
      <c r="H240" s="134"/>
      <c r="I240" s="134"/>
      <c r="J240" s="135"/>
      <c r="K240" s="135"/>
      <c r="L240" s="134">
        <f t="shared" ref="L240" si="12">D240</f>
        <v>58.86999999999999</v>
      </c>
      <c r="M240" s="136"/>
    </row>
    <row r="241" spans="1:13" s="131" customFormat="1" ht="43.15" customHeight="1">
      <c r="A241" s="132"/>
      <c r="B241" s="209" t="s">
        <v>791</v>
      </c>
      <c r="C241" s="210"/>
      <c r="D241" s="134">
        <f>(1.2*0.3 + 2*0.8*2.1 + 0.7*2.1)</f>
        <v>5.19</v>
      </c>
      <c r="E241" s="134"/>
      <c r="F241" s="134"/>
      <c r="G241" s="134"/>
      <c r="H241" s="134"/>
      <c r="I241" s="134"/>
      <c r="J241" s="135"/>
      <c r="K241" s="135"/>
      <c r="L241" s="134">
        <f>-D241</f>
        <v>-5.19</v>
      </c>
      <c r="M241" s="136"/>
    </row>
    <row r="242" spans="1:13" s="131" customFormat="1" ht="12.75">
      <c r="A242" s="139"/>
      <c r="B242" s="140"/>
      <c r="C242" s="141"/>
      <c r="D242" s="142"/>
      <c r="E242" s="143"/>
      <c r="F242" s="142"/>
      <c r="G242" s="142"/>
      <c r="H242" s="143"/>
      <c r="I242" s="143"/>
      <c r="J242" s="144"/>
      <c r="K242" s="144"/>
      <c r="L242" s="142"/>
      <c r="M242" s="145"/>
    </row>
    <row r="243" spans="1:13" ht="12.75">
      <c r="A243" s="184" t="str">
        <f>'BM02'!A105</f>
        <v>1.9.4</v>
      </c>
      <c r="B243" s="211" t="str">
        <f>'BM02'!B105</f>
        <v>APLICAÇÃO MANUAL DE PINTURA COM TINTA LÁTEX ACRÍLICA EM PAREDES, DUAS DEMÃOS. AF_06/2014</v>
      </c>
      <c r="C243" s="212"/>
      <c r="D243" s="212"/>
      <c r="E243" s="212"/>
      <c r="F243" s="212"/>
      <c r="G243" s="212"/>
      <c r="H243" s="212"/>
      <c r="I243" s="212"/>
      <c r="J243" s="212"/>
      <c r="K243" s="213"/>
      <c r="L243" s="129">
        <f>SUM(L244:L251)</f>
        <v>358.73200000000003</v>
      </c>
      <c r="M243" s="185" t="str">
        <f>'BM02'!C105</f>
        <v>m²</v>
      </c>
    </row>
    <row r="244" spans="1:13" s="131" customFormat="1" ht="43.15" customHeight="1">
      <c r="A244" s="132"/>
      <c r="B244" s="209" t="s">
        <v>752</v>
      </c>
      <c r="C244" s="210"/>
      <c r="D244" s="134">
        <f>(9.95*3) + ((9.95*1.4)/2)</f>
        <v>36.814999999999998</v>
      </c>
      <c r="E244" s="134"/>
      <c r="F244" s="134"/>
      <c r="G244" s="134"/>
      <c r="H244" s="134"/>
      <c r="I244" s="134"/>
      <c r="J244" s="135"/>
      <c r="K244" s="135"/>
      <c r="L244" s="134">
        <f>D244</f>
        <v>36.814999999999998</v>
      </c>
      <c r="M244" s="136"/>
    </row>
    <row r="245" spans="1:13" s="131" customFormat="1" ht="43.15" customHeight="1">
      <c r="A245" s="132"/>
      <c r="B245" s="209" t="s">
        <v>751</v>
      </c>
      <c r="C245" s="210"/>
      <c r="D245" s="134">
        <f>(8.75*3) + ((8.75*1.4)/2)</f>
        <v>32.375</v>
      </c>
      <c r="E245" s="134"/>
      <c r="F245" s="134"/>
      <c r="G245" s="134"/>
      <c r="H245" s="134"/>
      <c r="I245" s="134"/>
      <c r="J245" s="135"/>
      <c r="K245" s="135"/>
      <c r="L245" s="134">
        <f t="shared" ref="L245:L248" si="13">D245</f>
        <v>32.375</v>
      </c>
      <c r="M245" s="136"/>
    </row>
    <row r="246" spans="1:13" s="131" customFormat="1" ht="12.75">
      <c r="A246" s="132"/>
      <c r="B246" s="209" t="s">
        <v>753</v>
      </c>
      <c r="C246" s="210"/>
      <c r="D246" s="134">
        <f>(1.4*3.6)*2</f>
        <v>10.08</v>
      </c>
      <c r="E246" s="134"/>
      <c r="F246" s="134"/>
      <c r="G246" s="134"/>
      <c r="H246" s="134"/>
      <c r="I246" s="134"/>
      <c r="J246" s="135"/>
      <c r="K246" s="135"/>
      <c r="L246" s="134">
        <f t="shared" si="13"/>
        <v>10.08</v>
      </c>
      <c r="M246" s="136"/>
    </row>
    <row r="247" spans="1:13" s="131" customFormat="1" ht="28.9" customHeight="1">
      <c r="A247" s="132"/>
      <c r="B247" s="209" t="s">
        <v>754</v>
      </c>
      <c r="C247" s="210"/>
      <c r="D247" s="134">
        <f>(29.7*3)</f>
        <v>89.1</v>
      </c>
      <c r="E247" s="134"/>
      <c r="F247" s="134"/>
      <c r="G247" s="134"/>
      <c r="H247" s="134"/>
      <c r="I247" s="134"/>
      <c r="J247" s="135"/>
      <c r="K247" s="135"/>
      <c r="L247" s="134">
        <f t="shared" si="13"/>
        <v>89.1</v>
      </c>
      <c r="M247" s="136"/>
    </row>
    <row r="248" spans="1:13" s="131" customFormat="1" ht="28.9" customHeight="1">
      <c r="A248" s="132"/>
      <c r="B248" s="209" t="s">
        <v>756</v>
      </c>
      <c r="C248" s="210"/>
      <c r="D248" s="134">
        <f>(2.15+6.66+5.48+5.55)*3</f>
        <v>59.519999999999996</v>
      </c>
      <c r="E248" s="134"/>
      <c r="F248" s="134"/>
      <c r="G248" s="134"/>
      <c r="H248" s="134"/>
      <c r="I248" s="134"/>
      <c r="J248" s="135"/>
      <c r="K248" s="135"/>
      <c r="L248" s="134">
        <f t="shared" si="13"/>
        <v>59.519999999999996</v>
      </c>
      <c r="M248" s="136"/>
    </row>
    <row r="249" spans="1:13" s="131" customFormat="1" ht="57.6" customHeight="1">
      <c r="A249" s="132"/>
      <c r="B249" s="209" t="s">
        <v>790</v>
      </c>
      <c r="C249" s="210"/>
      <c r="D249" s="134">
        <f>(7.65+4.85+9.74+4.18+2.15*2+1.27+2.85)*3 + ((9.95*1.4)/2) + ((8.75*1.4)/2)</f>
        <v>117.61000000000001</v>
      </c>
      <c r="E249" s="134"/>
      <c r="F249" s="134"/>
      <c r="G249" s="134"/>
      <c r="H249" s="134"/>
      <c r="I249" s="134"/>
      <c r="J249" s="135"/>
      <c r="K249" s="135"/>
      <c r="L249" s="134">
        <f>D249</f>
        <v>117.61000000000001</v>
      </c>
      <c r="M249" s="136"/>
    </row>
    <row r="250" spans="1:13" s="131" customFormat="1" ht="28.9" customHeight="1">
      <c r="A250" s="132"/>
      <c r="B250" s="209" t="s">
        <v>789</v>
      </c>
      <c r="C250" s="210"/>
      <c r="D250" s="134">
        <f>(6.85*2+3.3*2)*2.9</f>
        <v>58.86999999999999</v>
      </c>
      <c r="E250" s="134"/>
      <c r="F250" s="134"/>
      <c r="G250" s="134"/>
      <c r="H250" s="134"/>
      <c r="I250" s="134"/>
      <c r="J250" s="135"/>
      <c r="K250" s="135"/>
      <c r="L250" s="134">
        <f t="shared" ref="L250" si="14">D250</f>
        <v>58.86999999999999</v>
      </c>
      <c r="M250" s="136"/>
    </row>
    <row r="251" spans="1:13" s="131" customFormat="1" ht="57.6" customHeight="1">
      <c r="A251" s="132"/>
      <c r="B251" s="209" t="s">
        <v>792</v>
      </c>
      <c r="C251" s="210"/>
      <c r="D251" s="134">
        <f>(8*3.37*1.3 + 3*1.2*0.3 + 3*1.2*1.3 + 2*0.8*2.1 + 0.7*2.1)</f>
        <v>45.637999999999998</v>
      </c>
      <c r="E251" s="134"/>
      <c r="F251" s="134"/>
      <c r="G251" s="134"/>
      <c r="H251" s="134"/>
      <c r="I251" s="134"/>
      <c r="J251" s="135"/>
      <c r="K251" s="135"/>
      <c r="L251" s="134">
        <f>-D251</f>
        <v>-45.637999999999998</v>
      </c>
      <c r="M251" s="136"/>
    </row>
    <row r="252" spans="1:13" s="131" customFormat="1" ht="12.75">
      <c r="A252" s="139"/>
      <c r="B252" s="140"/>
      <c r="C252" s="141"/>
      <c r="D252" s="142"/>
      <c r="E252" s="143"/>
      <c r="F252" s="142"/>
      <c r="G252" s="142"/>
      <c r="H252" s="143"/>
      <c r="I252" s="143"/>
      <c r="J252" s="144"/>
      <c r="K252" s="144"/>
      <c r="L252" s="142"/>
      <c r="M252" s="145"/>
    </row>
    <row r="253" spans="1:13" ht="12.75">
      <c r="A253" s="184" t="str">
        <f>'BM02'!A106</f>
        <v>1.9.5</v>
      </c>
      <c r="B253" s="211" t="str">
        <f>'BM02'!B106</f>
        <v>PINTURA TINTA DE ACABAMENTO (PIGMENTADA) ESMALTE SINTÉTICO FOSCO EM MADEIRA, 3 DEMÃOS. AF_01/2021</v>
      </c>
      <c r="C253" s="212"/>
      <c r="D253" s="212"/>
      <c r="E253" s="212"/>
      <c r="F253" s="212"/>
      <c r="G253" s="212"/>
      <c r="H253" s="212"/>
      <c r="I253" s="212"/>
      <c r="J253" s="212"/>
      <c r="K253" s="213"/>
      <c r="L253" s="129">
        <f>SUM(L254:L255)</f>
        <v>71.400000000000006</v>
      </c>
      <c r="M253" s="185" t="str">
        <f>'BM02'!C106</f>
        <v>m²</v>
      </c>
    </row>
    <row r="254" spans="1:13" s="131" customFormat="1" ht="28.9" customHeight="1">
      <c r="A254" s="132"/>
      <c r="B254" s="209" t="s">
        <v>793</v>
      </c>
      <c r="C254" s="210"/>
      <c r="D254" s="134">
        <f>10*2.5</f>
        <v>25</v>
      </c>
      <c r="E254" s="134">
        <v>0.8</v>
      </c>
      <c r="F254" s="134"/>
      <c r="G254" s="134">
        <v>2.1</v>
      </c>
      <c r="H254" s="134"/>
      <c r="I254" s="134"/>
      <c r="J254" s="135"/>
      <c r="K254" s="135">
        <f t="shared" ref="K254:K255" si="15">E254*G254</f>
        <v>1.6800000000000002</v>
      </c>
      <c r="L254" s="134">
        <f t="shared" ref="L254:L255" si="16">ROUND(D254*K254,2)</f>
        <v>42</v>
      </c>
      <c r="M254" s="136"/>
    </row>
    <row r="255" spans="1:13" s="131" customFormat="1" ht="12.75">
      <c r="A255" s="132"/>
      <c r="B255" s="209" t="s">
        <v>794</v>
      </c>
      <c r="C255" s="210"/>
      <c r="D255" s="134">
        <f>8*2.5</f>
        <v>20</v>
      </c>
      <c r="E255" s="134">
        <v>0.7</v>
      </c>
      <c r="F255" s="134"/>
      <c r="G255" s="134">
        <v>2.1</v>
      </c>
      <c r="H255" s="134"/>
      <c r="I255" s="134"/>
      <c r="J255" s="135"/>
      <c r="K255" s="135">
        <f t="shared" si="15"/>
        <v>1.47</v>
      </c>
      <c r="L255" s="134">
        <f t="shared" si="16"/>
        <v>29.4</v>
      </c>
      <c r="M255" s="136"/>
    </row>
    <row r="256" spans="1:13" s="131" customFormat="1" ht="12.75">
      <c r="A256" s="139"/>
      <c r="B256" s="140"/>
      <c r="C256" s="141"/>
      <c r="D256" s="142"/>
      <c r="E256" s="143"/>
      <c r="F256" s="142"/>
      <c r="G256" s="142"/>
      <c r="H256" s="143"/>
      <c r="I256" s="143"/>
      <c r="J256" s="144"/>
      <c r="K256" s="144"/>
      <c r="L256" s="142"/>
      <c r="M256" s="145"/>
    </row>
    <row r="257" spans="1:13" ht="30" customHeight="1">
      <c r="A257" s="128" t="str">
        <f>'BM02'!A107</f>
        <v>1.9.6</v>
      </c>
      <c r="B257" s="211" t="str">
        <f>'BM02'!B107</f>
        <v>PINTURA COM TINTA ALQUÍDICA DE FUNDO E ACABAMENTO (ESMALTE SINTÉTICO GRAFITE) APLICADA A ROLO OU PINCEL SOBRE SUPERFÍCIES METÁLICAS (EXCETO PERFIL) EXECUTADO EM OBRA (POR DEMÃO). AF_01/2020</v>
      </c>
      <c r="C257" s="212"/>
      <c r="D257" s="212"/>
      <c r="E257" s="212"/>
      <c r="F257" s="212"/>
      <c r="G257" s="212"/>
      <c r="H257" s="212"/>
      <c r="I257" s="212"/>
      <c r="J257" s="212"/>
      <c r="K257" s="213"/>
      <c r="L257" s="129">
        <f>L258</f>
        <v>0</v>
      </c>
      <c r="M257" s="185" t="str">
        <f>'BM02'!C107</f>
        <v>m²</v>
      </c>
    </row>
    <row r="258" spans="1:13" s="131" customFormat="1" ht="12.75">
      <c r="A258" s="132"/>
      <c r="B258" s="209"/>
      <c r="C258" s="210"/>
      <c r="D258" s="134"/>
      <c r="E258" s="134"/>
      <c r="F258" s="134"/>
      <c r="G258" s="134"/>
      <c r="H258" s="134"/>
      <c r="I258" s="134"/>
      <c r="J258" s="135"/>
      <c r="K258" s="135"/>
      <c r="L258" s="134">
        <f>D258</f>
        <v>0</v>
      </c>
      <c r="M258" s="136"/>
    </row>
    <row r="259" spans="1:13" s="131" customFormat="1" ht="12.75">
      <c r="A259" s="139"/>
      <c r="B259" s="140"/>
      <c r="C259" s="141"/>
      <c r="D259" s="142"/>
      <c r="E259" s="143"/>
      <c r="F259" s="142"/>
      <c r="G259" s="142"/>
      <c r="H259" s="143"/>
      <c r="I259" s="143"/>
      <c r="J259" s="144"/>
      <c r="K259" s="144"/>
      <c r="L259" s="142"/>
      <c r="M259" s="145"/>
    </row>
    <row r="260" spans="1:13" ht="12.75">
      <c r="A260" s="184" t="str">
        <f>'BM02'!A108</f>
        <v>1.9.7</v>
      </c>
      <c r="B260" s="211" t="str">
        <f>'BM02'!B108</f>
        <v>APLICAÇÃO MANUAL DE PINTURA COM TINTA LÁTEX PVA EM PAREDES, DUAS DEMÃOS. AF_06/2014</v>
      </c>
      <c r="C260" s="212"/>
      <c r="D260" s="212"/>
      <c r="E260" s="212"/>
      <c r="F260" s="212"/>
      <c r="G260" s="212"/>
      <c r="H260" s="212"/>
      <c r="I260" s="212"/>
      <c r="J260" s="212"/>
      <c r="K260" s="213"/>
      <c r="L260" s="129">
        <f>L261</f>
        <v>414.87700000000052</v>
      </c>
      <c r="M260" s="185" t="str">
        <f>'BM02'!C108</f>
        <v>m²</v>
      </c>
    </row>
    <row r="261" spans="1:13" s="131" customFormat="1" ht="28.9" customHeight="1">
      <c r="A261" s="132"/>
      <c r="B261" s="209" t="s">
        <v>795</v>
      </c>
      <c r="C261" s="210"/>
      <c r="D261" s="134">
        <f>'BM06'!G117</f>
        <v>414.87700000000052</v>
      </c>
      <c r="E261" s="134"/>
      <c r="F261" s="134"/>
      <c r="G261" s="134"/>
      <c r="H261" s="134"/>
      <c r="I261" s="134"/>
      <c r="J261" s="135"/>
      <c r="K261" s="135"/>
      <c r="L261" s="134">
        <f>D261</f>
        <v>414.87700000000052</v>
      </c>
      <c r="M261" s="136"/>
    </row>
    <row r="262" spans="1:13" s="131" customFormat="1" ht="12.75">
      <c r="A262" s="139"/>
      <c r="B262" s="140"/>
      <c r="C262" s="141"/>
      <c r="D262" s="142"/>
      <c r="E262" s="143"/>
      <c r="F262" s="142"/>
      <c r="G262" s="142"/>
      <c r="H262" s="143"/>
      <c r="I262" s="143"/>
      <c r="J262" s="144"/>
      <c r="K262" s="144"/>
      <c r="L262" s="142"/>
      <c r="M262" s="145"/>
    </row>
    <row r="263" spans="1:13" ht="13.5" thickBot="1">
      <c r="A263" s="184" t="str">
        <f>'BM02'!A109</f>
        <v>1.9.8</v>
      </c>
      <c r="B263" s="211" t="str">
        <f>'BM02'!B109</f>
        <v>PINTURA IMUNIZANTE PARA MADEIRA, 1 DEMÃO. AF_01/2021</v>
      </c>
      <c r="C263" s="212"/>
      <c r="D263" s="212"/>
      <c r="E263" s="212"/>
      <c r="F263" s="212"/>
      <c r="G263" s="212"/>
      <c r="H263" s="212"/>
      <c r="I263" s="212"/>
      <c r="J263" s="212"/>
      <c r="K263" s="213"/>
      <c r="L263" s="129">
        <f>L264</f>
        <v>766.73</v>
      </c>
      <c r="M263" s="185" t="str">
        <f>'BM02'!C109</f>
        <v>m²</v>
      </c>
    </row>
    <row r="264" spans="1:13" s="131" customFormat="1" ht="12.75">
      <c r="A264" s="132"/>
      <c r="B264" s="209" t="s">
        <v>807</v>
      </c>
      <c r="C264" s="210"/>
      <c r="D264" s="134">
        <f>ROUND(511.15*1.5,2)</f>
        <v>766.73</v>
      </c>
      <c r="E264" s="134"/>
      <c r="F264" s="134"/>
      <c r="G264" s="134"/>
      <c r="H264" s="134"/>
      <c r="I264" s="134"/>
      <c r="J264" s="135"/>
      <c r="K264" s="135"/>
      <c r="L264" s="134">
        <f>D264</f>
        <v>766.73</v>
      </c>
      <c r="M264" s="136"/>
    </row>
    <row r="265" spans="1:13" s="131" customFormat="1" ht="12.75">
      <c r="A265" s="139"/>
      <c r="B265" s="140"/>
      <c r="C265" s="141"/>
      <c r="D265" s="142"/>
      <c r="E265" s="143"/>
      <c r="F265" s="142"/>
      <c r="G265" s="142"/>
      <c r="H265" s="143"/>
      <c r="I265" s="143"/>
      <c r="J265" s="144"/>
      <c r="K265" s="144"/>
      <c r="L265" s="142"/>
      <c r="M265" s="145"/>
    </row>
    <row r="266" spans="1:13" ht="12.75">
      <c r="A266" s="128" t="str">
        <f>'BM04'!A124</f>
        <v>1.9.9</v>
      </c>
      <c r="B266" s="211" t="str">
        <f>'BM04'!B124</f>
        <v>APLICAÇÃO DE FUNDO SELADOR LÁTEX PVA EM TETO, UMA DEMÃO. AF_06/2014</v>
      </c>
      <c r="C266" s="212"/>
      <c r="D266" s="212"/>
      <c r="E266" s="212"/>
      <c r="F266" s="212"/>
      <c r="G266" s="212"/>
      <c r="H266" s="212"/>
      <c r="I266" s="212"/>
      <c r="J266" s="212"/>
      <c r="K266" s="213"/>
      <c r="L266" s="129">
        <f>SUM(L267:L267)</f>
        <v>0</v>
      </c>
      <c r="M266" s="185" t="str">
        <f>'BM04'!C124</f>
        <v>M²</v>
      </c>
    </row>
    <row r="267" spans="1:13" s="131" customFormat="1" ht="12.75">
      <c r="A267" s="132"/>
      <c r="B267" s="209"/>
      <c r="C267" s="210"/>
      <c r="D267" s="134"/>
      <c r="E267" s="134"/>
      <c r="F267" s="134"/>
      <c r="G267" s="134"/>
      <c r="H267" s="134"/>
      <c r="I267" s="134"/>
      <c r="J267" s="135"/>
      <c r="K267" s="135"/>
      <c r="L267" s="134">
        <f>D267</f>
        <v>0</v>
      </c>
      <c r="M267" s="136"/>
    </row>
    <row r="268" spans="1:13" s="131" customFormat="1" ht="12.75">
      <c r="A268" s="139"/>
      <c r="B268" s="140"/>
      <c r="C268" s="141"/>
      <c r="D268" s="142"/>
      <c r="E268" s="143"/>
      <c r="F268" s="142"/>
      <c r="G268" s="142"/>
      <c r="H268" s="143"/>
      <c r="I268" s="143"/>
      <c r="J268" s="144"/>
      <c r="K268" s="144"/>
      <c r="L268" s="142"/>
      <c r="M268" s="145"/>
    </row>
    <row r="269" spans="1:13" ht="12.75">
      <c r="A269" s="184" t="str">
        <f>'BM04'!A125</f>
        <v>1.9.10</v>
      </c>
      <c r="B269" s="211" t="str">
        <f>'BM04'!B125</f>
        <v>APLICAÇÃO E LIXAMENTO DE MASSA LÁTEX EM TETO, UMA DEMÃO. AF_06/2014</v>
      </c>
      <c r="C269" s="212"/>
      <c r="D269" s="212"/>
      <c r="E269" s="212"/>
      <c r="F269" s="212"/>
      <c r="G269" s="212"/>
      <c r="H269" s="212"/>
      <c r="I269" s="212"/>
      <c r="J269" s="212"/>
      <c r="K269" s="213"/>
      <c r="L269" s="129">
        <f>L270</f>
        <v>0</v>
      </c>
      <c r="M269" s="185" t="str">
        <f>'BM04'!C125</f>
        <v>M²</v>
      </c>
    </row>
    <row r="270" spans="1:13" s="131" customFormat="1" ht="13.5" thickBot="1">
      <c r="A270" s="132"/>
      <c r="B270" s="209"/>
      <c r="C270" s="210"/>
      <c r="D270" s="134"/>
      <c r="E270" s="134"/>
      <c r="F270" s="134"/>
      <c r="G270" s="134"/>
      <c r="H270" s="134"/>
      <c r="I270" s="134"/>
      <c r="J270" s="135"/>
      <c r="K270" s="135"/>
      <c r="L270" s="134">
        <f>D270</f>
        <v>0</v>
      </c>
      <c r="M270" s="136"/>
    </row>
    <row r="271" spans="1:13" s="131" customFormat="1" ht="12.75">
      <c r="A271" s="139"/>
      <c r="B271" s="140"/>
      <c r="C271" s="141"/>
      <c r="D271" s="142"/>
      <c r="E271" s="143"/>
      <c r="F271" s="142"/>
      <c r="G271" s="142"/>
      <c r="H271" s="143"/>
      <c r="I271" s="143"/>
      <c r="J271" s="144"/>
      <c r="K271" s="144"/>
      <c r="L271" s="142"/>
      <c r="M271" s="145"/>
    </row>
    <row r="272" spans="1:13" ht="12.75">
      <c r="A272" s="184" t="str">
        <f>'BM04'!A126</f>
        <v>1.9.11</v>
      </c>
      <c r="B272" s="211" t="str">
        <f>'BM04'!B126</f>
        <v>APLICAÇÃO MANUAL DE PINTURA COM TINTA LÁTEX PVA EM TETO, DUAS DEMÃOS. AF_06/2014</v>
      </c>
      <c r="C272" s="212"/>
      <c r="D272" s="212"/>
      <c r="E272" s="212"/>
      <c r="F272" s="212"/>
      <c r="G272" s="212"/>
      <c r="H272" s="212"/>
      <c r="I272" s="212"/>
      <c r="J272" s="212"/>
      <c r="K272" s="213"/>
      <c r="L272" s="129">
        <f>L273</f>
        <v>419.12000000000006</v>
      </c>
      <c r="M272" s="185" t="str">
        <f>'BM04'!C126</f>
        <v>M²</v>
      </c>
    </row>
    <row r="273" spans="1:14" s="131" customFormat="1" ht="12.75">
      <c r="A273" s="132"/>
      <c r="B273" s="209" t="s">
        <v>758</v>
      </c>
      <c r="C273" s="210"/>
      <c r="D273" s="134">
        <f>'BM06'!G124</f>
        <v>419.12000000000006</v>
      </c>
      <c r="E273" s="134"/>
      <c r="F273" s="134"/>
      <c r="G273" s="134"/>
      <c r="H273" s="134"/>
      <c r="I273" s="134"/>
      <c r="J273" s="135"/>
      <c r="K273" s="135"/>
      <c r="L273" s="134">
        <f>D273</f>
        <v>419.12000000000006</v>
      </c>
      <c r="M273" s="136"/>
    </row>
    <row r="274" spans="1:14" s="131" customFormat="1" ht="13.5" thickBot="1">
      <c r="A274" s="139"/>
      <c r="B274" s="140"/>
      <c r="C274" s="141"/>
      <c r="D274" s="142"/>
      <c r="E274" s="143"/>
      <c r="F274" s="142"/>
      <c r="G274" s="142"/>
      <c r="H274" s="143"/>
      <c r="I274" s="143"/>
      <c r="J274" s="144"/>
      <c r="K274" s="144"/>
      <c r="L274" s="142"/>
      <c r="M274" s="145"/>
    </row>
    <row r="275" spans="1:14" ht="13.5" thickBot="1">
      <c r="A275" s="121" t="str">
        <f>'BM02'!A111</f>
        <v>1.10</v>
      </c>
      <c r="B275" s="122" t="str">
        <f>'BM02'!B111</f>
        <v>PAVIMENTAÇÃO</v>
      </c>
      <c r="C275" s="122"/>
      <c r="D275" s="122"/>
      <c r="E275" s="122"/>
      <c r="F275" s="122"/>
      <c r="G275" s="122"/>
      <c r="H275" s="122"/>
      <c r="I275" s="122"/>
      <c r="J275" s="122"/>
      <c r="K275" s="122"/>
      <c r="L275" s="122"/>
      <c r="M275" s="123"/>
    </row>
    <row r="276" spans="1:14" ht="12.75">
      <c r="A276" s="124"/>
      <c r="B276" s="125"/>
      <c r="C276" s="125"/>
      <c r="D276" s="125"/>
      <c r="E276" s="125"/>
      <c r="F276" s="125"/>
      <c r="G276" s="125"/>
      <c r="H276" s="125"/>
      <c r="I276" s="125"/>
      <c r="J276" s="125"/>
      <c r="K276" s="126"/>
      <c r="L276" s="125"/>
      <c r="M276" s="127"/>
    </row>
    <row r="277" spans="1:14" ht="12.75">
      <c r="A277" s="184" t="str">
        <f>'BM02'!A113</f>
        <v>1.10.1</v>
      </c>
      <c r="B277" s="211" t="str">
        <f>'BM02'!B113</f>
        <v>LASTRO DE CONCRETO MAGRO, APLICADO EM PISOS OU RADIERS, ESPESSURA DE 5 CM. AF_07/2016</v>
      </c>
      <c r="C277" s="212"/>
      <c r="D277" s="212"/>
      <c r="E277" s="212"/>
      <c r="F277" s="212"/>
      <c r="G277" s="212"/>
      <c r="H277" s="212"/>
      <c r="I277" s="212"/>
      <c r="J277" s="212"/>
      <c r="K277" s="213"/>
      <c r="L277" s="129">
        <f>SUM(L278:L278)</f>
        <v>0</v>
      </c>
      <c r="M277" s="185" t="str">
        <f>'BM02'!C113</f>
        <v>m²</v>
      </c>
      <c r="N277" s="195"/>
    </row>
    <row r="278" spans="1:14" s="131" customFormat="1" ht="12.75">
      <c r="A278" s="132"/>
      <c r="B278" s="209"/>
      <c r="C278" s="210"/>
      <c r="D278" s="134"/>
      <c r="E278" s="134"/>
      <c r="F278" s="134"/>
      <c r="G278" s="134"/>
      <c r="H278" s="134"/>
      <c r="I278" s="134"/>
      <c r="J278" s="135"/>
      <c r="K278" s="135"/>
      <c r="L278" s="134">
        <f>ROUNDDOWN(D278*K278,4)</f>
        <v>0</v>
      </c>
      <c r="M278" s="136"/>
    </row>
    <row r="279" spans="1:14" s="131" customFormat="1" ht="12.75">
      <c r="A279" s="139"/>
      <c r="B279" s="140"/>
      <c r="C279" s="141"/>
      <c r="D279" s="142"/>
      <c r="E279" s="143"/>
      <c r="F279" s="142"/>
      <c r="G279" s="142"/>
      <c r="H279" s="143"/>
      <c r="I279" s="143"/>
      <c r="J279" s="144"/>
      <c r="K279" s="144"/>
      <c r="L279" s="142"/>
      <c r="M279" s="145"/>
    </row>
    <row r="280" spans="1:14" ht="12.75">
      <c r="A280" s="184" t="str">
        <f>'BM02'!A114</f>
        <v>1.10.2</v>
      </c>
      <c r="B280" s="211" t="str">
        <f>'BM02'!B114</f>
        <v>Regularização de base para revest. de pisos com arg. traço t4, esp. média = 2,5cm</v>
      </c>
      <c r="C280" s="212"/>
      <c r="D280" s="212"/>
      <c r="E280" s="212"/>
      <c r="F280" s="212"/>
      <c r="G280" s="212"/>
      <c r="H280" s="212"/>
      <c r="I280" s="212"/>
      <c r="J280" s="212"/>
      <c r="K280" s="213"/>
      <c r="L280" s="129">
        <f>SUM(L281:L281)</f>
        <v>0</v>
      </c>
      <c r="M280" s="185" t="str">
        <f>'BM02'!C114</f>
        <v>m²</v>
      </c>
    </row>
    <row r="281" spans="1:14" s="131" customFormat="1" ht="12.75">
      <c r="A281" s="132"/>
      <c r="B281" s="209"/>
      <c r="C281" s="210"/>
      <c r="D281" s="134"/>
      <c r="E281" s="134"/>
      <c r="F281" s="134"/>
      <c r="G281" s="134"/>
      <c r="H281" s="134"/>
      <c r="I281" s="134"/>
      <c r="J281" s="135"/>
      <c r="K281" s="135"/>
      <c r="L281" s="134">
        <f t="shared" ref="L281" si="17">ROUND(D281*K281,2)</f>
        <v>0</v>
      </c>
      <c r="M281" s="136"/>
    </row>
    <row r="282" spans="1:14" s="131" customFormat="1" ht="12.75">
      <c r="A282" s="139"/>
      <c r="B282" s="140"/>
      <c r="C282" s="141"/>
      <c r="D282" s="142"/>
      <c r="E282" s="143"/>
      <c r="F282" s="142"/>
      <c r="G282" s="142"/>
      <c r="H282" s="143"/>
      <c r="I282" s="143"/>
      <c r="J282" s="144"/>
      <c r="K282" s="144"/>
      <c r="L282" s="142"/>
      <c r="M282" s="145"/>
    </row>
    <row r="283" spans="1:14" ht="30" customHeight="1">
      <c r="A283" s="128" t="str">
        <f>'BM02'!A115</f>
        <v>1.10.3</v>
      </c>
      <c r="B283" s="211" t="str">
        <f>'BM02'!B115</f>
        <v>REVESTIMENTO CERÂMICO PARA PISO COM PLACAS TIPO ESMALTADA EXTRA DE DIMENSÕES 45X45 CM APLICADA EM AMBIENTES DE ÁREA MENOR QUE 5 M2. AF_06/2014</v>
      </c>
      <c r="C283" s="212"/>
      <c r="D283" s="212"/>
      <c r="E283" s="212"/>
      <c r="F283" s="212"/>
      <c r="G283" s="212"/>
      <c r="H283" s="212"/>
      <c r="I283" s="212"/>
      <c r="J283" s="212"/>
      <c r="K283" s="213"/>
      <c r="L283" s="129">
        <f>SUM(L284:L287)</f>
        <v>11.53</v>
      </c>
      <c r="M283" s="185" t="str">
        <f>'BM02'!C115</f>
        <v>m²</v>
      </c>
      <c r="N283" s="196"/>
    </row>
    <row r="284" spans="1:14" ht="13.5" thickBot="1">
      <c r="A284" s="132"/>
      <c r="B284" s="209" t="s">
        <v>529</v>
      </c>
      <c r="C284" s="210"/>
      <c r="D284" s="134">
        <v>1</v>
      </c>
      <c r="E284" s="134">
        <v>2.31</v>
      </c>
      <c r="F284" s="134"/>
      <c r="G284" s="134">
        <v>1.5</v>
      </c>
      <c r="H284" s="134"/>
      <c r="I284" s="134"/>
      <c r="J284" s="135"/>
      <c r="K284" s="135">
        <f t="shared" ref="K284:K287" si="18">E284*G284</f>
        <v>3.4649999999999999</v>
      </c>
      <c r="L284" s="134">
        <f t="shared" ref="L284:L287" si="19">ROUND(D284*K284,2)</f>
        <v>3.47</v>
      </c>
      <c r="M284" s="136"/>
    </row>
    <row r="285" spans="1:14" ht="12.75">
      <c r="A285" s="132"/>
      <c r="B285" s="209" t="s">
        <v>530</v>
      </c>
      <c r="C285" s="210"/>
      <c r="D285" s="134">
        <v>1</v>
      </c>
      <c r="E285" s="134">
        <v>1.49</v>
      </c>
      <c r="F285" s="134"/>
      <c r="G285" s="134">
        <v>1.2</v>
      </c>
      <c r="H285" s="134"/>
      <c r="I285" s="134"/>
      <c r="J285" s="135"/>
      <c r="K285" s="135">
        <f t="shared" si="18"/>
        <v>1.788</v>
      </c>
      <c r="L285" s="134">
        <f t="shared" si="19"/>
        <v>1.79</v>
      </c>
      <c r="M285" s="136"/>
    </row>
    <row r="286" spans="1:14" ht="12.75">
      <c r="A286" s="132"/>
      <c r="B286" s="209" t="s">
        <v>531</v>
      </c>
      <c r="C286" s="210"/>
      <c r="D286" s="134">
        <v>1</v>
      </c>
      <c r="E286" s="134">
        <v>2.58</v>
      </c>
      <c r="F286" s="134"/>
      <c r="G286" s="134">
        <v>1.5</v>
      </c>
      <c r="H286" s="134"/>
      <c r="I286" s="134"/>
      <c r="J286" s="135"/>
      <c r="K286" s="135">
        <f t="shared" si="18"/>
        <v>3.87</v>
      </c>
      <c r="L286" s="134">
        <f t="shared" si="19"/>
        <v>3.87</v>
      </c>
      <c r="M286" s="136"/>
    </row>
    <row r="287" spans="1:14" ht="12.75">
      <c r="A287" s="132"/>
      <c r="B287" s="209" t="s">
        <v>501</v>
      </c>
      <c r="C287" s="210"/>
      <c r="D287" s="134">
        <v>1</v>
      </c>
      <c r="E287" s="134">
        <v>2</v>
      </c>
      <c r="F287" s="134"/>
      <c r="G287" s="134">
        <v>1.2</v>
      </c>
      <c r="H287" s="134"/>
      <c r="I287" s="134"/>
      <c r="J287" s="135"/>
      <c r="K287" s="135">
        <f t="shared" si="18"/>
        <v>2.4</v>
      </c>
      <c r="L287" s="134">
        <f t="shared" si="19"/>
        <v>2.4</v>
      </c>
      <c r="M287" s="136"/>
    </row>
    <row r="288" spans="1:14" s="131" customFormat="1" ht="12.75">
      <c r="A288" s="139"/>
      <c r="B288" s="140"/>
      <c r="C288" s="141"/>
      <c r="D288" s="142"/>
      <c r="E288" s="143"/>
      <c r="F288" s="142"/>
      <c r="G288" s="142"/>
      <c r="H288" s="143"/>
      <c r="I288" s="143"/>
      <c r="J288" s="144"/>
      <c r="K288" s="144"/>
      <c r="L288" s="142"/>
      <c r="M288" s="145"/>
    </row>
    <row r="289" spans="1:13" ht="12.75">
      <c r="A289" s="184" t="str">
        <f>'BM02'!A116</f>
        <v>1.10.4</v>
      </c>
      <c r="B289" s="211" t="str">
        <f>'BM02'!B116</f>
        <v>PISO EM GRANILITE, MARMORITE OU GRANITINA EM AMBIENTES INTERNOS. AF_09/2020</v>
      </c>
      <c r="C289" s="212"/>
      <c r="D289" s="212"/>
      <c r="E289" s="212"/>
      <c r="F289" s="212"/>
      <c r="G289" s="212"/>
      <c r="H289" s="212"/>
      <c r="I289" s="212"/>
      <c r="J289" s="212"/>
      <c r="K289" s="213"/>
      <c r="L289" s="129">
        <f>SUM(L290:L290)</f>
        <v>0</v>
      </c>
      <c r="M289" s="185" t="str">
        <f>'BM02'!C116</f>
        <v>m²</v>
      </c>
    </row>
    <row r="290" spans="1:13" s="131" customFormat="1" ht="12.75">
      <c r="A290" s="132"/>
      <c r="B290" s="209"/>
      <c r="C290" s="210"/>
      <c r="D290" s="134"/>
      <c r="E290" s="134"/>
      <c r="F290" s="134"/>
      <c r="G290" s="134"/>
      <c r="H290" s="134"/>
      <c r="I290" s="134"/>
      <c r="J290" s="135"/>
      <c r="K290" s="135"/>
      <c r="L290" s="134">
        <f t="shared" ref="L290" si="20">ROUND(D290*K290,2)</f>
        <v>0</v>
      </c>
      <c r="M290" s="136"/>
    </row>
    <row r="291" spans="1:13" s="131" customFormat="1" ht="12.75">
      <c r="A291" s="139"/>
      <c r="B291" s="140"/>
      <c r="C291" s="141"/>
      <c r="D291" s="142"/>
      <c r="E291" s="143"/>
      <c r="F291" s="142"/>
      <c r="G291" s="142"/>
      <c r="H291" s="143"/>
      <c r="I291" s="143"/>
      <c r="J291" s="144"/>
      <c r="K291" s="144"/>
      <c r="L291" s="142"/>
      <c r="M291" s="145"/>
    </row>
    <row r="292" spans="1:13" ht="30" customHeight="1">
      <c r="A292" s="128" t="str">
        <f>'BM02'!A117</f>
        <v>1.10.5</v>
      </c>
      <c r="B292" s="211" t="str">
        <f>'BM02'!B117</f>
        <v>EXECUÇÃO DE PASSEIO (CALÇADA) OU PISO DE CONCRETO COM CONCRETO MOLDADO IN LOCO, FEITO EM OBRA, ACABAMENTO CONVENCIONAL, ESPESSURA 6 CM, ARMADO. AF_07/2016</v>
      </c>
      <c r="C292" s="212"/>
      <c r="D292" s="212"/>
      <c r="E292" s="212"/>
      <c r="F292" s="212"/>
      <c r="G292" s="212"/>
      <c r="H292" s="212"/>
      <c r="I292" s="212"/>
      <c r="J292" s="212"/>
      <c r="K292" s="213"/>
      <c r="L292" s="129">
        <f>L293</f>
        <v>0</v>
      </c>
      <c r="M292" s="185" t="str">
        <f>'BM02'!C117</f>
        <v>m²</v>
      </c>
    </row>
    <row r="293" spans="1:13" s="131" customFormat="1" ht="13.5" thickBot="1">
      <c r="A293" s="132"/>
      <c r="B293" s="209"/>
      <c r="C293" s="210"/>
      <c r="D293" s="134"/>
      <c r="E293" s="134"/>
      <c r="F293" s="134"/>
      <c r="G293" s="134"/>
      <c r="H293" s="134"/>
      <c r="I293" s="134"/>
      <c r="J293" s="135"/>
      <c r="K293" s="135"/>
      <c r="L293" s="134">
        <f t="shared" ref="L293" si="21">ROUND(D293*K293,2)</f>
        <v>0</v>
      </c>
      <c r="M293" s="136"/>
    </row>
    <row r="294" spans="1:13" s="131" customFormat="1" ht="12.75">
      <c r="A294" s="139"/>
      <c r="B294" s="140"/>
      <c r="C294" s="141"/>
      <c r="D294" s="142"/>
      <c r="E294" s="143"/>
      <c r="F294" s="142"/>
      <c r="G294" s="142"/>
      <c r="H294" s="143"/>
      <c r="I294" s="143"/>
      <c r="J294" s="144"/>
      <c r="K294" s="144"/>
      <c r="L294" s="142"/>
      <c r="M294" s="145"/>
    </row>
    <row r="295" spans="1:13" ht="30" customHeight="1">
      <c r="A295" s="128" t="str">
        <f>'BM02'!A118</f>
        <v>1.10.6</v>
      </c>
      <c r="B295" s="211" t="str">
        <f>'BM02'!B118</f>
        <v>EXECUÇÃO DE PASSEIO (CALÇADA) OU PISO DE CONCRETO COM CONCRETO MOLDADO IN LOCO, FEITO EM OBRA, ACABAMENTO CONVENCIONAL, ESPESSURA 6 CM, ARMADO. AF_07/2016</v>
      </c>
      <c r="C295" s="212"/>
      <c r="D295" s="212"/>
      <c r="E295" s="212"/>
      <c r="F295" s="212"/>
      <c r="G295" s="212"/>
      <c r="H295" s="212"/>
      <c r="I295" s="212"/>
      <c r="J295" s="212"/>
      <c r="K295" s="213"/>
      <c r="L295" s="129">
        <f>L296</f>
        <v>0</v>
      </c>
      <c r="M295" s="185" t="str">
        <f>'BM02'!C118</f>
        <v>m²</v>
      </c>
    </row>
    <row r="296" spans="1:13" s="131" customFormat="1" ht="12.75">
      <c r="A296" s="132"/>
      <c r="B296" s="209"/>
      <c r="C296" s="210"/>
      <c r="D296" s="134"/>
      <c r="E296" s="134"/>
      <c r="F296" s="134"/>
      <c r="G296" s="134"/>
      <c r="H296" s="134"/>
      <c r="I296" s="134"/>
      <c r="J296" s="135"/>
      <c r="K296" s="135"/>
      <c r="L296" s="134">
        <f>ROUND(D296*K296,2)</f>
        <v>0</v>
      </c>
      <c r="M296" s="136"/>
    </row>
    <row r="297" spans="1:13" s="131" customFormat="1" ht="12.75">
      <c r="A297" s="139"/>
      <c r="B297" s="140"/>
      <c r="C297" s="141"/>
      <c r="D297" s="142"/>
      <c r="E297" s="143"/>
      <c r="F297" s="142"/>
      <c r="G297" s="142"/>
      <c r="H297" s="143"/>
      <c r="I297" s="143"/>
      <c r="J297" s="144"/>
      <c r="K297" s="144"/>
      <c r="L297" s="142"/>
      <c r="M297" s="145"/>
    </row>
    <row r="298" spans="1:13" ht="30" customHeight="1">
      <c r="A298" s="128" t="str">
        <f>'BM02'!A119</f>
        <v>1.10.7</v>
      </c>
      <c r="B298" s="211" t="str">
        <f>'BM02'!B119</f>
        <v>EXECUÇÃO DE PASSEIO EM PISO INTERTRAVADO, COM BLOCO RETANGULAR COR NATURAL DE 20 X 10 CM, ESPESSURA 6 CM. AF_12/2015</v>
      </c>
      <c r="C298" s="212"/>
      <c r="D298" s="212"/>
      <c r="E298" s="212"/>
      <c r="F298" s="212"/>
      <c r="G298" s="212"/>
      <c r="H298" s="212"/>
      <c r="I298" s="212"/>
      <c r="J298" s="212"/>
      <c r="K298" s="213"/>
      <c r="L298" s="129">
        <f>L299</f>
        <v>0</v>
      </c>
      <c r="M298" s="185" t="str">
        <f>'BM02'!C119</f>
        <v>m²</v>
      </c>
    </row>
    <row r="299" spans="1:13" s="131" customFormat="1" ht="12.75">
      <c r="A299" s="132"/>
      <c r="B299" s="209"/>
      <c r="C299" s="210"/>
      <c r="D299" s="134"/>
      <c r="E299" s="134"/>
      <c r="F299" s="134"/>
      <c r="G299" s="134"/>
      <c r="H299" s="134"/>
      <c r="I299" s="134"/>
      <c r="J299" s="135"/>
      <c r="K299" s="135"/>
      <c r="L299" s="134">
        <f>ROUND(D299*K299,2)</f>
        <v>0</v>
      </c>
      <c r="M299" s="136"/>
    </row>
    <row r="300" spans="1:13" s="131" customFormat="1" ht="12.75">
      <c r="A300" s="139"/>
      <c r="B300" s="140"/>
      <c r="C300" s="141"/>
      <c r="D300" s="142"/>
      <c r="E300" s="143"/>
      <c r="F300" s="142"/>
      <c r="G300" s="142"/>
      <c r="H300" s="143"/>
      <c r="I300" s="143"/>
      <c r="J300" s="144"/>
      <c r="K300" s="144"/>
      <c r="L300" s="142"/>
      <c r="M300" s="145"/>
    </row>
    <row r="301" spans="1:13" ht="43.15" customHeight="1">
      <c r="A301" s="128" t="str">
        <f>'BM02'!A120</f>
        <v>1.10.8</v>
      </c>
      <c r="B301" s="211" t="str">
        <f>'BM02'!B120</f>
        <v>RAMPA DE CALÇADA DE PASSEIO EM CONCRETO PARA ACESSIBILIDADE DE PORTADORES DE NECESSIDADES ESPECIAIS (PNE) EXECUTADA CONCRETO ESTRUTURAL INCLUSIVE SINALIZAÇÃO TATIL DE ALERTA (25X25CM) E SINALIZAÇÃO UNIVERSAL EM TINTA ACRILICA-ESTIRENADA (0,80 X 1,60)M</v>
      </c>
      <c r="C301" s="212"/>
      <c r="D301" s="212"/>
      <c r="E301" s="212"/>
      <c r="F301" s="212"/>
      <c r="G301" s="212"/>
      <c r="H301" s="212"/>
      <c r="I301" s="212"/>
      <c r="J301" s="212"/>
      <c r="K301" s="213"/>
      <c r="L301" s="129">
        <f>L302</f>
        <v>1</v>
      </c>
      <c r="M301" s="185" t="str">
        <f>'BM02'!C120</f>
        <v>un</v>
      </c>
    </row>
    <row r="302" spans="1:13" s="131" customFormat="1" ht="12.75">
      <c r="A302" s="132"/>
      <c r="B302" s="209" t="s">
        <v>808</v>
      </c>
      <c r="C302" s="210"/>
      <c r="D302" s="134">
        <f>1</f>
        <v>1</v>
      </c>
      <c r="E302" s="134"/>
      <c r="F302" s="134"/>
      <c r="G302" s="134"/>
      <c r="H302" s="134"/>
      <c r="I302" s="134"/>
      <c r="J302" s="135"/>
      <c r="K302" s="135"/>
      <c r="L302" s="134">
        <f>D302</f>
        <v>1</v>
      </c>
      <c r="M302" s="136"/>
    </row>
    <row r="303" spans="1:13" s="131" customFormat="1" ht="13.5" thickBot="1">
      <c r="A303" s="139"/>
      <c r="B303" s="140"/>
      <c r="C303" s="141"/>
      <c r="D303" s="142"/>
      <c r="E303" s="143"/>
      <c r="F303" s="142"/>
      <c r="G303" s="142"/>
      <c r="H303" s="143"/>
      <c r="I303" s="143"/>
      <c r="J303" s="144"/>
      <c r="K303" s="144"/>
      <c r="L303" s="142"/>
      <c r="M303" s="145"/>
    </row>
    <row r="304" spans="1:13" ht="13.5" thickBot="1">
      <c r="A304" s="121" t="str">
        <f>'BM02'!A122</f>
        <v>1.11</v>
      </c>
      <c r="B304" s="122" t="str">
        <f>'BM02'!B122</f>
        <v>INSTALAÇÕES HIDRAULICAS - LOUÇAS E METAIS</v>
      </c>
      <c r="C304" s="122"/>
      <c r="D304" s="122"/>
      <c r="E304" s="122"/>
      <c r="F304" s="122"/>
      <c r="G304" s="122"/>
      <c r="H304" s="122"/>
      <c r="I304" s="122"/>
      <c r="J304" s="122"/>
      <c r="K304" s="122"/>
      <c r="L304" s="122"/>
      <c r="M304" s="123"/>
    </row>
    <row r="305" spans="1:14" ht="12.75">
      <c r="A305" s="124"/>
      <c r="B305" s="125"/>
      <c r="C305" s="125"/>
      <c r="D305" s="125"/>
      <c r="E305" s="125"/>
      <c r="F305" s="125"/>
      <c r="G305" s="125"/>
      <c r="H305" s="125"/>
      <c r="I305" s="125"/>
      <c r="J305" s="125"/>
      <c r="K305" s="126"/>
      <c r="L305" s="125"/>
      <c r="M305" s="127"/>
    </row>
    <row r="306" spans="1:14" ht="28.9" customHeight="1">
      <c r="A306" s="128" t="str">
        <f>'BM02'!A124</f>
        <v>1.11.1</v>
      </c>
      <c r="B306" s="211" t="str">
        <f>'BM05'!B141</f>
        <v>VASO SANITARIO SIFONADO COM CAIXA ACOPLADA LOUCA BRANCA, INCLUSO ENGAT E FLEXIVEL EM PLASTICO BRANCO, 1/2 X 40CM - FORNECIMENTO E INSTALACAO . AF_12/2013</v>
      </c>
      <c r="C306" s="212"/>
      <c r="D306" s="212"/>
      <c r="E306" s="212"/>
      <c r="F306" s="212"/>
      <c r="G306" s="212"/>
      <c r="H306" s="212"/>
      <c r="I306" s="212"/>
      <c r="J306" s="212"/>
      <c r="K306" s="213"/>
      <c r="L306" s="129">
        <f>SUM(L307:L307)</f>
        <v>0</v>
      </c>
      <c r="M306" s="130" t="str">
        <f>'BM02'!C124</f>
        <v>un</v>
      </c>
    </row>
    <row r="307" spans="1:14" s="131" customFormat="1" ht="12.75">
      <c r="A307" s="132"/>
      <c r="B307" s="209"/>
      <c r="C307" s="210"/>
      <c r="D307" s="134"/>
      <c r="E307" s="134"/>
      <c r="F307" s="134"/>
      <c r="G307" s="134"/>
      <c r="H307" s="134"/>
      <c r="I307" s="134"/>
      <c r="J307" s="135"/>
      <c r="K307" s="135"/>
      <c r="L307" s="134">
        <f>D307</f>
        <v>0</v>
      </c>
      <c r="M307" s="136"/>
    </row>
    <row r="308" spans="1:14" s="131" customFormat="1" ht="12.75">
      <c r="A308" s="139"/>
      <c r="B308" s="140"/>
      <c r="C308" s="141"/>
      <c r="D308" s="142"/>
      <c r="E308" s="143"/>
      <c r="F308" s="142"/>
      <c r="G308" s="142"/>
      <c r="H308" s="143"/>
      <c r="I308" s="143"/>
      <c r="J308" s="144"/>
      <c r="K308" s="144"/>
      <c r="L308" s="142"/>
      <c r="M308" s="145"/>
    </row>
    <row r="309" spans="1:14" ht="30" customHeight="1">
      <c r="A309" s="128" t="str">
        <f>'BM02'!A125</f>
        <v>1.11.2</v>
      </c>
      <c r="B309" s="211" t="str">
        <f>'BM02'!B125</f>
        <v>VASO SANITARIO SIFONADO CONVENCIONAL PARA PCD SEM FURO FRONTAL COM LOUÇA BRANCA SEM ASSENTO, INCLUSO CONJUNTO DE LIGAÇÃO PARA BACIA SANITÁRIA AJUSTÁVEL - FORNECIMENTO E INSTALAÇÃO. AF_01/2020</v>
      </c>
      <c r="C309" s="212"/>
      <c r="D309" s="212"/>
      <c r="E309" s="212"/>
      <c r="F309" s="212"/>
      <c r="G309" s="212"/>
      <c r="H309" s="212"/>
      <c r="I309" s="212"/>
      <c r="J309" s="212"/>
      <c r="K309" s="213"/>
      <c r="L309" s="129">
        <f>SUM(L310:L311)</f>
        <v>2</v>
      </c>
      <c r="M309" s="130" t="str">
        <f>'BM02'!C125</f>
        <v>un</v>
      </c>
      <c r="N309" s="196"/>
    </row>
    <row r="310" spans="1:14" s="131" customFormat="1" ht="12.75">
      <c r="A310" s="132"/>
      <c r="B310" s="209" t="s">
        <v>553</v>
      </c>
      <c r="C310" s="210"/>
      <c r="D310" s="134">
        <v>1</v>
      </c>
      <c r="E310" s="134"/>
      <c r="F310" s="134"/>
      <c r="G310" s="134"/>
      <c r="H310" s="134"/>
      <c r="I310" s="134"/>
      <c r="J310" s="135"/>
      <c r="K310" s="135"/>
      <c r="L310" s="134">
        <f>D310</f>
        <v>1</v>
      </c>
      <c r="M310" s="136"/>
    </row>
    <row r="311" spans="1:14" s="131" customFormat="1" ht="12.75">
      <c r="A311" s="132"/>
      <c r="B311" s="209" t="s">
        <v>554</v>
      </c>
      <c r="C311" s="210"/>
      <c r="D311" s="134">
        <v>1</v>
      </c>
      <c r="E311" s="134"/>
      <c r="F311" s="134"/>
      <c r="G311" s="134"/>
      <c r="H311" s="134"/>
      <c r="I311" s="134"/>
      <c r="J311" s="135"/>
      <c r="K311" s="135"/>
      <c r="L311" s="134">
        <f>D311</f>
        <v>1</v>
      </c>
      <c r="M311" s="136"/>
    </row>
    <row r="312" spans="1:14" s="131" customFormat="1" ht="12.75">
      <c r="A312" s="139"/>
      <c r="B312" s="140"/>
      <c r="C312" s="141"/>
      <c r="D312" s="142"/>
      <c r="E312" s="143"/>
      <c r="F312" s="142"/>
      <c r="G312" s="142"/>
      <c r="H312" s="143"/>
      <c r="I312" s="143"/>
      <c r="J312" s="144"/>
      <c r="K312" s="144"/>
      <c r="L312" s="142"/>
      <c r="M312" s="145"/>
    </row>
    <row r="313" spans="1:14" ht="30" customHeight="1">
      <c r="A313" s="128" t="str">
        <f>'BM02'!A126</f>
        <v>1.11.3</v>
      </c>
      <c r="B313" s="211" t="str">
        <f>'BM02'!B126</f>
        <v>Lavatório louça de canto (Deca-Izy, ref L-10117 ou similar) sem coluna, c/ sifão cromado, válvula cromada, engate cromado, exclusive torneira</v>
      </c>
      <c r="C313" s="212"/>
      <c r="D313" s="212"/>
      <c r="E313" s="212"/>
      <c r="F313" s="212"/>
      <c r="G313" s="212"/>
      <c r="H313" s="212"/>
      <c r="I313" s="212"/>
      <c r="J313" s="212"/>
      <c r="K313" s="213"/>
      <c r="L313" s="129">
        <f>SUM(L314:L314)</f>
        <v>0</v>
      </c>
      <c r="M313" s="130" t="str">
        <f>'BM02'!C126</f>
        <v>un</v>
      </c>
    </row>
    <row r="314" spans="1:14" s="131" customFormat="1" ht="12.75">
      <c r="A314" s="132"/>
      <c r="B314" s="209"/>
      <c r="C314" s="210"/>
      <c r="D314" s="134"/>
      <c r="E314" s="134"/>
      <c r="F314" s="134"/>
      <c r="G314" s="134"/>
      <c r="H314" s="134"/>
      <c r="I314" s="134"/>
      <c r="J314" s="135"/>
      <c r="K314" s="135"/>
      <c r="L314" s="134">
        <f t="shared" ref="L314" si="22">D314</f>
        <v>0</v>
      </c>
      <c r="M314" s="136"/>
    </row>
    <row r="315" spans="1:14" s="131" customFormat="1" ht="12.75">
      <c r="A315" s="139"/>
      <c r="B315" s="140"/>
      <c r="C315" s="141"/>
      <c r="D315" s="142"/>
      <c r="E315" s="143"/>
      <c r="F315" s="142"/>
      <c r="G315" s="142"/>
      <c r="H315" s="143"/>
      <c r="I315" s="143"/>
      <c r="J315" s="144"/>
      <c r="K315" s="144"/>
      <c r="L315" s="142"/>
      <c r="M315" s="145"/>
    </row>
    <row r="316" spans="1:14" ht="30" customHeight="1">
      <c r="A316" s="128" t="str">
        <f>'BM02'!A127</f>
        <v>1.11.4</v>
      </c>
      <c r="B316" s="211" t="str">
        <f>'BM02'!B127</f>
        <v>Lavatório louça (Deca-Ravena ref L-915) sem coluna, c/válvula, sifão, engate e torneira (herc ref 1994) todos de plástico, conj. de fixação (deca ref sp7) ou similares</v>
      </c>
      <c r="C316" s="212"/>
      <c r="D316" s="212"/>
      <c r="E316" s="212"/>
      <c r="F316" s="212"/>
      <c r="G316" s="212"/>
      <c r="H316" s="212"/>
      <c r="I316" s="212"/>
      <c r="J316" s="212"/>
      <c r="K316" s="213"/>
      <c r="L316" s="129">
        <f>L317</f>
        <v>0</v>
      </c>
      <c r="M316" s="130" t="str">
        <f>'BM02'!C127</f>
        <v>un</v>
      </c>
    </row>
    <row r="317" spans="1:14" s="131" customFormat="1" ht="13.5" thickBot="1">
      <c r="A317" s="132"/>
      <c r="B317" s="209"/>
      <c r="C317" s="210"/>
      <c r="D317" s="134"/>
      <c r="E317" s="134"/>
      <c r="F317" s="134"/>
      <c r="G317" s="134"/>
      <c r="H317" s="134"/>
      <c r="I317" s="134"/>
      <c r="J317" s="135"/>
      <c r="K317" s="135"/>
      <c r="L317" s="134">
        <f>ROUND(D317*K317,2)</f>
        <v>0</v>
      </c>
      <c r="M317" s="136"/>
    </row>
    <row r="318" spans="1:14" s="131" customFormat="1" ht="13.5" thickBot="1">
      <c r="A318" s="139"/>
      <c r="B318" s="140"/>
      <c r="C318" s="141"/>
      <c r="D318" s="142"/>
      <c r="E318" s="143"/>
      <c r="F318" s="142"/>
      <c r="G318" s="142"/>
      <c r="H318" s="143"/>
      <c r="I318" s="143"/>
      <c r="J318" s="144"/>
      <c r="K318" s="144"/>
      <c r="L318" s="142"/>
      <c r="M318" s="145"/>
    </row>
    <row r="319" spans="1:14" ht="43.15" customHeight="1">
      <c r="A319" s="128" t="str">
        <f>'BM02'!A128</f>
        <v>1.11.5</v>
      </c>
      <c r="B319" s="211" t="str">
        <f>'BM02'!B128</f>
        <v>REGISTRO DE GAVETA BRUTO, LATÃO, ROSCÁVEL, 1 1/2, COM ACABAMENTO E CANOPLA CROMADOS, INSTALADO EM RESERVAÇÃO DE ÁGUA DE EDIFICAÇÃO QUE POSSUA RESERVATÓRIO DE FIBRA/FIBROCIMENTO FORNECIMENTO E INSTALAÇÃO. AF_06/2016</v>
      </c>
      <c r="C319" s="212"/>
      <c r="D319" s="212"/>
      <c r="E319" s="212"/>
      <c r="F319" s="212"/>
      <c r="G319" s="212"/>
      <c r="H319" s="212"/>
      <c r="I319" s="212"/>
      <c r="J319" s="212"/>
      <c r="K319" s="213"/>
      <c r="L319" s="129">
        <f>SUM(L320:L320)</f>
        <v>0</v>
      </c>
      <c r="M319" s="130" t="str">
        <f>'BM02'!C128</f>
        <v>un</v>
      </c>
    </row>
    <row r="320" spans="1:14" s="131" customFormat="1" ht="12.75">
      <c r="A320" s="132"/>
      <c r="B320" s="209"/>
      <c r="C320" s="210"/>
      <c r="D320" s="134"/>
      <c r="E320" s="134"/>
      <c r="F320" s="134"/>
      <c r="G320" s="134"/>
      <c r="H320" s="134"/>
      <c r="I320" s="134"/>
      <c r="J320" s="135"/>
      <c r="K320" s="135"/>
      <c r="L320" s="134">
        <f t="shared" ref="L320" si="23">D320</f>
        <v>0</v>
      </c>
      <c r="M320" s="136"/>
    </row>
    <row r="321" spans="1:13" s="131" customFormat="1" ht="12.75">
      <c r="A321" s="139"/>
      <c r="B321" s="140"/>
      <c r="C321" s="141"/>
      <c r="D321" s="142"/>
      <c r="E321" s="143"/>
      <c r="F321" s="142"/>
      <c r="G321" s="142"/>
      <c r="H321" s="143"/>
      <c r="I321" s="143"/>
      <c r="J321" s="144"/>
      <c r="K321" s="144"/>
      <c r="L321" s="142"/>
      <c r="M321" s="145"/>
    </row>
    <row r="322" spans="1:13" ht="30" customHeight="1">
      <c r="A322" s="128" t="str">
        <f>'BM02'!A129</f>
        <v>1.11.6</v>
      </c>
      <c r="B322" s="211" t="str">
        <f>'BM02'!B129</f>
        <v>REGISTRO DE PRESSÃO BRUTO, LATÃO, ROSCÁVEL, 3/4", COM ACABAMENTO E CANOPLA CROMADOS. FORNECIDO E INSTALADO EM RAMAL DE ÁGUA. AF_12/2014</v>
      </c>
      <c r="C322" s="212"/>
      <c r="D322" s="212"/>
      <c r="E322" s="212"/>
      <c r="F322" s="212"/>
      <c r="G322" s="212"/>
      <c r="H322" s="212"/>
      <c r="I322" s="212"/>
      <c r="J322" s="212"/>
      <c r="K322" s="213"/>
      <c r="L322" s="129">
        <f>L323</f>
        <v>0</v>
      </c>
      <c r="M322" s="130" t="str">
        <f>'BM02'!C129</f>
        <v>un</v>
      </c>
    </row>
    <row r="323" spans="1:13" s="131" customFormat="1" ht="12.75">
      <c r="A323" s="132"/>
      <c r="B323" s="209"/>
      <c r="C323" s="210"/>
      <c r="D323" s="134"/>
      <c r="E323" s="134"/>
      <c r="F323" s="134"/>
      <c r="G323" s="134"/>
      <c r="H323" s="134"/>
      <c r="I323" s="134"/>
      <c r="J323" s="135"/>
      <c r="K323" s="135"/>
      <c r="L323" s="134">
        <f t="shared" ref="L323" si="24">D323</f>
        <v>0</v>
      </c>
      <c r="M323" s="136"/>
    </row>
    <row r="324" spans="1:13" s="131" customFormat="1" ht="12.75">
      <c r="A324" s="139"/>
      <c r="B324" s="140"/>
      <c r="C324" s="141"/>
      <c r="D324" s="142"/>
      <c r="E324" s="143"/>
      <c r="F324" s="142"/>
      <c r="G324" s="142"/>
      <c r="H324" s="143"/>
      <c r="I324" s="143"/>
      <c r="J324" s="144"/>
      <c r="K324" s="144"/>
      <c r="L324" s="142"/>
      <c r="M324" s="145"/>
    </row>
    <row r="325" spans="1:13" ht="30" customHeight="1">
      <c r="A325" s="128" t="str">
        <f>'BM02'!A130</f>
        <v>1.11.7</v>
      </c>
      <c r="B325" s="211" t="str">
        <f>'BM02'!B130</f>
        <v>TORNEIRA CROMADA TUBO MÓVEL, DE PAREDE, 1/2 OU 3/4, PARA PIA DE COZINHA, PADRÃO MÉDIO - FORNECIMENTO E INSTALAÇÃO. AF_01/2020</v>
      </c>
      <c r="C325" s="212"/>
      <c r="D325" s="212"/>
      <c r="E325" s="212"/>
      <c r="F325" s="212"/>
      <c r="G325" s="212"/>
      <c r="H325" s="212"/>
      <c r="I325" s="212"/>
      <c r="J325" s="212"/>
      <c r="K325" s="213"/>
      <c r="L325" s="129">
        <f>L326</f>
        <v>1</v>
      </c>
      <c r="M325" s="130" t="str">
        <f>'BM02'!C130</f>
        <v>un</v>
      </c>
    </row>
    <row r="326" spans="1:13" s="131" customFormat="1" ht="13.5" thickBot="1">
      <c r="A326" s="132"/>
      <c r="B326" s="209" t="s">
        <v>733</v>
      </c>
      <c r="C326" s="210"/>
      <c r="D326" s="134">
        <f>1</f>
        <v>1</v>
      </c>
      <c r="E326" s="134"/>
      <c r="F326" s="134"/>
      <c r="G326" s="134"/>
      <c r="H326" s="134"/>
      <c r="I326" s="134"/>
      <c r="J326" s="135"/>
      <c r="K326" s="135"/>
      <c r="L326" s="134">
        <f>D326</f>
        <v>1</v>
      </c>
      <c r="M326" s="136"/>
    </row>
    <row r="327" spans="1:13" s="131" customFormat="1" ht="12.75">
      <c r="A327" s="139"/>
      <c r="B327" s="140"/>
      <c r="C327" s="141"/>
      <c r="D327" s="142"/>
      <c r="E327" s="143"/>
      <c r="F327" s="142"/>
      <c r="G327" s="142"/>
      <c r="H327" s="143"/>
      <c r="I327" s="143"/>
      <c r="J327" s="144"/>
      <c r="K327" s="144"/>
      <c r="L327" s="142"/>
      <c r="M327" s="145"/>
    </row>
    <row r="328" spans="1:13" ht="30" customHeight="1">
      <c r="A328" s="128" t="str">
        <f>'BM02'!A131</f>
        <v>1.11.8</v>
      </c>
      <c r="B328" s="211" t="str">
        <f>'BM02'!B131</f>
        <v>TORNEIRA CROMADA DE MESA, 1/2 OU 3/4, PARA LAVATÓRIO, PADRÃO MÉDIO - FORNECIMENTO E INSTALAÇÃO. AF_01/2020</v>
      </c>
      <c r="C328" s="212"/>
      <c r="D328" s="212"/>
      <c r="E328" s="212"/>
      <c r="F328" s="212"/>
      <c r="G328" s="212"/>
      <c r="H328" s="212"/>
      <c r="I328" s="212"/>
      <c r="J328" s="212"/>
      <c r="K328" s="213"/>
      <c r="L328" s="129">
        <f>SUM(L329:L329)</f>
        <v>0</v>
      </c>
      <c r="M328" s="130" t="str">
        <f>'BM02'!C131</f>
        <v>un</v>
      </c>
    </row>
    <row r="329" spans="1:13" s="131" customFormat="1" ht="12.75">
      <c r="A329" s="132"/>
      <c r="B329" s="209"/>
      <c r="C329" s="210"/>
      <c r="D329" s="134"/>
      <c r="E329" s="134"/>
      <c r="F329" s="134"/>
      <c r="G329" s="134"/>
      <c r="H329" s="134"/>
      <c r="I329" s="134"/>
      <c r="J329" s="135"/>
      <c r="K329" s="135"/>
      <c r="L329" s="134">
        <f t="shared" ref="L329" si="25">D329</f>
        <v>0</v>
      </c>
      <c r="M329" s="136"/>
    </row>
    <row r="330" spans="1:13" s="131" customFormat="1" ht="12.75">
      <c r="A330" s="139"/>
      <c r="B330" s="140"/>
      <c r="C330" s="141"/>
      <c r="D330" s="142"/>
      <c r="E330" s="143"/>
      <c r="F330" s="142"/>
      <c r="G330" s="142"/>
      <c r="H330" s="143"/>
      <c r="I330" s="143"/>
      <c r="J330" s="144"/>
      <c r="K330" s="144"/>
      <c r="L330" s="142"/>
      <c r="M330" s="145"/>
    </row>
    <row r="331" spans="1:13" ht="12.75">
      <c r="A331" s="128" t="str">
        <f>'BM02'!A132</f>
        <v>1.11.9</v>
      </c>
      <c r="B331" s="211" t="str">
        <f>'BM02'!B132</f>
        <v>TORNEIRA CROMADA 1/2 OU 3/4 PARA TANQUE, PADRÃO MÉDIO - FORNECIMENTO E INSTALAÇÃO. AF_01/2020</v>
      </c>
      <c r="C331" s="212"/>
      <c r="D331" s="212"/>
      <c r="E331" s="212"/>
      <c r="F331" s="212"/>
      <c r="G331" s="212"/>
      <c r="H331" s="212"/>
      <c r="I331" s="212"/>
      <c r="J331" s="212"/>
      <c r="K331" s="213"/>
      <c r="L331" s="129">
        <f>L332</f>
        <v>0</v>
      </c>
      <c r="M331" s="130" t="str">
        <f>'BM02'!C132</f>
        <v>un</v>
      </c>
    </row>
    <row r="332" spans="1:13" s="131" customFormat="1" ht="12.75">
      <c r="A332" s="132"/>
      <c r="B332" s="209"/>
      <c r="C332" s="210"/>
      <c r="D332" s="134"/>
      <c r="E332" s="134"/>
      <c r="F332" s="134"/>
      <c r="G332" s="134"/>
      <c r="H332" s="134"/>
      <c r="I332" s="134"/>
      <c r="J332" s="135"/>
      <c r="K332" s="135"/>
      <c r="L332" s="134">
        <f t="shared" ref="L332" si="26">D332</f>
        <v>0</v>
      </c>
      <c r="M332" s="136"/>
    </row>
    <row r="333" spans="1:13" s="131" customFormat="1" ht="12.75">
      <c r="A333" s="139"/>
      <c r="B333" s="140"/>
      <c r="C333" s="141"/>
      <c r="D333" s="142"/>
      <c r="E333" s="143"/>
      <c r="F333" s="142"/>
      <c r="G333" s="142"/>
      <c r="H333" s="143"/>
      <c r="I333" s="143"/>
      <c r="J333" s="144"/>
      <c r="K333" s="144"/>
      <c r="L333" s="142"/>
      <c r="M333" s="145"/>
    </row>
    <row r="334" spans="1:13" ht="12.75">
      <c r="A334" s="184" t="str">
        <f>'BM02'!A133</f>
        <v>1.11.10</v>
      </c>
      <c r="B334" s="211" t="str">
        <f>'BM02'!B133</f>
        <v>Cabide em aço inox, MOLDENOX, linha stylus 108 RSL ou similar</v>
      </c>
      <c r="C334" s="212"/>
      <c r="D334" s="212"/>
      <c r="E334" s="212"/>
      <c r="F334" s="212"/>
      <c r="G334" s="212"/>
      <c r="H334" s="212"/>
      <c r="I334" s="212"/>
      <c r="J334" s="212"/>
      <c r="K334" s="213"/>
      <c r="L334" s="129">
        <f>SUM(L335:L337)</f>
        <v>3</v>
      </c>
      <c r="M334" s="130" t="str">
        <f>'BM02'!C133</f>
        <v>un</v>
      </c>
    </row>
    <row r="335" spans="1:13" s="131" customFormat="1" ht="12.75">
      <c r="A335" s="132"/>
      <c r="B335" s="209" t="s">
        <v>511</v>
      </c>
      <c r="C335" s="210"/>
      <c r="D335" s="134">
        <v>1</v>
      </c>
      <c r="E335" s="134"/>
      <c r="F335" s="134"/>
      <c r="G335" s="134"/>
      <c r="H335" s="134"/>
      <c r="I335" s="134"/>
      <c r="J335" s="135"/>
      <c r="K335" s="135"/>
      <c r="L335" s="134">
        <f>D335</f>
        <v>1</v>
      </c>
      <c r="M335" s="136"/>
    </row>
    <row r="336" spans="1:13" s="131" customFormat="1" ht="12.75">
      <c r="A336" s="132"/>
      <c r="B336" s="209" t="s">
        <v>551</v>
      </c>
      <c r="C336" s="210"/>
      <c r="D336" s="134">
        <v>1</v>
      </c>
      <c r="E336" s="134"/>
      <c r="F336" s="134"/>
      <c r="G336" s="134"/>
      <c r="H336" s="134"/>
      <c r="I336" s="134"/>
      <c r="J336" s="135"/>
      <c r="K336" s="135"/>
      <c r="L336" s="134">
        <f t="shared" ref="L336:L337" si="27">D336</f>
        <v>1</v>
      </c>
      <c r="M336" s="136"/>
    </row>
    <row r="337" spans="1:13" s="131" customFormat="1" ht="12.75">
      <c r="A337" s="132"/>
      <c r="B337" s="209" t="s">
        <v>552</v>
      </c>
      <c r="C337" s="210"/>
      <c r="D337" s="134">
        <v>1</v>
      </c>
      <c r="E337" s="134"/>
      <c r="F337" s="134"/>
      <c r="G337" s="134"/>
      <c r="H337" s="134"/>
      <c r="I337" s="134"/>
      <c r="J337" s="135"/>
      <c r="K337" s="135"/>
      <c r="L337" s="134">
        <f t="shared" si="27"/>
        <v>1</v>
      </c>
      <c r="M337" s="136"/>
    </row>
    <row r="338" spans="1:13" s="131" customFormat="1" ht="12.75">
      <c r="A338" s="139"/>
      <c r="B338" s="140"/>
      <c r="C338" s="141"/>
      <c r="D338" s="142"/>
      <c r="E338" s="143"/>
      <c r="F338" s="142"/>
      <c r="G338" s="142"/>
      <c r="H338" s="143"/>
      <c r="I338" s="143"/>
      <c r="J338" s="144"/>
      <c r="K338" s="144"/>
      <c r="L338" s="142"/>
      <c r="M338" s="145"/>
    </row>
    <row r="339" spans="1:13" ht="12.75">
      <c r="A339" s="184" t="str">
        <f>'BM02'!A134</f>
        <v>1.11.11</v>
      </c>
      <c r="B339" s="211" t="str">
        <f>'BM02'!B134</f>
        <v>Chuveiro plástico sem registro</v>
      </c>
      <c r="C339" s="212"/>
      <c r="D339" s="212"/>
      <c r="E339" s="212"/>
      <c r="F339" s="212"/>
      <c r="G339" s="212"/>
      <c r="H339" s="212"/>
      <c r="I339" s="212"/>
      <c r="J339" s="212"/>
      <c r="K339" s="213"/>
      <c r="L339" s="129">
        <f>L340</f>
        <v>0</v>
      </c>
      <c r="M339" s="130" t="str">
        <f>'BM02'!C134</f>
        <v>un</v>
      </c>
    </row>
    <row r="340" spans="1:13" s="131" customFormat="1" ht="12.75">
      <c r="A340" s="132"/>
      <c r="B340" s="209"/>
      <c r="C340" s="210"/>
      <c r="D340" s="134"/>
      <c r="E340" s="134"/>
      <c r="F340" s="134"/>
      <c r="G340" s="134"/>
      <c r="H340" s="134"/>
      <c r="I340" s="134"/>
      <c r="J340" s="135"/>
      <c r="K340" s="135"/>
      <c r="L340" s="134">
        <f t="shared" ref="L340" si="28">D340</f>
        <v>0</v>
      </c>
      <c r="M340" s="136"/>
    </row>
    <row r="341" spans="1:13" s="131" customFormat="1" ht="12.75">
      <c r="A341" s="139"/>
      <c r="B341" s="140"/>
      <c r="C341" s="141"/>
      <c r="D341" s="142"/>
      <c r="E341" s="143"/>
      <c r="F341" s="142"/>
      <c r="G341" s="142"/>
      <c r="H341" s="143"/>
      <c r="I341" s="143"/>
      <c r="J341" s="144"/>
      <c r="K341" s="144"/>
      <c r="L341" s="142"/>
      <c r="M341" s="145"/>
    </row>
    <row r="342" spans="1:13" ht="30" customHeight="1">
      <c r="A342" s="128" t="str">
        <f>'BM02'!A135</f>
        <v>1.11.12</v>
      </c>
      <c r="B342" s="211" t="str">
        <f>'BM02'!B135</f>
        <v>SABONETEIRA PLASTICA TIPO DISPENSER PARA SABONETE LIQUIDO COM RESERVATORIO 800 A 1500 ML, INCLUSO FIXAÇÃO. AF_01/2020</v>
      </c>
      <c r="C342" s="212"/>
      <c r="D342" s="212"/>
      <c r="E342" s="212"/>
      <c r="F342" s="212"/>
      <c r="G342" s="212"/>
      <c r="H342" s="212"/>
      <c r="I342" s="212"/>
      <c r="J342" s="212"/>
      <c r="K342" s="213"/>
      <c r="L342" s="129">
        <f>SUM(L343:L347)</f>
        <v>5</v>
      </c>
      <c r="M342" s="130" t="str">
        <f>'BM02'!C135</f>
        <v>un</v>
      </c>
    </row>
    <row r="343" spans="1:13" s="131" customFormat="1" ht="12.75">
      <c r="A343" s="132"/>
      <c r="B343" s="209" t="s">
        <v>511</v>
      </c>
      <c r="C343" s="210"/>
      <c r="D343" s="134">
        <v>1</v>
      </c>
      <c r="E343" s="134"/>
      <c r="F343" s="134"/>
      <c r="G343" s="134"/>
      <c r="H343" s="134"/>
      <c r="I343" s="134"/>
      <c r="J343" s="135"/>
      <c r="K343" s="135"/>
      <c r="L343" s="134">
        <f>D343</f>
        <v>1</v>
      </c>
      <c r="M343" s="136"/>
    </row>
    <row r="344" spans="1:13" s="131" customFormat="1" ht="12.75">
      <c r="A344" s="132"/>
      <c r="B344" s="209" t="s">
        <v>551</v>
      </c>
      <c r="C344" s="210"/>
      <c r="D344" s="134">
        <v>1</v>
      </c>
      <c r="E344" s="134"/>
      <c r="F344" s="134"/>
      <c r="G344" s="134"/>
      <c r="H344" s="134"/>
      <c r="I344" s="134"/>
      <c r="J344" s="135"/>
      <c r="K344" s="135"/>
      <c r="L344" s="134">
        <f t="shared" ref="L344:L347" si="29">D344</f>
        <v>1</v>
      </c>
      <c r="M344" s="136"/>
    </row>
    <row r="345" spans="1:13" s="131" customFormat="1" ht="12.75">
      <c r="A345" s="132"/>
      <c r="B345" s="209" t="s">
        <v>552</v>
      </c>
      <c r="C345" s="210"/>
      <c r="D345" s="134">
        <v>1</v>
      </c>
      <c r="E345" s="134"/>
      <c r="F345" s="134"/>
      <c r="G345" s="134"/>
      <c r="H345" s="134"/>
      <c r="I345" s="134"/>
      <c r="J345" s="135"/>
      <c r="K345" s="135"/>
      <c r="L345" s="134">
        <f t="shared" si="29"/>
        <v>1</v>
      </c>
      <c r="M345" s="136"/>
    </row>
    <row r="346" spans="1:13" s="131" customFormat="1" ht="12.75">
      <c r="A346" s="132"/>
      <c r="B346" s="209" t="s">
        <v>553</v>
      </c>
      <c r="C346" s="210"/>
      <c r="D346" s="134">
        <v>1</v>
      </c>
      <c r="E346" s="134"/>
      <c r="F346" s="134"/>
      <c r="G346" s="134"/>
      <c r="H346" s="134"/>
      <c r="I346" s="134"/>
      <c r="J346" s="135"/>
      <c r="K346" s="135"/>
      <c r="L346" s="134">
        <f t="shared" si="29"/>
        <v>1</v>
      </c>
      <c r="M346" s="136"/>
    </row>
    <row r="347" spans="1:13" s="131" customFormat="1" ht="12.75">
      <c r="A347" s="132"/>
      <c r="B347" s="209" t="s">
        <v>554</v>
      </c>
      <c r="C347" s="210"/>
      <c r="D347" s="134">
        <v>1</v>
      </c>
      <c r="E347" s="134"/>
      <c r="F347" s="134"/>
      <c r="G347" s="134"/>
      <c r="H347" s="134"/>
      <c r="I347" s="134"/>
      <c r="J347" s="135"/>
      <c r="K347" s="135"/>
      <c r="L347" s="134">
        <f t="shared" si="29"/>
        <v>1</v>
      </c>
      <c r="M347" s="136"/>
    </row>
    <row r="348" spans="1:13" s="131" customFormat="1" ht="12.75">
      <c r="A348" s="139"/>
      <c r="B348" s="140"/>
      <c r="C348" s="141"/>
      <c r="D348" s="142"/>
      <c r="E348" s="143"/>
      <c r="F348" s="142"/>
      <c r="G348" s="142"/>
      <c r="H348" s="143"/>
      <c r="I348" s="143"/>
      <c r="J348" s="144"/>
      <c r="K348" s="144"/>
      <c r="L348" s="142"/>
      <c r="M348" s="145"/>
    </row>
    <row r="349" spans="1:13" ht="12.75">
      <c r="A349" s="184" t="str">
        <f>'BM02'!A136</f>
        <v>1.11.13</v>
      </c>
      <c r="B349" s="211" t="str">
        <f>'BM02'!B136</f>
        <v>Dispenser para toalha interfolhada</v>
      </c>
      <c r="C349" s="212"/>
      <c r="D349" s="212"/>
      <c r="E349" s="212"/>
      <c r="F349" s="212"/>
      <c r="G349" s="212"/>
      <c r="H349" s="212"/>
      <c r="I349" s="212"/>
      <c r="J349" s="212"/>
      <c r="K349" s="213"/>
      <c r="L349" s="129">
        <f>SUM(L350:L354)</f>
        <v>5</v>
      </c>
      <c r="M349" s="130" t="str">
        <f>'BM02'!C136</f>
        <v>un</v>
      </c>
    </row>
    <row r="350" spans="1:13" s="131" customFormat="1" ht="12.75">
      <c r="A350" s="132"/>
      <c r="B350" s="209" t="s">
        <v>511</v>
      </c>
      <c r="C350" s="210"/>
      <c r="D350" s="134">
        <v>1</v>
      </c>
      <c r="E350" s="134"/>
      <c r="F350" s="134"/>
      <c r="G350" s="134"/>
      <c r="H350" s="134"/>
      <c r="I350" s="134"/>
      <c r="J350" s="135"/>
      <c r="K350" s="135"/>
      <c r="L350" s="134">
        <f>D350</f>
        <v>1</v>
      </c>
      <c r="M350" s="136"/>
    </row>
    <row r="351" spans="1:13" s="131" customFormat="1" ht="12.75">
      <c r="A351" s="132"/>
      <c r="B351" s="209" t="s">
        <v>551</v>
      </c>
      <c r="C351" s="210"/>
      <c r="D351" s="134">
        <v>1</v>
      </c>
      <c r="E351" s="134"/>
      <c r="F351" s="134"/>
      <c r="G351" s="134"/>
      <c r="H351" s="134"/>
      <c r="I351" s="134"/>
      <c r="J351" s="135"/>
      <c r="K351" s="135"/>
      <c r="L351" s="134">
        <f t="shared" ref="L351:L354" si="30">D351</f>
        <v>1</v>
      </c>
      <c r="M351" s="136"/>
    </row>
    <row r="352" spans="1:13" s="131" customFormat="1" ht="12.75">
      <c r="A352" s="132"/>
      <c r="B352" s="209" t="s">
        <v>552</v>
      </c>
      <c r="C352" s="210"/>
      <c r="D352" s="134">
        <v>1</v>
      </c>
      <c r="E352" s="134"/>
      <c r="F352" s="134"/>
      <c r="G352" s="134"/>
      <c r="H352" s="134"/>
      <c r="I352" s="134"/>
      <c r="J352" s="135"/>
      <c r="K352" s="135"/>
      <c r="L352" s="134">
        <f t="shared" si="30"/>
        <v>1</v>
      </c>
      <c r="M352" s="136"/>
    </row>
    <row r="353" spans="1:13" s="131" customFormat="1" ht="12.75">
      <c r="A353" s="132"/>
      <c r="B353" s="209" t="s">
        <v>553</v>
      </c>
      <c r="C353" s="210"/>
      <c r="D353" s="134">
        <v>1</v>
      </c>
      <c r="E353" s="134"/>
      <c r="F353" s="134"/>
      <c r="G353" s="134"/>
      <c r="H353" s="134"/>
      <c r="I353" s="134"/>
      <c r="J353" s="135"/>
      <c r="K353" s="135"/>
      <c r="L353" s="134">
        <f t="shared" si="30"/>
        <v>1</v>
      </c>
      <c r="M353" s="136"/>
    </row>
    <row r="354" spans="1:13" s="131" customFormat="1" ht="12.75">
      <c r="A354" s="132"/>
      <c r="B354" s="209" t="s">
        <v>554</v>
      </c>
      <c r="C354" s="210"/>
      <c r="D354" s="134">
        <v>1</v>
      </c>
      <c r="E354" s="134"/>
      <c r="F354" s="134"/>
      <c r="G354" s="134"/>
      <c r="H354" s="134"/>
      <c r="I354" s="134"/>
      <c r="J354" s="135"/>
      <c r="K354" s="135"/>
      <c r="L354" s="134">
        <f t="shared" si="30"/>
        <v>1</v>
      </c>
      <c r="M354" s="136"/>
    </row>
    <row r="355" spans="1:13" s="131" customFormat="1" ht="12.75">
      <c r="A355" s="139"/>
      <c r="B355" s="140"/>
      <c r="C355" s="141"/>
      <c r="D355" s="142"/>
      <c r="E355" s="143"/>
      <c r="F355" s="142"/>
      <c r="G355" s="142"/>
      <c r="H355" s="143"/>
      <c r="I355" s="143"/>
      <c r="J355" s="144"/>
      <c r="K355" s="144"/>
      <c r="L355" s="142"/>
      <c r="M355" s="145"/>
    </row>
    <row r="356" spans="1:13" ht="12.75">
      <c r="A356" s="184" t="str">
        <f>'BM02'!A137</f>
        <v>1.11.14</v>
      </c>
      <c r="B356" s="211" t="str">
        <f>'BM02'!B137</f>
        <v>Dispenser, em plástico, para papel higiênico em rolo</v>
      </c>
      <c r="C356" s="212"/>
      <c r="D356" s="212"/>
      <c r="E356" s="212"/>
      <c r="F356" s="212"/>
      <c r="G356" s="212"/>
      <c r="H356" s="212"/>
      <c r="I356" s="212"/>
      <c r="J356" s="212"/>
      <c r="K356" s="213"/>
      <c r="L356" s="129">
        <f>SUM(L357:L361)</f>
        <v>5</v>
      </c>
      <c r="M356" s="130" t="str">
        <f>'BM02'!C137</f>
        <v>un</v>
      </c>
    </row>
    <row r="357" spans="1:13" s="131" customFormat="1" ht="12.75">
      <c r="A357" s="132"/>
      <c r="B357" s="209" t="s">
        <v>511</v>
      </c>
      <c r="C357" s="210"/>
      <c r="D357" s="134">
        <v>1</v>
      </c>
      <c r="E357" s="134"/>
      <c r="F357" s="134"/>
      <c r="G357" s="134"/>
      <c r="H357" s="134"/>
      <c r="I357" s="134"/>
      <c r="J357" s="135"/>
      <c r="K357" s="135"/>
      <c r="L357" s="134">
        <f>D357</f>
        <v>1</v>
      </c>
      <c r="M357" s="136"/>
    </row>
    <row r="358" spans="1:13" s="131" customFormat="1" ht="12.75">
      <c r="A358" s="132"/>
      <c r="B358" s="209" t="s">
        <v>551</v>
      </c>
      <c r="C358" s="210"/>
      <c r="D358" s="134">
        <v>1</v>
      </c>
      <c r="E358" s="134"/>
      <c r="F358" s="134"/>
      <c r="G358" s="134"/>
      <c r="H358" s="134"/>
      <c r="I358" s="134"/>
      <c r="J358" s="135"/>
      <c r="K358" s="135"/>
      <c r="L358" s="134">
        <f t="shared" ref="L358:L361" si="31">D358</f>
        <v>1</v>
      </c>
      <c r="M358" s="136"/>
    </row>
    <row r="359" spans="1:13" s="131" customFormat="1" ht="12.75">
      <c r="A359" s="132"/>
      <c r="B359" s="209" t="s">
        <v>552</v>
      </c>
      <c r="C359" s="210"/>
      <c r="D359" s="134">
        <v>1</v>
      </c>
      <c r="E359" s="134"/>
      <c r="F359" s="134"/>
      <c r="G359" s="134"/>
      <c r="H359" s="134"/>
      <c r="I359" s="134"/>
      <c r="J359" s="135"/>
      <c r="K359" s="135"/>
      <c r="L359" s="134">
        <f t="shared" si="31"/>
        <v>1</v>
      </c>
      <c r="M359" s="136"/>
    </row>
    <row r="360" spans="1:13" s="131" customFormat="1" ht="12.75">
      <c r="A360" s="132"/>
      <c r="B360" s="209" t="s">
        <v>553</v>
      </c>
      <c r="C360" s="210"/>
      <c r="D360" s="134">
        <v>1</v>
      </c>
      <c r="E360" s="134"/>
      <c r="F360" s="134"/>
      <c r="G360" s="134"/>
      <c r="H360" s="134"/>
      <c r="I360" s="134"/>
      <c r="J360" s="135"/>
      <c r="K360" s="135"/>
      <c r="L360" s="134">
        <f t="shared" si="31"/>
        <v>1</v>
      </c>
      <c r="M360" s="136"/>
    </row>
    <row r="361" spans="1:13" s="131" customFormat="1" ht="12.75">
      <c r="A361" s="132"/>
      <c r="B361" s="209" t="s">
        <v>554</v>
      </c>
      <c r="C361" s="210"/>
      <c r="D361" s="134">
        <v>1</v>
      </c>
      <c r="E361" s="134"/>
      <c r="F361" s="134"/>
      <c r="G361" s="134"/>
      <c r="H361" s="134"/>
      <c r="I361" s="134"/>
      <c r="J361" s="135"/>
      <c r="K361" s="135"/>
      <c r="L361" s="134">
        <f t="shared" si="31"/>
        <v>1</v>
      </c>
      <c r="M361" s="136"/>
    </row>
    <row r="362" spans="1:13" s="131" customFormat="1" ht="12.75">
      <c r="A362" s="139"/>
      <c r="B362" s="140"/>
      <c r="C362" s="141"/>
      <c r="D362" s="142"/>
      <c r="E362" s="143"/>
      <c r="F362" s="142"/>
      <c r="G362" s="142"/>
      <c r="H362" s="143"/>
      <c r="I362" s="143"/>
      <c r="J362" s="144"/>
      <c r="K362" s="144"/>
      <c r="L362" s="142"/>
      <c r="M362" s="145"/>
    </row>
    <row r="363" spans="1:13" ht="30" customHeight="1">
      <c r="A363" s="128" t="str">
        <f>'BM02'!A138</f>
        <v>1.11.15</v>
      </c>
      <c r="B363" s="211" t="str">
        <f>'BM02'!B138</f>
        <v>RALO SIFONADO, PVC, DN 100 X 40 MM, JUNTA SOLDÁVEL, FORNECIDO E INSTALADO EM RAMAL DE DESCARGA OU EM RAMAL DE ESGOTO SANITÁRIO. AF_12/2014</v>
      </c>
      <c r="C363" s="212"/>
      <c r="D363" s="212"/>
      <c r="E363" s="212"/>
      <c r="F363" s="212"/>
      <c r="G363" s="212"/>
      <c r="H363" s="212"/>
      <c r="I363" s="212"/>
      <c r="J363" s="212"/>
      <c r="K363" s="213"/>
      <c r="L363" s="129">
        <f>L364</f>
        <v>0</v>
      </c>
      <c r="M363" s="130" t="str">
        <f>'BM02'!C138</f>
        <v>un</v>
      </c>
    </row>
    <row r="364" spans="1:13" s="131" customFormat="1" ht="12.75">
      <c r="A364" s="132"/>
      <c r="B364" s="209"/>
      <c r="C364" s="210"/>
      <c r="D364" s="134"/>
      <c r="E364" s="134"/>
      <c r="F364" s="134"/>
      <c r="G364" s="134"/>
      <c r="H364" s="134"/>
      <c r="I364" s="134"/>
      <c r="J364" s="135"/>
      <c r="K364" s="135"/>
      <c r="L364" s="134">
        <f>ROUND(D364*K364,2)</f>
        <v>0</v>
      </c>
      <c r="M364" s="136"/>
    </row>
    <row r="365" spans="1:13" s="131" customFormat="1" ht="12.75">
      <c r="A365" s="139"/>
      <c r="B365" s="140"/>
      <c r="C365" s="141"/>
      <c r="D365" s="142"/>
      <c r="E365" s="143"/>
      <c r="F365" s="142"/>
      <c r="G365" s="142"/>
      <c r="H365" s="143"/>
      <c r="I365" s="143"/>
      <c r="J365" s="144"/>
      <c r="K365" s="144"/>
      <c r="L365" s="142"/>
      <c r="M365" s="145"/>
    </row>
    <row r="366" spans="1:13" ht="12.75">
      <c r="A366" s="184" t="str">
        <f>'BM02'!A139</f>
        <v>1.11.16</v>
      </c>
      <c r="B366" s="211" t="str">
        <f>'BM02'!B139</f>
        <v>TANQUE DE MÁRMORE SINTÉTICO SUSPENSO, 22L OU EQUIVALENTE - FORNECIMENTO E INSTALAÇÃO. AF_01/2020</v>
      </c>
      <c r="C366" s="212"/>
      <c r="D366" s="212"/>
      <c r="E366" s="212"/>
      <c r="F366" s="212"/>
      <c r="G366" s="212"/>
      <c r="H366" s="212"/>
      <c r="I366" s="212"/>
      <c r="J366" s="212"/>
      <c r="K366" s="213"/>
      <c r="L366" s="129">
        <f>L367</f>
        <v>0</v>
      </c>
      <c r="M366" s="130" t="str">
        <f>'BM02'!C139</f>
        <v>un</v>
      </c>
    </row>
    <row r="367" spans="1:13" s="131" customFormat="1" ht="12.75">
      <c r="A367" s="132"/>
      <c r="B367" s="209"/>
      <c r="C367" s="210"/>
      <c r="D367" s="134"/>
      <c r="E367" s="134"/>
      <c r="F367" s="134"/>
      <c r="G367" s="134"/>
      <c r="H367" s="134"/>
      <c r="I367" s="134"/>
      <c r="J367" s="135"/>
      <c r="K367" s="135"/>
      <c r="L367" s="134">
        <f t="shared" ref="L367" si="32">D367</f>
        <v>0</v>
      </c>
      <c r="M367" s="136"/>
    </row>
    <row r="368" spans="1:13" s="131" customFormat="1" ht="12.75">
      <c r="A368" s="139"/>
      <c r="B368" s="140"/>
      <c r="C368" s="141"/>
      <c r="D368" s="142"/>
      <c r="E368" s="143"/>
      <c r="F368" s="142"/>
      <c r="G368" s="142"/>
      <c r="H368" s="143"/>
      <c r="I368" s="143"/>
      <c r="J368" s="144"/>
      <c r="K368" s="144"/>
      <c r="L368" s="142"/>
      <c r="M368" s="145"/>
    </row>
    <row r="369" spans="1:13" ht="30" customHeight="1">
      <c r="A369" s="128" t="str">
        <f>'BM02'!A140</f>
        <v>1.11.17</v>
      </c>
      <c r="B369" s="211" t="str">
        <f>'BM02'!B140</f>
        <v>BANCADA DE MÁRMORE SINTÉTICO, DE 120 X 60CM, COM CUBA INTEGRADA - FORNECIMENTO E INSTALAÇÃO. AF_01/2020</v>
      </c>
      <c r="C369" s="212"/>
      <c r="D369" s="212"/>
      <c r="E369" s="212"/>
      <c r="F369" s="212"/>
      <c r="G369" s="212"/>
      <c r="H369" s="212"/>
      <c r="I369" s="212"/>
      <c r="J369" s="212"/>
      <c r="K369" s="213"/>
      <c r="L369" s="129">
        <f>L370</f>
        <v>0</v>
      </c>
      <c r="M369" s="130" t="str">
        <f>'BM02'!C140</f>
        <v>un</v>
      </c>
    </row>
    <row r="370" spans="1:13" s="131" customFormat="1" ht="12.75">
      <c r="A370" s="132"/>
      <c r="B370" s="209"/>
      <c r="C370" s="210"/>
      <c r="D370" s="134"/>
      <c r="E370" s="134"/>
      <c r="F370" s="134"/>
      <c r="G370" s="134"/>
      <c r="H370" s="134"/>
      <c r="I370" s="134"/>
      <c r="J370" s="135"/>
      <c r="K370" s="135"/>
      <c r="L370" s="134">
        <f t="shared" ref="L370" si="33">D370</f>
        <v>0</v>
      </c>
      <c r="M370" s="136"/>
    </row>
    <row r="371" spans="1:13" s="131" customFormat="1" ht="12.75">
      <c r="A371" s="139"/>
      <c r="B371" s="140"/>
      <c r="C371" s="141"/>
      <c r="D371" s="142"/>
      <c r="E371" s="143"/>
      <c r="F371" s="142"/>
      <c r="G371" s="142"/>
      <c r="H371" s="143"/>
      <c r="I371" s="143"/>
      <c r="J371" s="144"/>
      <c r="K371" s="144"/>
      <c r="L371" s="142"/>
      <c r="M371" s="145"/>
    </row>
    <row r="372" spans="1:13" ht="12.75">
      <c r="A372" s="184" t="str">
        <f>'BM02'!A141</f>
        <v>1.11.18</v>
      </c>
      <c r="B372" s="211" t="str">
        <f>'BM02'!B141</f>
        <v>ESPELHO CRISTAL ESPESSURA 4MM</v>
      </c>
      <c r="C372" s="212"/>
      <c r="D372" s="212"/>
      <c r="E372" s="212"/>
      <c r="F372" s="212"/>
      <c r="G372" s="212"/>
      <c r="H372" s="212"/>
      <c r="I372" s="212"/>
      <c r="J372" s="212"/>
      <c r="K372" s="213"/>
      <c r="L372" s="129">
        <f>L373</f>
        <v>3.2</v>
      </c>
      <c r="M372" s="130" t="str">
        <f>'BM02'!C141</f>
        <v>m²</v>
      </c>
    </row>
    <row r="373" spans="1:13" s="131" customFormat="1" ht="12.75">
      <c r="A373" s="132"/>
      <c r="B373" s="209" t="s">
        <v>796</v>
      </c>
      <c r="C373" s="210"/>
      <c r="D373" s="134">
        <v>5</v>
      </c>
      <c r="E373" s="134">
        <v>0.8</v>
      </c>
      <c r="F373" s="134"/>
      <c r="G373" s="134">
        <v>0.8</v>
      </c>
      <c r="H373" s="134"/>
      <c r="I373" s="134"/>
      <c r="J373" s="135"/>
      <c r="K373" s="135">
        <f t="shared" ref="K373" si="34">E373*G373</f>
        <v>0.64000000000000012</v>
      </c>
      <c r="L373" s="134">
        <f t="shared" ref="L373" si="35">ROUND(D373*K373,2)</f>
        <v>3.2</v>
      </c>
      <c r="M373" s="136"/>
    </row>
    <row r="374" spans="1:13" s="131" customFormat="1" ht="12.75">
      <c r="A374" s="139"/>
      <c r="B374" s="140"/>
      <c r="C374" s="141"/>
      <c r="D374" s="142"/>
      <c r="E374" s="143"/>
      <c r="F374" s="142"/>
      <c r="G374" s="142"/>
      <c r="H374" s="143"/>
      <c r="I374" s="143"/>
      <c r="J374" s="144"/>
      <c r="K374" s="144"/>
      <c r="L374" s="142"/>
      <c r="M374" s="145"/>
    </row>
    <row r="375" spans="1:13" ht="12.75">
      <c r="A375" s="184" t="str">
        <f>'BM02'!A142</f>
        <v>1.11.19</v>
      </c>
      <c r="B375" s="211" t="str">
        <f>'BM02'!B142</f>
        <v>BANCO ARTICULADO, EM ACO INOX, PARA PCD, FIXADO NA PAREDE - FORNECIMENTO E INSTALAÇÃO. AF_01/2020</v>
      </c>
      <c r="C375" s="212"/>
      <c r="D375" s="212"/>
      <c r="E375" s="212"/>
      <c r="F375" s="212"/>
      <c r="G375" s="212"/>
      <c r="H375" s="212"/>
      <c r="I375" s="212"/>
      <c r="J375" s="212"/>
      <c r="K375" s="213"/>
      <c r="L375" s="129">
        <f>L376</f>
        <v>0</v>
      </c>
      <c r="M375" s="130" t="str">
        <f>'BM02'!C142</f>
        <v>un</v>
      </c>
    </row>
    <row r="376" spans="1:13" s="131" customFormat="1" ht="12.75">
      <c r="A376" s="132"/>
      <c r="B376" s="209"/>
      <c r="C376" s="210"/>
      <c r="D376" s="134"/>
      <c r="E376" s="134"/>
      <c r="F376" s="134"/>
      <c r="G376" s="134"/>
      <c r="H376" s="134"/>
      <c r="I376" s="134"/>
      <c r="J376" s="135"/>
      <c r="K376" s="135"/>
      <c r="L376" s="134">
        <f>ROUND(D376*K376,2)</f>
        <v>0</v>
      </c>
      <c r="M376" s="136"/>
    </row>
    <row r="377" spans="1:13" s="131" customFormat="1" ht="12.75">
      <c r="A377" s="139"/>
      <c r="B377" s="140"/>
      <c r="C377" s="141"/>
      <c r="D377" s="142"/>
      <c r="E377" s="143"/>
      <c r="F377" s="142"/>
      <c r="G377" s="142"/>
      <c r="H377" s="143"/>
      <c r="I377" s="143"/>
      <c r="J377" s="144"/>
      <c r="K377" s="144"/>
      <c r="L377" s="142"/>
      <c r="M377" s="145"/>
    </row>
    <row r="378" spans="1:13" ht="12.75">
      <c r="A378" s="184" t="str">
        <f>'BM02'!A143</f>
        <v>1.11.20</v>
      </c>
      <c r="B378" s="211" t="str">
        <f>'BM02'!B143</f>
        <v>Bancada em granito cinza andorinha, e=2cm</v>
      </c>
      <c r="C378" s="212"/>
      <c r="D378" s="212"/>
      <c r="E378" s="212"/>
      <c r="F378" s="212"/>
      <c r="G378" s="212"/>
      <c r="H378" s="212"/>
      <c r="I378" s="212"/>
      <c r="J378" s="212"/>
      <c r="K378" s="213"/>
      <c r="L378" s="129">
        <f>SUM(L379:L380)</f>
        <v>1.9</v>
      </c>
      <c r="M378" s="130" t="str">
        <f>'BM02'!C143</f>
        <v>m²</v>
      </c>
    </row>
    <row r="379" spans="1:13" s="131" customFormat="1" ht="12.75">
      <c r="A379" s="132"/>
      <c r="B379" s="209" t="s">
        <v>797</v>
      </c>
      <c r="C379" s="210"/>
      <c r="D379" s="134">
        <v>1</v>
      </c>
      <c r="E379" s="134">
        <v>2</v>
      </c>
      <c r="F379" s="134"/>
      <c r="G379" s="134">
        <v>0.6</v>
      </c>
      <c r="H379" s="134"/>
      <c r="I379" s="134"/>
      <c r="J379" s="135"/>
      <c r="K379" s="135">
        <f t="shared" ref="K379:K380" si="36">E379*G379</f>
        <v>1.2</v>
      </c>
      <c r="L379" s="134">
        <f t="shared" ref="L379:L380" si="37">ROUND(D379*K379,2)</f>
        <v>1.2</v>
      </c>
      <c r="M379" s="136"/>
    </row>
    <row r="380" spans="1:13" s="131" customFormat="1" ht="12.75">
      <c r="A380" s="132"/>
      <c r="B380" s="209" t="s">
        <v>798</v>
      </c>
      <c r="C380" s="210"/>
      <c r="D380" s="134">
        <v>1</v>
      </c>
      <c r="E380" s="134">
        <v>1.4</v>
      </c>
      <c r="F380" s="134"/>
      <c r="G380" s="134">
        <v>0.5</v>
      </c>
      <c r="H380" s="134"/>
      <c r="I380" s="134"/>
      <c r="J380" s="135"/>
      <c r="K380" s="135">
        <f t="shared" si="36"/>
        <v>0.7</v>
      </c>
      <c r="L380" s="134">
        <f t="shared" si="37"/>
        <v>0.7</v>
      </c>
      <c r="M380" s="136"/>
    </row>
    <row r="381" spans="1:13" s="131" customFormat="1" ht="12.75">
      <c r="A381" s="139"/>
      <c r="B381" s="140"/>
      <c r="C381" s="141"/>
      <c r="D381" s="142"/>
      <c r="E381" s="143"/>
      <c r="F381" s="142"/>
      <c r="G381" s="142"/>
      <c r="H381" s="143"/>
      <c r="I381" s="143"/>
      <c r="J381" s="144"/>
      <c r="K381" s="144"/>
      <c r="L381" s="142"/>
      <c r="M381" s="145"/>
    </row>
    <row r="382" spans="1:13" ht="30" customHeight="1">
      <c r="A382" s="128" t="str">
        <f>'BM02'!A144</f>
        <v>1.11.21</v>
      </c>
      <c r="B382" s="211" t="str">
        <f>'BM02'!B144</f>
        <v>PONTO DE CONSUMO TERMINAL DE ÁGUA FRIA (SUBRAMAL) COM TUBULAÇÃO DE PVC, DN 25 MM, INSTALADO EM RAMAL DE ÁGUA, INCLUSOS RASGO E CHUMBAMENTO EM ALVENARIA. AF_12/2014</v>
      </c>
      <c r="C382" s="212"/>
      <c r="D382" s="212"/>
      <c r="E382" s="212"/>
      <c r="F382" s="212"/>
      <c r="G382" s="212"/>
      <c r="H382" s="212"/>
      <c r="I382" s="212"/>
      <c r="J382" s="212"/>
      <c r="K382" s="213"/>
      <c r="L382" s="129">
        <f>L383</f>
        <v>0</v>
      </c>
      <c r="M382" s="130" t="str">
        <f>'BM02'!C144</f>
        <v>un</v>
      </c>
    </row>
    <row r="383" spans="1:13" s="131" customFormat="1" ht="12.75">
      <c r="A383" s="132"/>
      <c r="B383" s="209"/>
      <c r="C383" s="210"/>
      <c r="D383" s="134"/>
      <c r="E383" s="134"/>
      <c r="F383" s="134"/>
      <c r="G383" s="134"/>
      <c r="H383" s="134"/>
      <c r="I383" s="134"/>
      <c r="J383" s="135"/>
      <c r="K383" s="135"/>
      <c r="L383" s="134"/>
      <c r="M383" s="136"/>
    </row>
    <row r="384" spans="1:13" s="131" customFormat="1" ht="12.75">
      <c r="A384" s="139"/>
      <c r="B384" s="140"/>
      <c r="C384" s="141"/>
      <c r="D384" s="142"/>
      <c r="E384" s="143"/>
      <c r="F384" s="142"/>
      <c r="G384" s="142"/>
      <c r="H384" s="143"/>
      <c r="I384" s="143"/>
      <c r="J384" s="144"/>
      <c r="K384" s="144"/>
      <c r="L384" s="142"/>
      <c r="M384" s="145"/>
    </row>
    <row r="385" spans="1:13" ht="30" customHeight="1">
      <c r="A385" s="128" t="str">
        <f>'BM02'!A145</f>
        <v>1.11.22</v>
      </c>
      <c r="B385" s="211" t="str">
        <f>'BM02'!B145</f>
        <v>CAIXA ENTERRADA HIDRÁULICA RETANGULAR EM ALVENARIA COM TIJOLOS CERÂMICOS MACIÇOS, DIMENSÕES INTERNAS: 0,4X0,4X0,4 M PARA REDE DE ESGOTO. AF_12/2020</v>
      </c>
      <c r="C385" s="212"/>
      <c r="D385" s="212"/>
      <c r="E385" s="212"/>
      <c r="F385" s="212"/>
      <c r="G385" s="212"/>
      <c r="H385" s="212"/>
      <c r="I385" s="212"/>
      <c r="J385" s="212"/>
      <c r="K385" s="213"/>
      <c r="L385" s="129">
        <f>L386</f>
        <v>0</v>
      </c>
      <c r="M385" s="130" t="str">
        <f>'BM02'!C145</f>
        <v>un</v>
      </c>
    </row>
    <row r="386" spans="1:13" s="131" customFormat="1" ht="12.75">
      <c r="A386" s="132"/>
      <c r="B386" s="209"/>
      <c r="C386" s="210"/>
      <c r="D386" s="134"/>
      <c r="E386" s="134"/>
      <c r="F386" s="134"/>
      <c r="G386" s="134"/>
      <c r="H386" s="134"/>
      <c r="I386" s="134"/>
      <c r="J386" s="135"/>
      <c r="K386" s="135"/>
      <c r="L386" s="134">
        <f>ROUND(D386*K386,2)</f>
        <v>0</v>
      </c>
      <c r="M386" s="136"/>
    </row>
    <row r="387" spans="1:13" s="131" customFormat="1" ht="12.75">
      <c r="A387" s="139"/>
      <c r="B387" s="140"/>
      <c r="C387" s="141"/>
      <c r="D387" s="142"/>
      <c r="E387" s="143"/>
      <c r="F387" s="142"/>
      <c r="G387" s="142"/>
      <c r="H387" s="143"/>
      <c r="I387" s="143"/>
      <c r="J387" s="144"/>
      <c r="K387" s="144"/>
      <c r="L387" s="142"/>
      <c r="M387" s="145"/>
    </row>
    <row r="388" spans="1:13" ht="69" customHeight="1">
      <c r="A388" s="128" t="str">
        <f>'BM02'!A146</f>
        <v>1.11.23</v>
      </c>
      <c r="B388" s="279" t="s">
        <v>213</v>
      </c>
      <c r="C388" s="280"/>
      <c r="D388" s="280"/>
      <c r="E388" s="280"/>
      <c r="F388" s="280"/>
      <c r="G388" s="280"/>
      <c r="H388" s="280"/>
      <c r="I388" s="280"/>
      <c r="J388" s="280"/>
      <c r="K388" s="281"/>
      <c r="L388" s="129">
        <f>L389</f>
        <v>1</v>
      </c>
      <c r="M388" s="130" t="str">
        <f>'BM02'!C146</f>
        <v>un</v>
      </c>
    </row>
    <row r="389" spans="1:13" s="131" customFormat="1" ht="12.75">
      <c r="A389" s="132"/>
      <c r="B389" s="209"/>
      <c r="C389" s="210"/>
      <c r="D389" s="134">
        <v>1</v>
      </c>
      <c r="E389" s="134"/>
      <c r="F389" s="134"/>
      <c r="G389" s="134"/>
      <c r="H389" s="134"/>
      <c r="I389" s="134"/>
      <c r="J389" s="135"/>
      <c r="K389" s="135"/>
      <c r="L389" s="134">
        <f>D389</f>
        <v>1</v>
      </c>
      <c r="M389" s="136"/>
    </row>
    <row r="390" spans="1:13" s="131" customFormat="1" ht="12.75">
      <c r="A390" s="139"/>
      <c r="B390" s="140"/>
      <c r="C390" s="141"/>
      <c r="D390" s="142"/>
      <c r="E390" s="143"/>
      <c r="F390" s="142"/>
      <c r="G390" s="142"/>
      <c r="H390" s="143"/>
      <c r="I390" s="143"/>
      <c r="J390" s="144"/>
      <c r="K390" s="144"/>
      <c r="L390" s="142"/>
      <c r="M390" s="145"/>
    </row>
    <row r="391" spans="1:13" ht="12.75">
      <c r="A391" s="184" t="str">
        <f>'BM02'!A147</f>
        <v>1.11.24</v>
      </c>
      <c r="B391" s="211" t="str">
        <f>'BM02'!B147</f>
        <v>Caixa d´água em fibra de vidro - instalada, sem estrutura de suporte cap. 10.000 litros</v>
      </c>
      <c r="C391" s="212"/>
      <c r="D391" s="212"/>
      <c r="E391" s="212"/>
      <c r="F391" s="212"/>
      <c r="G391" s="212"/>
      <c r="H391" s="212"/>
      <c r="I391" s="212"/>
      <c r="J391" s="212"/>
      <c r="K391" s="213"/>
      <c r="L391" s="129">
        <f>L392</f>
        <v>0</v>
      </c>
      <c r="M391" s="130" t="str">
        <f>'BM02'!C147</f>
        <v>un</v>
      </c>
    </row>
    <row r="392" spans="1:13" s="131" customFormat="1" ht="12.75">
      <c r="A392" s="132"/>
      <c r="B392" s="209"/>
      <c r="C392" s="210"/>
      <c r="D392" s="134"/>
      <c r="E392" s="134"/>
      <c r="F392" s="134"/>
      <c r="G392" s="134"/>
      <c r="H392" s="134"/>
      <c r="I392" s="134"/>
      <c r="J392" s="135"/>
      <c r="K392" s="135"/>
      <c r="L392" s="134">
        <f t="shared" ref="L392" si="38">D392</f>
        <v>0</v>
      </c>
      <c r="M392" s="136"/>
    </row>
    <row r="393" spans="1:13" s="131" customFormat="1" ht="12.75">
      <c r="A393" s="139"/>
      <c r="B393" s="140"/>
      <c r="C393" s="141"/>
      <c r="D393" s="142"/>
      <c r="E393" s="143"/>
      <c r="F393" s="142"/>
      <c r="G393" s="142"/>
      <c r="H393" s="143"/>
      <c r="I393" s="143"/>
      <c r="J393" s="144"/>
      <c r="K393" s="144"/>
      <c r="L393" s="142"/>
      <c r="M393" s="145"/>
    </row>
    <row r="394" spans="1:13" ht="12.75">
      <c r="A394" s="184" t="str">
        <f>'BM06'!A165</f>
        <v>1.11.25</v>
      </c>
      <c r="B394" s="211" t="str">
        <f>'BM06'!B165</f>
        <v>CUBA DE EMBUTIR RETANGULAR DE AÇO INOXIDÁVEL, 46 X 30 X 12 CM - FORNECIMENTO E INSTALAÇÃO. AF_01/2020</v>
      </c>
      <c r="C394" s="212"/>
      <c r="D394" s="212"/>
      <c r="E394" s="212"/>
      <c r="F394" s="212"/>
      <c r="G394" s="212"/>
      <c r="H394" s="212"/>
      <c r="I394" s="212"/>
      <c r="J394" s="212"/>
      <c r="K394" s="213"/>
      <c r="L394" s="129">
        <f>L395</f>
        <v>1</v>
      </c>
      <c r="M394" s="130" t="str">
        <f>'BM06'!C165</f>
        <v>UN</v>
      </c>
    </row>
    <row r="395" spans="1:13" s="131" customFormat="1" ht="12.75">
      <c r="A395" s="132"/>
      <c r="B395" s="209" t="s">
        <v>797</v>
      </c>
      <c r="C395" s="210"/>
      <c r="D395" s="134">
        <v>1</v>
      </c>
      <c r="E395" s="134"/>
      <c r="F395" s="134"/>
      <c r="G395" s="134"/>
      <c r="H395" s="134"/>
      <c r="I395" s="134"/>
      <c r="J395" s="135"/>
      <c r="K395" s="135"/>
      <c r="L395" s="134">
        <f t="shared" ref="L395" si="39">D395</f>
        <v>1</v>
      </c>
      <c r="M395" s="136"/>
    </row>
    <row r="396" spans="1:13" s="131" customFormat="1" ht="12.75">
      <c r="A396" s="139"/>
      <c r="B396" s="140"/>
      <c r="C396" s="141"/>
      <c r="D396" s="142"/>
      <c r="E396" s="143"/>
      <c r="F396" s="142"/>
      <c r="G396" s="142"/>
      <c r="H396" s="143"/>
      <c r="I396" s="143"/>
      <c r="J396" s="144"/>
      <c r="K396" s="144"/>
      <c r="L396" s="142"/>
      <c r="M396" s="145"/>
    </row>
    <row r="397" spans="1:13" ht="28.9" customHeight="1">
      <c r="A397" s="184" t="str">
        <f>'BM04'!A166</f>
        <v>1.11.26</v>
      </c>
      <c r="B397" s="211" t="str">
        <f>'BM04'!B166</f>
        <v>TUBO, PVC, SOLDÁVEL, DN 25MM, INSTALADO EM DRENO DE AR-CONDICIONADO - FORNECIMENTO E INSTALAÇÃO. AF_12/2014</v>
      </c>
      <c r="C397" s="212"/>
      <c r="D397" s="212"/>
      <c r="E397" s="212"/>
      <c r="F397" s="212"/>
      <c r="G397" s="212"/>
      <c r="H397" s="212"/>
      <c r="I397" s="212"/>
      <c r="J397" s="212"/>
      <c r="K397" s="213"/>
      <c r="L397" s="129">
        <f>L398</f>
        <v>0</v>
      </c>
      <c r="M397" s="130" t="str">
        <f>'BM04'!C166</f>
        <v>M</v>
      </c>
    </row>
    <row r="398" spans="1:13" s="131" customFormat="1" ht="12.75">
      <c r="A398" s="132"/>
      <c r="B398" s="209"/>
      <c r="C398" s="210"/>
      <c r="D398" s="134"/>
      <c r="E398" s="134"/>
      <c r="F398" s="134"/>
      <c r="G398" s="134"/>
      <c r="H398" s="134"/>
      <c r="I398" s="134"/>
      <c r="J398" s="135"/>
      <c r="K398" s="135"/>
      <c r="L398" s="134">
        <f>ROUND(D398*K398,2)</f>
        <v>0</v>
      </c>
      <c r="M398" s="136"/>
    </row>
    <row r="399" spans="1:13" s="131" customFormat="1" ht="12.75">
      <c r="A399" s="139"/>
      <c r="B399" s="140"/>
      <c r="C399" s="141"/>
      <c r="D399" s="142"/>
      <c r="E399" s="143"/>
      <c r="F399" s="142"/>
      <c r="G399" s="142"/>
      <c r="H399" s="143"/>
      <c r="I399" s="143"/>
      <c r="J399" s="144"/>
      <c r="K399" s="144"/>
      <c r="L399" s="142"/>
      <c r="M399" s="145"/>
    </row>
    <row r="400" spans="1:13" ht="12.75">
      <c r="A400" s="184" t="str">
        <f>'BM04'!A167</f>
        <v>1.11.27</v>
      </c>
      <c r="B400" s="211" t="str">
        <f>'BM04'!B167</f>
        <v>JOELHO 90 GRAUS, PVC, SOLDÁVEL, DN 25MM, INSTALADO EM DRENO DE AR-CONDICIONADO - FORNECIMENTO E INSTALAÇÃO. AF_12/2014</v>
      </c>
      <c r="C400" s="212"/>
      <c r="D400" s="212"/>
      <c r="E400" s="212"/>
      <c r="F400" s="212"/>
      <c r="G400" s="212"/>
      <c r="H400" s="212"/>
      <c r="I400" s="212"/>
      <c r="J400" s="212"/>
      <c r="K400" s="213"/>
      <c r="L400" s="129">
        <f>L401</f>
        <v>0</v>
      </c>
      <c r="M400" s="130" t="str">
        <f>'BM04'!C167</f>
        <v>UN</v>
      </c>
    </row>
    <row r="401" spans="1:13" s="131" customFormat="1" ht="12.75">
      <c r="A401" s="132"/>
      <c r="B401" s="209"/>
      <c r="C401" s="210"/>
      <c r="D401" s="134"/>
      <c r="E401" s="134"/>
      <c r="F401" s="134"/>
      <c r="G401" s="134"/>
      <c r="H401" s="134"/>
      <c r="I401" s="134"/>
      <c r="J401" s="135"/>
      <c r="K401" s="135"/>
      <c r="L401" s="134">
        <f>D401</f>
        <v>0</v>
      </c>
      <c r="M401" s="136"/>
    </row>
    <row r="402" spans="1:13" s="131" customFormat="1" ht="13.5" thickBot="1">
      <c r="A402" s="139"/>
      <c r="B402" s="140"/>
      <c r="C402" s="141"/>
      <c r="D402" s="142"/>
      <c r="E402" s="143"/>
      <c r="F402" s="142"/>
      <c r="G402" s="142"/>
      <c r="H402" s="143"/>
      <c r="I402" s="143"/>
      <c r="J402" s="144"/>
      <c r="K402" s="144"/>
      <c r="L402" s="142"/>
      <c r="M402" s="145"/>
    </row>
    <row r="403" spans="1:13" ht="13.5" thickBot="1">
      <c r="A403" s="121" t="str">
        <f>'BM02'!A149</f>
        <v>1.12</v>
      </c>
      <c r="B403" s="122" t="str">
        <f>'BM02'!B149</f>
        <v>INSTALAÇÕES SANITÁRIAS</v>
      </c>
      <c r="C403" s="122"/>
      <c r="D403" s="122"/>
      <c r="E403" s="122"/>
      <c r="F403" s="122"/>
      <c r="G403" s="122"/>
      <c r="H403" s="122"/>
      <c r="I403" s="122"/>
      <c r="J403" s="122"/>
      <c r="K403" s="122"/>
      <c r="L403" s="122"/>
      <c r="M403" s="123"/>
    </row>
    <row r="404" spans="1:13" ht="12.75">
      <c r="A404" s="124"/>
      <c r="B404" s="125"/>
      <c r="C404" s="125"/>
      <c r="D404" s="125"/>
      <c r="E404" s="125"/>
      <c r="F404" s="125"/>
      <c r="G404" s="125"/>
      <c r="H404" s="125"/>
      <c r="I404" s="125"/>
      <c r="J404" s="125"/>
      <c r="K404" s="126"/>
      <c r="L404" s="125"/>
      <c r="M404" s="127"/>
    </row>
    <row r="405" spans="1:13" ht="30" customHeight="1">
      <c r="A405" s="128" t="str">
        <f>'BM02'!A151</f>
        <v>1.12.1</v>
      </c>
      <c r="B405" s="211" t="str">
        <f>'BM02'!B151</f>
        <v>RALO SIFONADO, PVC, DN 100 X 40 MM, JUNTA SOLDÁVEL, FORNECIDO E INSTALADO EM RAMAL DE DESCARGA OU EM RAMAL DE ESGOTO SANITÁRIO. AF_12/2014</v>
      </c>
      <c r="C405" s="212"/>
      <c r="D405" s="212"/>
      <c r="E405" s="212"/>
      <c r="F405" s="212"/>
      <c r="G405" s="212"/>
      <c r="H405" s="212"/>
      <c r="I405" s="212"/>
      <c r="J405" s="212"/>
      <c r="K405" s="213"/>
      <c r="L405" s="129">
        <f>L406</f>
        <v>0</v>
      </c>
      <c r="M405" s="130" t="str">
        <f>'BM02'!C151</f>
        <v>un</v>
      </c>
    </row>
    <row r="406" spans="1:13" s="131" customFormat="1" ht="12.75">
      <c r="A406" s="132"/>
      <c r="B406" s="209"/>
      <c r="C406" s="210"/>
      <c r="D406" s="134"/>
      <c r="E406" s="134"/>
      <c r="F406" s="134"/>
      <c r="G406" s="134"/>
      <c r="H406" s="134"/>
      <c r="I406" s="134"/>
      <c r="J406" s="135"/>
      <c r="K406" s="135"/>
      <c r="L406" s="134">
        <f>D406</f>
        <v>0</v>
      </c>
      <c r="M406" s="136"/>
    </row>
    <row r="407" spans="1:13" s="131" customFormat="1" ht="12.75">
      <c r="A407" s="139"/>
      <c r="B407" s="140"/>
      <c r="C407" s="141"/>
      <c r="D407" s="142"/>
      <c r="E407" s="143"/>
      <c r="F407" s="142"/>
      <c r="G407" s="142"/>
      <c r="H407" s="143"/>
      <c r="I407" s="143"/>
      <c r="J407" s="144"/>
      <c r="K407" s="144"/>
      <c r="L407" s="142"/>
      <c r="M407" s="145"/>
    </row>
    <row r="408" spans="1:13" ht="43.15" customHeight="1">
      <c r="A408" s="128" t="str">
        <f>'BM02'!A152</f>
        <v>1.12.2</v>
      </c>
      <c r="B408" s="211" t="str">
        <f>'BM02'!B152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408" s="212"/>
      <c r="D408" s="212"/>
      <c r="E408" s="212"/>
      <c r="F408" s="212"/>
      <c r="G408" s="212"/>
      <c r="H408" s="212"/>
      <c r="I408" s="212"/>
      <c r="J408" s="212"/>
      <c r="K408" s="213"/>
      <c r="L408" s="129">
        <f>L409</f>
        <v>0</v>
      </c>
      <c r="M408" s="130" t="str">
        <f>'BM02'!C152</f>
        <v>m</v>
      </c>
    </row>
    <row r="409" spans="1:13" s="131" customFormat="1" ht="12.75">
      <c r="A409" s="132"/>
      <c r="B409" s="209"/>
      <c r="C409" s="210"/>
      <c r="D409" s="134"/>
      <c r="E409" s="134"/>
      <c r="F409" s="134"/>
      <c r="G409" s="134"/>
      <c r="H409" s="134"/>
      <c r="I409" s="134"/>
      <c r="J409" s="135"/>
      <c r="K409" s="135"/>
      <c r="L409" s="134">
        <f>D409</f>
        <v>0</v>
      </c>
      <c r="M409" s="136"/>
    </row>
    <row r="410" spans="1:13" s="131" customFormat="1" ht="12.75">
      <c r="A410" s="139"/>
      <c r="B410" s="140"/>
      <c r="C410" s="141"/>
      <c r="D410" s="142"/>
      <c r="E410" s="143"/>
      <c r="F410" s="142"/>
      <c r="G410" s="142"/>
      <c r="H410" s="143"/>
      <c r="I410" s="143"/>
      <c r="J410" s="144"/>
      <c r="K410" s="144"/>
      <c r="L410" s="142"/>
      <c r="M410" s="145"/>
    </row>
    <row r="411" spans="1:13" ht="12.75">
      <c r="A411" s="184" t="str">
        <f>'BM02'!A153</f>
        <v>1.12.3</v>
      </c>
      <c r="B411" s="211" t="str">
        <f>'BM02'!B153</f>
        <v>Caixa de inspeção 0.60 x 0.60 x 0.60m</v>
      </c>
      <c r="C411" s="212"/>
      <c r="D411" s="212"/>
      <c r="E411" s="212"/>
      <c r="F411" s="212"/>
      <c r="G411" s="212"/>
      <c r="H411" s="212"/>
      <c r="I411" s="212"/>
      <c r="J411" s="212"/>
      <c r="K411" s="213"/>
      <c r="L411" s="129">
        <f>L412</f>
        <v>0</v>
      </c>
      <c r="M411" s="130" t="str">
        <f>'BM02'!C153</f>
        <v>un</v>
      </c>
    </row>
    <row r="412" spans="1:13" s="131" customFormat="1" ht="12.75">
      <c r="A412" s="132"/>
      <c r="B412" s="209"/>
      <c r="C412" s="210"/>
      <c r="D412" s="134"/>
      <c r="E412" s="134"/>
      <c r="F412" s="134"/>
      <c r="G412" s="134"/>
      <c r="H412" s="134"/>
      <c r="I412" s="134"/>
      <c r="J412" s="135"/>
      <c r="K412" s="135"/>
      <c r="L412" s="134">
        <f>D412</f>
        <v>0</v>
      </c>
      <c r="M412" s="136"/>
    </row>
    <row r="413" spans="1:13" s="131" customFormat="1" ht="12.75">
      <c r="A413" s="139"/>
      <c r="B413" s="140"/>
      <c r="C413" s="141"/>
      <c r="D413" s="142"/>
      <c r="E413" s="143"/>
      <c r="F413" s="142"/>
      <c r="G413" s="142"/>
      <c r="H413" s="143"/>
      <c r="I413" s="143"/>
      <c r="J413" s="144"/>
      <c r="K413" s="144"/>
      <c r="L413" s="142"/>
      <c r="M413" s="145"/>
    </row>
    <row r="414" spans="1:13" ht="12.75">
      <c r="A414" s="184" t="str">
        <f>'BM02'!A154</f>
        <v>1.12.4</v>
      </c>
      <c r="B414" s="211" t="str">
        <f>'BM02'!B154</f>
        <v>Caixa de inspeção 0,30 x 0,30 x 0,40m</v>
      </c>
      <c r="C414" s="212"/>
      <c r="D414" s="212"/>
      <c r="E414" s="212"/>
      <c r="F414" s="212"/>
      <c r="G414" s="212"/>
      <c r="H414" s="212"/>
      <c r="I414" s="212"/>
      <c r="J414" s="212"/>
      <c r="K414" s="213"/>
      <c r="L414" s="129">
        <f>L415</f>
        <v>0</v>
      </c>
      <c r="M414" s="130" t="str">
        <f>'BM02'!C154</f>
        <v>un</v>
      </c>
    </row>
    <row r="415" spans="1:13" s="131" customFormat="1" ht="12.75">
      <c r="A415" s="132"/>
      <c r="B415" s="209"/>
      <c r="C415" s="210"/>
      <c r="D415" s="134"/>
      <c r="E415" s="134"/>
      <c r="F415" s="134"/>
      <c r="G415" s="134"/>
      <c r="H415" s="134"/>
      <c r="I415" s="134"/>
      <c r="J415" s="135"/>
      <c r="K415" s="135"/>
      <c r="L415" s="134">
        <f>K415</f>
        <v>0</v>
      </c>
      <c r="M415" s="136"/>
    </row>
    <row r="416" spans="1:13" s="131" customFormat="1" ht="12.75">
      <c r="A416" s="139"/>
      <c r="B416" s="140"/>
      <c r="C416" s="141"/>
      <c r="D416" s="142"/>
      <c r="E416" s="143"/>
      <c r="F416" s="142"/>
      <c r="G416" s="142"/>
      <c r="H416" s="143"/>
      <c r="I416" s="143"/>
      <c r="J416" s="144"/>
      <c r="K416" s="144"/>
      <c r="L416" s="142"/>
      <c r="M416" s="145"/>
    </row>
    <row r="417" spans="1:13" ht="12.75">
      <c r="A417" s="184" t="str">
        <f>'BM02'!A155</f>
        <v>1.12.5</v>
      </c>
      <c r="B417" s="211" t="str">
        <f>'BM02'!B155</f>
        <v>Caixa de passagem em alvenaria de tijolos maciços esp. = 0,12m, dim. int. = 0.50 x 0.50 x 0.50m</v>
      </c>
      <c r="C417" s="212"/>
      <c r="D417" s="212"/>
      <c r="E417" s="212"/>
      <c r="F417" s="212"/>
      <c r="G417" s="212"/>
      <c r="H417" s="212"/>
      <c r="I417" s="212"/>
      <c r="J417" s="212"/>
      <c r="K417" s="213"/>
      <c r="L417" s="129">
        <f>L418</f>
        <v>0</v>
      </c>
      <c r="M417" s="130" t="str">
        <f>'BM02'!C155</f>
        <v>un</v>
      </c>
    </row>
    <row r="418" spans="1:13" s="131" customFormat="1" ht="12.75">
      <c r="A418" s="132"/>
      <c r="B418" s="209"/>
      <c r="C418" s="210"/>
      <c r="D418" s="134"/>
      <c r="E418" s="134"/>
      <c r="F418" s="134"/>
      <c r="G418" s="134"/>
      <c r="H418" s="134"/>
      <c r="I418" s="134"/>
      <c r="J418" s="135"/>
      <c r="K418" s="135"/>
      <c r="L418" s="134">
        <f>K418</f>
        <v>0</v>
      </c>
      <c r="M418" s="136"/>
    </row>
    <row r="419" spans="1:13" s="131" customFormat="1" ht="12.75">
      <c r="A419" s="139"/>
      <c r="B419" s="140"/>
      <c r="C419" s="141"/>
      <c r="D419" s="142"/>
      <c r="E419" s="143"/>
      <c r="F419" s="142"/>
      <c r="G419" s="142"/>
      <c r="H419" s="143"/>
      <c r="I419" s="143"/>
      <c r="J419" s="144"/>
      <c r="K419" s="144"/>
      <c r="L419" s="142"/>
      <c r="M419" s="145"/>
    </row>
    <row r="420" spans="1:13" ht="12.75">
      <c r="A420" s="184" t="str">
        <f>'BM02'!A156</f>
        <v>1.12.6</v>
      </c>
      <c r="B420" s="211" t="str">
        <f>'BM02'!B156</f>
        <v>Ponto de esgoto com tubo de pvc rígido soldável de Ø 40 mm (lavatórios, mictórios, ralos sifonados, etc...)</v>
      </c>
      <c r="C420" s="212"/>
      <c r="D420" s="212"/>
      <c r="E420" s="212"/>
      <c r="F420" s="212"/>
      <c r="G420" s="212"/>
      <c r="H420" s="212"/>
      <c r="I420" s="212"/>
      <c r="J420" s="212"/>
      <c r="K420" s="213"/>
      <c r="L420" s="129">
        <f>L421</f>
        <v>0</v>
      </c>
      <c r="M420" s="130" t="str">
        <f>'BM02'!C156</f>
        <v>un</v>
      </c>
    </row>
    <row r="421" spans="1:13" s="131" customFormat="1" ht="12.75">
      <c r="A421" s="132"/>
      <c r="B421" s="209"/>
      <c r="C421" s="210"/>
      <c r="D421" s="134"/>
      <c r="E421" s="134"/>
      <c r="F421" s="134"/>
      <c r="G421" s="134"/>
      <c r="H421" s="134"/>
      <c r="I421" s="134"/>
      <c r="J421" s="135"/>
      <c r="K421" s="135"/>
      <c r="L421" s="134">
        <f>K421</f>
        <v>0</v>
      </c>
      <c r="M421" s="136"/>
    </row>
    <row r="422" spans="1:13" s="131" customFormat="1" ht="12.75">
      <c r="A422" s="139"/>
      <c r="B422" s="140"/>
      <c r="C422" s="141"/>
      <c r="D422" s="142"/>
      <c r="E422" s="143"/>
      <c r="F422" s="142"/>
      <c r="G422" s="142"/>
      <c r="H422" s="143"/>
      <c r="I422" s="143"/>
      <c r="J422" s="144"/>
      <c r="K422" s="144"/>
      <c r="L422" s="142"/>
      <c r="M422" s="145"/>
    </row>
    <row r="423" spans="1:13" ht="12.75">
      <c r="A423" s="184" t="str">
        <f>'BM02'!A157</f>
        <v>1.12.7</v>
      </c>
      <c r="B423" s="211" t="str">
        <f>'BM02'!B157</f>
        <v>Ponto de esgoto com tubo de pvc rígido soldável de Ø 50 mm (pias de cozinha, máquinas de lavar, etc...)</v>
      </c>
      <c r="C423" s="212"/>
      <c r="D423" s="212"/>
      <c r="E423" s="212"/>
      <c r="F423" s="212"/>
      <c r="G423" s="212"/>
      <c r="H423" s="212"/>
      <c r="I423" s="212"/>
      <c r="J423" s="212"/>
      <c r="K423" s="213"/>
      <c r="L423" s="129">
        <f>L424</f>
        <v>0</v>
      </c>
      <c r="M423" s="130" t="str">
        <f>'BM02'!C157</f>
        <v>un</v>
      </c>
    </row>
    <row r="424" spans="1:13" s="131" customFormat="1" ht="12.75">
      <c r="A424" s="132"/>
      <c r="B424" s="209"/>
      <c r="C424" s="210"/>
      <c r="D424" s="134"/>
      <c r="E424" s="134"/>
      <c r="F424" s="134"/>
      <c r="G424" s="134"/>
      <c r="H424" s="134"/>
      <c r="I424" s="134"/>
      <c r="J424" s="135"/>
      <c r="K424" s="135"/>
      <c r="L424" s="134">
        <f>K424</f>
        <v>0</v>
      </c>
      <c r="M424" s="136"/>
    </row>
    <row r="425" spans="1:13" s="131" customFormat="1" ht="12.75">
      <c r="A425" s="139"/>
      <c r="B425" s="140"/>
      <c r="C425" s="141"/>
      <c r="D425" s="142"/>
      <c r="E425" s="143"/>
      <c r="F425" s="142"/>
      <c r="G425" s="142"/>
      <c r="H425" s="143"/>
      <c r="I425" s="143"/>
      <c r="J425" s="144"/>
      <c r="K425" s="144"/>
      <c r="L425" s="142"/>
      <c r="M425" s="145"/>
    </row>
    <row r="426" spans="1:13" ht="12.75">
      <c r="A426" s="184" t="str">
        <f>'BM02'!A158</f>
        <v>1.12.8</v>
      </c>
      <c r="B426" s="211" t="str">
        <f>'BM02'!B158</f>
        <v>Ponto de esgoto com tubo de pvc rígido soldável de Ø 100 mm (vaso sanitário)</v>
      </c>
      <c r="C426" s="212"/>
      <c r="D426" s="212"/>
      <c r="E426" s="212"/>
      <c r="F426" s="212"/>
      <c r="G426" s="212"/>
      <c r="H426" s="212"/>
      <c r="I426" s="212"/>
      <c r="J426" s="212"/>
      <c r="K426" s="213"/>
      <c r="L426" s="129">
        <f>L427</f>
        <v>0</v>
      </c>
      <c r="M426" s="130" t="str">
        <f>'BM02'!C158</f>
        <v>pt</v>
      </c>
    </row>
    <row r="427" spans="1:13" s="131" customFormat="1" ht="12.75">
      <c r="A427" s="132"/>
      <c r="B427" s="209"/>
      <c r="C427" s="210"/>
      <c r="D427" s="134"/>
      <c r="E427" s="134"/>
      <c r="F427" s="134"/>
      <c r="G427" s="134"/>
      <c r="H427" s="134"/>
      <c r="I427" s="134"/>
      <c r="J427" s="135"/>
      <c r="K427" s="135"/>
      <c r="L427" s="134">
        <f>K427</f>
        <v>0</v>
      </c>
      <c r="M427" s="136"/>
    </row>
    <row r="428" spans="1:13" s="131" customFormat="1" ht="12.75">
      <c r="A428" s="139"/>
      <c r="B428" s="140"/>
      <c r="C428" s="141"/>
      <c r="D428" s="142"/>
      <c r="E428" s="143"/>
      <c r="F428" s="142"/>
      <c r="G428" s="142"/>
      <c r="H428" s="143"/>
      <c r="I428" s="143"/>
      <c r="J428" s="144"/>
      <c r="K428" s="144"/>
      <c r="L428" s="142"/>
      <c r="M428" s="145"/>
    </row>
    <row r="429" spans="1:13" ht="12.75">
      <c r="A429" s="184" t="str">
        <f>'BM04'!A179</f>
        <v>1.12.9</v>
      </c>
      <c r="B429" s="211" t="str">
        <f>'BM04'!B179</f>
        <v>TANQUE SÉPTICO RETANGULAR, EM ALVENARIA DE TIJOLOS CERÂMICOS, VOLUME ÚTIL: 6272 L</v>
      </c>
      <c r="C429" s="212"/>
      <c r="D429" s="212"/>
      <c r="E429" s="212"/>
      <c r="F429" s="212"/>
      <c r="G429" s="212"/>
      <c r="H429" s="212"/>
      <c r="I429" s="212"/>
      <c r="J429" s="212"/>
      <c r="K429" s="213"/>
      <c r="L429" s="129">
        <f>L430</f>
        <v>0</v>
      </c>
      <c r="M429" s="130" t="str">
        <f>'BM04'!C179</f>
        <v>UN</v>
      </c>
    </row>
    <row r="430" spans="1:13" s="131" customFormat="1" ht="12.75">
      <c r="A430" s="132"/>
      <c r="B430" s="209"/>
      <c r="C430" s="210"/>
      <c r="D430" s="134"/>
      <c r="E430" s="134"/>
      <c r="F430" s="134"/>
      <c r="G430" s="134"/>
      <c r="H430" s="134"/>
      <c r="I430" s="134"/>
      <c r="J430" s="135"/>
      <c r="K430" s="135"/>
      <c r="L430" s="134">
        <f>D430</f>
        <v>0</v>
      </c>
      <c r="M430" s="136"/>
    </row>
    <row r="431" spans="1:13" s="131" customFormat="1" ht="12.75">
      <c r="A431" s="139"/>
      <c r="B431" s="140"/>
      <c r="C431" s="141"/>
      <c r="D431" s="142"/>
      <c r="E431" s="143"/>
      <c r="F431" s="142"/>
      <c r="G431" s="142"/>
      <c r="H431" s="143"/>
      <c r="I431" s="143"/>
      <c r="J431" s="144"/>
      <c r="K431" s="144"/>
      <c r="L431" s="142"/>
      <c r="M431" s="145"/>
    </row>
    <row r="432" spans="1:13" ht="12.75">
      <c r="A432" s="184" t="str">
        <f>'BM04'!A180</f>
        <v>1.12.10</v>
      </c>
      <c r="B432" s="211" t="str">
        <f>'BM04'!B180</f>
        <v>SUMIDOURO EM ALVENARIA DE TIJOLOS CERÂMICOS, ÁREA DE INFILTRAÇÃO: 32,9 M²</v>
      </c>
      <c r="C432" s="212"/>
      <c r="D432" s="212"/>
      <c r="E432" s="212"/>
      <c r="F432" s="212"/>
      <c r="G432" s="212"/>
      <c r="H432" s="212"/>
      <c r="I432" s="212"/>
      <c r="J432" s="212"/>
      <c r="K432" s="213"/>
      <c r="L432" s="129">
        <f>L433</f>
        <v>0</v>
      </c>
      <c r="M432" s="130" t="str">
        <f>'BM04'!C180</f>
        <v>UN</v>
      </c>
    </row>
    <row r="433" spans="1:13" s="131" customFormat="1" ht="12.75">
      <c r="A433" s="132"/>
      <c r="B433" s="209"/>
      <c r="C433" s="210"/>
      <c r="D433" s="134"/>
      <c r="E433" s="134"/>
      <c r="F433" s="134"/>
      <c r="G433" s="134"/>
      <c r="H433" s="134"/>
      <c r="I433" s="134"/>
      <c r="J433" s="135"/>
      <c r="K433" s="135"/>
      <c r="L433" s="134">
        <f>D433</f>
        <v>0</v>
      </c>
      <c r="M433" s="136"/>
    </row>
    <row r="434" spans="1:13" s="131" customFormat="1" ht="12.75">
      <c r="A434" s="139"/>
      <c r="B434" s="140"/>
      <c r="C434" s="141"/>
      <c r="D434" s="142"/>
      <c r="E434" s="143"/>
      <c r="F434" s="142"/>
      <c r="G434" s="142"/>
      <c r="H434" s="143"/>
      <c r="I434" s="143"/>
      <c r="J434" s="144"/>
      <c r="K434" s="144"/>
      <c r="L434" s="142"/>
      <c r="M434" s="145"/>
    </row>
    <row r="435" spans="1:13" ht="12.75">
      <c r="A435" s="184" t="str">
        <f>'BM04'!A181</f>
        <v>1.12.11</v>
      </c>
      <c r="B435" s="211" t="str">
        <f>'BM04'!B181</f>
        <v>Calha de concreto e alvenaria, revestida internamente, com grelha de ferro, seção 0,20 x 0,15m</v>
      </c>
      <c r="C435" s="212"/>
      <c r="D435" s="212"/>
      <c r="E435" s="212"/>
      <c r="F435" s="212"/>
      <c r="G435" s="212"/>
      <c r="H435" s="212"/>
      <c r="I435" s="212"/>
      <c r="J435" s="212"/>
      <c r="K435" s="213"/>
      <c r="L435" s="129">
        <f>L436</f>
        <v>0</v>
      </c>
      <c r="M435" s="130" t="str">
        <f>'BM04'!C181</f>
        <v>m</v>
      </c>
    </row>
    <row r="436" spans="1:13" s="131" customFormat="1" ht="12.75">
      <c r="A436" s="132"/>
      <c r="B436" s="209"/>
      <c r="C436" s="210"/>
      <c r="D436" s="134"/>
      <c r="E436" s="134"/>
      <c r="F436" s="134"/>
      <c r="G436" s="134"/>
      <c r="H436" s="134"/>
      <c r="I436" s="134"/>
      <c r="J436" s="135"/>
      <c r="K436" s="135"/>
      <c r="L436" s="134">
        <f>D436</f>
        <v>0</v>
      </c>
      <c r="M436" s="136"/>
    </row>
    <row r="437" spans="1:13" s="131" customFormat="1" ht="13.5" thickBot="1">
      <c r="A437" s="139"/>
      <c r="B437" s="140"/>
      <c r="C437" s="141"/>
      <c r="D437" s="142"/>
      <c r="E437" s="143"/>
      <c r="F437" s="142"/>
      <c r="G437" s="142"/>
      <c r="H437" s="143"/>
      <c r="I437" s="143"/>
      <c r="J437" s="144"/>
      <c r="K437" s="144"/>
      <c r="L437" s="142"/>
      <c r="M437" s="145"/>
    </row>
    <row r="438" spans="1:13" ht="13.5" thickBot="1">
      <c r="A438" s="121" t="str">
        <f>'BM02'!A160</f>
        <v>1.13</v>
      </c>
      <c r="B438" s="122" t="str">
        <f>'BM02'!B160</f>
        <v>INSTALAÇÕES ELÉTRICAS, TELEFONICAS E MECANICAS</v>
      </c>
      <c r="C438" s="122"/>
      <c r="D438" s="122"/>
      <c r="E438" s="122"/>
      <c r="F438" s="122"/>
      <c r="G438" s="122"/>
      <c r="H438" s="122"/>
      <c r="I438" s="122"/>
      <c r="J438" s="122"/>
      <c r="K438" s="122"/>
      <c r="L438" s="122"/>
      <c r="M438" s="123"/>
    </row>
    <row r="439" spans="1:13" ht="12.75">
      <c r="A439" s="124"/>
      <c r="B439" s="125"/>
      <c r="C439" s="125"/>
      <c r="D439" s="125"/>
      <c r="E439" s="125"/>
      <c r="F439" s="125"/>
      <c r="G439" s="125"/>
      <c r="H439" s="125"/>
      <c r="I439" s="125"/>
      <c r="J439" s="125"/>
      <c r="K439" s="126"/>
      <c r="L439" s="125"/>
      <c r="M439" s="127"/>
    </row>
    <row r="440" spans="1:13" ht="12.75">
      <c r="A440" s="184" t="str">
        <f>'BM02'!A162</f>
        <v>1.13.1</v>
      </c>
      <c r="B440" s="211" t="str">
        <f>'BM02'!B162</f>
        <v>Caixa de passagem em alvenaria de tijolos maciços esp. = 0,12m, dim. int. = 0.50 x 0.50 x 0.50m</v>
      </c>
      <c r="C440" s="212"/>
      <c r="D440" s="212"/>
      <c r="E440" s="212"/>
      <c r="F440" s="212"/>
      <c r="G440" s="212"/>
      <c r="H440" s="212"/>
      <c r="I440" s="212"/>
      <c r="J440" s="212"/>
      <c r="K440" s="213"/>
      <c r="L440" s="129">
        <f>L441</f>
        <v>0</v>
      </c>
      <c r="M440" s="185" t="str">
        <f>'BM02'!C162</f>
        <v>un</v>
      </c>
    </row>
    <row r="441" spans="1:13" s="131" customFormat="1" ht="12.75">
      <c r="A441" s="132"/>
      <c r="B441" s="209"/>
      <c r="C441" s="210"/>
      <c r="D441" s="134"/>
      <c r="E441" s="134"/>
      <c r="F441" s="134"/>
      <c r="G441" s="134"/>
      <c r="H441" s="134"/>
      <c r="I441" s="134"/>
      <c r="J441" s="135"/>
      <c r="K441" s="135"/>
      <c r="L441" s="134">
        <f>D441</f>
        <v>0</v>
      </c>
      <c r="M441" s="136"/>
    </row>
    <row r="442" spans="1:13" s="131" customFormat="1" ht="12.75">
      <c r="A442" s="139"/>
      <c r="B442" s="140"/>
      <c r="C442" s="141"/>
      <c r="D442" s="142"/>
      <c r="E442" s="143"/>
      <c r="F442" s="142"/>
      <c r="G442" s="142"/>
      <c r="H442" s="143"/>
      <c r="I442" s="143"/>
      <c r="J442" s="144"/>
      <c r="K442" s="144"/>
      <c r="L442" s="142"/>
      <c r="M442" s="145"/>
    </row>
    <row r="443" spans="1:13" ht="12.75">
      <c r="A443" s="184" t="str">
        <f>'BM02'!A163</f>
        <v>1.13.2</v>
      </c>
      <c r="B443" s="211" t="str">
        <f>'BM02'!B163</f>
        <v>Caixa de passagem em alvenaria de tijolos maciços esp. = 0,12m, dim. int. = 0.60 x 0.60 x 0.60m</v>
      </c>
      <c r="C443" s="212"/>
      <c r="D443" s="212"/>
      <c r="E443" s="212"/>
      <c r="F443" s="212"/>
      <c r="G443" s="212"/>
      <c r="H443" s="212"/>
      <c r="I443" s="212"/>
      <c r="J443" s="212"/>
      <c r="K443" s="213"/>
      <c r="L443" s="129">
        <f>L444</f>
        <v>0</v>
      </c>
      <c r="M443" s="185" t="str">
        <f>'BM02'!C163</f>
        <v>un</v>
      </c>
    </row>
    <row r="444" spans="1:13" s="131" customFormat="1" ht="12.75">
      <c r="A444" s="132"/>
      <c r="B444" s="209"/>
      <c r="C444" s="210"/>
      <c r="D444" s="134"/>
      <c r="E444" s="134"/>
      <c r="F444" s="134"/>
      <c r="G444" s="134"/>
      <c r="H444" s="134"/>
      <c r="I444" s="134"/>
      <c r="J444" s="135"/>
      <c r="K444" s="135"/>
      <c r="L444" s="134">
        <f>D444</f>
        <v>0</v>
      </c>
      <c r="M444" s="136"/>
    </row>
    <row r="445" spans="1:13" s="131" customFormat="1" ht="12.75">
      <c r="A445" s="139"/>
      <c r="B445" s="140"/>
      <c r="C445" s="141"/>
      <c r="D445" s="142"/>
      <c r="E445" s="143"/>
      <c r="F445" s="142"/>
      <c r="G445" s="142"/>
      <c r="H445" s="143"/>
      <c r="I445" s="143"/>
      <c r="J445" s="144"/>
      <c r="K445" s="144"/>
      <c r="L445" s="142"/>
      <c r="M445" s="145"/>
    </row>
    <row r="446" spans="1:13" ht="12.75">
      <c r="A446" s="184" t="str">
        <f>'BM02'!A164</f>
        <v>1.13.3</v>
      </c>
      <c r="B446" s="211" t="str">
        <f>'BM02'!B164</f>
        <v>DISJUNTOR TRIPOLAR TIPO DIN, CORRENTE NOMINAL DE 10A - FORNECIMENTO E INSTALAÇÃO. AF_10/2020</v>
      </c>
      <c r="C446" s="212"/>
      <c r="D446" s="212"/>
      <c r="E446" s="212"/>
      <c r="F446" s="212"/>
      <c r="G446" s="212"/>
      <c r="H446" s="212"/>
      <c r="I446" s="212"/>
      <c r="J446" s="212"/>
      <c r="K446" s="213"/>
      <c r="L446" s="129">
        <f>L447</f>
        <v>0</v>
      </c>
      <c r="M446" s="185" t="str">
        <f>'BM02'!C164</f>
        <v>un</v>
      </c>
    </row>
    <row r="447" spans="1:13" s="131" customFormat="1" ht="12.75">
      <c r="A447" s="132"/>
      <c r="B447" s="209"/>
      <c r="C447" s="210"/>
      <c r="D447" s="134"/>
      <c r="E447" s="134"/>
      <c r="F447" s="134"/>
      <c r="G447" s="134"/>
      <c r="H447" s="134"/>
      <c r="I447" s="134"/>
      <c r="J447" s="135"/>
      <c r="K447" s="135"/>
      <c r="L447" s="134">
        <f>D447</f>
        <v>0</v>
      </c>
      <c r="M447" s="136"/>
    </row>
    <row r="448" spans="1:13" s="131" customFormat="1" ht="12.75">
      <c r="A448" s="139"/>
      <c r="B448" s="140"/>
      <c r="C448" s="141"/>
      <c r="D448" s="142"/>
      <c r="E448" s="143"/>
      <c r="F448" s="142"/>
      <c r="G448" s="142"/>
      <c r="H448" s="143"/>
      <c r="I448" s="143"/>
      <c r="J448" s="144"/>
      <c r="K448" s="144"/>
      <c r="L448" s="142"/>
      <c r="M448" s="145"/>
    </row>
    <row r="449" spans="1:13" ht="12.75">
      <c r="A449" s="184" t="str">
        <f>'BM02'!A165</f>
        <v>1.13.4</v>
      </c>
      <c r="B449" s="211" t="str">
        <f>'BM02'!B165</f>
        <v>DISJUNTOR TRIPOLAR TIPO DIN, CORRENTE NOMINAL DE 25A - FORNECIMENTO E INSTALAÇÃO. AF_10/2020</v>
      </c>
      <c r="C449" s="212"/>
      <c r="D449" s="212"/>
      <c r="E449" s="212"/>
      <c r="F449" s="212"/>
      <c r="G449" s="212"/>
      <c r="H449" s="212"/>
      <c r="I449" s="212"/>
      <c r="J449" s="212"/>
      <c r="K449" s="213"/>
      <c r="L449" s="129">
        <f>L450</f>
        <v>0</v>
      </c>
      <c r="M449" s="185" t="str">
        <f>'BM02'!C165</f>
        <v>un</v>
      </c>
    </row>
    <row r="450" spans="1:13" s="131" customFormat="1" ht="12.75">
      <c r="A450" s="132"/>
      <c r="B450" s="209"/>
      <c r="C450" s="210"/>
      <c r="D450" s="134"/>
      <c r="E450" s="134"/>
      <c r="F450" s="134"/>
      <c r="G450" s="134"/>
      <c r="H450" s="134"/>
      <c r="I450" s="134"/>
      <c r="J450" s="135"/>
      <c r="K450" s="135"/>
      <c r="L450" s="134">
        <f>D450</f>
        <v>0</v>
      </c>
      <c r="M450" s="136"/>
    </row>
    <row r="451" spans="1:13" s="131" customFormat="1" ht="12.75">
      <c r="A451" s="139"/>
      <c r="B451" s="140"/>
      <c r="C451" s="141"/>
      <c r="D451" s="142"/>
      <c r="E451" s="143"/>
      <c r="F451" s="142"/>
      <c r="G451" s="142"/>
      <c r="H451" s="143"/>
      <c r="I451" s="143"/>
      <c r="J451" s="144"/>
      <c r="K451" s="144"/>
      <c r="L451" s="142"/>
      <c r="M451" s="145"/>
    </row>
    <row r="452" spans="1:13" ht="30" customHeight="1">
      <c r="A452" s="128" t="str">
        <f>'BM02'!A166</f>
        <v>1.13.5</v>
      </c>
      <c r="B452" s="211" t="str">
        <f>'BM02'!B166</f>
        <v>DISPOSITIVO DPS CLASSE II, 1 POLO, TENSÃO MAXIMA DE 220/380V, CORRENTE NOMINAL &gt; 20KA TIPO AC - SINAPI (74130/001)</v>
      </c>
      <c r="C452" s="212"/>
      <c r="D452" s="212"/>
      <c r="E452" s="212"/>
      <c r="F452" s="212"/>
      <c r="G452" s="212"/>
      <c r="H452" s="212"/>
      <c r="I452" s="212"/>
      <c r="J452" s="212"/>
      <c r="K452" s="213"/>
      <c r="L452" s="129">
        <f>L453</f>
        <v>0</v>
      </c>
      <c r="M452" s="185" t="str">
        <f>'BM02'!C166</f>
        <v>un</v>
      </c>
    </row>
    <row r="453" spans="1:13" s="131" customFormat="1" ht="12.75">
      <c r="A453" s="132"/>
      <c r="B453" s="209"/>
      <c r="C453" s="210"/>
      <c r="D453" s="134"/>
      <c r="E453" s="134"/>
      <c r="F453" s="134"/>
      <c r="G453" s="134"/>
      <c r="H453" s="134"/>
      <c r="I453" s="134"/>
      <c r="J453" s="135"/>
      <c r="K453" s="135"/>
      <c r="L453" s="134">
        <f>D453</f>
        <v>0</v>
      </c>
      <c r="M453" s="136"/>
    </row>
    <row r="454" spans="1:13" s="131" customFormat="1" ht="12.75">
      <c r="A454" s="139"/>
      <c r="B454" s="140"/>
      <c r="C454" s="141"/>
      <c r="D454" s="142"/>
      <c r="E454" s="143"/>
      <c r="F454" s="142"/>
      <c r="G454" s="142"/>
      <c r="H454" s="143"/>
      <c r="I454" s="143"/>
      <c r="J454" s="144"/>
      <c r="K454" s="144"/>
      <c r="L454" s="142"/>
      <c r="M454" s="145"/>
    </row>
    <row r="455" spans="1:13" ht="12.75">
      <c r="A455" s="184" t="str">
        <f>'BM02'!A167</f>
        <v>1.13.6</v>
      </c>
      <c r="B455" s="211" t="str">
        <f>'BM02'!B167</f>
        <v>DISJUNTOR BIPOLAR TIPO DIN, CORRENTE NOMINAL DE 50A - FORNECIMENTO E INSTALAÇÃO. AF_10/2020</v>
      </c>
      <c r="C455" s="212"/>
      <c r="D455" s="212"/>
      <c r="E455" s="212"/>
      <c r="F455" s="212"/>
      <c r="G455" s="212"/>
      <c r="H455" s="212"/>
      <c r="I455" s="212"/>
      <c r="J455" s="212"/>
      <c r="K455" s="213"/>
      <c r="L455" s="129">
        <f>L456</f>
        <v>0</v>
      </c>
      <c r="M455" s="185" t="str">
        <f>'BM02'!C167</f>
        <v>un</v>
      </c>
    </row>
    <row r="456" spans="1:13" s="131" customFormat="1" ht="12.75">
      <c r="A456" s="132"/>
      <c r="B456" s="209"/>
      <c r="C456" s="210"/>
      <c r="D456" s="134"/>
      <c r="E456" s="134"/>
      <c r="F456" s="134"/>
      <c r="G456" s="134"/>
      <c r="H456" s="134"/>
      <c r="I456" s="134"/>
      <c r="J456" s="135"/>
      <c r="K456" s="135"/>
      <c r="L456" s="134">
        <f>D456</f>
        <v>0</v>
      </c>
      <c r="M456" s="136"/>
    </row>
    <row r="457" spans="1:13" s="131" customFormat="1" ht="12.75">
      <c r="A457" s="139"/>
      <c r="B457" s="140"/>
      <c r="C457" s="141"/>
      <c r="D457" s="142"/>
      <c r="E457" s="143"/>
      <c r="F457" s="142"/>
      <c r="G457" s="142"/>
      <c r="H457" s="143"/>
      <c r="I457" s="143"/>
      <c r="J457" s="144"/>
      <c r="K457" s="144"/>
      <c r="L457" s="142"/>
      <c r="M457" s="145"/>
    </row>
    <row r="458" spans="1:13" ht="12.75">
      <c r="A458" s="184" t="str">
        <f>'BM02'!A168</f>
        <v>1.13.7</v>
      </c>
      <c r="B458" s="211" t="str">
        <f>'BM02'!B168</f>
        <v>DISJUNTOR TRIPOLAR TIPO NEMA, CORRENTE NOMINAL DE 10 ATÉ 50A - FORNECIMENTO E INSTALAÇÃO. AF_10/2020</v>
      </c>
      <c r="C458" s="212"/>
      <c r="D458" s="212"/>
      <c r="E458" s="212"/>
      <c r="F458" s="212"/>
      <c r="G458" s="212"/>
      <c r="H458" s="212"/>
      <c r="I458" s="212"/>
      <c r="J458" s="212"/>
      <c r="K458" s="213"/>
      <c r="L458" s="129">
        <f>L459</f>
        <v>0</v>
      </c>
      <c r="M458" s="185" t="str">
        <f>'BM02'!C168</f>
        <v>un</v>
      </c>
    </row>
    <row r="459" spans="1:13" s="131" customFormat="1" ht="12.75">
      <c r="A459" s="132"/>
      <c r="B459" s="209"/>
      <c r="C459" s="210"/>
      <c r="D459" s="134"/>
      <c r="E459" s="134"/>
      <c r="F459" s="134"/>
      <c r="G459" s="134"/>
      <c r="H459" s="134"/>
      <c r="I459" s="134"/>
      <c r="J459" s="135"/>
      <c r="K459" s="135"/>
      <c r="L459" s="134">
        <f>D459</f>
        <v>0</v>
      </c>
      <c r="M459" s="136"/>
    </row>
    <row r="460" spans="1:13" s="131" customFormat="1" ht="12.75">
      <c r="A460" s="139"/>
      <c r="B460" s="140"/>
      <c r="C460" s="141"/>
      <c r="D460" s="142"/>
      <c r="E460" s="143"/>
      <c r="F460" s="142"/>
      <c r="G460" s="142"/>
      <c r="H460" s="143"/>
      <c r="I460" s="143"/>
      <c r="J460" s="144"/>
      <c r="K460" s="144"/>
      <c r="L460" s="142"/>
      <c r="M460" s="145"/>
    </row>
    <row r="461" spans="1:13" ht="30" customHeight="1">
      <c r="A461" s="128" t="str">
        <f>'BM02'!A169</f>
        <v>1.13.8</v>
      </c>
      <c r="B461" s="211" t="str">
        <f>'BM02'!B169</f>
        <v>INTERRUPTOR SIMPLES (1 MÓDULO), 10A/250V, INCLUINDO SUPORTE E PLACA - FORNECIMENTO E INSTALAÇÃO. AF_12/2015</v>
      </c>
      <c r="C461" s="212"/>
      <c r="D461" s="212"/>
      <c r="E461" s="212"/>
      <c r="F461" s="212"/>
      <c r="G461" s="212"/>
      <c r="H461" s="212"/>
      <c r="I461" s="212"/>
      <c r="J461" s="212"/>
      <c r="K461" s="213"/>
      <c r="L461" s="129">
        <f>L462</f>
        <v>0</v>
      </c>
      <c r="M461" s="185" t="str">
        <f>'BM02'!C169</f>
        <v>un</v>
      </c>
    </row>
    <row r="462" spans="1:13" s="131" customFormat="1" ht="12.75">
      <c r="A462" s="132"/>
      <c r="B462" s="209"/>
      <c r="C462" s="210"/>
      <c r="D462" s="134"/>
      <c r="E462" s="134"/>
      <c r="F462" s="134"/>
      <c r="G462" s="134"/>
      <c r="H462" s="134"/>
      <c r="I462" s="134"/>
      <c r="J462" s="135"/>
      <c r="K462" s="135"/>
      <c r="L462" s="134">
        <f>D462</f>
        <v>0</v>
      </c>
      <c r="M462" s="136"/>
    </row>
    <row r="463" spans="1:13" s="131" customFormat="1" ht="12.75">
      <c r="A463" s="139"/>
      <c r="B463" s="140"/>
      <c r="C463" s="141"/>
      <c r="D463" s="142"/>
      <c r="E463" s="143"/>
      <c r="F463" s="142"/>
      <c r="G463" s="142"/>
      <c r="H463" s="143"/>
      <c r="I463" s="143"/>
      <c r="J463" s="144"/>
      <c r="K463" s="144"/>
      <c r="L463" s="142"/>
      <c r="M463" s="145"/>
    </row>
    <row r="464" spans="1:13" ht="30" customHeight="1">
      <c r="A464" s="128" t="str">
        <f>'BM02'!A170</f>
        <v>1.13.9</v>
      </c>
      <c r="B464" s="211" t="str">
        <f>'BM02'!B170</f>
        <v>INTERRUPTOR SIMPLES (2 MÓDULOS), 10A/250V, INCLUINDO SUPORTE E PLACA - FORNECIMENTO E INSTALAÇÃO. AF_12/2015</v>
      </c>
      <c r="C464" s="212"/>
      <c r="D464" s="212"/>
      <c r="E464" s="212"/>
      <c r="F464" s="212"/>
      <c r="G464" s="212"/>
      <c r="H464" s="212"/>
      <c r="I464" s="212"/>
      <c r="J464" s="212"/>
      <c r="K464" s="213"/>
      <c r="L464" s="129">
        <f>L465</f>
        <v>0</v>
      </c>
      <c r="M464" s="185" t="str">
        <f>'BM02'!C170</f>
        <v>un</v>
      </c>
    </row>
    <row r="465" spans="1:13" s="131" customFormat="1" ht="12.75">
      <c r="A465" s="132"/>
      <c r="B465" s="209"/>
      <c r="C465" s="210"/>
      <c r="D465" s="134"/>
      <c r="E465" s="134"/>
      <c r="F465" s="134"/>
      <c r="G465" s="134"/>
      <c r="H465" s="134"/>
      <c r="I465" s="134"/>
      <c r="J465" s="135"/>
      <c r="K465" s="135"/>
      <c r="L465" s="134">
        <f>D465</f>
        <v>0</v>
      </c>
      <c r="M465" s="136"/>
    </row>
    <row r="466" spans="1:13" s="131" customFormat="1" ht="12.75">
      <c r="A466" s="139"/>
      <c r="B466" s="140"/>
      <c r="C466" s="141"/>
      <c r="D466" s="142"/>
      <c r="E466" s="143"/>
      <c r="F466" s="142"/>
      <c r="G466" s="142"/>
      <c r="H466" s="143"/>
      <c r="I466" s="143"/>
      <c r="J466" s="144"/>
      <c r="K466" s="144"/>
      <c r="L466" s="142"/>
      <c r="M466" s="145"/>
    </row>
    <row r="467" spans="1:13" ht="30" customHeight="1">
      <c r="A467" s="128" t="str">
        <f>'BM02'!A171</f>
        <v>1.13.10</v>
      </c>
      <c r="B467" s="211" t="str">
        <f>'BM02'!B171</f>
        <v>LUMINÁRIA TIPO CALHA, DE SOBREPOR, COM 2 LÂMPADAS TUBULARES FLUORESCENTES DE 18 W, COM REATOR DE PARTIDA RÁPIDA - FORNECIMENTO E INSTALAÇÃO. AF_02/2020</v>
      </c>
      <c r="C467" s="212"/>
      <c r="D467" s="212"/>
      <c r="E467" s="212"/>
      <c r="F467" s="212"/>
      <c r="G467" s="212"/>
      <c r="H467" s="212"/>
      <c r="I467" s="212"/>
      <c r="J467" s="212"/>
      <c r="K467" s="213"/>
      <c r="L467" s="129">
        <f>L468</f>
        <v>20</v>
      </c>
      <c r="M467" s="185" t="str">
        <f>'BM02'!C171</f>
        <v>un</v>
      </c>
    </row>
    <row r="468" spans="1:13" s="131" customFormat="1" ht="12.75">
      <c r="A468" s="132"/>
      <c r="B468" s="209" t="s">
        <v>799</v>
      </c>
      <c r="C468" s="210"/>
      <c r="D468" s="134">
        <f>20</f>
        <v>20</v>
      </c>
      <c r="E468" s="134"/>
      <c r="F468" s="134"/>
      <c r="G468" s="134"/>
      <c r="H468" s="134"/>
      <c r="I468" s="134"/>
      <c r="J468" s="135"/>
      <c r="K468" s="135"/>
      <c r="L468" s="134">
        <f>D468</f>
        <v>20</v>
      </c>
      <c r="M468" s="136"/>
    </row>
    <row r="469" spans="1:13" s="131" customFormat="1" ht="12.75">
      <c r="A469" s="139"/>
      <c r="B469" s="140"/>
      <c r="C469" s="141"/>
      <c r="D469" s="142"/>
      <c r="E469" s="143"/>
      <c r="F469" s="142"/>
      <c r="G469" s="142"/>
      <c r="H469" s="143"/>
      <c r="I469" s="143"/>
      <c r="J469" s="144"/>
      <c r="K469" s="144"/>
      <c r="L469" s="142"/>
      <c r="M469" s="145"/>
    </row>
    <row r="470" spans="1:13" ht="30" customHeight="1">
      <c r="A470" s="128" t="str">
        <f>'BM02'!A172</f>
        <v>1.13.11</v>
      </c>
      <c r="B470" s="211" t="str">
        <f>'BM02'!B172</f>
        <v>LUMINÁRIA TIPO CALHA, DE SOBREPOR, COM 2 LÂMPADAS TUBULARES FLUORESCENTES DE 36 W, COM REATOR DE PARTIDA RÁPIDA - FORNECIMENTO E INSTALAÇÃO. AF_02/2020</v>
      </c>
      <c r="C470" s="212"/>
      <c r="D470" s="212"/>
      <c r="E470" s="212"/>
      <c r="F470" s="212"/>
      <c r="G470" s="212"/>
      <c r="H470" s="212"/>
      <c r="I470" s="212"/>
      <c r="J470" s="212"/>
      <c r="K470" s="213"/>
      <c r="L470" s="129">
        <f>L471</f>
        <v>46</v>
      </c>
      <c r="M470" s="185" t="str">
        <f>'BM02'!C172</f>
        <v>un</v>
      </c>
    </row>
    <row r="471" spans="1:13" s="131" customFormat="1" ht="12.75">
      <c r="A471" s="132"/>
      <c r="B471" s="209" t="s">
        <v>800</v>
      </c>
      <c r="C471" s="210"/>
      <c r="D471" s="134">
        <f>46</f>
        <v>46</v>
      </c>
      <c r="E471" s="134"/>
      <c r="F471" s="134"/>
      <c r="G471" s="134"/>
      <c r="H471" s="134"/>
      <c r="I471" s="134"/>
      <c r="J471" s="135"/>
      <c r="K471" s="135"/>
      <c r="L471" s="134">
        <f>D471</f>
        <v>46</v>
      </c>
      <c r="M471" s="136"/>
    </row>
    <row r="472" spans="1:13" s="131" customFormat="1" ht="12.75">
      <c r="A472" s="139"/>
      <c r="B472" s="140"/>
      <c r="C472" s="141"/>
      <c r="D472" s="142"/>
      <c r="E472" s="143"/>
      <c r="F472" s="142"/>
      <c r="G472" s="142"/>
      <c r="H472" s="143"/>
      <c r="I472" s="143"/>
      <c r="J472" s="144"/>
      <c r="K472" s="144"/>
      <c r="L472" s="142"/>
      <c r="M472" s="145"/>
    </row>
    <row r="473" spans="1:13" ht="30" customHeight="1">
      <c r="A473" s="128" t="str">
        <f>'BM02'!A173</f>
        <v>1.13.12</v>
      </c>
      <c r="B473" s="211" t="str">
        <f>'BM02'!B173</f>
        <v>LUMINÁRIA DE EMERGÊNCIA, COM 30 LÂMPADAS LED DE 2 W, SEM REATOR - FORNECIMENTO E INSTALAÇÃO. AF_02/2020</v>
      </c>
      <c r="C473" s="212"/>
      <c r="D473" s="212"/>
      <c r="E473" s="212"/>
      <c r="F473" s="212"/>
      <c r="G473" s="212"/>
      <c r="H473" s="212"/>
      <c r="I473" s="212"/>
      <c r="J473" s="212"/>
      <c r="K473" s="213"/>
      <c r="L473" s="129">
        <f>L474</f>
        <v>5</v>
      </c>
      <c r="M473" s="185" t="str">
        <f>'BM02'!C173</f>
        <v>un</v>
      </c>
    </row>
    <row r="474" spans="1:13" s="131" customFormat="1" ht="12.75">
      <c r="A474" s="132"/>
      <c r="B474" s="209" t="s">
        <v>801</v>
      </c>
      <c r="C474" s="210"/>
      <c r="D474" s="134">
        <f>5</f>
        <v>5</v>
      </c>
      <c r="E474" s="134"/>
      <c r="F474" s="134"/>
      <c r="G474" s="134"/>
      <c r="H474" s="134"/>
      <c r="I474" s="134"/>
      <c r="J474" s="135"/>
      <c r="K474" s="135"/>
      <c r="L474" s="134">
        <f>D474</f>
        <v>5</v>
      </c>
      <c r="M474" s="136"/>
    </row>
    <row r="475" spans="1:13" s="131" customFormat="1" ht="12.75">
      <c r="A475" s="139"/>
      <c r="B475" s="140"/>
      <c r="C475" s="141"/>
      <c r="D475" s="142"/>
      <c r="E475" s="143"/>
      <c r="F475" s="142"/>
      <c r="G475" s="142"/>
      <c r="H475" s="143"/>
      <c r="I475" s="143"/>
      <c r="J475" s="144"/>
      <c r="K475" s="144"/>
      <c r="L475" s="142"/>
      <c r="M475" s="145"/>
    </row>
    <row r="476" spans="1:13" ht="30" customHeight="1">
      <c r="A476" s="128" t="str">
        <f>'BM02'!A174</f>
        <v>1.13.13</v>
      </c>
      <c r="B476" s="211" t="str">
        <f>'BM02'!B174</f>
        <v>PONTO DE ILUMINAÇÃO RESIDENCIAL INCLUINDO INTERRUPTOR SIMPLES, CAIXA ELÉTRICA, ELETRODUTO, CABO, RASGO, QUEBRA E CHUMBAMENTO (EXCLUINDO LUMINÁRIA E LÂMPADA). AF_01/2016</v>
      </c>
      <c r="C476" s="212"/>
      <c r="D476" s="212"/>
      <c r="E476" s="212"/>
      <c r="F476" s="212"/>
      <c r="G476" s="212"/>
      <c r="H476" s="212"/>
      <c r="I476" s="212"/>
      <c r="J476" s="212"/>
      <c r="K476" s="213"/>
      <c r="L476" s="129">
        <f>L477</f>
        <v>0</v>
      </c>
      <c r="M476" s="185" t="str">
        <f>'BM02'!C174</f>
        <v>un</v>
      </c>
    </row>
    <row r="477" spans="1:13" s="131" customFormat="1" ht="12.75">
      <c r="A477" s="132"/>
      <c r="B477" s="209"/>
      <c r="C477" s="210"/>
      <c r="D477" s="134"/>
      <c r="E477" s="134"/>
      <c r="F477" s="134"/>
      <c r="G477" s="134"/>
      <c r="H477" s="134"/>
      <c r="I477" s="134"/>
      <c r="J477" s="135"/>
      <c r="K477" s="135"/>
      <c r="L477" s="134">
        <f>D477</f>
        <v>0</v>
      </c>
      <c r="M477" s="136"/>
    </row>
    <row r="478" spans="1:13" s="131" customFormat="1" ht="13.5" thickBot="1">
      <c r="A478" s="139"/>
      <c r="B478" s="140"/>
      <c r="C478" s="141"/>
      <c r="D478" s="142"/>
      <c r="E478" s="143"/>
      <c r="F478" s="142"/>
      <c r="G478" s="142"/>
      <c r="H478" s="143"/>
      <c r="I478" s="143"/>
      <c r="J478" s="144"/>
      <c r="K478" s="144"/>
      <c r="L478" s="142"/>
      <c r="M478" s="145"/>
    </row>
    <row r="479" spans="1:13" ht="30" customHeight="1">
      <c r="A479" s="128" t="str">
        <f>'BM02'!A175</f>
        <v>1.13.14</v>
      </c>
      <c r="B479" s="211" t="str">
        <f>'BM02'!B175</f>
        <v>PONTO DE TOMADA RESIDENCIAL INCLUINDO TOMADA 10A/250V, CAIXA ELÉTRICA, ELETRODUTO, CABO, RASGO, QUEBRA E CHUMBAMENTO. AF_01/2016</v>
      </c>
      <c r="C479" s="212"/>
      <c r="D479" s="212"/>
      <c r="E479" s="212"/>
      <c r="F479" s="212"/>
      <c r="G479" s="212"/>
      <c r="H479" s="212"/>
      <c r="I479" s="212"/>
      <c r="J479" s="212"/>
      <c r="K479" s="213"/>
      <c r="L479" s="129">
        <f>L480</f>
        <v>0</v>
      </c>
      <c r="M479" s="185" t="str">
        <f>'BM02'!C175</f>
        <v>un</v>
      </c>
    </row>
    <row r="480" spans="1:13" s="131" customFormat="1" ht="12.75">
      <c r="A480" s="132"/>
      <c r="B480" s="209"/>
      <c r="C480" s="210"/>
      <c r="D480" s="134"/>
      <c r="E480" s="134"/>
      <c r="F480" s="134"/>
      <c r="G480" s="134"/>
      <c r="H480" s="134"/>
      <c r="I480" s="134"/>
      <c r="J480" s="135"/>
      <c r="K480" s="135"/>
      <c r="L480" s="134">
        <f>D480</f>
        <v>0</v>
      </c>
      <c r="M480" s="136"/>
    </row>
    <row r="481" spans="1:13" s="131" customFormat="1" ht="12.75">
      <c r="A481" s="139"/>
      <c r="B481" s="140"/>
      <c r="C481" s="141"/>
      <c r="D481" s="142"/>
      <c r="E481" s="143"/>
      <c r="F481" s="142"/>
      <c r="G481" s="142"/>
      <c r="H481" s="143"/>
      <c r="I481" s="143"/>
      <c r="J481" s="144"/>
      <c r="K481" s="144"/>
      <c r="L481" s="142"/>
      <c r="M481" s="145"/>
    </row>
    <row r="482" spans="1:13" ht="30" customHeight="1">
      <c r="A482" s="128" t="str">
        <f>'BM02'!A176</f>
        <v>1.13.15</v>
      </c>
      <c r="B482" s="211" t="str">
        <f>'BM02'!B176</f>
        <v>PONTO DE TOMADA RESIDENCIAL INCLUINDO TOMADA 20A/250V, CAIXA ELÉTRICA, ELETRODUTO, CABO, RASGO, QUEBRA E CHUMBAMENTO. AF_01/2016</v>
      </c>
      <c r="C482" s="212"/>
      <c r="D482" s="212"/>
      <c r="E482" s="212"/>
      <c r="F482" s="212"/>
      <c r="G482" s="212"/>
      <c r="H482" s="212"/>
      <c r="I482" s="212"/>
      <c r="J482" s="212"/>
      <c r="K482" s="213"/>
      <c r="L482" s="129">
        <f>L483</f>
        <v>0</v>
      </c>
      <c r="M482" s="185" t="str">
        <f>'BM02'!C176</f>
        <v>un</v>
      </c>
    </row>
    <row r="483" spans="1:13" s="131" customFormat="1" ht="12.75">
      <c r="A483" s="132"/>
      <c r="B483" s="209"/>
      <c r="C483" s="210"/>
      <c r="D483" s="134"/>
      <c r="E483" s="134"/>
      <c r="F483" s="134"/>
      <c r="G483" s="134"/>
      <c r="H483" s="134"/>
      <c r="I483" s="134"/>
      <c r="J483" s="135"/>
      <c r="K483" s="135"/>
      <c r="L483" s="134">
        <f>D483</f>
        <v>0</v>
      </c>
      <c r="M483" s="136"/>
    </row>
    <row r="484" spans="1:13" s="131" customFormat="1" ht="12.75">
      <c r="A484" s="139"/>
      <c r="B484" s="140"/>
      <c r="C484" s="141"/>
      <c r="D484" s="142"/>
      <c r="E484" s="143"/>
      <c r="F484" s="142"/>
      <c r="G484" s="142"/>
      <c r="H484" s="143"/>
      <c r="I484" s="143"/>
      <c r="J484" s="144"/>
      <c r="K484" s="144"/>
      <c r="L484" s="142"/>
      <c r="M484" s="145"/>
    </row>
    <row r="485" spans="1:13" ht="30" customHeight="1">
      <c r="A485" s="128" t="str">
        <f>'BM02'!A177</f>
        <v>1.13.16</v>
      </c>
      <c r="B485" s="211" t="str">
        <f>'BM02'!B177</f>
        <v>PONTO DE UTILIZAÇÃO DE EQUIPAMENTOS ELÉTRICOS, RESIDENCIAL, INCLUINDO SUPORTE E PLACA, CAIXA ELÉTRICA, ELETRODUTO, CABO, RASGO, QUEBRA E CHUMBAMENTO. AF_01/2016</v>
      </c>
      <c r="C485" s="212"/>
      <c r="D485" s="212"/>
      <c r="E485" s="212"/>
      <c r="F485" s="212"/>
      <c r="G485" s="212"/>
      <c r="H485" s="212"/>
      <c r="I485" s="212"/>
      <c r="J485" s="212"/>
      <c r="K485" s="213"/>
      <c r="L485" s="129">
        <f>L486</f>
        <v>0</v>
      </c>
      <c r="M485" s="185" t="str">
        <f>'BM02'!C177</f>
        <v>un</v>
      </c>
    </row>
    <row r="486" spans="1:13" s="131" customFormat="1" ht="12.75">
      <c r="A486" s="132"/>
      <c r="B486" s="209"/>
      <c r="C486" s="210"/>
      <c r="D486" s="134"/>
      <c r="E486" s="134"/>
      <c r="F486" s="134"/>
      <c r="G486" s="134"/>
      <c r="H486" s="134"/>
      <c r="I486" s="134"/>
      <c r="J486" s="135"/>
      <c r="K486" s="135"/>
      <c r="L486" s="134">
        <f>D486</f>
        <v>0</v>
      </c>
      <c r="M486" s="136"/>
    </row>
    <row r="487" spans="1:13" s="131" customFormat="1" ht="12.75">
      <c r="A487" s="139"/>
      <c r="B487" s="140"/>
      <c r="C487" s="141"/>
      <c r="D487" s="142"/>
      <c r="E487" s="143"/>
      <c r="F487" s="142"/>
      <c r="G487" s="142"/>
      <c r="H487" s="143"/>
      <c r="I487" s="143"/>
      <c r="J487" s="144"/>
      <c r="K487" s="144"/>
      <c r="L487" s="142"/>
      <c r="M487" s="145"/>
    </row>
    <row r="488" spans="1:13" ht="30" customHeight="1">
      <c r="A488" s="128" t="str">
        <f>'BM02'!A178</f>
        <v>1.13.17</v>
      </c>
      <c r="B488" s="211" t="str">
        <f>'BM02'!B178</f>
        <v>PONTO DE UTILIZAÇÃO DE EQUIPAMENTOS ELÉTRICOS, RESIDENCIAL, INCLUINDO SUPORTE E PLACA, CAIXA ELÉTRICA, ELETRODUTO, CABO, RASGO, QUEBRA E CHUMBAMENTO. AF_01/2016</v>
      </c>
      <c r="C488" s="212"/>
      <c r="D488" s="212"/>
      <c r="E488" s="212"/>
      <c r="F488" s="212"/>
      <c r="G488" s="212"/>
      <c r="H488" s="212"/>
      <c r="I488" s="212"/>
      <c r="J488" s="212"/>
      <c r="K488" s="213"/>
      <c r="L488" s="129">
        <f>L489</f>
        <v>0</v>
      </c>
      <c r="M488" s="185" t="str">
        <f>'BM02'!C178</f>
        <v>un</v>
      </c>
    </row>
    <row r="489" spans="1:13" s="131" customFormat="1" ht="12.75">
      <c r="A489" s="132"/>
      <c r="B489" s="209"/>
      <c r="C489" s="210"/>
      <c r="D489" s="134"/>
      <c r="E489" s="134"/>
      <c r="F489" s="134"/>
      <c r="G489" s="134"/>
      <c r="H489" s="134"/>
      <c r="I489" s="134"/>
      <c r="J489" s="135"/>
      <c r="K489" s="135"/>
      <c r="L489" s="134">
        <f>D489</f>
        <v>0</v>
      </c>
      <c r="M489" s="136"/>
    </row>
    <row r="490" spans="1:13" s="131" customFormat="1" ht="12.75">
      <c r="A490" s="139"/>
      <c r="B490" s="140"/>
      <c r="C490" s="141"/>
      <c r="D490" s="142"/>
      <c r="E490" s="143"/>
      <c r="F490" s="142"/>
      <c r="G490" s="142"/>
      <c r="H490" s="143"/>
      <c r="I490" s="143"/>
      <c r="J490" s="144"/>
      <c r="K490" s="144"/>
      <c r="L490" s="142"/>
      <c r="M490" s="145"/>
    </row>
    <row r="491" spans="1:13" ht="30" customHeight="1">
      <c r="A491" s="128" t="str">
        <f>'BM02'!A179</f>
        <v>1.13.18</v>
      </c>
      <c r="B491" s="211" t="str">
        <f>'BM02'!B179</f>
        <v>QUADRO DE DISTRIBUIÇÃO DE ENERGIA EM CHAPA DE AÇO GALVANIZADO, DE EMBUTIR, COM BARRAMENTO TRIFÁSICO, PARA 24 DISJUNTORES DIN 100A - FORNECIMENTO E INSTALAÇÃO. AF_10/2020</v>
      </c>
      <c r="C491" s="212"/>
      <c r="D491" s="212"/>
      <c r="E491" s="212"/>
      <c r="F491" s="212"/>
      <c r="G491" s="212"/>
      <c r="H491" s="212"/>
      <c r="I491" s="212"/>
      <c r="J491" s="212"/>
      <c r="K491" s="213"/>
      <c r="L491" s="129">
        <f>L492</f>
        <v>0</v>
      </c>
      <c r="M491" s="185" t="str">
        <f>'BM02'!C179</f>
        <v>un</v>
      </c>
    </row>
    <row r="492" spans="1:13" s="131" customFormat="1" ht="12.75">
      <c r="A492" s="132"/>
      <c r="B492" s="209"/>
      <c r="C492" s="210"/>
      <c r="D492" s="134"/>
      <c r="E492" s="134"/>
      <c r="F492" s="134"/>
      <c r="G492" s="134"/>
      <c r="H492" s="134"/>
      <c r="I492" s="134"/>
      <c r="J492" s="135"/>
      <c r="K492" s="135"/>
      <c r="L492" s="134">
        <f>D492</f>
        <v>0</v>
      </c>
      <c r="M492" s="136"/>
    </row>
    <row r="493" spans="1:13" s="131" customFormat="1" ht="12.75">
      <c r="A493" s="139"/>
      <c r="B493" s="140"/>
      <c r="C493" s="141"/>
      <c r="D493" s="142"/>
      <c r="E493" s="143"/>
      <c r="F493" s="142"/>
      <c r="G493" s="142"/>
      <c r="H493" s="143"/>
      <c r="I493" s="143"/>
      <c r="J493" s="144"/>
      <c r="K493" s="144"/>
      <c r="L493" s="142"/>
      <c r="M493" s="145"/>
    </row>
    <row r="494" spans="1:13" ht="30" customHeight="1">
      <c r="A494" s="128" t="str">
        <f>'BM02'!A180</f>
        <v>1.13.19</v>
      </c>
      <c r="B494" s="211" t="str">
        <f>'BM02'!B180</f>
        <v>QUADRO DE DISTRIBUIÇÃO DE ENERGIA EM CHAPA DE AÇO GALVANIZADO, DE EMBUTIR, COM BARRAMENTO TRIFÁSICO, PARA 12 DISJUNTORES DIN 100A - FORNECIMENTO E INSTALAÇÃO. AF_10/2020</v>
      </c>
      <c r="C494" s="212"/>
      <c r="D494" s="212"/>
      <c r="E494" s="212"/>
      <c r="F494" s="212"/>
      <c r="G494" s="212"/>
      <c r="H494" s="212"/>
      <c r="I494" s="212"/>
      <c r="J494" s="212"/>
      <c r="K494" s="213"/>
      <c r="L494" s="129">
        <f>L495</f>
        <v>0</v>
      </c>
      <c r="M494" s="185" t="str">
        <f>'BM02'!C180</f>
        <v>un</v>
      </c>
    </row>
    <row r="495" spans="1:13" s="131" customFormat="1" ht="12.75">
      <c r="A495" s="132"/>
      <c r="B495" s="209"/>
      <c r="C495" s="210"/>
      <c r="D495" s="134"/>
      <c r="E495" s="134"/>
      <c r="F495" s="134"/>
      <c r="G495" s="134"/>
      <c r="H495" s="134"/>
      <c r="I495" s="134"/>
      <c r="J495" s="135"/>
      <c r="K495" s="135"/>
      <c r="L495" s="134">
        <f>D495</f>
        <v>0</v>
      </c>
      <c r="M495" s="136"/>
    </row>
    <row r="496" spans="1:13" s="131" customFormat="1" ht="12.75">
      <c r="A496" s="139"/>
      <c r="B496" s="140"/>
      <c r="C496" s="141"/>
      <c r="D496" s="142"/>
      <c r="E496" s="143"/>
      <c r="F496" s="142"/>
      <c r="G496" s="142"/>
      <c r="H496" s="143"/>
      <c r="I496" s="143"/>
      <c r="J496" s="144"/>
      <c r="K496" s="144"/>
      <c r="L496" s="142"/>
      <c r="M496" s="145"/>
    </row>
    <row r="497" spans="1:13" ht="12.6" customHeight="1">
      <c r="A497" s="184" t="str">
        <f>'BM02'!A181</f>
        <v>1.13.20</v>
      </c>
      <c r="B497" s="211" t="str">
        <f>'BM02'!B181</f>
        <v>Ponto de telefone, com eletroduto de pvc rígido embutido Ø 3/4"</v>
      </c>
      <c r="C497" s="212"/>
      <c r="D497" s="212"/>
      <c r="E497" s="212"/>
      <c r="F497" s="212"/>
      <c r="G497" s="212"/>
      <c r="H497" s="212"/>
      <c r="I497" s="212"/>
      <c r="J497" s="212"/>
      <c r="K497" s="213"/>
      <c r="L497" s="129">
        <f>L498</f>
        <v>0</v>
      </c>
      <c r="M497" s="185" t="str">
        <f>'BM02'!C181</f>
        <v>un</v>
      </c>
    </row>
    <row r="498" spans="1:13" s="131" customFormat="1" ht="12.75">
      <c r="A498" s="132"/>
      <c r="B498" s="209"/>
      <c r="C498" s="210"/>
      <c r="D498" s="134"/>
      <c r="E498" s="134"/>
      <c r="F498" s="134"/>
      <c r="G498" s="134"/>
      <c r="H498" s="134"/>
      <c r="I498" s="134"/>
      <c r="J498" s="135"/>
      <c r="K498" s="135"/>
      <c r="L498" s="134">
        <f>D498</f>
        <v>0</v>
      </c>
      <c r="M498" s="136"/>
    </row>
    <row r="499" spans="1:13" s="131" customFormat="1" ht="12.75">
      <c r="A499" s="139"/>
      <c r="B499" s="140"/>
      <c r="C499" s="141"/>
      <c r="D499" s="142"/>
      <c r="E499" s="143"/>
      <c r="F499" s="142"/>
      <c r="G499" s="142"/>
      <c r="H499" s="143"/>
      <c r="I499" s="143"/>
      <c r="J499" s="144"/>
      <c r="K499" s="144"/>
      <c r="L499" s="142"/>
      <c r="M499" s="145"/>
    </row>
    <row r="500" spans="1:13" ht="12.6" customHeight="1">
      <c r="A500" s="184" t="str">
        <f>'BM02'!A182</f>
        <v>1.13.21</v>
      </c>
      <c r="B500" s="211" t="str">
        <f>'BM02'!B182</f>
        <v>Ponto para cabeamento estruturado embutido, com eletroduto pvc rígido Ø 3/4" c/cabo UTP 4 pares cat. 6</v>
      </c>
      <c r="C500" s="212"/>
      <c r="D500" s="212"/>
      <c r="E500" s="212"/>
      <c r="F500" s="212"/>
      <c r="G500" s="212"/>
      <c r="H500" s="212"/>
      <c r="I500" s="212"/>
      <c r="J500" s="212"/>
      <c r="K500" s="213"/>
      <c r="L500" s="129">
        <f>L501</f>
        <v>0</v>
      </c>
      <c r="M500" s="185" t="str">
        <f>'BM02'!C182</f>
        <v>pt</v>
      </c>
    </row>
    <row r="501" spans="1:13" s="131" customFormat="1" ht="12.75">
      <c r="A501" s="132"/>
      <c r="B501" s="209"/>
      <c r="C501" s="210"/>
      <c r="D501" s="134"/>
      <c r="E501" s="134"/>
      <c r="F501" s="134"/>
      <c r="G501" s="134"/>
      <c r="H501" s="134"/>
      <c r="I501" s="134"/>
      <c r="J501" s="135"/>
      <c r="K501" s="135"/>
      <c r="L501" s="134">
        <f>D501</f>
        <v>0</v>
      </c>
      <c r="M501" s="136"/>
    </row>
    <row r="502" spans="1:13" s="131" customFormat="1" ht="12.75">
      <c r="A502" s="139"/>
      <c r="B502" s="140"/>
      <c r="C502" s="141"/>
      <c r="D502" s="142"/>
      <c r="E502" s="143"/>
      <c r="F502" s="142"/>
      <c r="G502" s="142"/>
      <c r="H502" s="143"/>
      <c r="I502" s="143"/>
      <c r="J502" s="144"/>
      <c r="K502" s="144"/>
      <c r="L502" s="142"/>
      <c r="M502" s="145"/>
    </row>
    <row r="503" spans="1:13" ht="30" customHeight="1">
      <c r="A503" s="128" t="str">
        <f>'BM02'!A183</f>
        <v>1.13.22</v>
      </c>
      <c r="B503" s="211" t="str">
        <f>'BM02'!B183</f>
        <v>Conjunto moto-bomba com motor de 3/4 cv, trifásico, bomba centrífuga, sucção=1", recalque=1", pr. máx. 26 mca, alt. sucção 8 mca. faixas hm (m) - q (m3/h) : (23-3,4)(20-4,7)(17-5,7)(14-6,6)(11- 7,3), inclusive chave de partida direta</v>
      </c>
      <c r="C503" s="212"/>
      <c r="D503" s="212"/>
      <c r="E503" s="212"/>
      <c r="F503" s="212"/>
      <c r="G503" s="212"/>
      <c r="H503" s="212"/>
      <c r="I503" s="212"/>
      <c r="J503" s="212"/>
      <c r="K503" s="213"/>
      <c r="L503" s="129">
        <f>L504</f>
        <v>0</v>
      </c>
      <c r="M503" s="185" t="str">
        <f>'BM02'!C183</f>
        <v>un</v>
      </c>
    </row>
    <row r="504" spans="1:13" s="131" customFormat="1" ht="12.75">
      <c r="A504" s="132"/>
      <c r="B504" s="209"/>
      <c r="C504" s="210"/>
      <c r="D504" s="134"/>
      <c r="E504" s="134"/>
      <c r="F504" s="134"/>
      <c r="G504" s="134"/>
      <c r="H504" s="134"/>
      <c r="I504" s="134"/>
      <c r="J504" s="135"/>
      <c r="K504" s="135"/>
      <c r="L504" s="134">
        <f>D504</f>
        <v>0</v>
      </c>
      <c r="M504" s="136"/>
    </row>
    <row r="505" spans="1:13" s="131" customFormat="1" ht="12.75">
      <c r="A505" s="139"/>
      <c r="B505" s="140"/>
      <c r="C505" s="141"/>
      <c r="D505" s="142"/>
      <c r="E505" s="143"/>
      <c r="F505" s="142"/>
      <c r="G505" s="142"/>
      <c r="H505" s="143"/>
      <c r="I505" s="143"/>
      <c r="J505" s="144"/>
      <c r="K505" s="144"/>
      <c r="L505" s="142"/>
      <c r="M505" s="145"/>
    </row>
    <row r="506" spans="1:13" ht="30" customHeight="1">
      <c r="A506" s="128" t="str">
        <f>'BM02'!A184</f>
        <v>1.13.23</v>
      </c>
      <c r="B506" s="211" t="str">
        <f>'BM02'!B184</f>
        <v>INTERRUPTOR PULSADOR CAMPAINHA (1 MÓDULO), 10A/250V, INCLUINDO SUPORTE E PLACA - FORNECIMENTO E INSTALAÇÃO. AF_09/2017</v>
      </c>
      <c r="C506" s="212"/>
      <c r="D506" s="212"/>
      <c r="E506" s="212"/>
      <c r="F506" s="212"/>
      <c r="G506" s="212"/>
      <c r="H506" s="212"/>
      <c r="I506" s="212"/>
      <c r="J506" s="212"/>
      <c r="K506" s="213"/>
      <c r="L506" s="129">
        <f>L507</f>
        <v>0</v>
      </c>
      <c r="M506" s="185" t="str">
        <f>'BM02'!C184</f>
        <v>un</v>
      </c>
    </row>
    <row r="507" spans="1:13" s="131" customFormat="1" ht="12.75">
      <c r="A507" s="132"/>
      <c r="B507" s="209"/>
      <c r="C507" s="210"/>
      <c r="D507" s="134"/>
      <c r="E507" s="134"/>
      <c r="F507" s="134"/>
      <c r="G507" s="134"/>
      <c r="H507" s="134"/>
      <c r="I507" s="134"/>
      <c r="J507" s="135"/>
      <c r="K507" s="135"/>
      <c r="L507" s="134">
        <f>D507</f>
        <v>0</v>
      </c>
      <c r="M507" s="136"/>
    </row>
    <row r="508" spans="1:13" s="131" customFormat="1" ht="12.75">
      <c r="A508" s="139"/>
      <c r="B508" s="140"/>
      <c r="C508" s="141"/>
      <c r="D508" s="142"/>
      <c r="E508" s="143"/>
      <c r="F508" s="142"/>
      <c r="G508" s="142"/>
      <c r="H508" s="143"/>
      <c r="I508" s="143"/>
      <c r="J508" s="144"/>
      <c r="K508" s="144"/>
      <c r="L508" s="142"/>
      <c r="M508" s="145"/>
    </row>
    <row r="509" spans="1:13" ht="30" customHeight="1">
      <c r="A509" s="128" t="str">
        <f>'BM02'!A185</f>
        <v>1.13.24</v>
      </c>
      <c r="B509" s="211" t="str">
        <f>'BM02'!B185</f>
        <v>ENTRADA DE ENERGIA ELÉTRICA, AÉREA, TRIFÁSICA, COM CAIXA DE EMBUTIR, CABO DE 10 MM2 E DISJUNTOR DIN 50A (NÃO INCLUSO O POSTE DE CONCRETO). AF_07/2020</v>
      </c>
      <c r="C509" s="212"/>
      <c r="D509" s="212"/>
      <c r="E509" s="212"/>
      <c r="F509" s="212"/>
      <c r="G509" s="212"/>
      <c r="H509" s="212"/>
      <c r="I509" s="212"/>
      <c r="J509" s="212"/>
      <c r="K509" s="213"/>
      <c r="L509" s="129">
        <f>L510</f>
        <v>0</v>
      </c>
      <c r="M509" s="185" t="str">
        <f>'BM02'!C185</f>
        <v>un</v>
      </c>
    </row>
    <row r="510" spans="1:13" s="131" customFormat="1" ht="12.75">
      <c r="A510" s="132"/>
      <c r="B510" s="209"/>
      <c r="C510" s="210"/>
      <c r="D510" s="134"/>
      <c r="E510" s="134"/>
      <c r="F510" s="134"/>
      <c r="G510" s="134"/>
      <c r="H510" s="134"/>
      <c r="I510" s="134"/>
      <c r="J510" s="135"/>
      <c r="K510" s="135"/>
      <c r="L510" s="134">
        <f>D510</f>
        <v>0</v>
      </c>
      <c r="M510" s="136"/>
    </row>
    <row r="511" spans="1:13" s="131" customFormat="1" ht="12.75">
      <c r="A511" s="139"/>
      <c r="B511" s="140"/>
      <c r="C511" s="141"/>
      <c r="D511" s="142"/>
      <c r="E511" s="143"/>
      <c r="F511" s="142"/>
      <c r="G511" s="142"/>
      <c r="H511" s="143"/>
      <c r="I511" s="143"/>
      <c r="J511" s="144"/>
      <c r="K511" s="144"/>
      <c r="L511" s="142"/>
      <c r="M511" s="145"/>
    </row>
    <row r="512" spans="1:13" ht="12.75">
      <c r="A512" s="128" t="str">
        <f>'BM04'!A209</f>
        <v>1.13.25</v>
      </c>
      <c r="B512" s="211" t="str">
        <f>'BM04'!B209</f>
        <v>Fornecimento e instalação de luminária braço de tempo com lâmpada fluorescente eletônica PL 23w</v>
      </c>
      <c r="C512" s="212"/>
      <c r="D512" s="212"/>
      <c r="E512" s="212"/>
      <c r="F512" s="212"/>
      <c r="G512" s="212"/>
      <c r="H512" s="212"/>
      <c r="I512" s="212"/>
      <c r="J512" s="212"/>
      <c r="K512" s="213"/>
      <c r="L512" s="129">
        <f>L513</f>
        <v>0</v>
      </c>
      <c r="M512" s="185" t="str">
        <f>'BM04'!C209</f>
        <v>UND</v>
      </c>
    </row>
    <row r="513" spans="1:13" s="131" customFormat="1" ht="12.75">
      <c r="A513" s="132"/>
      <c r="B513" s="209"/>
      <c r="C513" s="210"/>
      <c r="D513" s="134"/>
      <c r="E513" s="134"/>
      <c r="F513" s="134"/>
      <c r="G513" s="134"/>
      <c r="H513" s="134"/>
      <c r="I513" s="134"/>
      <c r="J513" s="135"/>
      <c r="K513" s="135"/>
      <c r="L513" s="134">
        <f>D513</f>
        <v>0</v>
      </c>
      <c r="M513" s="136"/>
    </row>
    <row r="514" spans="1:13" s="131" customFormat="1" ht="13.5" thickBot="1">
      <c r="A514" s="139"/>
      <c r="B514" s="140"/>
      <c r="C514" s="141"/>
      <c r="D514" s="142"/>
      <c r="E514" s="143"/>
      <c r="F514" s="142"/>
      <c r="G514" s="142"/>
      <c r="H514" s="143"/>
      <c r="I514" s="143"/>
      <c r="J514" s="144"/>
      <c r="K514" s="144"/>
      <c r="L514" s="142"/>
      <c r="M514" s="145"/>
    </row>
    <row r="515" spans="1:13" ht="13.5" thickBot="1">
      <c r="A515" s="121" t="str">
        <f>'BM02'!A187</f>
        <v>1.14</v>
      </c>
      <c r="B515" s="122" t="str">
        <f>'BM02'!B187</f>
        <v>ELEMENTOS DECORATIVOS MOBILIARIO</v>
      </c>
      <c r="C515" s="122"/>
      <c r="D515" s="122"/>
      <c r="E515" s="122"/>
      <c r="F515" s="122"/>
      <c r="G515" s="122"/>
      <c r="H515" s="122"/>
      <c r="I515" s="122"/>
      <c r="J515" s="122"/>
      <c r="K515" s="122"/>
      <c r="L515" s="122"/>
      <c r="M515" s="123"/>
    </row>
    <row r="516" spans="1:13" ht="12.75">
      <c r="A516" s="124"/>
      <c r="B516" s="125"/>
      <c r="C516" s="125"/>
      <c r="D516" s="125"/>
      <c r="E516" s="125"/>
      <c r="F516" s="125"/>
      <c r="G516" s="125"/>
      <c r="H516" s="125"/>
      <c r="I516" s="125"/>
      <c r="J516" s="125"/>
      <c r="K516" s="126"/>
      <c r="L516" s="125"/>
      <c r="M516" s="127"/>
    </row>
    <row r="517" spans="1:13" ht="30" customHeight="1">
      <c r="A517" s="128" t="str">
        <f>'BM02'!A189</f>
        <v>1.14.1</v>
      </c>
      <c r="B517" s="211" t="str">
        <f>'BM02'!B189</f>
        <v>Pintura de Letras - letreiro, sobre paredes, com lixamento, aplicação de 01 demão de líquido selador acrílico, 02 demãos de massa acrílica e 02 demãos de tinta pva latex convencional para exteriores</v>
      </c>
      <c r="C517" s="212"/>
      <c r="D517" s="212"/>
      <c r="E517" s="212"/>
      <c r="F517" s="212"/>
      <c r="G517" s="212"/>
      <c r="H517" s="212"/>
      <c r="I517" s="212"/>
      <c r="J517" s="212"/>
      <c r="K517" s="213"/>
      <c r="L517" s="129">
        <f>L518</f>
        <v>0</v>
      </c>
      <c r="M517" s="130" t="str">
        <f>'BM02'!C189</f>
        <v>un</v>
      </c>
    </row>
    <row r="518" spans="1:13" s="131" customFormat="1" ht="12.75">
      <c r="A518" s="132"/>
      <c r="B518" s="209"/>
      <c r="C518" s="210"/>
      <c r="D518" s="134"/>
      <c r="E518" s="134"/>
      <c r="F518" s="134"/>
      <c r="G518" s="134"/>
      <c r="H518" s="134"/>
      <c r="I518" s="134"/>
      <c r="J518" s="135"/>
      <c r="K518" s="135"/>
      <c r="L518" s="134">
        <f>ROUND(D518*K518,2)</f>
        <v>0</v>
      </c>
      <c r="M518" s="136"/>
    </row>
    <row r="519" spans="1:13" s="131" customFormat="1" ht="12.75">
      <c r="A519" s="139"/>
      <c r="B519" s="140"/>
      <c r="C519" s="141"/>
      <c r="D519" s="142"/>
      <c r="E519" s="143"/>
      <c r="F519" s="142"/>
      <c r="G519" s="142"/>
      <c r="H519" s="143"/>
      <c r="I519" s="143"/>
      <c r="J519" s="144"/>
      <c r="K519" s="144"/>
      <c r="L519" s="142"/>
      <c r="M519" s="145"/>
    </row>
    <row r="520" spans="1:13" ht="12.6" customHeight="1">
      <c r="A520" s="184" t="str">
        <f>'BM02'!A190</f>
        <v>1.14.2</v>
      </c>
      <c r="B520" s="211" t="str">
        <f>'BM02'!B190</f>
        <v>Placa de inauguração em alumínio com Acrilico, 80x60cm,com logomarca e moldura</v>
      </c>
      <c r="C520" s="212"/>
      <c r="D520" s="212"/>
      <c r="E520" s="212"/>
      <c r="F520" s="212"/>
      <c r="G520" s="212"/>
      <c r="H520" s="212"/>
      <c r="I520" s="212"/>
      <c r="J520" s="212"/>
      <c r="K520" s="213"/>
      <c r="L520" s="129">
        <f>L521</f>
        <v>0</v>
      </c>
      <c r="M520" s="130" t="str">
        <f>'BM02'!C190</f>
        <v>un</v>
      </c>
    </row>
    <row r="521" spans="1:13" s="131" customFormat="1" ht="12.75">
      <c r="A521" s="132"/>
      <c r="B521" s="209"/>
      <c r="C521" s="210"/>
      <c r="D521" s="134"/>
      <c r="E521" s="134"/>
      <c r="F521" s="134"/>
      <c r="G521" s="134"/>
      <c r="H521" s="134"/>
      <c r="I521" s="134"/>
      <c r="J521" s="135"/>
      <c r="K521" s="135"/>
      <c r="L521" s="134">
        <f>ROUND(D521*K521,2)</f>
        <v>0</v>
      </c>
      <c r="M521" s="136"/>
    </row>
    <row r="522" spans="1:13" s="131" customFormat="1" ht="12.75">
      <c r="A522" s="139"/>
      <c r="B522" s="140"/>
      <c r="C522" s="141"/>
      <c r="D522" s="142"/>
      <c r="E522" s="143"/>
      <c r="F522" s="142"/>
      <c r="G522" s="142"/>
      <c r="H522" s="143"/>
      <c r="I522" s="143"/>
      <c r="J522" s="144"/>
      <c r="K522" s="144"/>
      <c r="L522" s="142"/>
      <c r="M522" s="145"/>
    </row>
    <row r="523" spans="1:13" ht="12.6" customHeight="1">
      <c r="A523" s="184" t="str">
        <f>'BM02'!A191</f>
        <v>1.14.3</v>
      </c>
      <c r="B523" s="211" t="str">
        <f>'BM02'!B191</f>
        <v>Mastro simples em tubo ferro galvanizado, alt (útil)= 6m (3,80m x 2" + 2,20m x 1 1/2")</v>
      </c>
      <c r="C523" s="212"/>
      <c r="D523" s="212"/>
      <c r="E523" s="212"/>
      <c r="F523" s="212"/>
      <c r="G523" s="212"/>
      <c r="H523" s="212"/>
      <c r="I523" s="212"/>
      <c r="J523" s="212"/>
      <c r="K523" s="213"/>
      <c r="L523" s="129">
        <f>L524</f>
        <v>2</v>
      </c>
      <c r="M523" s="130" t="str">
        <f>'BM02'!C191</f>
        <v>un</v>
      </c>
    </row>
    <row r="524" spans="1:13" s="131" customFormat="1" ht="12.75">
      <c r="A524" s="132"/>
      <c r="B524" s="209" t="s">
        <v>803</v>
      </c>
      <c r="C524" s="210"/>
      <c r="D524" s="134">
        <f>2</f>
        <v>2</v>
      </c>
      <c r="E524" s="134"/>
      <c r="F524" s="134"/>
      <c r="G524" s="134"/>
      <c r="H524" s="134"/>
      <c r="I524" s="134"/>
      <c r="J524" s="135"/>
      <c r="K524" s="135"/>
      <c r="L524" s="134">
        <f>D524</f>
        <v>2</v>
      </c>
      <c r="M524" s="136"/>
    </row>
    <row r="525" spans="1:13" s="131" customFormat="1" ht="12.75">
      <c r="A525" s="139"/>
      <c r="B525" s="140"/>
      <c r="C525" s="141"/>
      <c r="D525" s="142"/>
      <c r="E525" s="143"/>
      <c r="F525" s="142"/>
      <c r="G525" s="142"/>
      <c r="H525" s="143"/>
      <c r="I525" s="143"/>
      <c r="J525" s="144"/>
      <c r="K525" s="144"/>
      <c r="L525" s="142"/>
      <c r="M525" s="145"/>
    </row>
    <row r="526" spans="1:13" ht="12.6" customHeight="1">
      <c r="A526" s="184" t="str">
        <f>'BM02'!A192</f>
        <v>1.14.4</v>
      </c>
      <c r="B526" s="211" t="str">
        <f>'BM02'!B192</f>
        <v>Mastro simples em tubo ferro galvanizado, alt (útil)= 6m (3,80m x 2" + 2,20m x 1 1/2")</v>
      </c>
      <c r="C526" s="212"/>
      <c r="D526" s="212"/>
      <c r="E526" s="212"/>
      <c r="F526" s="212"/>
      <c r="G526" s="212"/>
      <c r="H526" s="212"/>
      <c r="I526" s="212"/>
      <c r="J526" s="212"/>
      <c r="K526" s="213"/>
      <c r="L526" s="129">
        <f>L527</f>
        <v>1</v>
      </c>
      <c r="M526" s="130" t="str">
        <f>'BM02'!C192</f>
        <v>un</v>
      </c>
    </row>
    <row r="527" spans="1:13" s="131" customFormat="1" ht="12.75">
      <c r="A527" s="132"/>
      <c r="B527" s="209" t="s">
        <v>804</v>
      </c>
      <c r="C527" s="210"/>
      <c r="D527" s="134">
        <f>1</f>
        <v>1</v>
      </c>
      <c r="E527" s="134"/>
      <c r="F527" s="134"/>
      <c r="G527" s="134"/>
      <c r="H527" s="134"/>
      <c r="I527" s="134"/>
      <c r="J527" s="135"/>
      <c r="K527" s="135"/>
      <c r="L527" s="134">
        <f>D527</f>
        <v>1</v>
      </c>
      <c r="M527" s="136"/>
    </row>
    <row r="528" spans="1:13" s="131" customFormat="1" ht="12.75">
      <c r="A528" s="139"/>
      <c r="B528" s="140"/>
      <c r="C528" s="141"/>
      <c r="D528" s="142"/>
      <c r="E528" s="143"/>
      <c r="F528" s="142"/>
      <c r="G528" s="142"/>
      <c r="H528" s="143"/>
      <c r="I528" s="143"/>
      <c r="J528" s="144"/>
      <c r="K528" s="144"/>
      <c r="L528" s="142"/>
      <c r="M528" s="145"/>
    </row>
    <row r="529" spans="1:13" ht="12.6" customHeight="1">
      <c r="A529" s="184" t="str">
        <f>'BM02'!A193</f>
        <v>1.14.5</v>
      </c>
      <c r="B529" s="211" t="str">
        <f>'BM02'!B193</f>
        <v>Quadro escolar em fórmica branca com moldura</v>
      </c>
      <c r="C529" s="212"/>
      <c r="D529" s="212"/>
      <c r="E529" s="212"/>
      <c r="F529" s="212"/>
      <c r="G529" s="212"/>
      <c r="H529" s="212"/>
      <c r="I529" s="212"/>
      <c r="J529" s="212"/>
      <c r="K529" s="213"/>
      <c r="L529" s="129">
        <f>L530</f>
        <v>0</v>
      </c>
      <c r="M529" s="130" t="str">
        <f>'BM02'!C193</f>
        <v>m²</v>
      </c>
    </row>
    <row r="530" spans="1:13" s="131" customFormat="1" ht="12.75">
      <c r="A530" s="132"/>
      <c r="B530" s="209"/>
      <c r="C530" s="210"/>
      <c r="D530" s="134"/>
      <c r="E530" s="134"/>
      <c r="F530" s="134"/>
      <c r="G530" s="134"/>
      <c r="H530" s="134"/>
      <c r="I530" s="134"/>
      <c r="J530" s="135"/>
      <c r="K530" s="135"/>
      <c r="L530" s="134">
        <f>ROUND(D530*K530,2)</f>
        <v>0</v>
      </c>
      <c r="M530" s="136"/>
    </row>
    <row r="531" spans="1:13" s="131" customFormat="1" ht="12.75">
      <c r="A531" s="139"/>
      <c r="B531" s="140"/>
      <c r="C531" s="141"/>
      <c r="D531" s="142"/>
      <c r="E531" s="143"/>
      <c r="F531" s="142"/>
      <c r="G531" s="142"/>
      <c r="H531" s="143"/>
      <c r="I531" s="143"/>
      <c r="J531" s="144"/>
      <c r="K531" s="144"/>
      <c r="L531" s="142"/>
      <c r="M531" s="145"/>
    </row>
    <row r="532" spans="1:13" ht="30" customHeight="1">
      <c r="A532" s="128" t="str">
        <f>'BM02'!A194</f>
        <v>1.14.6</v>
      </c>
      <c r="B532" s="211" t="str">
        <f>'BM02'!B194</f>
        <v>EXTINTOR DE INCÊNDIO PORTÁTIL COM CARGA DE ÁGUA PRESSURIZADA DE 10 L, CLASSE A - FORNECIMENTO E INSTALAÇÃO. AF_10/2020_P</v>
      </c>
      <c r="C532" s="212"/>
      <c r="D532" s="212"/>
      <c r="E532" s="212"/>
      <c r="F532" s="212"/>
      <c r="G532" s="212"/>
      <c r="H532" s="212"/>
      <c r="I532" s="212"/>
      <c r="J532" s="212"/>
      <c r="K532" s="213"/>
      <c r="L532" s="129">
        <f>L533</f>
        <v>1</v>
      </c>
      <c r="M532" s="130" t="str">
        <f>'BM02'!C194</f>
        <v>un</v>
      </c>
    </row>
    <row r="533" spans="1:13" s="131" customFormat="1" ht="12.75">
      <c r="A533" s="132"/>
      <c r="B533" s="209"/>
      <c r="C533" s="210"/>
      <c r="D533" s="134">
        <v>1</v>
      </c>
      <c r="E533" s="134"/>
      <c r="F533" s="134"/>
      <c r="G533" s="134"/>
      <c r="H533" s="134"/>
      <c r="I533" s="134"/>
      <c r="J533" s="135"/>
      <c r="K533" s="135"/>
      <c r="L533" s="134">
        <f>D533</f>
        <v>1</v>
      </c>
      <c r="M533" s="136"/>
    </row>
    <row r="534" spans="1:13" s="131" customFormat="1" ht="12.75">
      <c r="A534" s="139"/>
      <c r="B534" s="140"/>
      <c r="C534" s="141"/>
      <c r="D534" s="142"/>
      <c r="E534" s="143"/>
      <c r="F534" s="142"/>
      <c r="G534" s="142"/>
      <c r="H534" s="143"/>
      <c r="I534" s="143"/>
      <c r="J534" s="144"/>
      <c r="K534" s="144"/>
      <c r="L534" s="142"/>
      <c r="M534" s="145"/>
    </row>
    <row r="535" spans="1:13" ht="30" customHeight="1">
      <c r="A535" s="128" t="str">
        <f>'BM02'!A195</f>
        <v>1.14.7</v>
      </c>
      <c r="B535" s="211" t="str">
        <f>'BM02'!B195</f>
        <v>EXTINTOR DE INCÊNDIO PORTÁTIL COM CARGA DE PQS DE 4 KG, CLASSE BC - FORNECIMENTO E INSTALAÇÃO. AF_10/2020_P</v>
      </c>
      <c r="C535" s="212"/>
      <c r="D535" s="212"/>
      <c r="E535" s="212"/>
      <c r="F535" s="212"/>
      <c r="G535" s="212"/>
      <c r="H535" s="212"/>
      <c r="I535" s="212"/>
      <c r="J535" s="212"/>
      <c r="K535" s="213"/>
      <c r="L535" s="129">
        <f>L536</f>
        <v>2</v>
      </c>
      <c r="M535" s="130" t="str">
        <f>'BM02'!C195</f>
        <v>un</v>
      </c>
    </row>
    <row r="536" spans="1:13" s="131" customFormat="1" ht="12.75">
      <c r="A536" s="132"/>
      <c r="B536" s="209"/>
      <c r="C536" s="210"/>
      <c r="D536" s="134">
        <v>2</v>
      </c>
      <c r="E536" s="134"/>
      <c r="F536" s="134"/>
      <c r="G536" s="134"/>
      <c r="H536" s="134"/>
      <c r="I536" s="134"/>
      <c r="J536" s="135"/>
      <c r="K536" s="135"/>
      <c r="L536" s="134">
        <f>D536</f>
        <v>2</v>
      </c>
      <c r="M536" s="136"/>
    </row>
    <row r="537" spans="1:13" s="131" customFormat="1" ht="13.5" thickBot="1">
      <c r="A537" s="139"/>
      <c r="B537" s="140"/>
      <c r="C537" s="141"/>
      <c r="D537" s="142"/>
      <c r="E537" s="143"/>
      <c r="F537" s="142"/>
      <c r="G537" s="142"/>
      <c r="H537" s="143"/>
      <c r="I537" s="143"/>
      <c r="J537" s="144"/>
      <c r="K537" s="144"/>
      <c r="L537" s="142"/>
      <c r="M537" s="145"/>
    </row>
    <row r="538" spans="1:13" ht="13.5" thickBot="1">
      <c r="A538" s="121" t="str">
        <f>'BM02'!A197</f>
        <v>1.15</v>
      </c>
      <c r="B538" s="122" t="str">
        <f>'BM02'!B197</f>
        <v>LIMPEZA, ENTREGA DA OBRA</v>
      </c>
      <c r="C538" s="122"/>
      <c r="D538" s="122"/>
      <c r="E538" s="122"/>
      <c r="F538" s="122"/>
      <c r="G538" s="122"/>
      <c r="H538" s="122"/>
      <c r="I538" s="122"/>
      <c r="J538" s="122"/>
      <c r="K538" s="122"/>
      <c r="L538" s="122"/>
      <c r="M538" s="123"/>
    </row>
    <row r="539" spans="1:13" ht="12.75">
      <c r="A539" s="124"/>
      <c r="B539" s="125"/>
      <c r="C539" s="125"/>
      <c r="D539" s="125"/>
      <c r="E539" s="125"/>
      <c r="F539" s="125"/>
      <c r="G539" s="125"/>
      <c r="H539" s="125"/>
      <c r="I539" s="125"/>
      <c r="J539" s="125"/>
      <c r="K539" s="126"/>
      <c r="L539" s="125"/>
      <c r="M539" s="127"/>
    </row>
    <row r="540" spans="1:13" ht="12.6" customHeight="1">
      <c r="A540" s="184" t="str">
        <f>'BM02'!A199</f>
        <v>1.15.1</v>
      </c>
      <c r="B540" s="211" t="str">
        <f>'BM02'!B199</f>
        <v>Limpeza geral</v>
      </c>
      <c r="C540" s="212"/>
      <c r="D540" s="212"/>
      <c r="E540" s="212"/>
      <c r="F540" s="212"/>
      <c r="G540" s="212"/>
      <c r="H540" s="212"/>
      <c r="I540" s="212"/>
      <c r="J540" s="212"/>
      <c r="K540" s="213"/>
      <c r="L540" s="129">
        <f>L541</f>
        <v>604</v>
      </c>
      <c r="M540" s="185" t="str">
        <f>'BM02'!C199</f>
        <v>m²</v>
      </c>
    </row>
    <row r="541" spans="1:13" s="131" customFormat="1" ht="12.75">
      <c r="A541" s="132"/>
      <c r="B541" s="209" t="s">
        <v>809</v>
      </c>
      <c r="C541" s="210"/>
      <c r="D541" s="134">
        <f>604</f>
        <v>604</v>
      </c>
      <c r="E541" s="134"/>
      <c r="F541" s="134"/>
      <c r="G541" s="134"/>
      <c r="H541" s="134"/>
      <c r="I541" s="134"/>
      <c r="J541" s="135"/>
      <c r="K541" s="135"/>
      <c r="L541" s="134">
        <f>D541</f>
        <v>604</v>
      </c>
      <c r="M541" s="136"/>
    </row>
    <row r="542" spans="1:13" s="131" customFormat="1" ht="12.75">
      <c r="A542" s="139"/>
      <c r="B542" s="140"/>
      <c r="C542" s="141"/>
      <c r="D542" s="142"/>
      <c r="E542" s="143"/>
      <c r="F542" s="142"/>
      <c r="G542" s="142"/>
      <c r="H542" s="143"/>
      <c r="I542" s="143"/>
      <c r="J542" s="144"/>
      <c r="K542" s="144"/>
      <c r="L542" s="142"/>
      <c r="M542" s="145"/>
    </row>
    <row r="543" spans="1:13" ht="12.6" customHeight="1">
      <c r="A543" s="184" t="str">
        <f>'BM02'!A200</f>
        <v>1.15.2</v>
      </c>
      <c r="B543" s="211" t="str">
        <f>'BM02'!B200</f>
        <v>bota-fora (carga manual, transporte e descarga mecanica, caminhão basculante de 10m³) ate 5,00km</v>
      </c>
      <c r="C543" s="212"/>
      <c r="D543" s="212"/>
      <c r="E543" s="212"/>
      <c r="F543" s="212"/>
      <c r="G543" s="212"/>
      <c r="H543" s="212"/>
      <c r="I543" s="212"/>
      <c r="J543" s="212"/>
      <c r="K543" s="213"/>
      <c r="L543" s="129">
        <f>L544</f>
        <v>81.59</v>
      </c>
      <c r="M543" s="185" t="str">
        <f>'BM02'!C200</f>
        <v>m³</v>
      </c>
    </row>
    <row r="544" spans="1:13" s="131" customFormat="1" ht="12.75">
      <c r="A544" s="132"/>
      <c r="B544" s="209" t="s">
        <v>810</v>
      </c>
      <c r="C544" s="210"/>
      <c r="D544" s="134">
        <f>81.59</f>
        <v>81.59</v>
      </c>
      <c r="E544" s="134"/>
      <c r="F544" s="134"/>
      <c r="G544" s="134"/>
      <c r="H544" s="134"/>
      <c r="I544" s="134"/>
      <c r="J544" s="135"/>
      <c r="K544" s="135"/>
      <c r="L544" s="134">
        <f>D544</f>
        <v>81.59</v>
      </c>
      <c r="M544" s="136"/>
    </row>
    <row r="545" spans="1:13" s="131" customFormat="1" ht="13.5" thickBot="1">
      <c r="A545" s="139"/>
      <c r="B545" s="140"/>
      <c r="C545" s="141"/>
      <c r="D545" s="142"/>
      <c r="E545" s="143"/>
      <c r="F545" s="142"/>
      <c r="G545" s="142"/>
      <c r="H545" s="143"/>
      <c r="I545" s="143"/>
      <c r="J545" s="144"/>
      <c r="K545" s="144"/>
      <c r="L545" s="142"/>
      <c r="M545" s="145"/>
    </row>
    <row r="546" spans="1:13" ht="13.9" customHeight="1" thickBot="1">
      <c r="A546" s="272" t="str">
        <f>'BM02'!A202</f>
        <v>ETAPA 02: RECREIO COBERTO</v>
      </c>
      <c r="B546" s="273"/>
      <c r="C546" s="273"/>
      <c r="D546" s="273"/>
      <c r="E546" s="273"/>
      <c r="F546" s="273"/>
      <c r="G546" s="273"/>
      <c r="H546" s="273"/>
      <c r="I546" s="273"/>
      <c r="J546" s="273"/>
      <c r="K546" s="273"/>
      <c r="L546" s="273"/>
      <c r="M546" s="274"/>
    </row>
    <row r="547" spans="1:13" s="131" customFormat="1" ht="13.5" thickBot="1">
      <c r="A547" s="139"/>
      <c r="B547" s="140"/>
      <c r="C547" s="141"/>
      <c r="D547" s="142"/>
      <c r="E547" s="143"/>
      <c r="F547" s="142"/>
      <c r="G547" s="142"/>
      <c r="H547" s="143"/>
      <c r="I547" s="143"/>
      <c r="J547" s="144"/>
      <c r="K547" s="144"/>
      <c r="L547" s="142"/>
      <c r="M547" s="145"/>
    </row>
    <row r="548" spans="1:13" ht="13.5" thickBot="1">
      <c r="A548" s="121" t="str">
        <f>'BM02'!A204</f>
        <v>2.1</v>
      </c>
      <c r="B548" s="122" t="str">
        <f>'BM02'!B204</f>
        <v>SERVIÇOS PRELIMINARES</v>
      </c>
      <c r="C548" s="122"/>
      <c r="D548" s="122"/>
      <c r="E548" s="122"/>
      <c r="F548" s="122"/>
      <c r="G548" s="122"/>
      <c r="H548" s="122"/>
      <c r="I548" s="122"/>
      <c r="J548" s="122"/>
      <c r="K548" s="122"/>
      <c r="L548" s="122"/>
      <c r="M548" s="123"/>
    </row>
    <row r="549" spans="1:13" ht="12.75">
      <c r="A549" s="124"/>
      <c r="B549" s="125"/>
      <c r="C549" s="125"/>
      <c r="D549" s="125"/>
      <c r="E549" s="125"/>
      <c r="F549" s="125"/>
      <c r="G549" s="125"/>
      <c r="H549" s="125"/>
      <c r="I549" s="125"/>
      <c r="J549" s="125"/>
      <c r="K549" s="126"/>
      <c r="L549" s="125"/>
      <c r="M549" s="127"/>
    </row>
    <row r="550" spans="1:13" ht="30" customHeight="1">
      <c r="A550" s="128" t="str">
        <f>'BM02'!A206</f>
        <v>2.1.1</v>
      </c>
      <c r="B550" s="211" t="str">
        <f>'BM02'!B206</f>
        <v>LOCACAO CONVENCIONAL DE OBRA, UTILIZANDO GABARITO DE TÁBUAS CORRIDAS PONTALETADAS A CADA 2,00M - 2 UTILIZAÇÕES. AF_10/2018</v>
      </c>
      <c r="C550" s="212"/>
      <c r="D550" s="212"/>
      <c r="E550" s="212"/>
      <c r="F550" s="212"/>
      <c r="G550" s="212"/>
      <c r="H550" s="212"/>
      <c r="I550" s="212"/>
      <c r="J550" s="212"/>
      <c r="K550" s="213"/>
      <c r="L550" s="129">
        <f>L551</f>
        <v>0</v>
      </c>
      <c r="M550" s="130" t="str">
        <f>'BM02'!C206</f>
        <v>m</v>
      </c>
    </row>
    <row r="551" spans="1:13" s="131" customFormat="1" ht="12.75">
      <c r="A551" s="132"/>
      <c r="B551" s="209"/>
      <c r="C551" s="210"/>
      <c r="D551" s="134"/>
      <c r="E551" s="134"/>
      <c r="F551" s="134"/>
      <c r="G551" s="134"/>
      <c r="H551" s="134"/>
      <c r="I551" s="134"/>
      <c r="J551" s="135"/>
      <c r="K551" s="135"/>
      <c r="L551" s="134"/>
      <c r="M551" s="136"/>
    </row>
    <row r="552" spans="1:13" s="131" customFormat="1" ht="13.5" thickBot="1">
      <c r="A552" s="139"/>
      <c r="B552" s="140"/>
      <c r="C552" s="141"/>
      <c r="D552" s="142"/>
      <c r="E552" s="143"/>
      <c r="F552" s="142"/>
      <c r="G552" s="142"/>
      <c r="H552" s="143"/>
      <c r="I552" s="143"/>
      <c r="J552" s="144"/>
      <c r="K552" s="144"/>
      <c r="L552" s="142"/>
      <c r="M552" s="145"/>
    </row>
    <row r="553" spans="1:13" ht="13.5" thickBot="1">
      <c r="A553" s="121" t="str">
        <f>'BM02'!A208</f>
        <v>2.2</v>
      </c>
      <c r="B553" s="122" t="str">
        <f>'BM02'!B208</f>
        <v>MOVIMENTO DE TERRA</v>
      </c>
      <c r="C553" s="122"/>
      <c r="D553" s="122"/>
      <c r="E553" s="122"/>
      <c r="F553" s="122"/>
      <c r="G553" s="122"/>
      <c r="H553" s="122"/>
      <c r="I553" s="122"/>
      <c r="J553" s="122"/>
      <c r="K553" s="122"/>
      <c r="L553" s="122"/>
      <c r="M553" s="123"/>
    </row>
    <row r="554" spans="1:13" ht="12.75">
      <c r="A554" s="124"/>
      <c r="B554" s="125"/>
      <c r="C554" s="125"/>
      <c r="D554" s="125"/>
      <c r="E554" s="125"/>
      <c r="F554" s="125"/>
      <c r="G554" s="125"/>
      <c r="H554" s="125"/>
      <c r="I554" s="125"/>
      <c r="J554" s="125"/>
      <c r="K554" s="126"/>
      <c r="L554" s="125"/>
      <c r="M554" s="127"/>
    </row>
    <row r="555" spans="1:13" ht="30" customHeight="1">
      <c r="A555" s="128" t="str">
        <f>'BM02'!A210</f>
        <v>2.2.1</v>
      </c>
      <c r="B555" s="211" t="str">
        <f>'BM02'!B210</f>
        <v>ESCAVACAO MECANICA DE VALA EM MATERIAL DE 2A. CATEGORIA ATE 2 M DE PROFUNDIDADE COM UTILIZACAO DE ESCAVADEIRA HIDRAULICA</v>
      </c>
      <c r="C555" s="212"/>
      <c r="D555" s="212"/>
      <c r="E555" s="212"/>
      <c r="F555" s="212"/>
      <c r="G555" s="212"/>
      <c r="H555" s="212"/>
      <c r="I555" s="212"/>
      <c r="J555" s="212"/>
      <c r="K555" s="213"/>
      <c r="L555" s="129">
        <f>L556</f>
        <v>0</v>
      </c>
      <c r="M555" s="130" t="str">
        <f>'BM02'!C210</f>
        <v>m³</v>
      </c>
    </row>
    <row r="556" spans="1:13" s="131" customFormat="1" ht="12.75">
      <c r="A556" s="132"/>
      <c r="B556" s="209"/>
      <c r="C556" s="210"/>
      <c r="D556" s="134"/>
      <c r="E556" s="134"/>
      <c r="F556" s="134"/>
      <c r="G556" s="134"/>
      <c r="H556" s="134"/>
      <c r="I556" s="134"/>
      <c r="J556" s="135"/>
      <c r="K556" s="135"/>
      <c r="L556" s="134"/>
      <c r="M556" s="136"/>
    </row>
    <row r="557" spans="1:13" s="131" customFormat="1" ht="12.75">
      <c r="A557" s="139"/>
      <c r="B557" s="140"/>
      <c r="C557" s="141"/>
      <c r="D557" s="142"/>
      <c r="E557" s="143"/>
      <c r="F557" s="142"/>
      <c r="G557" s="142"/>
      <c r="H557" s="143"/>
      <c r="I557" s="143"/>
      <c r="J557" s="144"/>
      <c r="K557" s="144"/>
      <c r="L557" s="142"/>
      <c r="M557" s="145"/>
    </row>
    <row r="558" spans="1:13" ht="12.75">
      <c r="A558" s="128" t="str">
        <f>'BM02'!A211</f>
        <v>2.2.2</v>
      </c>
      <c r="B558" s="211" t="str">
        <f>'BM02'!B211</f>
        <v>EMBASAMENTO C/PEDRA ARGAMASSADA UTILIZADO ARG.CIM/AREIA 1:4 (ADAPTADO SINAPI 95467)</v>
      </c>
      <c r="C558" s="212"/>
      <c r="D558" s="212"/>
      <c r="E558" s="212"/>
      <c r="F558" s="212"/>
      <c r="G558" s="212"/>
      <c r="H558" s="212"/>
      <c r="I558" s="212"/>
      <c r="J558" s="212"/>
      <c r="K558" s="213"/>
      <c r="L558" s="129">
        <f>L559</f>
        <v>0</v>
      </c>
      <c r="M558" s="130" t="str">
        <f>'BM02'!C211</f>
        <v>m³</v>
      </c>
    </row>
    <row r="559" spans="1:13" s="131" customFormat="1" ht="12.75">
      <c r="A559" s="132"/>
      <c r="B559" s="209"/>
      <c r="C559" s="210"/>
      <c r="D559" s="134"/>
      <c r="E559" s="134"/>
      <c r="F559" s="134"/>
      <c r="G559" s="134"/>
      <c r="H559" s="134"/>
      <c r="I559" s="134"/>
      <c r="J559" s="135"/>
      <c r="K559" s="135"/>
      <c r="L559" s="134"/>
      <c r="M559" s="136"/>
    </row>
    <row r="560" spans="1:13" s="131" customFormat="1" ht="13.5" thickBot="1">
      <c r="A560" s="139"/>
      <c r="B560" s="140"/>
      <c r="C560" s="141"/>
      <c r="D560" s="142"/>
      <c r="E560" s="143"/>
      <c r="F560" s="142"/>
      <c r="G560" s="142"/>
      <c r="H560" s="143"/>
      <c r="I560" s="143"/>
      <c r="J560" s="144"/>
      <c r="K560" s="144"/>
      <c r="L560" s="142"/>
      <c r="M560" s="145"/>
    </row>
    <row r="561" spans="1:13" ht="13.5" thickBot="1">
      <c r="A561" s="121" t="str">
        <f>'BM02'!A213</f>
        <v>2.3</v>
      </c>
      <c r="B561" s="122" t="str">
        <f>'BM02'!B213</f>
        <v>FUNDAÇÃO</v>
      </c>
      <c r="C561" s="122"/>
      <c r="D561" s="122"/>
      <c r="E561" s="122"/>
      <c r="F561" s="122"/>
      <c r="G561" s="122"/>
      <c r="H561" s="122"/>
      <c r="I561" s="122"/>
      <c r="J561" s="122"/>
      <c r="K561" s="122"/>
      <c r="L561" s="122"/>
      <c r="M561" s="123"/>
    </row>
    <row r="562" spans="1:13" ht="12.75">
      <c r="A562" s="124"/>
      <c r="B562" s="125"/>
      <c r="C562" s="125"/>
      <c r="D562" s="125"/>
      <c r="E562" s="125"/>
      <c r="F562" s="125"/>
      <c r="G562" s="125"/>
      <c r="H562" s="125"/>
      <c r="I562" s="125"/>
      <c r="J562" s="125"/>
      <c r="K562" s="126"/>
      <c r="L562" s="125"/>
      <c r="M562" s="127"/>
    </row>
    <row r="563" spans="1:13" ht="12.6" customHeight="1">
      <c r="A563" s="184" t="str">
        <f>'BM02'!A215</f>
        <v>2.3.1</v>
      </c>
      <c r="B563" s="211" t="str">
        <f>'BM02'!B215</f>
        <v>LASTRO DE CONCRETO MAGRO, APLICADO EM BLOCOS DE COROAMENTO OU SAPATAS. AF_08/2017</v>
      </c>
      <c r="C563" s="212"/>
      <c r="D563" s="212"/>
      <c r="E563" s="212"/>
      <c r="F563" s="212"/>
      <c r="G563" s="212"/>
      <c r="H563" s="212"/>
      <c r="I563" s="212"/>
      <c r="J563" s="212"/>
      <c r="K563" s="213"/>
      <c r="L563" s="129">
        <f>L564</f>
        <v>0</v>
      </c>
      <c r="M563" s="185" t="str">
        <f>'BM02'!C215</f>
        <v>m³</v>
      </c>
    </row>
    <row r="564" spans="1:13" s="131" customFormat="1" ht="12.75">
      <c r="A564" s="132"/>
      <c r="B564" s="209"/>
      <c r="C564" s="210"/>
      <c r="D564" s="134"/>
      <c r="E564" s="134"/>
      <c r="F564" s="134"/>
      <c r="G564" s="134"/>
      <c r="H564" s="134"/>
      <c r="I564" s="134"/>
      <c r="J564" s="135"/>
      <c r="K564" s="135"/>
      <c r="L564" s="134"/>
      <c r="M564" s="136"/>
    </row>
    <row r="565" spans="1:13" s="131" customFormat="1" ht="12.75">
      <c r="A565" s="139"/>
      <c r="B565" s="140"/>
      <c r="C565" s="141"/>
      <c r="D565" s="142"/>
      <c r="E565" s="143"/>
      <c r="F565" s="142"/>
      <c r="G565" s="142"/>
      <c r="H565" s="143"/>
      <c r="I565" s="143"/>
      <c r="J565" s="144"/>
      <c r="K565" s="144"/>
      <c r="L565" s="142"/>
      <c r="M565" s="145"/>
    </row>
    <row r="566" spans="1:13" ht="30" customHeight="1">
      <c r="A566" s="128" t="str">
        <f>'BM02'!A216</f>
        <v>2.3.2</v>
      </c>
      <c r="B566" s="211" t="str">
        <f>'BM02'!B216</f>
        <v>LOCACAO CONVENCIONAL DE OBRA, UTILIZANDO GABARITO DE TÁBUAS CORRIDAS PONTALETADAS A CADA 2,00M - 2 UTILIZAÇÕES. AF_10/2020</v>
      </c>
      <c r="C566" s="212"/>
      <c r="D566" s="212"/>
      <c r="E566" s="212"/>
      <c r="F566" s="212"/>
      <c r="G566" s="212"/>
      <c r="H566" s="212"/>
      <c r="I566" s="212"/>
      <c r="J566" s="212"/>
      <c r="K566" s="213"/>
      <c r="L566" s="129">
        <f>L567</f>
        <v>0</v>
      </c>
      <c r="M566" s="185" t="str">
        <f>'BM02'!C216</f>
        <v>m³</v>
      </c>
    </row>
    <row r="567" spans="1:13" s="131" customFormat="1" ht="12.75">
      <c r="A567" s="132"/>
      <c r="B567" s="209"/>
      <c r="C567" s="210"/>
      <c r="D567" s="134"/>
      <c r="E567" s="134"/>
      <c r="F567" s="134"/>
      <c r="G567" s="134"/>
      <c r="H567" s="134"/>
      <c r="I567" s="134"/>
      <c r="J567" s="135"/>
      <c r="K567" s="135"/>
      <c r="L567" s="134"/>
      <c r="M567" s="136"/>
    </row>
    <row r="568" spans="1:13" s="131" customFormat="1" ht="12.75">
      <c r="A568" s="139"/>
      <c r="B568" s="140"/>
      <c r="C568" s="141"/>
      <c r="D568" s="142"/>
      <c r="E568" s="143"/>
      <c r="F568" s="142"/>
      <c r="G568" s="142"/>
      <c r="H568" s="143"/>
      <c r="I568" s="143"/>
      <c r="J568" s="144"/>
      <c r="K568" s="144"/>
      <c r="L568" s="142"/>
      <c r="M568" s="145"/>
    </row>
    <row r="569" spans="1:13" ht="30" customHeight="1">
      <c r="A569" s="128" t="str">
        <f>'BM02'!A217</f>
        <v>2.3.3</v>
      </c>
      <c r="B569" s="211" t="str">
        <f>'BM02'!B217</f>
        <v>(COMPOSIÇÃO REPRESENTATIVA) EXECUÇÃO DE ESTRUTURAS DE CONCRETO ARMADO CONVENCIONAL, PARA EDIFICAÇÃO HABITACIONAL MULTIFAMILIAR (PRÉDIO), FCK = 25 MPA. AF_01/2017</v>
      </c>
      <c r="C569" s="212"/>
      <c r="D569" s="212"/>
      <c r="E569" s="212"/>
      <c r="F569" s="212"/>
      <c r="G569" s="212"/>
      <c r="H569" s="212"/>
      <c r="I569" s="212"/>
      <c r="J569" s="212"/>
      <c r="K569" s="213"/>
      <c r="L569" s="129">
        <f>SUM(L570:L570)</f>
        <v>0</v>
      </c>
      <c r="M569" s="185" t="str">
        <f>'BM02'!C217</f>
        <v>m³</v>
      </c>
    </row>
    <row r="570" spans="1:13" s="131" customFormat="1" ht="14.45" customHeight="1">
      <c r="A570" s="191"/>
      <c r="B570" s="275"/>
      <c r="C570" s="276"/>
      <c r="D570" s="134"/>
      <c r="E570" s="134"/>
      <c r="F570" s="134"/>
      <c r="G570" s="134"/>
      <c r="H570" s="134"/>
      <c r="I570" s="134"/>
      <c r="J570" s="135"/>
      <c r="K570" s="135"/>
      <c r="L570" s="134">
        <f>ROUND(D570*K570,1)</f>
        <v>0</v>
      </c>
      <c r="M570" s="136"/>
    </row>
    <row r="571" spans="1:13" s="131" customFormat="1" ht="12.75">
      <c r="A571" s="192"/>
      <c r="B571" s="190"/>
      <c r="C571" s="193"/>
      <c r="D571" s="176"/>
      <c r="E571" s="176"/>
      <c r="F571" s="176"/>
      <c r="G571" s="176"/>
      <c r="H571" s="176"/>
      <c r="I571" s="176"/>
      <c r="J571" s="177"/>
      <c r="K571" s="177"/>
      <c r="L571" s="134"/>
      <c r="M571" s="136"/>
    </row>
    <row r="572" spans="1:13" ht="43.15" customHeight="1">
      <c r="A572" s="128" t="str">
        <f>'BM04'!A242</f>
        <v>2.3.4</v>
      </c>
      <c r="B572" s="211" t="str">
        <f>'BM04'!B242</f>
        <v>ALVENARIA DE VEDAÇÃO DE BLOCOS CERÂMICOS FURADOS NA HORIZONTAL DE 9X19X19CM (ESPESSURA 19CM) DE PAREDES COM ÁREA LÍQUIDA MAIOR OU IGUAL A 6M² COM VÃOS E ARGAMASSA DE ASSENTAMENTO COM PREPARO MANUAL. AF_06/2014</v>
      </c>
      <c r="C572" s="212"/>
      <c r="D572" s="212"/>
      <c r="E572" s="212"/>
      <c r="F572" s="212"/>
      <c r="G572" s="212"/>
      <c r="H572" s="212"/>
      <c r="I572" s="212"/>
      <c r="J572" s="212"/>
      <c r="K572" s="213"/>
      <c r="L572" s="129">
        <f>SUM(L573:L573)</f>
        <v>0</v>
      </c>
      <c r="M572" s="185" t="str">
        <f>'BM04'!C242</f>
        <v>M²</v>
      </c>
    </row>
    <row r="573" spans="1:13" s="131" customFormat="1" ht="12.75">
      <c r="A573" s="132"/>
      <c r="B573" s="209"/>
      <c r="C573" s="210"/>
      <c r="D573" s="134"/>
      <c r="E573" s="134"/>
      <c r="F573" s="134"/>
      <c r="G573" s="134"/>
      <c r="H573" s="134"/>
      <c r="I573" s="134"/>
      <c r="J573" s="135"/>
      <c r="K573" s="135"/>
      <c r="L573" s="134">
        <f>ROUND(D573*K573,2)</f>
        <v>0</v>
      </c>
      <c r="M573" s="136"/>
    </row>
    <row r="574" spans="1:13" s="131" customFormat="1" ht="13.5" thickBot="1">
      <c r="A574" s="139"/>
      <c r="B574" s="140"/>
      <c r="C574" s="141"/>
      <c r="D574" s="142"/>
      <c r="E574" s="143"/>
      <c r="F574" s="142"/>
      <c r="G574" s="142"/>
      <c r="H574" s="143"/>
      <c r="I574" s="143"/>
      <c r="J574" s="144"/>
      <c r="K574" s="144"/>
      <c r="L574" s="142"/>
      <c r="M574" s="145"/>
    </row>
    <row r="575" spans="1:13" ht="13.5" thickBot="1">
      <c r="A575" s="121" t="str">
        <f>'BM02'!A219</f>
        <v>2.4</v>
      </c>
      <c r="B575" s="122" t="str">
        <f>'BM02'!B219</f>
        <v>ESTRUTURA</v>
      </c>
      <c r="C575" s="122"/>
      <c r="D575" s="122"/>
      <c r="E575" s="122"/>
      <c r="F575" s="122"/>
      <c r="G575" s="122"/>
      <c r="H575" s="122"/>
      <c r="I575" s="122"/>
      <c r="J575" s="122"/>
      <c r="K575" s="122"/>
      <c r="L575" s="122"/>
      <c r="M575" s="123"/>
    </row>
    <row r="576" spans="1:13" ht="12.75">
      <c r="A576" s="124"/>
      <c r="B576" s="125">
        <f>'BM02'!B220</f>
        <v>0</v>
      </c>
      <c r="C576" s="125"/>
      <c r="D576" s="125"/>
      <c r="E576" s="125"/>
      <c r="F576" s="125"/>
      <c r="G576" s="125"/>
      <c r="H576" s="125"/>
      <c r="I576" s="125"/>
      <c r="J576" s="125"/>
      <c r="K576" s="126"/>
      <c r="L576" s="125"/>
      <c r="M576" s="127"/>
    </row>
    <row r="577" spans="1:13" ht="30" customHeight="1">
      <c r="A577" s="128" t="str">
        <f>'BM02'!A221</f>
        <v>2.4.1</v>
      </c>
      <c r="B577" s="211" t="str">
        <f>'BM02'!B221</f>
        <v>(COMPOSIÇÃO REPRESENTATIVA) EXECUÇÃO DE ESTRUTURAS DE CONCRETO ARMADO, PARA EDIFICAÇÃO HABITACIONAL UNIFAMILIAR COM DOIS PAVIMENTOS (CASA EM EMPREENDIMENTOS), FCK = 25 MPA. AF_01/2017</v>
      </c>
      <c r="C577" s="212"/>
      <c r="D577" s="212"/>
      <c r="E577" s="212"/>
      <c r="F577" s="212"/>
      <c r="G577" s="212"/>
      <c r="H577" s="212"/>
      <c r="I577" s="212"/>
      <c r="J577" s="212"/>
      <c r="K577" s="213"/>
      <c r="L577" s="129">
        <f>SUM(L578:L578)</f>
        <v>0</v>
      </c>
      <c r="M577" s="185" t="str">
        <f>'BM02'!C221</f>
        <v>m³</v>
      </c>
    </row>
    <row r="578" spans="1:13" s="131" customFormat="1" ht="12.75">
      <c r="A578" s="132"/>
      <c r="B578" s="209"/>
      <c r="C578" s="210"/>
      <c r="D578" s="134"/>
      <c r="E578" s="134"/>
      <c r="F578" s="134"/>
      <c r="G578" s="134"/>
      <c r="H578" s="134"/>
      <c r="I578" s="134"/>
      <c r="J578" s="135"/>
      <c r="K578" s="135"/>
      <c r="L578" s="134">
        <f>-D578</f>
        <v>0</v>
      </c>
      <c r="M578" s="136"/>
    </row>
    <row r="579" spans="1:13" s="131" customFormat="1" ht="13.5" thickBot="1">
      <c r="A579" s="139"/>
      <c r="B579" s="140"/>
      <c r="C579" s="141"/>
      <c r="D579" s="142"/>
      <c r="E579" s="143"/>
      <c r="F579" s="142"/>
      <c r="G579" s="142"/>
      <c r="H579" s="143"/>
      <c r="I579" s="143"/>
      <c r="J579" s="144"/>
      <c r="K579" s="144"/>
      <c r="L579" s="142"/>
      <c r="M579" s="145"/>
    </row>
    <row r="580" spans="1:13" ht="13.5" thickBot="1">
      <c r="A580" s="121" t="str">
        <f>'BM02'!A223</f>
        <v>2.5</v>
      </c>
      <c r="B580" s="122" t="str">
        <f>'BM02'!B223</f>
        <v>ALVENARIA</v>
      </c>
      <c r="C580" s="122"/>
      <c r="D580" s="122"/>
      <c r="E580" s="122"/>
      <c r="F580" s="122"/>
      <c r="G580" s="122"/>
      <c r="H580" s="122"/>
      <c r="I580" s="122"/>
      <c r="J580" s="122"/>
      <c r="K580" s="122"/>
      <c r="L580" s="122"/>
      <c r="M580" s="123"/>
    </row>
    <row r="581" spans="1:13" ht="12.75">
      <c r="A581" s="124"/>
      <c r="B581" s="125"/>
      <c r="C581" s="125"/>
      <c r="D581" s="125"/>
      <c r="E581" s="125"/>
      <c r="F581" s="125"/>
      <c r="G581" s="125"/>
      <c r="H581" s="125"/>
      <c r="I581" s="125"/>
      <c r="J581" s="125"/>
      <c r="K581" s="126"/>
      <c r="L581" s="125"/>
      <c r="M581" s="127"/>
    </row>
    <row r="582" spans="1:13" ht="43.15" customHeight="1">
      <c r="A582" s="128" t="str">
        <f>'BM02'!A225</f>
        <v>2.5.1</v>
      </c>
      <c r="B582" s="211" t="str">
        <f>'BM02'!B225</f>
        <v>ALVENARIA DE VEDAÇÃO DE BLOCOS CERÂMICOS FURADOS NA HORIZONTAL DE 9X19X19CM (ESPESSURA 9CM) DE PAREDES COM ÁREA LÍQUIDA MAIOR OU IGUAL A 6M² SEM VÃOS E ARGAMASSA DE ASSENTAMENTO COM PREPARO MANUAL. AF_06/2014</v>
      </c>
      <c r="C582" s="212"/>
      <c r="D582" s="212"/>
      <c r="E582" s="212"/>
      <c r="F582" s="212"/>
      <c r="G582" s="212"/>
      <c r="H582" s="212"/>
      <c r="I582" s="212"/>
      <c r="J582" s="212"/>
      <c r="K582" s="213"/>
      <c r="L582" s="129">
        <f>ROUND(SUM(L583:L583),2)</f>
        <v>0</v>
      </c>
      <c r="M582" s="185" t="str">
        <f>'BM02'!C225</f>
        <v>m²</v>
      </c>
    </row>
    <row r="583" spans="1:13" s="131" customFormat="1" ht="12.75">
      <c r="A583" s="132"/>
      <c r="B583" s="209"/>
      <c r="C583" s="210"/>
      <c r="D583" s="134"/>
      <c r="E583" s="134"/>
      <c r="F583" s="134"/>
      <c r="G583" s="134"/>
      <c r="H583" s="134"/>
      <c r="I583" s="134"/>
      <c r="J583" s="135"/>
      <c r="K583" s="135"/>
      <c r="L583" s="134">
        <f>D583</f>
        <v>0</v>
      </c>
      <c r="M583" s="136"/>
    </row>
    <row r="584" spans="1:13" s="131" customFormat="1" ht="13.5" thickBot="1">
      <c r="A584" s="139"/>
      <c r="B584" s="140"/>
      <c r="C584" s="141"/>
      <c r="D584" s="142"/>
      <c r="E584" s="143"/>
      <c r="F584" s="142"/>
      <c r="G584" s="142"/>
      <c r="H584" s="143"/>
      <c r="I584" s="143"/>
      <c r="J584" s="144"/>
      <c r="K584" s="144"/>
      <c r="L584" s="142"/>
      <c r="M584" s="145"/>
    </row>
    <row r="585" spans="1:13" ht="13.5" thickBot="1">
      <c r="A585" s="121" t="str">
        <f>'BM02'!A227</f>
        <v>2.6</v>
      </c>
      <c r="B585" s="122" t="str">
        <f>'BM02'!B227</f>
        <v>COBERTURA</v>
      </c>
      <c r="C585" s="122"/>
      <c r="D585" s="122"/>
      <c r="E585" s="122"/>
      <c r="F585" s="122"/>
      <c r="G585" s="122"/>
      <c r="H585" s="122"/>
      <c r="I585" s="122"/>
      <c r="J585" s="122"/>
      <c r="K585" s="122"/>
      <c r="L585" s="122"/>
      <c r="M585" s="123"/>
    </row>
    <row r="586" spans="1:13" ht="12.75">
      <c r="A586" s="124"/>
      <c r="B586" s="125"/>
      <c r="C586" s="125"/>
      <c r="D586" s="125"/>
      <c r="E586" s="125"/>
      <c r="F586" s="125"/>
      <c r="G586" s="125"/>
      <c r="H586" s="125"/>
      <c r="I586" s="125"/>
      <c r="J586" s="125"/>
      <c r="K586" s="126"/>
      <c r="L586" s="125"/>
      <c r="M586" s="127"/>
    </row>
    <row r="587" spans="1:13" ht="30" customHeight="1">
      <c r="A587" s="128" t="str">
        <f>'BM02'!A229</f>
        <v>2.6.1</v>
      </c>
      <c r="B587" s="211" t="str">
        <f>'BM02'!B229</f>
        <v>FABRICAÇÃO E INSTALAÇÃO DE ESTRUTURA PONTALETADA DE MADEIRA NÃO APARELHADA PARA TELHADOS COM ATÉ 2 ÁGUAS E PARA TELHA CERÂMICA OU DE CONCRETO, INCLUSO TRANSPORTE VERTICAL. AF_12/2015</v>
      </c>
      <c r="C587" s="212"/>
      <c r="D587" s="212"/>
      <c r="E587" s="212"/>
      <c r="F587" s="212"/>
      <c r="G587" s="212"/>
      <c r="H587" s="212"/>
      <c r="I587" s="212"/>
      <c r="J587" s="212"/>
      <c r="K587" s="213"/>
      <c r="L587" s="129">
        <f>L588</f>
        <v>0</v>
      </c>
      <c r="M587" s="130" t="str">
        <f>'BM02'!C229</f>
        <v>m²</v>
      </c>
    </row>
    <row r="588" spans="1:13" s="131" customFormat="1" ht="12.75">
      <c r="A588" s="132"/>
      <c r="B588" s="209"/>
      <c r="C588" s="210"/>
      <c r="D588" s="134"/>
      <c r="E588" s="134"/>
      <c r="F588" s="134"/>
      <c r="G588" s="134"/>
      <c r="H588" s="134"/>
      <c r="I588" s="134"/>
      <c r="J588" s="135"/>
      <c r="K588" s="135"/>
      <c r="L588" s="134">
        <f>ROUND(D588*K588,2)</f>
        <v>0</v>
      </c>
      <c r="M588" s="136"/>
    </row>
    <row r="589" spans="1:13" s="131" customFormat="1" ht="12.75">
      <c r="A589" s="139"/>
      <c r="B589" s="140"/>
      <c r="C589" s="141"/>
      <c r="D589" s="142"/>
      <c r="E589" s="143"/>
      <c r="F589" s="142"/>
      <c r="G589" s="142"/>
      <c r="H589" s="143"/>
      <c r="I589" s="143"/>
      <c r="J589" s="144"/>
      <c r="K589" s="144"/>
      <c r="L589" s="142"/>
      <c r="M589" s="145"/>
    </row>
    <row r="590" spans="1:13" ht="30" customHeight="1">
      <c r="A590" s="128" t="str">
        <f>'BM02'!A230</f>
        <v>2.6.2</v>
      </c>
      <c r="B590" s="211" t="str">
        <f>'BM02'!B230</f>
        <v>INSTALAÇÃO DE TESOURA (INTEIRA OU MEIA), BIAPOIADA, EM MADEIRA NÃO APARELHADA, PARA VÃOS MAIORES OU IGUAIS A 6,0 M E MENORES QUE 8,0 M, INCLUSO IÇAMENTO. AF_07/2019</v>
      </c>
      <c r="C590" s="212"/>
      <c r="D590" s="212"/>
      <c r="E590" s="212"/>
      <c r="F590" s="212"/>
      <c r="G590" s="212"/>
      <c r="H590" s="212"/>
      <c r="I590" s="212"/>
      <c r="J590" s="212"/>
      <c r="K590" s="213"/>
      <c r="L590" s="129">
        <f>L591</f>
        <v>0</v>
      </c>
      <c r="M590" s="130" t="str">
        <f>'BM02'!C230</f>
        <v>un</v>
      </c>
    </row>
    <row r="591" spans="1:13" s="131" customFormat="1" ht="12.75">
      <c r="A591" s="132"/>
      <c r="B591" s="209"/>
      <c r="C591" s="210"/>
      <c r="D591" s="134"/>
      <c r="E591" s="134"/>
      <c r="F591" s="134"/>
      <c r="G591" s="134"/>
      <c r="H591" s="134"/>
      <c r="I591" s="134"/>
      <c r="J591" s="135"/>
      <c r="K591" s="135"/>
      <c r="L591" s="134">
        <f>ROUND(D591*K591,2)</f>
        <v>0</v>
      </c>
      <c r="M591" s="136"/>
    </row>
    <row r="592" spans="1:13" s="131" customFormat="1" ht="12.75">
      <c r="A592" s="139"/>
      <c r="B592" s="140"/>
      <c r="C592" s="141"/>
      <c r="D592" s="142"/>
      <c r="E592" s="143"/>
      <c r="F592" s="142"/>
      <c r="G592" s="142"/>
      <c r="H592" s="143"/>
      <c r="I592" s="143"/>
      <c r="J592" s="144"/>
      <c r="K592" s="144"/>
      <c r="L592" s="142"/>
      <c r="M592" s="145"/>
    </row>
    <row r="593" spans="1:13" ht="30" customHeight="1">
      <c r="A593" s="128" t="str">
        <f>'BM02'!A231</f>
        <v>2.6.3</v>
      </c>
      <c r="B593" s="211" t="str">
        <f>'BM02'!B231</f>
        <v>TELHAMENTO COM TELHA CERÂMICA CAPA-CANAL, TIPO PLAN, COM ATÉ 2 ÁGUAS, INCLUSO TRANSPORTE VERTICAL. AF_07/2019</v>
      </c>
      <c r="C593" s="212"/>
      <c r="D593" s="212"/>
      <c r="E593" s="212"/>
      <c r="F593" s="212"/>
      <c r="G593" s="212"/>
      <c r="H593" s="212"/>
      <c r="I593" s="212"/>
      <c r="J593" s="212"/>
      <c r="K593" s="213"/>
      <c r="L593" s="129">
        <f>L594</f>
        <v>0</v>
      </c>
      <c r="M593" s="130" t="str">
        <f>'BM02'!C231</f>
        <v>m²</v>
      </c>
    </row>
    <row r="594" spans="1:13" s="131" customFormat="1" ht="12.75">
      <c r="A594" s="132"/>
      <c r="B594" s="209"/>
      <c r="C594" s="210"/>
      <c r="D594" s="134"/>
      <c r="E594" s="134"/>
      <c r="F594" s="134"/>
      <c r="G594" s="134"/>
      <c r="H594" s="134"/>
      <c r="I594" s="134"/>
      <c r="J594" s="135"/>
      <c r="K594" s="135"/>
      <c r="L594" s="134">
        <f>ROUND(D594*K594,2)</f>
        <v>0</v>
      </c>
      <c r="M594" s="136"/>
    </row>
    <row r="595" spans="1:13" s="131" customFormat="1" ht="12.75">
      <c r="A595" s="139"/>
      <c r="B595" s="140"/>
      <c r="C595" s="141"/>
      <c r="D595" s="142"/>
      <c r="E595" s="143"/>
      <c r="F595" s="142"/>
      <c r="G595" s="142"/>
      <c r="H595" s="143"/>
      <c r="I595" s="143"/>
      <c r="J595" s="144"/>
      <c r="K595" s="144"/>
      <c r="L595" s="142"/>
      <c r="M595" s="145"/>
    </row>
    <row r="596" spans="1:13" ht="30" customHeight="1">
      <c r="A596" s="128" t="str">
        <f>'BM02'!A232</f>
        <v>2.6.4</v>
      </c>
      <c r="B596" s="211" t="str">
        <f>'BM02'!B232</f>
        <v>CUMEEIRA PARA TELHA CERÂMICA EMBOÇADA COM ARGAMASSA TRAÇO 1:2:9 (CIMENTO, CAL E AREIA) PARA TELHADOS COM ATÉ 2 ÁGUAS, INCLUSO TRANSPORTE VERTICAL. AF_07/2019</v>
      </c>
      <c r="C596" s="212"/>
      <c r="D596" s="212"/>
      <c r="E596" s="212"/>
      <c r="F596" s="212"/>
      <c r="G596" s="212"/>
      <c r="H596" s="212"/>
      <c r="I596" s="212"/>
      <c r="J596" s="212"/>
      <c r="K596" s="213"/>
      <c r="L596" s="129">
        <f>L597</f>
        <v>0</v>
      </c>
      <c r="M596" s="130" t="str">
        <f>'BM02'!C232</f>
        <v xml:space="preserve">m </v>
      </c>
    </row>
    <row r="597" spans="1:13" s="131" customFormat="1" ht="12.75">
      <c r="A597" s="132"/>
      <c r="B597" s="209"/>
      <c r="C597" s="210"/>
      <c r="D597" s="134"/>
      <c r="E597" s="134"/>
      <c r="F597" s="134"/>
      <c r="G597" s="134"/>
      <c r="H597" s="134"/>
      <c r="I597" s="134"/>
      <c r="J597" s="135"/>
      <c r="K597" s="135"/>
      <c r="L597" s="134">
        <f>ROUND(D597*K597,2)</f>
        <v>0</v>
      </c>
      <c r="M597" s="136"/>
    </row>
    <row r="598" spans="1:13" s="131" customFormat="1" ht="12.75">
      <c r="A598" s="139"/>
      <c r="B598" s="140"/>
      <c r="C598" s="141"/>
      <c r="D598" s="142"/>
      <c r="E598" s="143"/>
      <c r="F598" s="142"/>
      <c r="G598" s="142"/>
      <c r="H598" s="143"/>
      <c r="I598" s="143"/>
      <c r="J598" s="144"/>
      <c r="K598" s="144"/>
      <c r="L598" s="142"/>
      <c r="M598" s="145"/>
    </row>
    <row r="599" spans="1:13" ht="30" customHeight="1">
      <c r="A599" s="128" t="str">
        <f>'BM04'!A258</f>
        <v>2.6.5</v>
      </c>
      <c r="B599" s="211" t="str">
        <f>'BM04'!B258</f>
        <v>FABRICAÇÃO E INSTALAÇÃO DE TESOURA INTEIRA EM MADEIRA NÃO APARELHADA, VÃO DE 6 M, PARA TELHA CERÂMICA OU DE CONCRETO, INCLUSO IÇAMENTO. AF_12/2015</v>
      </c>
      <c r="C599" s="212"/>
      <c r="D599" s="212"/>
      <c r="E599" s="212"/>
      <c r="F599" s="212"/>
      <c r="G599" s="212"/>
      <c r="H599" s="212"/>
      <c r="I599" s="212"/>
      <c r="J599" s="212"/>
      <c r="K599" s="213"/>
      <c r="L599" s="129">
        <f>L600</f>
        <v>0</v>
      </c>
      <c r="M599" s="130" t="str">
        <f>'BM04'!C258</f>
        <v>UN</v>
      </c>
    </row>
    <row r="600" spans="1:13" s="131" customFormat="1" ht="12.75">
      <c r="A600" s="132"/>
      <c r="B600" s="209"/>
      <c r="C600" s="210"/>
      <c r="D600" s="134"/>
      <c r="E600" s="134"/>
      <c r="F600" s="134"/>
      <c r="G600" s="134"/>
      <c r="H600" s="134"/>
      <c r="I600" s="134"/>
      <c r="J600" s="135"/>
      <c r="K600" s="135"/>
      <c r="L600" s="134">
        <f>D600</f>
        <v>0</v>
      </c>
      <c r="M600" s="136"/>
    </row>
    <row r="601" spans="1:13" s="131" customFormat="1" ht="12.75">
      <c r="A601" s="139"/>
      <c r="B601" s="140"/>
      <c r="C601" s="141"/>
      <c r="D601" s="142"/>
      <c r="E601" s="143"/>
      <c r="F601" s="142"/>
      <c r="G601" s="142"/>
      <c r="H601" s="143"/>
      <c r="I601" s="143"/>
      <c r="J601" s="144"/>
      <c r="K601" s="144"/>
      <c r="L601" s="142"/>
      <c r="M601" s="145"/>
    </row>
    <row r="602" spans="1:13" ht="30" customHeight="1">
      <c r="A602" s="128" t="str">
        <f>'BM04'!A259</f>
        <v>2.6.6</v>
      </c>
      <c r="B602" s="211" t="str">
        <f>'BM04'!B259</f>
        <v>TRAMA DE MADEIRA COMPOSTA POR RIPAS, CAIBROS E TERÇAS PARA TELHADOS DE ATÉ 2 ÁGUAS PARA TELHA CERÂMICA CAPA-CANAL, INCLUSO TRANSPORTE VERTICAL. AF_12/2015</v>
      </c>
      <c r="C602" s="212"/>
      <c r="D602" s="212"/>
      <c r="E602" s="212"/>
      <c r="F602" s="212"/>
      <c r="G602" s="212"/>
      <c r="H602" s="212"/>
      <c r="I602" s="212"/>
      <c r="J602" s="212"/>
      <c r="K602" s="213"/>
      <c r="L602" s="129">
        <f>L603</f>
        <v>0</v>
      </c>
      <c r="M602" s="130" t="str">
        <f>'BM04'!C259</f>
        <v>M²</v>
      </c>
    </row>
    <row r="603" spans="1:13" s="131" customFormat="1" ht="12.75">
      <c r="A603" s="132"/>
      <c r="B603" s="209"/>
      <c r="C603" s="210"/>
      <c r="D603" s="134"/>
      <c r="E603" s="134"/>
      <c r="F603" s="134"/>
      <c r="G603" s="134"/>
      <c r="H603" s="134"/>
      <c r="I603" s="134"/>
      <c r="J603" s="135"/>
      <c r="K603" s="135"/>
      <c r="L603" s="134">
        <f>ROUND(D603*K603,2)</f>
        <v>0</v>
      </c>
      <c r="M603" s="136"/>
    </row>
    <row r="604" spans="1:13" s="131" customFormat="1" ht="13.5" thickBot="1">
      <c r="A604" s="139"/>
      <c r="B604" s="140"/>
      <c r="C604" s="141"/>
      <c r="D604" s="142"/>
      <c r="E604" s="143"/>
      <c r="F604" s="142"/>
      <c r="G604" s="142"/>
      <c r="H604" s="143"/>
      <c r="I604" s="143"/>
      <c r="J604" s="144"/>
      <c r="K604" s="144"/>
      <c r="L604" s="142"/>
      <c r="M604" s="145"/>
    </row>
    <row r="605" spans="1:13" ht="13.5" thickBot="1">
      <c r="A605" s="121" t="str">
        <f>'BM02'!A234</f>
        <v>2.7</v>
      </c>
      <c r="B605" s="122" t="str">
        <f>'BM02'!B234</f>
        <v>REVESTIMENTO</v>
      </c>
      <c r="C605" s="122"/>
      <c r="D605" s="122"/>
      <c r="E605" s="122"/>
      <c r="F605" s="122"/>
      <c r="G605" s="122"/>
      <c r="H605" s="122"/>
      <c r="I605" s="122"/>
      <c r="J605" s="122"/>
      <c r="K605" s="122"/>
      <c r="L605" s="122"/>
      <c r="M605" s="123"/>
    </row>
    <row r="606" spans="1:13" ht="12.75">
      <c r="A606" s="124"/>
      <c r="B606" s="125"/>
      <c r="C606" s="125"/>
      <c r="D606" s="125"/>
      <c r="E606" s="125"/>
      <c r="F606" s="125"/>
      <c r="G606" s="125"/>
      <c r="H606" s="125"/>
      <c r="I606" s="125"/>
      <c r="J606" s="125"/>
      <c r="K606" s="126"/>
      <c r="L606" s="125"/>
      <c r="M606" s="127"/>
    </row>
    <row r="607" spans="1:13" ht="30" customHeight="1">
      <c r="A607" s="128" t="str">
        <f>'BM02'!A236</f>
        <v>2.7.1</v>
      </c>
      <c r="B607" s="211" t="str">
        <f>'BM02'!B236</f>
        <v>CHAPISCO APLICADO EM ALVENARIAS E ESTRUTURAS DE CONCRETO INTERNAS, COM COLHER DE PEDREIRO. ARGAMASSA TRAÇO 1:3 COM PREPARO EM BETONEIRA 400L. AF_06/2014</v>
      </c>
      <c r="C607" s="212"/>
      <c r="D607" s="212"/>
      <c r="E607" s="212"/>
      <c r="F607" s="212"/>
      <c r="G607" s="212"/>
      <c r="H607" s="212"/>
      <c r="I607" s="212"/>
      <c r="J607" s="212"/>
      <c r="K607" s="213"/>
      <c r="L607" s="129">
        <f>ROUND(SUM(L608:L608),2)</f>
        <v>0</v>
      </c>
      <c r="M607" s="130" t="str">
        <f>'BM02'!C236</f>
        <v>m²</v>
      </c>
    </row>
    <row r="608" spans="1:13" s="131" customFormat="1" ht="12.75">
      <c r="A608" s="132"/>
      <c r="B608" s="209"/>
      <c r="C608" s="210"/>
      <c r="D608" s="134"/>
      <c r="E608" s="134"/>
      <c r="F608" s="134"/>
      <c r="G608" s="134"/>
      <c r="H608" s="134"/>
      <c r="I608" s="134"/>
      <c r="J608" s="135"/>
      <c r="K608" s="135"/>
      <c r="L608" s="134">
        <f>D608</f>
        <v>0</v>
      </c>
      <c r="M608" s="136"/>
    </row>
    <row r="609" spans="1:13" s="131" customFormat="1" ht="12.75">
      <c r="A609" s="139"/>
      <c r="B609" s="140"/>
      <c r="C609" s="141"/>
      <c r="D609" s="142"/>
      <c r="E609" s="143"/>
      <c r="F609" s="142"/>
      <c r="G609" s="142"/>
      <c r="H609" s="143"/>
      <c r="I609" s="143"/>
      <c r="J609" s="144"/>
      <c r="K609" s="144"/>
      <c r="L609" s="142"/>
      <c r="M609" s="145"/>
    </row>
    <row r="610" spans="1:13" ht="43.15" customHeight="1">
      <c r="A610" s="128" t="str">
        <f>'BM02'!A237</f>
        <v>2.7.2</v>
      </c>
      <c r="B610" s="211" t="str">
        <f>'BM02'!B237</f>
        <v>MASSA ÚNICA, PARA RECEBIMENTO DE PINTURA, EM ARGAMASSA TRAÇO 1:2:8, PREPARO MECÂNICO COM BETONEIRA 400L, APLICADA MANUALMENTE EM FACES INTERNAS DE PAREDES, ESPESSURA DE 20MM, COM EXECUÇÃO DE TALISCAS. AF_06/2014</v>
      </c>
      <c r="C610" s="212"/>
      <c r="D610" s="212"/>
      <c r="E610" s="212"/>
      <c r="F610" s="212"/>
      <c r="G610" s="212"/>
      <c r="H610" s="212"/>
      <c r="I610" s="212"/>
      <c r="J610" s="212"/>
      <c r="K610" s="213"/>
      <c r="L610" s="129">
        <f>L611</f>
        <v>0</v>
      </c>
      <c r="M610" s="130" t="str">
        <f>'BM02'!C237</f>
        <v>m²</v>
      </c>
    </row>
    <row r="611" spans="1:13" s="131" customFormat="1" ht="12.75">
      <c r="A611" s="132"/>
      <c r="B611" s="209"/>
      <c r="C611" s="210"/>
      <c r="D611" s="134"/>
      <c r="E611" s="134"/>
      <c r="F611" s="134"/>
      <c r="G611" s="134"/>
      <c r="H611" s="134"/>
      <c r="I611" s="134"/>
      <c r="J611" s="135"/>
      <c r="K611" s="135"/>
      <c r="L611" s="134">
        <f>D611</f>
        <v>0</v>
      </c>
      <c r="M611" s="136"/>
    </row>
    <row r="612" spans="1:13" s="131" customFormat="1" ht="12.75">
      <c r="A612" s="139"/>
      <c r="B612" s="140"/>
      <c r="C612" s="141"/>
      <c r="D612" s="142"/>
      <c r="E612" s="143"/>
      <c r="F612" s="142"/>
      <c r="G612" s="142"/>
      <c r="H612" s="143"/>
      <c r="I612" s="143"/>
      <c r="J612" s="144"/>
      <c r="K612" s="144"/>
      <c r="L612" s="142"/>
      <c r="M612" s="145"/>
    </row>
    <row r="613" spans="1:13" ht="12.6" customHeight="1">
      <c r="A613" s="128" t="str">
        <f>'BM02'!A238</f>
        <v>2.7.3</v>
      </c>
      <c r="B613" s="211" t="str">
        <f>'BM02'!B238</f>
        <v>Revestimento cerâmico para parede, 10 x 10 cm, Eliane, linha galeria chumbo mesh ou similar, pei - 2, aplicado com argamassa industrializada ac-ii, rejuntado, exclusive regularização de base ou emboço - Rev 01</v>
      </c>
      <c r="C613" s="212"/>
      <c r="D613" s="212"/>
      <c r="E613" s="212"/>
      <c r="F613" s="212"/>
      <c r="G613" s="212"/>
      <c r="H613" s="212"/>
      <c r="I613" s="212"/>
      <c r="J613" s="212"/>
      <c r="K613" s="213"/>
      <c r="L613" s="129">
        <f>L614</f>
        <v>0</v>
      </c>
      <c r="M613" s="130" t="str">
        <f>'BM02'!C238</f>
        <v>m²</v>
      </c>
    </row>
    <row r="614" spans="1:13" s="131" customFormat="1" ht="12.75">
      <c r="A614" s="132"/>
      <c r="B614" s="209"/>
      <c r="C614" s="210"/>
      <c r="D614" s="134"/>
      <c r="E614" s="134"/>
      <c r="F614" s="134"/>
      <c r="G614" s="134"/>
      <c r="H614" s="134"/>
      <c r="I614" s="134"/>
      <c r="J614" s="135"/>
      <c r="K614" s="135"/>
      <c r="L614" s="134">
        <f>ROUND(D614*K614,2)</f>
        <v>0</v>
      </c>
      <c r="M614" s="136"/>
    </row>
    <row r="615" spans="1:13" s="131" customFormat="1" ht="12.75">
      <c r="A615" s="139"/>
      <c r="B615" s="140"/>
      <c r="C615" s="141"/>
      <c r="D615" s="142"/>
      <c r="E615" s="143"/>
      <c r="F615" s="142"/>
      <c r="G615" s="142"/>
      <c r="H615" s="143"/>
      <c r="I615" s="143"/>
      <c r="J615" s="144"/>
      <c r="K615" s="144"/>
      <c r="L615" s="142"/>
      <c r="M615" s="145"/>
    </row>
    <row r="616" spans="1:13" ht="28.9" customHeight="1">
      <c r="A616" s="128" t="str">
        <f>'BM04'!A266</f>
        <v>2.7.4</v>
      </c>
      <c r="B616" s="211" t="str">
        <f>'BM04'!B266</f>
        <v>EMBOCO, PARA RECEBIMENTO DE CERAMICA, EM ARGAMASSA TRAO 1:2:8, PREPARO MECANICO COM BETONEIRA 400L, APLICADO MANUALMENTE, ESPESSURA DE</v>
      </c>
      <c r="C616" s="212"/>
      <c r="D616" s="212"/>
      <c r="E616" s="212"/>
      <c r="F616" s="212"/>
      <c r="G616" s="212"/>
      <c r="H616" s="212"/>
      <c r="I616" s="212"/>
      <c r="J616" s="212"/>
      <c r="K616" s="213"/>
      <c r="L616" s="129">
        <f>L617</f>
        <v>0</v>
      </c>
      <c r="M616" s="130" t="str">
        <f>'BM04'!C266</f>
        <v>M²</v>
      </c>
    </row>
    <row r="617" spans="1:13" s="131" customFormat="1" ht="12.75">
      <c r="A617" s="132"/>
      <c r="B617" s="209"/>
      <c r="C617" s="210"/>
      <c r="D617" s="134"/>
      <c r="E617" s="134"/>
      <c r="F617" s="134"/>
      <c r="G617" s="134"/>
      <c r="H617" s="134"/>
      <c r="I617" s="134"/>
      <c r="J617" s="135"/>
      <c r="K617" s="135"/>
      <c r="L617" s="134">
        <f>D617</f>
        <v>0</v>
      </c>
      <c r="M617" s="136"/>
    </row>
    <row r="618" spans="1:13" s="131" customFormat="1" ht="13.5" thickBot="1">
      <c r="A618" s="139"/>
      <c r="B618" s="140"/>
      <c r="C618" s="141"/>
      <c r="D618" s="142"/>
      <c r="E618" s="143"/>
      <c r="F618" s="142"/>
      <c r="G618" s="142"/>
      <c r="H618" s="143"/>
      <c r="I618" s="143"/>
      <c r="J618" s="144"/>
      <c r="K618" s="144"/>
      <c r="L618" s="142"/>
      <c r="M618" s="145"/>
    </row>
    <row r="619" spans="1:13" ht="13.5" thickBot="1">
      <c r="A619" s="121" t="str">
        <f>'BM02'!A240</f>
        <v>2.8</v>
      </c>
      <c r="B619" s="122" t="str">
        <f>'BM02'!B240</f>
        <v>PISOS</v>
      </c>
      <c r="C619" s="122"/>
      <c r="D619" s="122"/>
      <c r="E619" s="122"/>
      <c r="F619" s="122"/>
      <c r="G619" s="122"/>
      <c r="H619" s="122"/>
      <c r="I619" s="122"/>
      <c r="J619" s="122"/>
      <c r="K619" s="122"/>
      <c r="L619" s="122"/>
      <c r="M619" s="123"/>
    </row>
    <row r="620" spans="1:13" ht="12.75">
      <c r="A620" s="124"/>
      <c r="B620" s="125"/>
      <c r="C620" s="125"/>
      <c r="D620" s="125"/>
      <c r="E620" s="125"/>
      <c r="F620" s="125"/>
      <c r="G620" s="125"/>
      <c r="H620" s="125"/>
      <c r="I620" s="125"/>
      <c r="J620" s="125"/>
      <c r="K620" s="126"/>
      <c r="L620" s="125"/>
      <c r="M620" s="127"/>
    </row>
    <row r="621" spans="1:13" ht="12.6" customHeight="1">
      <c r="A621" s="128" t="str">
        <f>'BM02'!A242</f>
        <v>2.8.1</v>
      </c>
      <c r="B621" s="211" t="str">
        <f>'BM02'!B242</f>
        <v>LASTRO DE CONCRETO MAGRO, APLICADO EM PISOS OU RADIERS, ESPESSURA DE 5 CM. AF_07/2016</v>
      </c>
      <c r="C621" s="212"/>
      <c r="D621" s="212"/>
      <c r="E621" s="212"/>
      <c r="F621" s="212"/>
      <c r="G621" s="212"/>
      <c r="H621" s="212"/>
      <c r="I621" s="212"/>
      <c r="J621" s="212"/>
      <c r="K621" s="213"/>
      <c r="L621" s="129">
        <f>L622</f>
        <v>0</v>
      </c>
      <c r="M621" s="130" t="str">
        <f>'BM02'!C242</f>
        <v>m²</v>
      </c>
    </row>
    <row r="622" spans="1:13" s="131" customFormat="1" ht="12.75">
      <c r="A622" s="132"/>
      <c r="B622" s="209"/>
      <c r="C622" s="210"/>
      <c r="D622" s="134"/>
      <c r="E622" s="134"/>
      <c r="F622" s="134"/>
      <c r="G622" s="134"/>
      <c r="H622" s="134"/>
      <c r="I622" s="134"/>
      <c r="J622" s="135"/>
      <c r="K622" s="135"/>
      <c r="L622" s="134">
        <f>D622</f>
        <v>0</v>
      </c>
      <c r="M622" s="136"/>
    </row>
    <row r="623" spans="1:13" s="131" customFormat="1" ht="12.75">
      <c r="A623" s="139"/>
      <c r="B623" s="140"/>
      <c r="C623" s="141"/>
      <c r="D623" s="142"/>
      <c r="E623" s="143"/>
      <c r="F623" s="142"/>
      <c r="G623" s="142"/>
      <c r="H623" s="143"/>
      <c r="I623" s="143"/>
      <c r="J623" s="144"/>
      <c r="K623" s="144"/>
      <c r="L623" s="142"/>
      <c r="M623" s="145"/>
    </row>
    <row r="624" spans="1:13" ht="12.6" customHeight="1">
      <c r="A624" s="128" t="str">
        <f>'BM02'!A243</f>
        <v>2.8.2</v>
      </c>
      <c r="B624" s="211" t="str">
        <f>'BM02'!B243</f>
        <v>Regularização de base para revest. de pisos com arg. traço t4, esp. média = 2,5cm</v>
      </c>
      <c r="C624" s="212"/>
      <c r="D624" s="212"/>
      <c r="E624" s="212"/>
      <c r="F624" s="212"/>
      <c r="G624" s="212"/>
      <c r="H624" s="212"/>
      <c r="I624" s="212"/>
      <c r="J624" s="212"/>
      <c r="K624" s="213"/>
      <c r="L624" s="129">
        <f>L625</f>
        <v>0</v>
      </c>
      <c r="M624" s="130" t="str">
        <f>'BM02'!C243</f>
        <v>m²</v>
      </c>
    </row>
    <row r="625" spans="1:13" s="131" customFormat="1" ht="13.15" customHeight="1">
      <c r="A625" s="132"/>
      <c r="B625" s="209"/>
      <c r="C625" s="210"/>
      <c r="D625" s="134"/>
      <c r="E625" s="134"/>
      <c r="F625" s="134"/>
      <c r="G625" s="134"/>
      <c r="H625" s="134"/>
      <c r="I625" s="134"/>
      <c r="J625" s="135"/>
      <c r="K625" s="135"/>
      <c r="L625" s="134">
        <f>D625</f>
        <v>0</v>
      </c>
      <c r="M625" s="136"/>
    </row>
    <row r="626" spans="1:13" s="131" customFormat="1" ht="12.75">
      <c r="A626" s="139"/>
      <c r="B626" s="140"/>
      <c r="C626" s="141"/>
      <c r="D626" s="142"/>
      <c r="E626" s="143"/>
      <c r="F626" s="142"/>
      <c r="G626" s="142"/>
      <c r="H626" s="143"/>
      <c r="I626" s="143"/>
      <c r="J626" s="144"/>
      <c r="K626" s="144"/>
      <c r="L626" s="142"/>
      <c r="M626" s="145"/>
    </row>
    <row r="627" spans="1:13" ht="12.6" customHeight="1">
      <c r="A627" s="128" t="str">
        <f>'BM02'!A244</f>
        <v>2.8.3</v>
      </c>
      <c r="B627" s="211" t="str">
        <f>'BM02'!B244</f>
        <v>PISO EM GRANILITE, MARMORITE OU GRANITINA EM AMBIENTES INTERNOS. AF_09/2020</v>
      </c>
      <c r="C627" s="212"/>
      <c r="D627" s="212"/>
      <c r="E627" s="212"/>
      <c r="F627" s="212"/>
      <c r="G627" s="212"/>
      <c r="H627" s="212"/>
      <c r="I627" s="212"/>
      <c r="J627" s="212"/>
      <c r="K627" s="213"/>
      <c r="L627" s="129">
        <f>L628</f>
        <v>72</v>
      </c>
      <c r="M627" s="130" t="str">
        <f>'BM02'!C244</f>
        <v>m²</v>
      </c>
    </row>
    <row r="628" spans="1:13" s="131" customFormat="1" ht="12.75">
      <c r="A628" s="132"/>
      <c r="B628" s="209" t="s">
        <v>805</v>
      </c>
      <c r="C628" s="210"/>
      <c r="D628" s="134">
        <v>1</v>
      </c>
      <c r="E628" s="134">
        <v>12</v>
      </c>
      <c r="F628" s="134"/>
      <c r="G628" s="134">
        <v>6</v>
      </c>
      <c r="H628" s="134"/>
      <c r="I628" s="134"/>
      <c r="J628" s="135"/>
      <c r="K628" s="135">
        <f>E628*G628</f>
        <v>72</v>
      </c>
      <c r="L628" s="134">
        <f>ROUND(D628*K628,2)</f>
        <v>72</v>
      </c>
      <c r="M628" s="136"/>
    </row>
    <row r="629" spans="1:13" s="131" customFormat="1" ht="12.75">
      <c r="A629" s="139"/>
      <c r="B629" s="140"/>
      <c r="C629" s="141"/>
      <c r="D629" s="142"/>
      <c r="E629" s="143"/>
      <c r="F629" s="142"/>
      <c r="G629" s="142"/>
      <c r="H629" s="143"/>
      <c r="I629" s="143"/>
      <c r="J629" s="144"/>
      <c r="K629" s="144"/>
      <c r="L629" s="142"/>
      <c r="M629" s="145"/>
    </row>
    <row r="630" spans="1:13" ht="12.6" customHeight="1">
      <c r="A630" s="128" t="str">
        <f>'BM04'!A273</f>
        <v>2.8.4</v>
      </c>
      <c r="B630" s="211" t="str">
        <f>'BM04'!B273</f>
        <v>EXECUÇÃO DE PASSEIO (CALÇADA) OU PISO DE CONCRETO COM CONCRETO MOLDADO IN LOCO, FEITO EM OBRA, ACABAMENTO CONVENCIONAL, ESPESSURA 6 CM, ARMADO. AF_07/2016 (LARGURA = 60 CM)</v>
      </c>
      <c r="C630" s="212"/>
      <c r="D630" s="212"/>
      <c r="E630" s="212"/>
      <c r="F630" s="212"/>
      <c r="G630" s="212"/>
      <c r="H630" s="212"/>
      <c r="I630" s="212"/>
      <c r="J630" s="212"/>
      <c r="K630" s="213"/>
      <c r="L630" s="129">
        <f>SUM(L631:L631)</f>
        <v>0</v>
      </c>
      <c r="M630" s="130" t="str">
        <f>'BM04'!C273</f>
        <v>M²</v>
      </c>
    </row>
    <row r="631" spans="1:13" s="131" customFormat="1" ht="14.45" customHeight="1">
      <c r="A631" s="191"/>
      <c r="B631" s="275"/>
      <c r="C631" s="276"/>
      <c r="D631" s="134"/>
      <c r="E631" s="134"/>
      <c r="F631" s="134"/>
      <c r="G631" s="134"/>
      <c r="H631" s="134"/>
      <c r="I631" s="134"/>
      <c r="J631" s="135"/>
      <c r="K631" s="135"/>
      <c r="L631" s="134">
        <f>D631*K631</f>
        <v>0</v>
      </c>
      <c r="M631" s="136"/>
    </row>
    <row r="632" spans="1:13" s="131" customFormat="1" ht="13.5" thickBot="1">
      <c r="A632" s="139"/>
      <c r="B632" s="140"/>
      <c r="C632" s="141"/>
      <c r="D632" s="142"/>
      <c r="E632" s="143"/>
      <c r="F632" s="142"/>
      <c r="G632" s="142"/>
      <c r="H632" s="143"/>
      <c r="I632" s="143"/>
      <c r="J632" s="144"/>
      <c r="K632" s="144"/>
      <c r="L632" s="142"/>
      <c r="M632" s="145"/>
    </row>
    <row r="633" spans="1:13" ht="13.5" thickBot="1">
      <c r="A633" s="121" t="str">
        <f>'BM02'!A246</f>
        <v>2.9</v>
      </c>
      <c r="B633" s="122" t="str">
        <f>'BM02'!B246</f>
        <v>INSTALAÇÃO ELÉTRICA</v>
      </c>
      <c r="C633" s="122"/>
      <c r="D633" s="122"/>
      <c r="E633" s="122"/>
      <c r="F633" s="122"/>
      <c r="G633" s="122"/>
      <c r="H633" s="122"/>
      <c r="I633" s="122"/>
      <c r="J633" s="122"/>
      <c r="K633" s="122"/>
      <c r="L633" s="122"/>
      <c r="M633" s="123"/>
    </row>
    <row r="634" spans="1:13" ht="12.75">
      <c r="A634" s="124"/>
      <c r="B634" s="125"/>
      <c r="C634" s="125"/>
      <c r="D634" s="125"/>
      <c r="E634" s="125"/>
      <c r="F634" s="125"/>
      <c r="G634" s="125"/>
      <c r="H634" s="125"/>
      <c r="I634" s="125"/>
      <c r="J634" s="125"/>
      <c r="K634" s="126"/>
      <c r="L634" s="125"/>
      <c r="M634" s="127"/>
    </row>
    <row r="635" spans="1:13" ht="30" customHeight="1">
      <c r="A635" s="128" t="str">
        <f>'BM02'!A248</f>
        <v>2.9.1</v>
      </c>
      <c r="B635" s="211" t="str">
        <f>'BM02'!B248</f>
        <v>PONTO DE TOMADA RESIDENCIAL INCLUINDO TOMADA 10A/250V, CAIXA ELÉTRICA, ELETRODUTO, CABO, RASGO, QUEBRA E CHUMBAMENTO. AF_01/2016</v>
      </c>
      <c r="C635" s="212"/>
      <c r="D635" s="212"/>
      <c r="E635" s="212"/>
      <c r="F635" s="212"/>
      <c r="G635" s="212"/>
      <c r="H635" s="212"/>
      <c r="I635" s="212"/>
      <c r="J635" s="212"/>
      <c r="K635" s="213"/>
      <c r="L635" s="129">
        <f>L636</f>
        <v>0</v>
      </c>
      <c r="M635" s="130" t="str">
        <f>'BM02'!C248</f>
        <v>un</v>
      </c>
    </row>
    <row r="636" spans="1:13" s="131" customFormat="1" ht="12.75">
      <c r="A636" s="132"/>
      <c r="B636" s="209"/>
      <c r="C636" s="210"/>
      <c r="D636" s="134"/>
      <c r="E636" s="134"/>
      <c r="F636" s="134"/>
      <c r="G636" s="134"/>
      <c r="H636" s="134"/>
      <c r="I636" s="134"/>
      <c r="J636" s="135"/>
      <c r="K636" s="135"/>
      <c r="L636" s="134">
        <f>D636</f>
        <v>0</v>
      </c>
      <c r="M636" s="136"/>
    </row>
    <row r="637" spans="1:13" s="131" customFormat="1" ht="12.75">
      <c r="A637" s="139"/>
      <c r="B637" s="140"/>
      <c r="C637" s="141"/>
      <c r="D637" s="142"/>
      <c r="E637" s="143"/>
      <c r="F637" s="142"/>
      <c r="G637" s="142"/>
      <c r="H637" s="143"/>
      <c r="I637" s="143"/>
      <c r="J637" s="144"/>
      <c r="K637" s="144"/>
      <c r="L637" s="142"/>
      <c r="M637" s="145"/>
    </row>
    <row r="638" spans="1:13" ht="30" customHeight="1">
      <c r="A638" s="128" t="str">
        <f>'BM02'!A249</f>
        <v>2.9.2</v>
      </c>
      <c r="B638" s="211" t="str">
        <f>'BM02'!B249</f>
        <v>PONTO DE ILUMINAÇÃO RESIDENCIAL INCLUINDO INTERRUPTOR SIMPLES, CAIXA ELÉTRICA, ELETRODUTO, CABO, RASGO, QUEBRA E CHUMBAMENTO (EXCLUINDO LUMINÁRIA E LÂMPADA). AF_01/2016</v>
      </c>
      <c r="C638" s="212"/>
      <c r="D638" s="212"/>
      <c r="E638" s="212"/>
      <c r="F638" s="212"/>
      <c r="G638" s="212"/>
      <c r="H638" s="212"/>
      <c r="I638" s="212"/>
      <c r="J638" s="212"/>
      <c r="K638" s="213"/>
      <c r="L638" s="129">
        <f>L639</f>
        <v>0</v>
      </c>
      <c r="M638" s="130" t="str">
        <f>'BM02'!C249</f>
        <v>un</v>
      </c>
    </row>
    <row r="639" spans="1:13" s="131" customFormat="1" ht="13.5" thickBot="1">
      <c r="A639" s="132"/>
      <c r="B639" s="209"/>
      <c r="C639" s="210"/>
      <c r="D639" s="134"/>
      <c r="E639" s="134"/>
      <c r="F639" s="134"/>
      <c r="G639" s="134"/>
      <c r="H639" s="134"/>
      <c r="I639" s="134"/>
      <c r="J639" s="135"/>
      <c r="K639" s="135"/>
      <c r="L639" s="134">
        <f>D639</f>
        <v>0</v>
      </c>
      <c r="M639" s="136"/>
    </row>
    <row r="640" spans="1:13" s="131" customFormat="1" ht="12.75">
      <c r="A640" s="139"/>
      <c r="B640" s="140"/>
      <c r="C640" s="141"/>
      <c r="D640" s="142"/>
      <c r="E640" s="143"/>
      <c r="F640" s="142"/>
      <c r="G640" s="142"/>
      <c r="H640" s="143"/>
      <c r="I640" s="143"/>
      <c r="J640" s="144"/>
      <c r="K640" s="144"/>
      <c r="L640" s="142"/>
      <c r="M640" s="145"/>
    </row>
    <row r="641" spans="1:13" ht="12.6" customHeight="1">
      <c r="A641" s="128" t="str">
        <f>'BM02'!A250</f>
        <v>2.9.3</v>
      </c>
      <c r="B641" s="211" t="str">
        <f>'BM02'!B250</f>
        <v>Refletor Slim LED 150W de potência, branco Frio, 6500k, Autovolt, marca G-light ou similar - Rev 01</v>
      </c>
      <c r="C641" s="212"/>
      <c r="D641" s="212"/>
      <c r="E641" s="212"/>
      <c r="F641" s="212"/>
      <c r="G641" s="212"/>
      <c r="H641" s="212"/>
      <c r="I641" s="212"/>
      <c r="J641" s="212"/>
      <c r="K641" s="213"/>
      <c r="L641" s="129">
        <f>L642</f>
        <v>0</v>
      </c>
      <c r="M641" s="130" t="str">
        <f>'BM02'!C250</f>
        <v>un</v>
      </c>
    </row>
    <row r="642" spans="1:13" s="131" customFormat="1" ht="12.75">
      <c r="A642" s="132"/>
      <c r="B642" s="209"/>
      <c r="C642" s="210"/>
      <c r="D642" s="134"/>
      <c r="E642" s="134"/>
      <c r="F642" s="134"/>
      <c r="G642" s="134"/>
      <c r="H642" s="134"/>
      <c r="I642" s="134"/>
      <c r="J642" s="135"/>
      <c r="K642" s="135"/>
      <c r="L642" s="134">
        <f>ROUND(D642*K642,2)</f>
        <v>0</v>
      </c>
      <c r="M642" s="136"/>
    </row>
    <row r="643" spans="1:13" s="131" customFormat="1" ht="12.75">
      <c r="A643" s="139"/>
      <c r="B643" s="140"/>
      <c r="C643" s="141"/>
      <c r="D643" s="142"/>
      <c r="E643" s="143"/>
      <c r="F643" s="142"/>
      <c r="G643" s="142"/>
      <c r="H643" s="143"/>
      <c r="I643" s="143"/>
      <c r="J643" s="144"/>
      <c r="K643" s="144"/>
      <c r="L643" s="142"/>
      <c r="M643" s="145"/>
    </row>
    <row r="644" spans="1:13" ht="30" customHeight="1">
      <c r="A644" s="128" t="str">
        <f>'BM02'!A251</f>
        <v>2.9.4</v>
      </c>
      <c r="B644" s="211" t="str">
        <f>'BM02'!B251</f>
        <v>CAIXA RETANGULAR 4" X 4" MÉDIA (1,30 M DO PISO), PVC, INSTALADA EM PAREDE - FORNECIMENTO E INSTALAÇÃO. AF_12/2015</v>
      </c>
      <c r="C644" s="212"/>
      <c r="D644" s="212"/>
      <c r="E644" s="212"/>
      <c r="F644" s="212"/>
      <c r="G644" s="212"/>
      <c r="H644" s="212"/>
      <c r="I644" s="212"/>
      <c r="J644" s="212"/>
      <c r="K644" s="213"/>
      <c r="L644" s="129">
        <f>L645</f>
        <v>0</v>
      </c>
      <c r="M644" s="130" t="str">
        <f>'BM02'!C251</f>
        <v>un</v>
      </c>
    </row>
    <row r="645" spans="1:13" s="131" customFormat="1" ht="12.75">
      <c r="A645" s="132"/>
      <c r="B645" s="209"/>
      <c r="C645" s="210"/>
      <c r="D645" s="134"/>
      <c r="E645" s="134"/>
      <c r="F645" s="134"/>
      <c r="G645" s="134"/>
      <c r="H645" s="134"/>
      <c r="I645" s="134"/>
      <c r="J645" s="135"/>
      <c r="K645" s="135"/>
      <c r="L645" s="134">
        <f>D645</f>
        <v>0</v>
      </c>
      <c r="M645" s="136"/>
    </row>
    <row r="646" spans="1:13" s="131" customFormat="1" ht="12.75">
      <c r="A646" s="139"/>
      <c r="B646" s="140"/>
      <c r="C646" s="141"/>
      <c r="D646" s="142"/>
      <c r="E646" s="143"/>
      <c r="F646" s="142"/>
      <c r="G646" s="142"/>
      <c r="H646" s="143"/>
      <c r="I646" s="143"/>
      <c r="J646" s="144"/>
      <c r="K646" s="144"/>
      <c r="L646" s="142"/>
      <c r="M646" s="145"/>
    </row>
    <row r="647" spans="1:13" ht="30" customHeight="1">
      <c r="A647" s="128" t="str">
        <f>'BM02'!A252</f>
        <v>2.9.5</v>
      </c>
      <c r="B647" s="211" t="str">
        <f>'BM02'!B252</f>
        <v>CABO DE COBRE FLEXÍVEL ISOLADO, 2,5 MM², ANTI-CHAMA 0,6/1,0 KV, PARA CIRCUITOS TERMINAIS - FORNECIMENTO E INSTALAÇÃO. AF_12/2015</v>
      </c>
      <c r="C647" s="212"/>
      <c r="D647" s="212"/>
      <c r="E647" s="212"/>
      <c r="F647" s="212"/>
      <c r="G647" s="212"/>
      <c r="H647" s="212"/>
      <c r="I647" s="212"/>
      <c r="J647" s="212"/>
      <c r="K647" s="213"/>
      <c r="L647" s="129">
        <f>L648</f>
        <v>0</v>
      </c>
      <c r="M647" s="130" t="str">
        <f>'BM02'!C252</f>
        <v>m²</v>
      </c>
    </row>
    <row r="648" spans="1:13" s="131" customFormat="1" ht="12.75">
      <c r="A648" s="132"/>
      <c r="B648" s="209"/>
      <c r="C648" s="210"/>
      <c r="D648" s="134"/>
      <c r="E648" s="134"/>
      <c r="F648" s="134"/>
      <c r="G648" s="134"/>
      <c r="H648" s="134"/>
      <c r="I648" s="134"/>
      <c r="J648" s="135"/>
      <c r="K648" s="135"/>
      <c r="L648" s="134">
        <f>D648</f>
        <v>0</v>
      </c>
      <c r="M648" s="136"/>
    </row>
    <row r="649" spans="1:13" s="131" customFormat="1" ht="13.5" thickBot="1">
      <c r="A649" s="139"/>
      <c r="B649" s="140"/>
      <c r="C649" s="141"/>
      <c r="D649" s="142"/>
      <c r="E649" s="143"/>
      <c r="F649" s="142"/>
      <c r="G649" s="142"/>
      <c r="H649" s="143"/>
      <c r="I649" s="143"/>
      <c r="J649" s="144"/>
      <c r="K649" s="144"/>
      <c r="L649" s="142"/>
      <c r="M649" s="145"/>
    </row>
    <row r="650" spans="1:13" ht="13.5" thickBot="1">
      <c r="A650" s="121" t="str">
        <f>'BM04'!A283</f>
        <v>2.10</v>
      </c>
      <c r="B650" s="122" t="str">
        <f>'BM04'!B283</f>
        <v>PINTURA</v>
      </c>
      <c r="C650" s="122"/>
      <c r="D650" s="122"/>
      <c r="E650" s="122"/>
      <c r="F650" s="122"/>
      <c r="G650" s="122"/>
      <c r="H650" s="122"/>
      <c r="I650" s="122"/>
      <c r="J650" s="122"/>
      <c r="K650" s="122"/>
      <c r="L650" s="122"/>
      <c r="M650" s="123"/>
    </row>
    <row r="651" spans="1:13" ht="12.75">
      <c r="A651" s="124"/>
      <c r="B651" s="125"/>
      <c r="C651" s="125"/>
      <c r="D651" s="125"/>
      <c r="E651" s="125"/>
      <c r="F651" s="125"/>
      <c r="G651" s="125"/>
      <c r="H651" s="125"/>
      <c r="I651" s="125"/>
      <c r="J651" s="125"/>
      <c r="K651" s="126"/>
      <c r="L651" s="125"/>
      <c r="M651" s="127"/>
    </row>
    <row r="652" spans="1:13" ht="12.75">
      <c r="A652" s="128" t="str">
        <f>'BM04'!A285</f>
        <v>2.10.1</v>
      </c>
      <c r="B652" s="211" t="str">
        <f>'BM04'!B285</f>
        <v>APLICAÇÃO DE FUNDO SELADOR ACRÍLICO EM PAREDES, UMA DEMÃO. AF_06/2014</v>
      </c>
      <c r="C652" s="212"/>
      <c r="D652" s="212"/>
      <c r="E652" s="212"/>
      <c r="F652" s="212"/>
      <c r="G652" s="212"/>
      <c r="H652" s="212"/>
      <c r="I652" s="212"/>
      <c r="J652" s="212"/>
      <c r="K652" s="213"/>
      <c r="L652" s="129">
        <f>L653</f>
        <v>18.559999999999999</v>
      </c>
      <c r="M652" s="130" t="str">
        <f>'BM04'!C285</f>
        <v>M²</v>
      </c>
    </row>
    <row r="653" spans="1:13" s="131" customFormat="1" ht="28.9" customHeight="1">
      <c r="A653" s="132"/>
      <c r="B653" s="209" t="s">
        <v>806</v>
      </c>
      <c r="C653" s="210"/>
      <c r="D653" s="134">
        <f>(5.8*2.6 + 5.8*(1.2/2))</f>
        <v>18.559999999999999</v>
      </c>
      <c r="E653" s="134"/>
      <c r="F653" s="134"/>
      <c r="G653" s="134"/>
      <c r="H653" s="134"/>
      <c r="I653" s="134"/>
      <c r="J653" s="135"/>
      <c r="K653" s="135"/>
      <c r="L653" s="134">
        <f>D653</f>
        <v>18.559999999999999</v>
      </c>
      <c r="M653" s="136"/>
    </row>
    <row r="654" spans="1:13" s="131" customFormat="1" ht="12.75">
      <c r="A654" s="139"/>
      <c r="B654" s="140"/>
      <c r="C654" s="141"/>
      <c r="D654" s="142"/>
      <c r="E654" s="143"/>
      <c r="F654" s="142"/>
      <c r="G654" s="142"/>
      <c r="H654" s="143"/>
      <c r="I654" s="143"/>
      <c r="J654" s="144"/>
      <c r="K654" s="144"/>
      <c r="L654" s="142"/>
      <c r="M654" s="145"/>
    </row>
    <row r="655" spans="1:13" ht="30" customHeight="1">
      <c r="A655" s="128" t="str">
        <f>'BM04'!A286</f>
        <v>2.10.2</v>
      </c>
      <c r="B655" s="211" t="str">
        <f>'BM04'!B286</f>
        <v>APLICAÇÃO MANUAL DE MASSA ACRÍLICA EM PANOS DE FACHADA SEM PRESENÇA DE VÃOS, DE EDIFÍCIOS DE MÚLTIPLOS PAVIMENTOS, DUAS DEMÃOS. AF_05/2017</v>
      </c>
      <c r="C655" s="212"/>
      <c r="D655" s="212"/>
      <c r="E655" s="212"/>
      <c r="F655" s="212"/>
      <c r="G655" s="212"/>
      <c r="H655" s="212"/>
      <c r="I655" s="212"/>
      <c r="J655" s="212"/>
      <c r="K655" s="213"/>
      <c r="L655" s="129">
        <f>L656</f>
        <v>18.559999999999999</v>
      </c>
      <c r="M655" s="130" t="str">
        <f>'BM04'!C286</f>
        <v>M²</v>
      </c>
    </row>
    <row r="656" spans="1:13" s="131" customFormat="1" ht="28.9" customHeight="1">
      <c r="A656" s="132"/>
      <c r="B656" s="209" t="s">
        <v>806</v>
      </c>
      <c r="C656" s="210"/>
      <c r="D656" s="134">
        <f>(5.8*2.6 + 5.8*(1.2/2))</f>
        <v>18.559999999999999</v>
      </c>
      <c r="E656" s="134"/>
      <c r="F656" s="134"/>
      <c r="G656" s="134"/>
      <c r="H656" s="134"/>
      <c r="I656" s="134"/>
      <c r="J656" s="135"/>
      <c r="K656" s="135"/>
      <c r="L656" s="134">
        <f>D656</f>
        <v>18.559999999999999</v>
      </c>
      <c r="M656" s="136"/>
    </row>
    <row r="657" spans="1:13" s="131" customFormat="1" ht="12.75">
      <c r="A657" s="139"/>
      <c r="B657" s="140"/>
      <c r="C657" s="141"/>
      <c r="D657" s="142"/>
      <c r="E657" s="143"/>
      <c r="F657" s="142"/>
      <c r="G657" s="142"/>
      <c r="H657" s="143"/>
      <c r="I657" s="143"/>
      <c r="J657" s="144"/>
      <c r="K657" s="144"/>
      <c r="L657" s="142"/>
      <c r="M657" s="145"/>
    </row>
    <row r="658" spans="1:13" ht="12.6" customHeight="1">
      <c r="A658" s="128" t="str">
        <f>'BM04'!A287</f>
        <v>2.10.3</v>
      </c>
      <c r="B658" s="211" t="str">
        <f>'BM04'!B287</f>
        <v>APLICAÇÃO MANUAL DE PINTURA COM TINTA LÁTEX ACRÍLICA EM PAREDES, DUAS DEMÃOS. AF_06/2014</v>
      </c>
      <c r="C658" s="212"/>
      <c r="D658" s="212"/>
      <c r="E658" s="212"/>
      <c r="F658" s="212"/>
      <c r="G658" s="212"/>
      <c r="H658" s="212"/>
      <c r="I658" s="212"/>
      <c r="J658" s="212"/>
      <c r="K658" s="213"/>
      <c r="L658" s="129">
        <f>L659</f>
        <v>18.559999999999999</v>
      </c>
      <c r="M658" s="130" t="str">
        <f>'BM04'!C287</f>
        <v>M²</v>
      </c>
    </row>
    <row r="659" spans="1:13" s="131" customFormat="1" ht="28.9" customHeight="1">
      <c r="A659" s="132"/>
      <c r="B659" s="209" t="s">
        <v>806</v>
      </c>
      <c r="C659" s="210"/>
      <c r="D659" s="134">
        <f>(5.8*2.6 + 5.8*(1.2/2))</f>
        <v>18.559999999999999</v>
      </c>
      <c r="E659" s="134"/>
      <c r="F659" s="134"/>
      <c r="G659" s="134"/>
      <c r="H659" s="134"/>
      <c r="I659" s="134"/>
      <c r="J659" s="135"/>
      <c r="K659" s="135"/>
      <c r="L659" s="134">
        <f>D659</f>
        <v>18.559999999999999</v>
      </c>
      <c r="M659" s="136"/>
    </row>
    <row r="660" spans="1:13" s="131" customFormat="1" ht="12.75">
      <c r="A660" s="139"/>
      <c r="B660" s="140"/>
      <c r="C660" s="141"/>
      <c r="D660" s="142"/>
      <c r="E660" s="143"/>
      <c r="F660" s="142"/>
      <c r="G660" s="142"/>
      <c r="H660" s="143"/>
      <c r="I660" s="143"/>
      <c r="J660" s="144"/>
      <c r="K660" s="144"/>
      <c r="L660" s="142"/>
      <c r="M660" s="145"/>
    </row>
  </sheetData>
  <protectedRanges>
    <protectedRange sqref="L91" name="Intervalo1_1_3"/>
    <protectedRange sqref="L96" name="Intervalo1_1_4"/>
    <protectedRange sqref="L293 L284:L287 L281 L373 L379:L380" name="Intervalo1_1_7"/>
    <protectedRange sqref="L570:L571 L573" name="Intervalo1_1_8"/>
    <protectedRange sqref="L209:L228 L233 L254:L255" name="Intervalo1_1_2"/>
  </protectedRanges>
  <mergeCells count="428"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A10:M10"/>
    <mergeCell ref="B14:K14"/>
    <mergeCell ref="B15:C15"/>
    <mergeCell ref="B17:K17"/>
    <mergeCell ref="B18:C18"/>
    <mergeCell ref="B20:K20"/>
    <mergeCell ref="A7:A8"/>
    <mergeCell ref="B7:C8"/>
    <mergeCell ref="D7:D8"/>
    <mergeCell ref="E7:J7"/>
    <mergeCell ref="K7:L7"/>
    <mergeCell ref="M7:M8"/>
    <mergeCell ref="B30:C30"/>
    <mergeCell ref="B32:K32"/>
    <mergeCell ref="B33:C33"/>
    <mergeCell ref="B35:K35"/>
    <mergeCell ref="B36:C36"/>
    <mergeCell ref="B38:K38"/>
    <mergeCell ref="B21:C21"/>
    <mergeCell ref="B23:K23"/>
    <mergeCell ref="B24:C24"/>
    <mergeCell ref="B26:K26"/>
    <mergeCell ref="B27:C27"/>
    <mergeCell ref="B29:K29"/>
    <mergeCell ref="B53:C53"/>
    <mergeCell ref="B57:K57"/>
    <mergeCell ref="B60:K60"/>
    <mergeCell ref="B61:C61"/>
    <mergeCell ref="B63:K63"/>
    <mergeCell ref="B66:K66"/>
    <mergeCell ref="B39:C39"/>
    <mergeCell ref="B43:K43"/>
    <mergeCell ref="B44:C44"/>
    <mergeCell ref="B46:K46"/>
    <mergeCell ref="B47:C47"/>
    <mergeCell ref="B50:C50"/>
    <mergeCell ref="B80:K80"/>
    <mergeCell ref="B81:C81"/>
    <mergeCell ref="B84:C84"/>
    <mergeCell ref="B90:K90"/>
    <mergeCell ref="B91:C91"/>
    <mergeCell ref="B95:K95"/>
    <mergeCell ref="B69:K69"/>
    <mergeCell ref="B70:C70"/>
    <mergeCell ref="B72:K72"/>
    <mergeCell ref="B73:C73"/>
    <mergeCell ref="B77:K77"/>
    <mergeCell ref="B78:C78"/>
    <mergeCell ref="B105:C105"/>
    <mergeCell ref="B107:K107"/>
    <mergeCell ref="B108:C108"/>
    <mergeCell ref="B110:K110"/>
    <mergeCell ref="B111:C111"/>
    <mergeCell ref="B113:K113"/>
    <mergeCell ref="B96:C96"/>
    <mergeCell ref="B98:K98"/>
    <mergeCell ref="B99:C99"/>
    <mergeCell ref="B101:K101"/>
    <mergeCell ref="B102:C102"/>
    <mergeCell ref="B104:K104"/>
    <mergeCell ref="B125:C125"/>
    <mergeCell ref="B127:K127"/>
    <mergeCell ref="B128:C128"/>
    <mergeCell ref="B130:K130"/>
    <mergeCell ref="B131:C131"/>
    <mergeCell ref="B133:K133"/>
    <mergeCell ref="B114:C114"/>
    <mergeCell ref="B116:K116"/>
    <mergeCell ref="B117:C117"/>
    <mergeCell ref="B119:K119"/>
    <mergeCell ref="B120:C120"/>
    <mergeCell ref="B124:K124"/>
    <mergeCell ref="B143:C143"/>
    <mergeCell ref="B145:K145"/>
    <mergeCell ref="B146:C146"/>
    <mergeCell ref="B149:K149"/>
    <mergeCell ref="B150:C150"/>
    <mergeCell ref="B152:K152"/>
    <mergeCell ref="B134:C134"/>
    <mergeCell ref="B136:K136"/>
    <mergeCell ref="B137:C137"/>
    <mergeCell ref="B139:K139"/>
    <mergeCell ref="B140:C140"/>
    <mergeCell ref="B142:K142"/>
    <mergeCell ref="B147:C147"/>
    <mergeCell ref="B162:C162"/>
    <mergeCell ref="B166:K166"/>
    <mergeCell ref="B167:C167"/>
    <mergeCell ref="B169:K169"/>
    <mergeCell ref="B170:C170"/>
    <mergeCell ref="B172:K172"/>
    <mergeCell ref="B153:C153"/>
    <mergeCell ref="B155:K155"/>
    <mergeCell ref="B156:C156"/>
    <mergeCell ref="B158:K158"/>
    <mergeCell ref="B159:C159"/>
    <mergeCell ref="B161:K161"/>
    <mergeCell ref="B182:C182"/>
    <mergeCell ref="B184:K184"/>
    <mergeCell ref="B185:C185"/>
    <mergeCell ref="B187:K187"/>
    <mergeCell ref="B188:C188"/>
    <mergeCell ref="B190:K190"/>
    <mergeCell ref="B173:C173"/>
    <mergeCell ref="B175:K175"/>
    <mergeCell ref="B176:C176"/>
    <mergeCell ref="B178:K178"/>
    <mergeCell ref="B179:C179"/>
    <mergeCell ref="B181:K181"/>
    <mergeCell ref="B198:K198"/>
    <mergeCell ref="B199:C199"/>
    <mergeCell ref="B201:K201"/>
    <mergeCell ref="B202:C202"/>
    <mergeCell ref="B204:K204"/>
    <mergeCell ref="B205:C205"/>
    <mergeCell ref="B191:C191"/>
    <mergeCell ref="B193:K193"/>
    <mergeCell ref="B194:C194"/>
    <mergeCell ref="B213:C213"/>
    <mergeCell ref="B214:C214"/>
    <mergeCell ref="B215:C215"/>
    <mergeCell ref="B216:C216"/>
    <mergeCell ref="B217:C217"/>
    <mergeCell ref="B218:C218"/>
    <mergeCell ref="B207:K207"/>
    <mergeCell ref="B208:C208"/>
    <mergeCell ref="B209:C209"/>
    <mergeCell ref="B210:C210"/>
    <mergeCell ref="B211:C211"/>
    <mergeCell ref="B212:C212"/>
    <mergeCell ref="B235:K235"/>
    <mergeCell ref="B255:C255"/>
    <mergeCell ref="B233:C233"/>
    <mergeCell ref="B225:C225"/>
    <mergeCell ref="B226:C226"/>
    <mergeCell ref="B227:C227"/>
    <mergeCell ref="B228:C228"/>
    <mergeCell ref="B232:K232"/>
    <mergeCell ref="B219:C219"/>
    <mergeCell ref="B220:C220"/>
    <mergeCell ref="B221:C221"/>
    <mergeCell ref="B222:C222"/>
    <mergeCell ref="B223:C223"/>
    <mergeCell ref="B224:C224"/>
    <mergeCell ref="B244:C244"/>
    <mergeCell ref="B243:K243"/>
    <mergeCell ref="B253:K253"/>
    <mergeCell ref="B254:C254"/>
    <mergeCell ref="B248:C248"/>
    <mergeCell ref="B251:C251"/>
    <mergeCell ref="B250:C250"/>
    <mergeCell ref="B249:C249"/>
    <mergeCell ref="B236:C236"/>
    <mergeCell ref="B238:K238"/>
    <mergeCell ref="B239:C239"/>
    <mergeCell ref="B240:C240"/>
    <mergeCell ref="B266:K266"/>
    <mergeCell ref="B267:C267"/>
    <mergeCell ref="B269:K269"/>
    <mergeCell ref="B270:C270"/>
    <mergeCell ref="B257:K257"/>
    <mergeCell ref="B258:C258"/>
    <mergeCell ref="B260:K260"/>
    <mergeCell ref="B261:C261"/>
    <mergeCell ref="B263:K263"/>
    <mergeCell ref="B264:C264"/>
    <mergeCell ref="B283:K283"/>
    <mergeCell ref="B284:C284"/>
    <mergeCell ref="B285:C285"/>
    <mergeCell ref="B286:C286"/>
    <mergeCell ref="B287:C287"/>
    <mergeCell ref="B289:K289"/>
    <mergeCell ref="B272:K272"/>
    <mergeCell ref="B273:C273"/>
    <mergeCell ref="B277:K277"/>
    <mergeCell ref="B278:C278"/>
    <mergeCell ref="B280:K280"/>
    <mergeCell ref="B281:C281"/>
    <mergeCell ref="B295:K295"/>
    <mergeCell ref="B296:C296"/>
    <mergeCell ref="B298:K298"/>
    <mergeCell ref="B299:C299"/>
    <mergeCell ref="B301:K301"/>
    <mergeCell ref="B302:C302"/>
    <mergeCell ref="B292:K292"/>
    <mergeCell ref="B293:C293"/>
    <mergeCell ref="B290:C290"/>
    <mergeCell ref="B314:C314"/>
    <mergeCell ref="B316:K316"/>
    <mergeCell ref="B317:C317"/>
    <mergeCell ref="B319:K319"/>
    <mergeCell ref="B313:K313"/>
    <mergeCell ref="B306:K306"/>
    <mergeCell ref="B307:C307"/>
    <mergeCell ref="B309:K309"/>
    <mergeCell ref="B310:C310"/>
    <mergeCell ref="B311:C311"/>
    <mergeCell ref="B329:C329"/>
    <mergeCell ref="B331:K331"/>
    <mergeCell ref="B332:C332"/>
    <mergeCell ref="B334:K334"/>
    <mergeCell ref="B323:C323"/>
    <mergeCell ref="B325:K325"/>
    <mergeCell ref="B326:C326"/>
    <mergeCell ref="B328:K328"/>
    <mergeCell ref="B320:C320"/>
    <mergeCell ref="B322:K322"/>
    <mergeCell ref="B335:C335"/>
    <mergeCell ref="B339:K339"/>
    <mergeCell ref="B340:C340"/>
    <mergeCell ref="B342:K342"/>
    <mergeCell ref="B343:C343"/>
    <mergeCell ref="B349:K349"/>
    <mergeCell ref="B336:C336"/>
    <mergeCell ref="B337:C337"/>
    <mergeCell ref="B344:C344"/>
    <mergeCell ref="B345:C345"/>
    <mergeCell ref="B346:C346"/>
    <mergeCell ref="B347:C347"/>
    <mergeCell ref="B367:C367"/>
    <mergeCell ref="B369:K369"/>
    <mergeCell ref="B370:C370"/>
    <mergeCell ref="B372:K372"/>
    <mergeCell ref="B373:C373"/>
    <mergeCell ref="B375:K375"/>
    <mergeCell ref="B350:C350"/>
    <mergeCell ref="B356:K356"/>
    <mergeCell ref="B357:C357"/>
    <mergeCell ref="B363:K363"/>
    <mergeCell ref="B364:C364"/>
    <mergeCell ref="B366:K366"/>
    <mergeCell ref="B351:C351"/>
    <mergeCell ref="B352:C352"/>
    <mergeCell ref="B353:C353"/>
    <mergeCell ref="B354:C354"/>
    <mergeCell ref="B358:C358"/>
    <mergeCell ref="B359:C359"/>
    <mergeCell ref="B386:C386"/>
    <mergeCell ref="B388:K388"/>
    <mergeCell ref="B389:C389"/>
    <mergeCell ref="B391:K391"/>
    <mergeCell ref="B392:C392"/>
    <mergeCell ref="B397:K397"/>
    <mergeCell ref="B394:K394"/>
    <mergeCell ref="B395:C395"/>
    <mergeCell ref="B376:C376"/>
    <mergeCell ref="B378:K378"/>
    <mergeCell ref="B379:C379"/>
    <mergeCell ref="B382:K382"/>
    <mergeCell ref="B383:C383"/>
    <mergeCell ref="B385:K385"/>
    <mergeCell ref="B380:C380"/>
    <mergeCell ref="B409:C409"/>
    <mergeCell ref="B411:K411"/>
    <mergeCell ref="B412:C412"/>
    <mergeCell ref="B414:K414"/>
    <mergeCell ref="B415:C415"/>
    <mergeCell ref="B417:K417"/>
    <mergeCell ref="B398:C398"/>
    <mergeCell ref="B400:K400"/>
    <mergeCell ref="B401:C401"/>
    <mergeCell ref="B405:K405"/>
    <mergeCell ref="B406:C406"/>
    <mergeCell ref="B408:K408"/>
    <mergeCell ref="B427:C427"/>
    <mergeCell ref="B429:K429"/>
    <mergeCell ref="B430:C430"/>
    <mergeCell ref="B432:K432"/>
    <mergeCell ref="B433:C433"/>
    <mergeCell ref="B435:K435"/>
    <mergeCell ref="B418:C418"/>
    <mergeCell ref="B420:K420"/>
    <mergeCell ref="B421:C421"/>
    <mergeCell ref="B423:K423"/>
    <mergeCell ref="B424:C424"/>
    <mergeCell ref="B426:K426"/>
    <mergeCell ref="B447:C447"/>
    <mergeCell ref="B449:K449"/>
    <mergeCell ref="B450:C450"/>
    <mergeCell ref="B452:K452"/>
    <mergeCell ref="B453:C453"/>
    <mergeCell ref="B455:K455"/>
    <mergeCell ref="B436:C436"/>
    <mergeCell ref="B440:K440"/>
    <mergeCell ref="B441:C441"/>
    <mergeCell ref="B443:K443"/>
    <mergeCell ref="B444:C444"/>
    <mergeCell ref="B446:K446"/>
    <mergeCell ref="B465:C465"/>
    <mergeCell ref="B467:K467"/>
    <mergeCell ref="B468:C468"/>
    <mergeCell ref="B470:K470"/>
    <mergeCell ref="B471:C471"/>
    <mergeCell ref="B473:K473"/>
    <mergeCell ref="B456:C456"/>
    <mergeCell ref="B458:K458"/>
    <mergeCell ref="B459:C459"/>
    <mergeCell ref="B461:K461"/>
    <mergeCell ref="B462:C462"/>
    <mergeCell ref="B464:K464"/>
    <mergeCell ref="B483:C483"/>
    <mergeCell ref="B485:K485"/>
    <mergeCell ref="B486:C486"/>
    <mergeCell ref="B488:K488"/>
    <mergeCell ref="B489:C489"/>
    <mergeCell ref="B491:K491"/>
    <mergeCell ref="B474:C474"/>
    <mergeCell ref="B476:K476"/>
    <mergeCell ref="B477:C477"/>
    <mergeCell ref="B479:K479"/>
    <mergeCell ref="B480:C480"/>
    <mergeCell ref="B482:K482"/>
    <mergeCell ref="B501:C501"/>
    <mergeCell ref="B503:K503"/>
    <mergeCell ref="B504:C504"/>
    <mergeCell ref="B506:K506"/>
    <mergeCell ref="B507:C507"/>
    <mergeCell ref="B509:K509"/>
    <mergeCell ref="B492:C492"/>
    <mergeCell ref="B494:K494"/>
    <mergeCell ref="B495:C495"/>
    <mergeCell ref="B497:K497"/>
    <mergeCell ref="B498:C498"/>
    <mergeCell ref="B500:K500"/>
    <mergeCell ref="B521:C521"/>
    <mergeCell ref="B523:K523"/>
    <mergeCell ref="B524:C524"/>
    <mergeCell ref="B526:K526"/>
    <mergeCell ref="B527:C527"/>
    <mergeCell ref="B529:K529"/>
    <mergeCell ref="B510:C510"/>
    <mergeCell ref="B512:K512"/>
    <mergeCell ref="B513:C513"/>
    <mergeCell ref="B517:K517"/>
    <mergeCell ref="B518:C518"/>
    <mergeCell ref="B520:K520"/>
    <mergeCell ref="B541:C541"/>
    <mergeCell ref="B543:K543"/>
    <mergeCell ref="B544:C544"/>
    <mergeCell ref="A546:M546"/>
    <mergeCell ref="B550:K550"/>
    <mergeCell ref="B551:C551"/>
    <mergeCell ref="B530:C530"/>
    <mergeCell ref="B532:K532"/>
    <mergeCell ref="B533:C533"/>
    <mergeCell ref="B535:K535"/>
    <mergeCell ref="B536:C536"/>
    <mergeCell ref="B540:K540"/>
    <mergeCell ref="B566:K566"/>
    <mergeCell ref="B567:C567"/>
    <mergeCell ref="B569:K569"/>
    <mergeCell ref="B570:C570"/>
    <mergeCell ref="B572:K572"/>
    <mergeCell ref="B573:C573"/>
    <mergeCell ref="B555:K555"/>
    <mergeCell ref="B556:C556"/>
    <mergeCell ref="B558:K558"/>
    <mergeCell ref="B559:C559"/>
    <mergeCell ref="B563:K563"/>
    <mergeCell ref="B564:C564"/>
    <mergeCell ref="B590:K590"/>
    <mergeCell ref="B591:C591"/>
    <mergeCell ref="B593:K593"/>
    <mergeCell ref="B594:C594"/>
    <mergeCell ref="B596:K596"/>
    <mergeCell ref="B597:C597"/>
    <mergeCell ref="B577:K577"/>
    <mergeCell ref="B578:C578"/>
    <mergeCell ref="B582:K582"/>
    <mergeCell ref="B583:C583"/>
    <mergeCell ref="B587:K587"/>
    <mergeCell ref="B588:C588"/>
    <mergeCell ref="B610:K610"/>
    <mergeCell ref="B611:C611"/>
    <mergeCell ref="B613:K613"/>
    <mergeCell ref="B614:C614"/>
    <mergeCell ref="B616:K616"/>
    <mergeCell ref="B617:C617"/>
    <mergeCell ref="B599:K599"/>
    <mergeCell ref="B600:C600"/>
    <mergeCell ref="B602:K602"/>
    <mergeCell ref="B603:C603"/>
    <mergeCell ref="B607:K607"/>
    <mergeCell ref="B608:C608"/>
    <mergeCell ref="B631:C631"/>
    <mergeCell ref="B635:K635"/>
    <mergeCell ref="B636:C636"/>
    <mergeCell ref="B638:K638"/>
    <mergeCell ref="B621:K621"/>
    <mergeCell ref="B622:C622"/>
    <mergeCell ref="B624:K624"/>
    <mergeCell ref="B625:C625"/>
    <mergeCell ref="B627:K627"/>
    <mergeCell ref="B628:C628"/>
    <mergeCell ref="B360:C360"/>
    <mergeCell ref="B361:C361"/>
    <mergeCell ref="B659:C659"/>
    <mergeCell ref="B85:C85"/>
    <mergeCell ref="B86:C86"/>
    <mergeCell ref="B87:C87"/>
    <mergeCell ref="B88:C88"/>
    <mergeCell ref="B241:C241"/>
    <mergeCell ref="B245:C245"/>
    <mergeCell ref="B246:C246"/>
    <mergeCell ref="B247:C247"/>
    <mergeCell ref="B648:C648"/>
    <mergeCell ref="B652:K652"/>
    <mergeCell ref="B653:C653"/>
    <mergeCell ref="B655:K655"/>
    <mergeCell ref="B656:C656"/>
    <mergeCell ref="B658:K658"/>
    <mergeCell ref="B639:C639"/>
    <mergeCell ref="B641:K641"/>
    <mergeCell ref="B642:C642"/>
    <mergeCell ref="B644:K644"/>
    <mergeCell ref="B645:C645"/>
    <mergeCell ref="B647:K647"/>
    <mergeCell ref="B630:K630"/>
  </mergeCells>
  <printOptions horizontalCentered="1"/>
  <pageMargins left="0.70866141732283472" right="0.70866141732283472" top="0.94488188976377963" bottom="0.94488188976377963" header="0.31496062992125984" footer="0.31496062992125984"/>
  <pageSetup paperSize="9" scale="66" fitToHeight="0" orientation="portrait" r:id="rId1"/>
  <rowBreaks count="2" manualBreakCount="2">
    <brk id="242" max="12" man="1"/>
    <brk id="422" max="12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N331"/>
  <sheetViews>
    <sheetView view="pageBreakPreview" topLeftCell="A10" zoomScale="70" zoomScaleNormal="85" zoomScaleSheetLayoutView="70" workbookViewId="0">
      <selection activeCell="L291" sqref="A1:L291"/>
    </sheetView>
  </sheetViews>
  <sheetFormatPr defaultColWidth="11" defaultRowHeight="15.75"/>
  <cols>
    <col min="1" max="1" width="8.5703125" style="104" customWidth="1"/>
    <col min="2" max="2" width="88.42578125" style="105" customWidth="1"/>
    <col min="3" max="3" width="6" style="106" bestFit="1" customWidth="1"/>
    <col min="4" max="4" width="10.140625" style="106" bestFit="1" customWidth="1"/>
    <col min="5" max="5" width="12.5703125" style="23" bestFit="1" customWidth="1"/>
    <col min="6" max="6" width="17.5703125" style="23" bestFit="1" customWidth="1"/>
    <col min="7" max="7" width="16.42578125" style="23" customWidth="1"/>
    <col min="8" max="8" width="15" style="107" bestFit="1" customWidth="1"/>
    <col min="9" max="9" width="18.28515625" style="23" customWidth="1"/>
    <col min="10" max="10" width="16.28515625" style="23" customWidth="1"/>
    <col min="11" max="11" width="15" style="23" customWidth="1"/>
    <col min="12" max="12" width="18.42578125" style="23" customWidth="1"/>
    <col min="13" max="13" width="15.5703125" style="24" bestFit="1" customWidth="1"/>
    <col min="14" max="14" width="11.28515625" style="14" bestFit="1" customWidth="1"/>
    <col min="15" max="15" width="10.42578125" style="15" customWidth="1"/>
    <col min="16" max="16" width="11.42578125" style="7" customWidth="1"/>
    <col min="17" max="17" width="18.7109375" style="24" bestFit="1" customWidth="1"/>
    <col min="18" max="18" width="19.85546875" style="24" bestFit="1" customWidth="1"/>
    <col min="19" max="19" width="7.42578125" style="24" customWidth="1"/>
    <col min="20" max="20" width="6" style="8" bestFit="1" customWidth="1"/>
    <col min="21" max="21" width="6.5703125" style="9" bestFit="1" customWidth="1"/>
    <col min="22" max="23" width="11" style="9"/>
    <col min="24" max="24" width="6" style="10" bestFit="1" customWidth="1"/>
    <col min="25" max="25" width="11" style="9"/>
    <col min="26" max="16384" width="11" style="12"/>
  </cols>
  <sheetData>
    <row r="1" spans="1:62" ht="60" hidden="1" customHeight="1">
      <c r="A1" s="249"/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4"/>
      <c r="N1" s="5"/>
      <c r="O1" s="6"/>
      <c r="Q1" s="4"/>
      <c r="R1" s="4"/>
      <c r="S1" s="4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</row>
    <row r="2" spans="1:62" ht="18.75" hidden="1" customHeight="1">
      <c r="A2" s="250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13"/>
      <c r="Q2" s="13"/>
      <c r="R2" s="13"/>
      <c r="S2" s="13"/>
      <c r="T2" s="16"/>
      <c r="X2" s="17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</row>
    <row r="3" spans="1:62" hidden="1">
      <c r="A3" s="251" t="s">
        <v>14</v>
      </c>
      <c r="B3" s="252" t="s">
        <v>26</v>
      </c>
      <c r="C3" s="252" t="s">
        <v>27</v>
      </c>
      <c r="D3" s="252" t="s">
        <v>28</v>
      </c>
      <c r="E3" s="252" t="s">
        <v>15</v>
      </c>
      <c r="F3" s="252"/>
      <c r="G3" s="252"/>
      <c r="H3" s="252" t="s">
        <v>29</v>
      </c>
      <c r="I3" s="252" t="s">
        <v>30</v>
      </c>
      <c r="J3" s="252"/>
      <c r="K3" s="252" t="s">
        <v>29</v>
      </c>
      <c r="L3" s="252" t="s">
        <v>30</v>
      </c>
      <c r="M3" s="13"/>
      <c r="Q3" s="13"/>
      <c r="R3" s="13"/>
      <c r="S3" s="13"/>
      <c r="T3" s="16"/>
      <c r="X3" s="17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</row>
    <row r="4" spans="1:62" ht="16.5" hidden="1" thickBot="1">
      <c r="A4" s="18"/>
      <c r="B4" s="19"/>
      <c r="C4" s="20"/>
      <c r="D4" s="20"/>
      <c r="E4" s="21"/>
      <c r="F4" s="21"/>
      <c r="G4" s="21"/>
      <c r="H4" s="22"/>
      <c r="I4" s="2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</row>
    <row r="5" spans="1:62" ht="16.5" hidden="1" thickBot="1">
      <c r="A5" s="25"/>
      <c r="B5" s="19"/>
      <c r="C5" s="20"/>
      <c r="D5" s="20"/>
      <c r="E5" s="21"/>
      <c r="F5" s="21"/>
      <c r="G5" s="21"/>
      <c r="H5" s="22"/>
      <c r="I5" s="21"/>
      <c r="J5" s="21"/>
      <c r="K5" s="21"/>
      <c r="L5" s="2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</row>
    <row r="6" spans="1:62" ht="16.5" hidden="1" thickBot="1">
      <c r="A6" s="26"/>
      <c r="B6" s="27"/>
      <c r="C6" s="28"/>
      <c r="D6" s="21"/>
      <c r="E6" s="29"/>
      <c r="F6" s="29"/>
      <c r="G6" s="29"/>
      <c r="H6" s="30"/>
      <c r="I6" s="29"/>
      <c r="J6" s="29"/>
      <c r="K6" s="21"/>
      <c r="L6" s="21"/>
      <c r="M6" s="31"/>
      <c r="Q6" s="32"/>
      <c r="R6" s="12"/>
      <c r="S6" s="12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</row>
    <row r="7" spans="1:62" ht="16.5" hidden="1" thickBot="1">
      <c r="A7" s="26"/>
      <c r="B7" s="33"/>
      <c r="C7" s="34"/>
      <c r="D7" s="35"/>
      <c r="E7" s="36"/>
      <c r="F7" s="36"/>
      <c r="G7" s="36"/>
      <c r="H7" s="37"/>
      <c r="I7" s="36"/>
      <c r="J7" s="36"/>
      <c r="K7" s="21"/>
      <c r="L7" s="21"/>
      <c r="Q7" s="12"/>
      <c r="R7" s="12"/>
      <c r="S7" s="12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</row>
    <row r="8" spans="1:62" ht="16.5" hidden="1" thickBot="1">
      <c r="A8" s="38"/>
      <c r="B8" s="39"/>
      <c r="C8" s="29"/>
      <c r="D8" s="29"/>
      <c r="E8" s="253" t="s">
        <v>32</v>
      </c>
      <c r="F8" s="254"/>
      <c r="G8" s="254"/>
      <c r="H8" s="254"/>
      <c r="I8" s="254"/>
      <c r="J8" s="254"/>
      <c r="K8" s="254"/>
      <c r="L8" s="254"/>
      <c r="M8" s="13"/>
      <c r="Q8" s="13"/>
      <c r="R8" s="13"/>
      <c r="S8" s="13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</row>
    <row r="9" spans="1:62" hidden="1">
      <c r="A9" s="40"/>
      <c r="B9" s="41"/>
      <c r="C9" s="42"/>
      <c r="D9" s="42"/>
      <c r="E9" s="255" t="s">
        <v>31</v>
      </c>
      <c r="F9" s="256"/>
      <c r="G9" s="256"/>
      <c r="H9" s="256"/>
      <c r="I9" s="256"/>
      <c r="J9" s="186"/>
      <c r="K9" s="256"/>
      <c r="L9" s="256"/>
      <c r="M9" s="13"/>
      <c r="Q9" s="13"/>
      <c r="R9" s="13"/>
      <c r="S9" s="13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</row>
    <row r="10" spans="1:62">
      <c r="A10" s="43"/>
      <c r="B10" s="44"/>
      <c r="C10" s="45"/>
      <c r="D10" s="45"/>
      <c r="E10" s="46"/>
      <c r="F10" s="46"/>
      <c r="G10" s="46"/>
      <c r="H10" s="46"/>
      <c r="I10" s="46"/>
      <c r="J10" s="46"/>
      <c r="K10" s="46"/>
      <c r="L10" s="46"/>
      <c r="M10" s="13"/>
      <c r="Q10" s="13"/>
      <c r="R10" s="13"/>
      <c r="S10" s="13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</row>
    <row r="11" spans="1:62">
      <c r="A11" s="47"/>
      <c r="B11" s="44"/>
      <c r="C11" s="45"/>
      <c r="D11" s="45"/>
      <c r="E11" s="46"/>
      <c r="F11" s="46"/>
      <c r="G11" s="46"/>
      <c r="H11" s="46"/>
      <c r="I11" s="46"/>
      <c r="J11" s="46"/>
      <c r="M11" s="13"/>
      <c r="Q11" s="13"/>
      <c r="R11" s="13"/>
      <c r="S11" s="13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</row>
    <row r="12" spans="1:62">
      <c r="A12" s="43"/>
      <c r="B12" s="44"/>
      <c r="C12" s="45"/>
      <c r="D12" s="45"/>
      <c r="E12" s="46"/>
      <c r="F12" s="46"/>
      <c r="G12" s="46"/>
      <c r="H12" s="46"/>
      <c r="I12" s="46"/>
      <c r="J12" s="46"/>
      <c r="K12" s="46"/>
      <c r="L12" s="46"/>
      <c r="M12" s="13"/>
      <c r="Q12" s="13"/>
      <c r="R12" s="13"/>
      <c r="S12" s="13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</row>
    <row r="13" spans="1:62">
      <c r="A13" s="43"/>
      <c r="B13" s="44"/>
      <c r="C13" s="45"/>
      <c r="D13" s="45"/>
      <c r="E13" s="46"/>
      <c r="F13" s="46"/>
      <c r="G13" s="46"/>
      <c r="H13" s="46"/>
      <c r="I13" s="46"/>
      <c r="J13" s="46"/>
      <c r="M13" s="13"/>
      <c r="Q13" s="13"/>
      <c r="R13" s="13"/>
      <c r="S13" s="13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</row>
    <row r="14" spans="1:62">
      <c r="A14" s="43"/>
      <c r="B14" s="44"/>
      <c r="C14" s="45"/>
      <c r="D14" s="45"/>
      <c r="E14" s="46"/>
      <c r="F14" s="46"/>
      <c r="G14" s="46"/>
      <c r="H14" s="46"/>
      <c r="I14" s="46"/>
      <c r="J14" s="46"/>
      <c r="M14" s="13"/>
      <c r="Q14" s="13"/>
      <c r="R14" s="13"/>
      <c r="S14" s="13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</row>
    <row r="15" spans="1:62">
      <c r="A15" s="246" t="s">
        <v>425</v>
      </c>
      <c r="B15" s="246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13"/>
      <c r="Q15" s="13"/>
      <c r="R15" s="13"/>
      <c r="S15" s="13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</row>
    <row r="16" spans="1:62">
      <c r="A16" s="246" t="s">
        <v>427</v>
      </c>
      <c r="B16" s="246"/>
      <c r="C16" s="246"/>
      <c r="D16" s="246"/>
      <c r="E16" s="246"/>
      <c r="F16" s="246"/>
      <c r="G16" s="246"/>
      <c r="H16" s="246"/>
      <c r="I16" s="246"/>
      <c r="J16" s="246"/>
      <c r="K16" s="246"/>
      <c r="L16" s="246"/>
      <c r="M16" s="13"/>
      <c r="Q16" s="13"/>
      <c r="R16" s="13"/>
      <c r="S16" s="13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</row>
    <row r="17" spans="1:62">
      <c r="A17" s="43"/>
      <c r="B17" s="44"/>
      <c r="C17" s="45"/>
      <c r="D17" s="45"/>
      <c r="E17" s="46"/>
      <c r="F17" s="46"/>
      <c r="G17" s="46"/>
      <c r="H17" s="46"/>
      <c r="I17" s="46"/>
      <c r="J17" s="46"/>
      <c r="M17" s="13"/>
      <c r="Q17" s="13"/>
      <c r="R17" s="13"/>
      <c r="S17" s="13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</row>
    <row r="18" spans="1:62" s="54" customFormat="1">
      <c r="A18" s="48"/>
      <c r="B18" s="49"/>
      <c r="C18" s="50"/>
      <c r="D18" s="51"/>
      <c r="E18" s="52"/>
      <c r="F18" s="52"/>
      <c r="G18" s="52"/>
      <c r="H18" s="52"/>
      <c r="I18" s="52"/>
      <c r="J18" s="52"/>
      <c r="K18" s="52"/>
      <c r="L18" s="53"/>
    </row>
    <row r="19" spans="1:62" s="54" customFormat="1" ht="18">
      <c r="A19" s="48"/>
      <c r="B19" s="48"/>
      <c r="C19" s="48"/>
      <c r="E19" s="48"/>
      <c r="F19" s="48"/>
      <c r="G19" s="48"/>
      <c r="H19" s="48"/>
      <c r="I19" s="285" t="s">
        <v>778</v>
      </c>
      <c r="J19" s="285"/>
      <c r="K19" s="285"/>
      <c r="L19" s="285"/>
    </row>
    <row r="20" spans="1:62" s="54" customFormat="1">
      <c r="A20" s="260"/>
      <c r="B20" s="260"/>
      <c r="C20" s="260"/>
      <c r="D20" s="260"/>
      <c r="E20" s="260"/>
      <c r="F20" s="260"/>
      <c r="G20" s="260"/>
      <c r="H20" s="260"/>
      <c r="I20" s="55" t="s">
        <v>33</v>
      </c>
      <c r="J20" s="56"/>
      <c r="K20" s="56"/>
      <c r="L20" s="57">
        <v>45077</v>
      </c>
    </row>
    <row r="21" spans="1:62" s="54" customFormat="1">
      <c r="A21" s="1"/>
      <c r="B21" s="53"/>
      <c r="C21" s="1"/>
      <c r="D21" s="1"/>
      <c r="E21" s="1"/>
      <c r="F21" s="1"/>
      <c r="G21" s="1"/>
      <c r="H21" s="1"/>
      <c r="I21" s="55" t="s">
        <v>420</v>
      </c>
      <c r="J21" s="56"/>
      <c r="K21" s="56"/>
      <c r="L21" s="2">
        <f>F289</f>
        <v>751811.60013000015</v>
      </c>
      <c r="M21" s="58">
        <v>719635.08</v>
      </c>
      <c r="N21" s="59">
        <v>719635.08</v>
      </c>
      <c r="O21" s="60">
        <v>0.23880000000000001</v>
      </c>
    </row>
    <row r="22" spans="1:62" s="54" customFormat="1">
      <c r="A22" s="1"/>
      <c r="B22" s="53"/>
      <c r="C22" s="1"/>
      <c r="D22" s="1"/>
      <c r="E22" s="1"/>
      <c r="F22" s="1"/>
      <c r="G22" s="1"/>
      <c r="H22" s="1"/>
      <c r="I22" s="55" t="s">
        <v>34</v>
      </c>
      <c r="J22" s="56"/>
      <c r="K22" s="56"/>
      <c r="L22" s="2">
        <f>L21-L23-L24</f>
        <v>43218.252410000088</v>
      </c>
      <c r="M22" s="61" t="e">
        <f>SUM(L21+#REF!)</f>
        <v>#REF!</v>
      </c>
      <c r="N22" s="59">
        <f>SUM(N21*O21+N21)</f>
        <v>891483.93710400001</v>
      </c>
      <c r="O22" s="59"/>
    </row>
    <row r="23" spans="1:62" s="54" customFormat="1">
      <c r="C23" s="1"/>
      <c r="D23" s="1"/>
      <c r="E23" s="1"/>
      <c r="F23" s="1"/>
      <c r="G23" s="1"/>
      <c r="H23" s="1"/>
      <c r="I23" s="55" t="s">
        <v>35</v>
      </c>
      <c r="J23" s="56"/>
      <c r="K23" s="56"/>
      <c r="L23" s="2">
        <f>J289</f>
        <v>648983.96790000005</v>
      </c>
      <c r="M23" s="61"/>
      <c r="N23" s="62"/>
      <c r="O23" s="62"/>
    </row>
    <row r="24" spans="1:62" s="54" customFormat="1">
      <c r="A24" s="247" t="s">
        <v>428</v>
      </c>
      <c r="B24" s="247"/>
      <c r="C24" s="49"/>
      <c r="D24" s="50"/>
      <c r="E24" s="49"/>
      <c r="F24" s="49"/>
      <c r="G24" s="49"/>
      <c r="H24" s="49"/>
      <c r="I24" s="63" t="s">
        <v>36</v>
      </c>
      <c r="J24" s="64"/>
      <c r="K24" s="64"/>
      <c r="L24" s="3">
        <f>K289</f>
        <v>59609.379820000016</v>
      </c>
    </row>
    <row r="25" spans="1:62" s="54" customFormat="1">
      <c r="A25" s="247" t="s">
        <v>526</v>
      </c>
      <c r="B25" s="247"/>
      <c r="C25" s="49"/>
      <c r="D25" s="50"/>
      <c r="E25" s="49"/>
      <c r="F25" s="49"/>
      <c r="G25" s="49"/>
      <c r="H25" s="49"/>
    </row>
    <row r="26" spans="1:62" s="54" customFormat="1">
      <c r="A26" s="48" t="s">
        <v>429</v>
      </c>
      <c r="B26" s="49"/>
      <c r="C26" s="50"/>
      <c r="D26" s="51"/>
      <c r="E26" s="52"/>
      <c r="F26" s="52"/>
      <c r="G26" s="52"/>
      <c r="H26" s="52"/>
      <c r="AN26" s="54" t="str">
        <f>IF(AL26=100%,"à medir","medido")</f>
        <v>medido</v>
      </c>
    </row>
    <row r="27" spans="1:62" s="54" customFormat="1">
      <c r="A27" s="48"/>
      <c r="B27" s="49"/>
      <c r="C27" s="50"/>
      <c r="D27" s="51"/>
      <c r="E27" s="52"/>
      <c r="F27" s="52"/>
      <c r="G27" s="52"/>
      <c r="H27" s="52"/>
      <c r="I27" s="65"/>
      <c r="J27" s="65"/>
      <c r="K27" s="52"/>
      <c r="L27" s="67"/>
    </row>
    <row r="28" spans="1:62" s="54" customFormat="1">
      <c r="A28" s="299" t="s">
        <v>14</v>
      </c>
      <c r="B28" s="295" t="s">
        <v>26</v>
      </c>
      <c r="C28" s="294" t="s">
        <v>27</v>
      </c>
      <c r="D28" s="294" t="s">
        <v>15</v>
      </c>
      <c r="E28" s="293" t="s">
        <v>28</v>
      </c>
      <c r="F28" s="293" t="s">
        <v>38</v>
      </c>
      <c r="G28" s="293" t="s">
        <v>539</v>
      </c>
      <c r="H28" s="293"/>
      <c r="I28" s="293"/>
      <c r="J28" s="293" t="s">
        <v>540</v>
      </c>
      <c r="K28" s="293"/>
      <c r="L28" s="293"/>
    </row>
    <row r="29" spans="1:62" ht="50.25" customHeight="1">
      <c r="A29" s="299"/>
      <c r="B29" s="295"/>
      <c r="C29" s="294"/>
      <c r="D29" s="294"/>
      <c r="E29" s="293"/>
      <c r="F29" s="293"/>
      <c r="G29" s="189" t="s">
        <v>533</v>
      </c>
      <c r="H29" s="189" t="s">
        <v>37</v>
      </c>
      <c r="I29" s="189" t="s">
        <v>39</v>
      </c>
      <c r="J29" s="189" t="s">
        <v>533</v>
      </c>
      <c r="K29" s="189" t="s">
        <v>37</v>
      </c>
      <c r="L29" s="189" t="s">
        <v>39</v>
      </c>
      <c r="M29" s="72"/>
      <c r="N29" s="73"/>
      <c r="O29" s="74"/>
      <c r="Q29" s="73"/>
      <c r="R29" s="73"/>
      <c r="S29" s="72"/>
      <c r="T29" s="16"/>
      <c r="X29" s="17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</row>
    <row r="30" spans="1:62" ht="24.6" customHeight="1">
      <c r="A30" s="296" t="s">
        <v>40</v>
      </c>
      <c r="B30" s="297"/>
      <c r="C30" s="297"/>
      <c r="D30" s="297"/>
      <c r="E30" s="297"/>
      <c r="F30" s="297"/>
      <c r="G30" s="297"/>
      <c r="H30" s="297"/>
      <c r="I30" s="297"/>
      <c r="J30" s="297"/>
      <c r="K30" s="297"/>
      <c r="L30" s="298"/>
      <c r="M30" s="72"/>
      <c r="N30" s="73"/>
      <c r="O30" s="74"/>
      <c r="Q30" s="73"/>
      <c r="R30" s="73"/>
      <c r="S30" s="72"/>
      <c r="T30" s="16"/>
      <c r="X30" s="17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</row>
    <row r="31" spans="1:62" s="87" customFormat="1">
      <c r="A31" s="148" t="s">
        <v>1</v>
      </c>
      <c r="B31" s="149" t="s">
        <v>0</v>
      </c>
      <c r="C31" s="150"/>
      <c r="D31" s="151"/>
      <c r="E31" s="150"/>
      <c r="F31" s="150">
        <f>SUM(F32:F41)</f>
        <v>17702.1358</v>
      </c>
      <c r="G31" s="150"/>
      <c r="H31" s="150"/>
      <c r="I31" s="150"/>
      <c r="J31" s="150">
        <f>SUM(J32:J41)</f>
        <v>17702.1358</v>
      </c>
      <c r="K31" s="150">
        <f t="shared" ref="K31:L31" si="0">SUM(K32:K41)</f>
        <v>0</v>
      </c>
      <c r="L31" s="150">
        <f t="shared" si="0"/>
        <v>17702.1358</v>
      </c>
      <c r="M31" s="188">
        <f>L31/F31</f>
        <v>1</v>
      </c>
      <c r="N31" s="80"/>
      <c r="O31" s="81"/>
      <c r="P31" s="7"/>
      <c r="Q31" s="79"/>
      <c r="R31" s="79"/>
      <c r="S31" s="79"/>
      <c r="T31" s="16"/>
      <c r="U31" s="82"/>
      <c r="V31" s="14"/>
      <c r="W31" s="83"/>
      <c r="X31" s="84"/>
      <c r="Y31" s="83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</row>
    <row r="32" spans="1:62">
      <c r="A32" s="88"/>
      <c r="B32" s="89"/>
      <c r="C32" s="88"/>
      <c r="D32" s="90"/>
      <c r="E32" s="152"/>
      <c r="F32" s="152"/>
      <c r="G32" s="152"/>
      <c r="H32" s="152"/>
      <c r="I32" s="152"/>
      <c r="J32" s="152"/>
      <c r="K32" s="152"/>
      <c r="L32" s="152"/>
      <c r="M32" s="188" t="e">
        <f t="shared" ref="M32:M95" si="1">L32/F32</f>
        <v>#DIV/0!</v>
      </c>
      <c r="N32" s="80"/>
      <c r="O32" s="81"/>
      <c r="Q32" s="80"/>
      <c r="R32" s="80"/>
      <c r="S32" s="91"/>
      <c r="U32" s="82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</row>
    <row r="33" spans="1:62">
      <c r="A33" s="153" t="s">
        <v>41</v>
      </c>
      <c r="B33" s="154" t="s">
        <v>366</v>
      </c>
      <c r="C33" s="155" t="s">
        <v>16</v>
      </c>
      <c r="D33" s="156">
        <v>6</v>
      </c>
      <c r="E33" s="156">
        <v>297.62</v>
      </c>
      <c r="F33" s="156">
        <f>D33*E33</f>
        <v>1785.72</v>
      </c>
      <c r="G33" s="156">
        <v>6</v>
      </c>
      <c r="H33" s="156"/>
      <c r="I33" s="156">
        <f>G33+H33</f>
        <v>6</v>
      </c>
      <c r="J33" s="156">
        <f>E33*G33</f>
        <v>1785.72</v>
      </c>
      <c r="K33" s="156">
        <f t="shared" ref="K33:K41" si="2">H33*E33</f>
        <v>0</v>
      </c>
      <c r="L33" s="156">
        <f>J33+K33</f>
        <v>1785.72</v>
      </c>
      <c r="M33" s="188">
        <f t="shared" si="1"/>
        <v>1</v>
      </c>
      <c r="N33" s="92"/>
      <c r="O33" s="81"/>
      <c r="Q33" s="92"/>
      <c r="R33" s="92"/>
      <c r="S33" s="93"/>
      <c r="U33" s="82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</row>
    <row r="34" spans="1:62" ht="28.5">
      <c r="A34" s="153" t="s">
        <v>42</v>
      </c>
      <c r="B34" s="154" t="s">
        <v>305</v>
      </c>
      <c r="C34" s="155" t="s">
        <v>43</v>
      </c>
      <c r="D34" s="156">
        <v>140</v>
      </c>
      <c r="E34" s="156">
        <v>36.409999999999997</v>
      </c>
      <c r="F34" s="156">
        <f t="shared" ref="F34:F41" si="3">D34*E34</f>
        <v>5097.3999999999996</v>
      </c>
      <c r="G34" s="156">
        <v>140</v>
      </c>
      <c r="H34" s="156"/>
      <c r="I34" s="156">
        <f t="shared" ref="I34:I41" si="4">G34+H34</f>
        <v>140</v>
      </c>
      <c r="J34" s="156">
        <f t="shared" ref="J34:J39" si="5">E34*G34</f>
        <v>5097.3999999999996</v>
      </c>
      <c r="K34" s="156">
        <f t="shared" si="2"/>
        <v>0</v>
      </c>
      <c r="L34" s="156">
        <f t="shared" ref="L34:L41" si="6">J34+K34</f>
        <v>5097.3999999999996</v>
      </c>
      <c r="M34" s="188">
        <f t="shared" si="1"/>
        <v>1</v>
      </c>
      <c r="N34" s="80"/>
      <c r="O34" s="81"/>
      <c r="Q34" s="80"/>
      <c r="R34" s="80"/>
      <c r="S34" s="91"/>
      <c r="U34" s="82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</row>
    <row r="35" spans="1:62" ht="42.75">
      <c r="A35" s="153" t="s">
        <v>44</v>
      </c>
      <c r="B35" s="154" t="s">
        <v>367</v>
      </c>
      <c r="C35" s="155" t="s">
        <v>16</v>
      </c>
      <c r="D35" s="156">
        <v>1500</v>
      </c>
      <c r="E35" s="156">
        <v>0.22</v>
      </c>
      <c r="F35" s="156">
        <f t="shared" si="3"/>
        <v>330</v>
      </c>
      <c r="G35" s="156">
        <v>1500</v>
      </c>
      <c r="H35" s="156"/>
      <c r="I35" s="156">
        <f t="shared" si="4"/>
        <v>1500</v>
      </c>
      <c r="J35" s="156">
        <f t="shared" si="5"/>
        <v>330</v>
      </c>
      <c r="K35" s="156">
        <f t="shared" si="2"/>
        <v>0</v>
      </c>
      <c r="L35" s="156">
        <f t="shared" si="6"/>
        <v>330</v>
      </c>
      <c r="M35" s="188">
        <f t="shared" si="1"/>
        <v>1</v>
      </c>
      <c r="N35" s="80"/>
      <c r="O35" s="81"/>
      <c r="Q35" s="80"/>
      <c r="R35" s="80"/>
      <c r="S35" s="91"/>
      <c r="U35" s="82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</row>
    <row r="36" spans="1:62" s="87" customFormat="1" ht="42.75">
      <c r="A36" s="153" t="s">
        <v>45</v>
      </c>
      <c r="B36" s="154" t="s">
        <v>368</v>
      </c>
      <c r="C36" s="155" t="s">
        <v>7</v>
      </c>
      <c r="D36" s="156">
        <v>0</v>
      </c>
      <c r="E36" s="156">
        <v>414.92</v>
      </c>
      <c r="F36" s="156">
        <f t="shared" si="3"/>
        <v>0</v>
      </c>
      <c r="G36" s="156">
        <v>0</v>
      </c>
      <c r="H36" s="156"/>
      <c r="I36" s="156">
        <f t="shared" si="4"/>
        <v>0</v>
      </c>
      <c r="J36" s="156">
        <f t="shared" si="5"/>
        <v>0</v>
      </c>
      <c r="K36" s="156">
        <f t="shared" si="2"/>
        <v>0</v>
      </c>
      <c r="L36" s="156">
        <f t="shared" si="6"/>
        <v>0</v>
      </c>
      <c r="M36" s="188" t="e">
        <f t="shared" si="1"/>
        <v>#DIV/0!</v>
      </c>
      <c r="N36" s="80"/>
      <c r="O36" s="81"/>
      <c r="P36" s="7"/>
      <c r="Q36" s="79"/>
      <c r="R36" s="79"/>
      <c r="S36" s="79"/>
      <c r="T36" s="16"/>
      <c r="U36" s="82"/>
      <c r="V36" s="14"/>
      <c r="W36" s="83"/>
      <c r="X36" s="84"/>
      <c r="Y36" s="83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</row>
    <row r="37" spans="1:62" s="87" customFormat="1" ht="34.5" customHeight="1">
      <c r="A37" s="153" t="s">
        <v>46</v>
      </c>
      <c r="B37" s="157" t="s">
        <v>369</v>
      </c>
      <c r="C37" s="155" t="s">
        <v>7</v>
      </c>
      <c r="D37" s="156">
        <v>0</v>
      </c>
      <c r="E37" s="156">
        <v>1100.67</v>
      </c>
      <c r="F37" s="156">
        <f t="shared" si="3"/>
        <v>0</v>
      </c>
      <c r="G37" s="156">
        <v>0</v>
      </c>
      <c r="H37" s="156"/>
      <c r="I37" s="156">
        <f t="shared" si="4"/>
        <v>0</v>
      </c>
      <c r="J37" s="156">
        <f t="shared" si="5"/>
        <v>0</v>
      </c>
      <c r="K37" s="156">
        <f t="shared" si="2"/>
        <v>0</v>
      </c>
      <c r="L37" s="156">
        <f t="shared" si="6"/>
        <v>0</v>
      </c>
      <c r="M37" s="188" t="e">
        <f t="shared" si="1"/>
        <v>#DIV/0!</v>
      </c>
      <c r="N37" s="80"/>
      <c r="O37" s="81"/>
      <c r="P37" s="7"/>
      <c r="Q37" s="79"/>
      <c r="R37" s="79"/>
      <c r="S37" s="79"/>
      <c r="T37" s="16"/>
      <c r="U37" s="82"/>
      <c r="V37" s="14"/>
      <c r="W37" s="83"/>
      <c r="X37" s="84"/>
      <c r="Y37" s="83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</row>
    <row r="38" spans="1:62" s="87" customFormat="1" ht="42.75">
      <c r="A38" s="153" t="s">
        <v>47</v>
      </c>
      <c r="B38" s="157" t="s">
        <v>370</v>
      </c>
      <c r="C38" s="155" t="s">
        <v>7</v>
      </c>
      <c r="D38" s="156">
        <v>0</v>
      </c>
      <c r="E38" s="156">
        <v>467.94</v>
      </c>
      <c r="F38" s="156">
        <f t="shared" si="3"/>
        <v>0</v>
      </c>
      <c r="G38" s="156">
        <v>0</v>
      </c>
      <c r="H38" s="156"/>
      <c r="I38" s="156">
        <f t="shared" si="4"/>
        <v>0</v>
      </c>
      <c r="J38" s="156">
        <f t="shared" si="5"/>
        <v>0</v>
      </c>
      <c r="K38" s="156">
        <f t="shared" si="2"/>
        <v>0</v>
      </c>
      <c r="L38" s="156">
        <f t="shared" si="6"/>
        <v>0</v>
      </c>
      <c r="M38" s="188" t="e">
        <f t="shared" si="1"/>
        <v>#DIV/0!</v>
      </c>
      <c r="N38" s="80"/>
      <c r="O38" s="81"/>
      <c r="P38" s="7"/>
      <c r="Q38" s="79"/>
      <c r="R38" s="79"/>
      <c r="S38" s="79"/>
      <c r="T38" s="16"/>
      <c r="U38" s="82"/>
      <c r="V38" s="14"/>
      <c r="W38" s="83"/>
      <c r="X38" s="84"/>
      <c r="Y38" s="83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</row>
    <row r="39" spans="1:62" s="87" customFormat="1">
      <c r="A39" s="153" t="s">
        <v>48</v>
      </c>
      <c r="B39" s="158" t="s">
        <v>371</v>
      </c>
      <c r="C39" s="155" t="s">
        <v>50</v>
      </c>
      <c r="D39" s="156">
        <v>0</v>
      </c>
      <c r="E39" s="156">
        <v>490.5</v>
      </c>
      <c r="F39" s="156">
        <f t="shared" si="3"/>
        <v>0</v>
      </c>
      <c r="G39" s="156">
        <v>0</v>
      </c>
      <c r="H39" s="156"/>
      <c r="I39" s="156">
        <f t="shared" si="4"/>
        <v>0</v>
      </c>
      <c r="J39" s="156">
        <f t="shared" si="5"/>
        <v>0</v>
      </c>
      <c r="K39" s="156">
        <f t="shared" si="2"/>
        <v>0</v>
      </c>
      <c r="L39" s="156">
        <f t="shared" si="6"/>
        <v>0</v>
      </c>
      <c r="M39" s="188" t="e">
        <f t="shared" si="1"/>
        <v>#DIV/0!</v>
      </c>
      <c r="N39" s="80"/>
      <c r="O39" s="81"/>
      <c r="P39" s="7"/>
      <c r="Q39" s="79"/>
      <c r="R39" s="79"/>
      <c r="S39" s="79"/>
      <c r="T39" s="16"/>
      <c r="U39" s="82"/>
      <c r="V39" s="14"/>
      <c r="W39" s="83"/>
      <c r="X39" s="84"/>
      <c r="Y39" s="83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</row>
    <row r="40" spans="1:62" s="87" customFormat="1">
      <c r="A40" s="153" t="s">
        <v>49</v>
      </c>
      <c r="B40" s="158" t="s">
        <v>372</v>
      </c>
      <c r="C40" s="155" t="s">
        <v>50</v>
      </c>
      <c r="D40" s="156">
        <v>0</v>
      </c>
      <c r="E40" s="156">
        <v>452.14</v>
      </c>
      <c r="F40" s="156">
        <f t="shared" si="3"/>
        <v>0</v>
      </c>
      <c r="G40" s="156">
        <v>0</v>
      </c>
      <c r="H40" s="156"/>
      <c r="I40" s="156">
        <f t="shared" si="4"/>
        <v>0</v>
      </c>
      <c r="J40" s="156">
        <f>E40*G40</f>
        <v>0</v>
      </c>
      <c r="K40" s="156">
        <f t="shared" si="2"/>
        <v>0</v>
      </c>
      <c r="L40" s="156">
        <f t="shared" si="6"/>
        <v>0</v>
      </c>
      <c r="M40" s="188" t="e">
        <f t="shared" si="1"/>
        <v>#DIV/0!</v>
      </c>
      <c r="N40" s="80"/>
      <c r="O40" s="81"/>
      <c r="P40" s="7"/>
      <c r="Q40" s="79"/>
      <c r="R40" s="79"/>
      <c r="S40" s="79"/>
      <c r="T40" s="16"/>
      <c r="U40" s="82"/>
      <c r="V40" s="14"/>
      <c r="W40" s="83"/>
      <c r="X40" s="84"/>
      <c r="Y40" s="83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</row>
    <row r="41" spans="1:62" s="87" customFormat="1">
      <c r="A41" s="153" t="s">
        <v>581</v>
      </c>
      <c r="B41" s="158" t="s">
        <v>582</v>
      </c>
      <c r="C41" s="155" t="s">
        <v>81</v>
      </c>
      <c r="D41" s="156">
        <v>37.409999999999997</v>
      </c>
      <c r="E41" s="156">
        <v>280.38</v>
      </c>
      <c r="F41" s="156">
        <f t="shared" si="3"/>
        <v>10489.015799999999</v>
      </c>
      <c r="G41" s="156">
        <v>37.409999999999997</v>
      </c>
      <c r="H41" s="156"/>
      <c r="I41" s="156">
        <f t="shared" si="4"/>
        <v>37.409999999999997</v>
      </c>
      <c r="J41" s="156">
        <f>E41*G41</f>
        <v>10489.015799999999</v>
      </c>
      <c r="K41" s="156">
        <f t="shared" si="2"/>
        <v>0</v>
      </c>
      <c r="L41" s="156">
        <f t="shared" si="6"/>
        <v>10489.015799999999</v>
      </c>
      <c r="M41" s="188">
        <f t="shared" si="1"/>
        <v>1</v>
      </c>
      <c r="N41" s="92"/>
      <c r="O41" s="81"/>
      <c r="P41" s="7"/>
      <c r="Q41" s="79"/>
      <c r="R41" s="79"/>
      <c r="S41" s="79"/>
      <c r="T41" s="16"/>
      <c r="U41" s="82"/>
      <c r="V41" s="14"/>
      <c r="W41" s="83"/>
      <c r="X41" s="84"/>
      <c r="Y41" s="83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</row>
    <row r="42" spans="1:62">
      <c r="A42" s="156"/>
      <c r="B42" s="159"/>
      <c r="C42" s="155"/>
      <c r="D42" s="156"/>
      <c r="E42" s="156"/>
      <c r="F42" s="156"/>
      <c r="G42" s="156"/>
      <c r="H42" s="156"/>
      <c r="I42" s="156"/>
      <c r="J42" s="156"/>
      <c r="K42" s="156"/>
      <c r="L42" s="156"/>
      <c r="M42" s="188" t="e">
        <f t="shared" si="1"/>
        <v>#DIV/0!</v>
      </c>
      <c r="N42" s="80"/>
      <c r="O42" s="81"/>
      <c r="Q42" s="80"/>
      <c r="R42" s="80"/>
      <c r="S42" s="91"/>
      <c r="U42" s="82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</row>
    <row r="43" spans="1:62" s="87" customFormat="1">
      <c r="A43" s="160" t="s">
        <v>19</v>
      </c>
      <c r="B43" s="161" t="s">
        <v>12</v>
      </c>
      <c r="C43" s="162"/>
      <c r="D43" s="163"/>
      <c r="E43" s="162"/>
      <c r="F43" s="162">
        <f>SUM(F44:F48)</f>
        <v>41975.284400000004</v>
      </c>
      <c r="G43" s="162"/>
      <c r="H43" s="162"/>
      <c r="I43" s="162"/>
      <c r="J43" s="162">
        <f>SUM(J44:J48)</f>
        <v>41975.284400000004</v>
      </c>
      <c r="K43" s="162">
        <f t="shared" ref="K43:L43" si="7">SUM(K44:K48)</f>
        <v>0</v>
      </c>
      <c r="L43" s="162">
        <f t="shared" si="7"/>
        <v>41975.284400000004</v>
      </c>
      <c r="M43" s="188">
        <f t="shared" si="1"/>
        <v>1</v>
      </c>
      <c r="N43" s="80"/>
      <c r="O43" s="81"/>
      <c r="P43" s="7"/>
      <c r="Q43" s="79"/>
      <c r="R43" s="79"/>
      <c r="S43" s="79"/>
      <c r="T43" s="16"/>
      <c r="U43" s="82"/>
      <c r="V43" s="14"/>
      <c r="W43" s="83"/>
      <c r="X43" s="84"/>
      <c r="Y43" s="83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</row>
    <row r="44" spans="1:62">
      <c r="A44" s="156"/>
      <c r="B44" s="159" t="s">
        <v>25</v>
      </c>
      <c r="C44" s="155"/>
      <c r="D44" s="156"/>
      <c r="E44" s="156"/>
      <c r="F44" s="156"/>
      <c r="G44" s="156"/>
      <c r="H44" s="156"/>
      <c r="I44" s="156"/>
      <c r="J44" s="156"/>
      <c r="K44" s="156"/>
      <c r="L44" s="156"/>
      <c r="M44" s="188" t="e">
        <f t="shared" si="1"/>
        <v>#DIV/0!</v>
      </c>
      <c r="N44" s="80"/>
      <c r="O44" s="81"/>
      <c r="Q44" s="80"/>
      <c r="R44" s="80"/>
      <c r="S44" s="91"/>
      <c r="U44" s="82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</row>
    <row r="45" spans="1:62" ht="28.5">
      <c r="A45" s="156" t="s">
        <v>51</v>
      </c>
      <c r="B45" s="157" t="s">
        <v>52</v>
      </c>
      <c r="C45" s="155" t="s">
        <v>17</v>
      </c>
      <c r="D45" s="156">
        <v>83.94</v>
      </c>
      <c r="E45" s="156">
        <v>8.32</v>
      </c>
      <c r="F45" s="156">
        <f t="shared" ref="F45:F48" si="8">D45*E45</f>
        <v>698.38080000000002</v>
      </c>
      <c r="G45" s="156">
        <v>83.940000000000012</v>
      </c>
      <c r="H45" s="156"/>
      <c r="I45" s="156">
        <f t="shared" ref="I45:I48" si="9">G45+H45</f>
        <v>83.940000000000012</v>
      </c>
      <c r="J45" s="156">
        <f>E45*G45</f>
        <v>698.38080000000014</v>
      </c>
      <c r="K45" s="156">
        <f>H45*E45</f>
        <v>0</v>
      </c>
      <c r="L45" s="156">
        <f t="shared" ref="L45:L48" si="10">J45+K45</f>
        <v>698.38080000000014</v>
      </c>
      <c r="M45" s="188">
        <f t="shared" si="1"/>
        <v>1.0000000000000002</v>
      </c>
      <c r="N45" s="81"/>
      <c r="O45" s="7"/>
      <c r="P45" s="80"/>
      <c r="Q45" s="80"/>
      <c r="R45" s="91"/>
      <c r="S45" s="8"/>
      <c r="T45" s="82"/>
      <c r="W45" s="10"/>
      <c r="X45" s="9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</row>
    <row r="46" spans="1:62">
      <c r="A46" s="156" t="s">
        <v>53</v>
      </c>
      <c r="B46" s="157" t="s">
        <v>54</v>
      </c>
      <c r="C46" s="155" t="s">
        <v>17</v>
      </c>
      <c r="D46" s="156">
        <v>21.94</v>
      </c>
      <c r="E46" s="156">
        <v>17.899999999999999</v>
      </c>
      <c r="F46" s="156">
        <f t="shared" si="8"/>
        <v>392.726</v>
      </c>
      <c r="G46" s="156">
        <v>21.940000000000005</v>
      </c>
      <c r="H46" s="156"/>
      <c r="I46" s="156">
        <f t="shared" si="9"/>
        <v>21.940000000000005</v>
      </c>
      <c r="J46" s="156">
        <f t="shared" ref="J46:J48" si="11">E46*G46</f>
        <v>392.72600000000006</v>
      </c>
      <c r="K46" s="156">
        <f t="shared" ref="K46:K48" si="12">H46*E46</f>
        <v>0</v>
      </c>
      <c r="L46" s="156">
        <f t="shared" si="10"/>
        <v>392.72600000000006</v>
      </c>
      <c r="M46" s="188">
        <f t="shared" si="1"/>
        <v>1.0000000000000002</v>
      </c>
      <c r="N46" s="81"/>
      <c r="O46" s="7"/>
      <c r="P46" s="80"/>
      <c r="Q46" s="80"/>
      <c r="R46" s="91"/>
      <c r="S46" s="8"/>
      <c r="T46" s="82"/>
      <c r="W46" s="10"/>
      <c r="X46" s="9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</row>
    <row r="47" spans="1:62" ht="28.5">
      <c r="A47" s="156" t="s">
        <v>55</v>
      </c>
      <c r="B47" s="157" t="s">
        <v>56</v>
      </c>
      <c r="C47" s="155" t="s">
        <v>17</v>
      </c>
      <c r="D47" s="156">
        <v>1072.4000000000001</v>
      </c>
      <c r="E47" s="156">
        <v>29.28</v>
      </c>
      <c r="F47" s="156">
        <f t="shared" si="8"/>
        <v>31399.872000000003</v>
      </c>
      <c r="G47" s="156">
        <v>1072.4000000000001</v>
      </c>
      <c r="H47" s="156"/>
      <c r="I47" s="156">
        <f t="shared" si="9"/>
        <v>1072.4000000000001</v>
      </c>
      <c r="J47" s="156">
        <f t="shared" si="11"/>
        <v>31399.872000000003</v>
      </c>
      <c r="K47" s="156">
        <f t="shared" si="12"/>
        <v>0</v>
      </c>
      <c r="L47" s="156">
        <f t="shared" si="10"/>
        <v>31399.872000000003</v>
      </c>
      <c r="M47" s="188">
        <f t="shared" si="1"/>
        <v>1</v>
      </c>
      <c r="N47" s="92"/>
      <c r="O47" s="7"/>
      <c r="P47" s="80"/>
      <c r="Q47" s="80"/>
      <c r="R47" s="91"/>
      <c r="S47" s="8"/>
      <c r="T47" s="82"/>
      <c r="W47" s="10"/>
      <c r="X47" s="9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</row>
    <row r="48" spans="1:62" ht="28.5">
      <c r="A48" s="156" t="s">
        <v>583</v>
      </c>
      <c r="B48" s="157" t="s">
        <v>585</v>
      </c>
      <c r="C48" s="155" t="s">
        <v>584</v>
      </c>
      <c r="D48" s="156">
        <v>1179.6400000000001</v>
      </c>
      <c r="E48" s="156">
        <v>8.0399999999999991</v>
      </c>
      <c r="F48" s="156">
        <f t="shared" si="8"/>
        <v>9484.3055999999997</v>
      </c>
      <c r="G48" s="156">
        <v>1179.6400000000001</v>
      </c>
      <c r="H48" s="156"/>
      <c r="I48" s="156">
        <f t="shared" si="9"/>
        <v>1179.6400000000001</v>
      </c>
      <c r="J48" s="156">
        <f t="shared" si="11"/>
        <v>9484.3055999999997</v>
      </c>
      <c r="K48" s="156">
        <f t="shared" si="12"/>
        <v>0</v>
      </c>
      <c r="L48" s="156">
        <f t="shared" si="10"/>
        <v>9484.3055999999997</v>
      </c>
      <c r="M48" s="188">
        <f t="shared" si="1"/>
        <v>1</v>
      </c>
      <c r="N48" s="92"/>
      <c r="O48" s="7"/>
      <c r="P48" s="80"/>
      <c r="Q48" s="80"/>
      <c r="R48" s="91"/>
      <c r="S48" s="8"/>
      <c r="T48" s="82"/>
      <c r="W48" s="10"/>
      <c r="X48" s="9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</row>
    <row r="49" spans="1:62">
      <c r="A49" s="156"/>
      <c r="B49" s="154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88" t="e">
        <f t="shared" si="1"/>
        <v>#DIV/0!</v>
      </c>
      <c r="N49" s="80"/>
      <c r="O49" s="81"/>
      <c r="Q49" s="80"/>
      <c r="R49" s="80"/>
      <c r="S49" s="91"/>
      <c r="U49" s="82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</row>
    <row r="50" spans="1:62" s="87" customFormat="1">
      <c r="A50" s="160" t="s">
        <v>20</v>
      </c>
      <c r="B50" s="161" t="s">
        <v>57</v>
      </c>
      <c r="C50" s="162"/>
      <c r="D50" s="163"/>
      <c r="E50" s="162"/>
      <c r="F50" s="162">
        <f>SUM(F51:F57)</f>
        <v>93429.462999999989</v>
      </c>
      <c r="G50" s="162"/>
      <c r="H50" s="162"/>
      <c r="I50" s="162"/>
      <c r="J50" s="162">
        <f>SUM(J51:J57)</f>
        <v>92816.294999999984</v>
      </c>
      <c r="K50" s="162">
        <f t="shared" ref="K50:L50" si="13">SUM(K51:K57)</f>
        <v>0</v>
      </c>
      <c r="L50" s="162">
        <f t="shared" si="13"/>
        <v>92816.294999999984</v>
      </c>
      <c r="M50" s="188">
        <f t="shared" si="1"/>
        <v>0.99343710238385929</v>
      </c>
      <c r="N50" s="80"/>
      <c r="O50" s="81"/>
      <c r="P50" s="7"/>
      <c r="Q50" s="79"/>
      <c r="R50" s="79"/>
      <c r="S50" s="79"/>
      <c r="T50" s="16"/>
      <c r="U50" s="82"/>
      <c r="V50" s="14"/>
      <c r="W50" s="83"/>
      <c r="X50" s="84"/>
      <c r="Y50" s="83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E50" s="86"/>
      <c r="BF50" s="86"/>
      <c r="BG50" s="86"/>
      <c r="BH50" s="86"/>
      <c r="BI50" s="86"/>
      <c r="BJ50" s="86"/>
    </row>
    <row r="51" spans="1:62">
      <c r="A51" s="156"/>
      <c r="B51" s="154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88" t="e">
        <f t="shared" si="1"/>
        <v>#DIV/0!</v>
      </c>
      <c r="N51" s="81"/>
      <c r="O51" s="7"/>
      <c r="P51" s="80"/>
      <c r="Q51" s="80"/>
      <c r="R51" s="91"/>
      <c r="S51" s="8"/>
      <c r="T51" s="82"/>
      <c r="U51" s="95"/>
      <c r="V51" s="95"/>
      <c r="W51" s="10"/>
      <c r="X51" s="9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</row>
    <row r="52" spans="1:62" ht="28.5">
      <c r="A52" s="156" t="s">
        <v>58</v>
      </c>
      <c r="B52" s="157" t="s">
        <v>59</v>
      </c>
      <c r="C52" s="156" t="s">
        <v>17</v>
      </c>
      <c r="D52" s="156">
        <v>40.07</v>
      </c>
      <c r="E52" s="156">
        <v>339.77</v>
      </c>
      <c r="F52" s="156">
        <f t="shared" ref="F52:F57" si="14">D52*E52</f>
        <v>13614.5839</v>
      </c>
      <c r="G52" s="156">
        <v>40.07</v>
      </c>
      <c r="H52" s="156"/>
      <c r="I52" s="156">
        <f t="shared" ref="I52:I57" si="15">G52+H52</f>
        <v>40.07</v>
      </c>
      <c r="J52" s="156">
        <f t="shared" ref="J52:J57" si="16">E52*G52</f>
        <v>13614.5839</v>
      </c>
      <c r="K52" s="156">
        <f t="shared" ref="K52:K57" si="17">H52*E52</f>
        <v>0</v>
      </c>
      <c r="L52" s="156">
        <f t="shared" ref="L52:L57" si="18">J52+K52</f>
        <v>13614.5839</v>
      </c>
      <c r="M52" s="188">
        <f t="shared" si="1"/>
        <v>1</v>
      </c>
      <c r="N52" s="81"/>
      <c r="O52" s="7"/>
      <c r="P52" s="80"/>
      <c r="Q52" s="80"/>
      <c r="R52" s="91"/>
      <c r="S52" s="8"/>
      <c r="T52" s="82"/>
      <c r="U52" s="95"/>
      <c r="V52" s="95"/>
      <c r="W52" s="10"/>
      <c r="X52" s="9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</row>
    <row r="53" spans="1:62" ht="63.75" customHeight="1">
      <c r="A53" s="156" t="s">
        <v>60</v>
      </c>
      <c r="B53" s="157" t="s">
        <v>61</v>
      </c>
      <c r="C53" s="156" t="s">
        <v>16</v>
      </c>
      <c r="D53" s="156">
        <v>325.26</v>
      </c>
      <c r="E53" s="156">
        <v>55.26</v>
      </c>
      <c r="F53" s="156">
        <f t="shared" si="14"/>
        <v>17973.867599999998</v>
      </c>
      <c r="G53" s="156">
        <v>325.26</v>
      </c>
      <c r="H53" s="156"/>
      <c r="I53" s="156">
        <f t="shared" si="15"/>
        <v>325.26</v>
      </c>
      <c r="J53" s="156">
        <f t="shared" si="16"/>
        <v>17973.867599999998</v>
      </c>
      <c r="K53" s="156">
        <f t="shared" si="17"/>
        <v>0</v>
      </c>
      <c r="L53" s="156">
        <f t="shared" si="18"/>
        <v>17973.867599999998</v>
      </c>
      <c r="M53" s="188">
        <f t="shared" si="1"/>
        <v>1</v>
      </c>
      <c r="N53" s="92"/>
      <c r="O53" s="7"/>
      <c r="P53" s="80"/>
      <c r="Q53" s="80"/>
      <c r="R53" s="91"/>
      <c r="S53" s="8"/>
      <c r="T53" s="82"/>
      <c r="U53" s="95"/>
      <c r="V53" s="95"/>
      <c r="W53" s="10"/>
      <c r="X53" s="9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</row>
    <row r="54" spans="1:62" ht="29.25" customHeight="1">
      <c r="A54" s="156" t="s">
        <v>62</v>
      </c>
      <c r="B54" s="157" t="s">
        <v>63</v>
      </c>
      <c r="C54" s="156" t="s">
        <v>17</v>
      </c>
      <c r="D54" s="156">
        <v>5</v>
      </c>
      <c r="E54" s="156">
        <v>394.47</v>
      </c>
      <c r="F54" s="156">
        <f t="shared" si="14"/>
        <v>1972.3500000000001</v>
      </c>
      <c r="G54" s="156">
        <v>5</v>
      </c>
      <c r="H54" s="156"/>
      <c r="I54" s="156">
        <f t="shared" si="15"/>
        <v>5</v>
      </c>
      <c r="J54" s="156">
        <f t="shared" si="16"/>
        <v>1972.3500000000001</v>
      </c>
      <c r="K54" s="156">
        <f t="shared" si="17"/>
        <v>0</v>
      </c>
      <c r="L54" s="156">
        <f t="shared" si="18"/>
        <v>1972.3500000000001</v>
      </c>
      <c r="M54" s="188">
        <f t="shared" si="1"/>
        <v>1</v>
      </c>
      <c r="N54" s="81"/>
      <c r="O54" s="7"/>
      <c r="P54" s="80"/>
      <c r="Q54" s="80"/>
      <c r="R54" s="91"/>
      <c r="S54" s="8"/>
      <c r="T54" s="82"/>
      <c r="U54" s="95"/>
      <c r="V54" s="95"/>
      <c r="W54" s="10"/>
      <c r="X54" s="9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</row>
    <row r="55" spans="1:62" ht="36.75" customHeight="1">
      <c r="A55" s="156" t="s">
        <v>64</v>
      </c>
      <c r="B55" s="157" t="s">
        <v>65</v>
      </c>
      <c r="C55" s="156" t="s">
        <v>17</v>
      </c>
      <c r="D55" s="156">
        <v>15.01</v>
      </c>
      <c r="E55" s="156">
        <v>1613.6</v>
      </c>
      <c r="F55" s="156">
        <f t="shared" si="14"/>
        <v>24220.135999999999</v>
      </c>
      <c r="G55" s="156">
        <v>15.01</v>
      </c>
      <c r="H55" s="156"/>
      <c r="I55" s="156">
        <f t="shared" si="15"/>
        <v>15.01</v>
      </c>
      <c r="J55" s="156">
        <f t="shared" si="16"/>
        <v>24220.135999999999</v>
      </c>
      <c r="K55" s="156">
        <f t="shared" si="17"/>
        <v>0</v>
      </c>
      <c r="L55" s="156">
        <f t="shared" si="18"/>
        <v>24220.135999999999</v>
      </c>
      <c r="M55" s="188">
        <f t="shared" si="1"/>
        <v>1</v>
      </c>
      <c r="N55" s="81"/>
      <c r="O55" s="7"/>
      <c r="P55" s="80"/>
      <c r="Q55" s="80"/>
      <c r="R55" s="91"/>
      <c r="S55" s="8"/>
      <c r="T55" s="82"/>
      <c r="U55" s="95"/>
      <c r="V55" s="95"/>
      <c r="W55" s="10"/>
      <c r="X55" s="9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</row>
    <row r="56" spans="1:62" ht="28.5">
      <c r="A56" s="156" t="s">
        <v>66</v>
      </c>
      <c r="B56" s="157" t="s">
        <v>67</v>
      </c>
      <c r="C56" s="156" t="s">
        <v>17</v>
      </c>
      <c r="D56" s="156">
        <v>19.46</v>
      </c>
      <c r="E56" s="156">
        <v>1613.6</v>
      </c>
      <c r="F56" s="156">
        <f t="shared" si="14"/>
        <v>31400.655999999999</v>
      </c>
      <c r="G56" s="156">
        <v>19.079999999999998</v>
      </c>
      <c r="H56" s="156"/>
      <c r="I56" s="156">
        <f t="shared" si="15"/>
        <v>19.079999999999998</v>
      </c>
      <c r="J56" s="156">
        <f t="shared" si="16"/>
        <v>30787.487999999994</v>
      </c>
      <c r="K56" s="156">
        <f t="shared" si="17"/>
        <v>0</v>
      </c>
      <c r="L56" s="156">
        <f t="shared" si="18"/>
        <v>30787.487999999994</v>
      </c>
      <c r="M56" s="188">
        <f t="shared" si="1"/>
        <v>0.98047276464542632</v>
      </c>
      <c r="N56" s="92"/>
      <c r="O56" s="7"/>
      <c r="P56" s="80"/>
      <c r="Q56" s="80"/>
      <c r="R56" s="91"/>
      <c r="S56" s="8"/>
      <c r="T56" s="82"/>
      <c r="U56" s="95"/>
      <c r="V56" s="95"/>
      <c r="W56" s="10"/>
      <c r="X56" s="9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</row>
    <row r="57" spans="1:62" ht="28.5">
      <c r="A57" s="156" t="s">
        <v>586</v>
      </c>
      <c r="B57" s="157" t="s">
        <v>587</v>
      </c>
      <c r="C57" s="156" t="s">
        <v>81</v>
      </c>
      <c r="D57" s="156">
        <v>153.63</v>
      </c>
      <c r="E57" s="156">
        <v>27.65</v>
      </c>
      <c r="F57" s="156">
        <f t="shared" si="14"/>
        <v>4247.8694999999998</v>
      </c>
      <c r="G57" s="156">
        <v>153.63</v>
      </c>
      <c r="H57" s="156"/>
      <c r="I57" s="156">
        <f t="shared" si="15"/>
        <v>153.63</v>
      </c>
      <c r="J57" s="156">
        <f t="shared" si="16"/>
        <v>4247.8694999999998</v>
      </c>
      <c r="K57" s="156">
        <f t="shared" si="17"/>
        <v>0</v>
      </c>
      <c r="L57" s="156">
        <f t="shared" si="18"/>
        <v>4247.8694999999998</v>
      </c>
      <c r="M57" s="188">
        <f t="shared" si="1"/>
        <v>1</v>
      </c>
      <c r="N57" s="92"/>
      <c r="O57" s="7"/>
      <c r="P57" s="80"/>
      <c r="Q57" s="80"/>
      <c r="R57" s="91"/>
      <c r="S57" s="8"/>
      <c r="T57" s="82"/>
      <c r="U57" s="95"/>
      <c r="V57" s="95"/>
      <c r="W57" s="10"/>
      <c r="X57" s="9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</row>
    <row r="58" spans="1:62">
      <c r="A58" s="156"/>
      <c r="B58" s="154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88" t="e">
        <f t="shared" si="1"/>
        <v>#DIV/0!</v>
      </c>
      <c r="N58" s="80"/>
      <c r="O58" s="81"/>
      <c r="Q58" s="80"/>
      <c r="R58" s="80"/>
      <c r="S58" s="91"/>
      <c r="U58" s="82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</row>
    <row r="59" spans="1:62" s="87" customFormat="1">
      <c r="A59" s="160" t="s">
        <v>21</v>
      </c>
      <c r="B59" s="161" t="s">
        <v>68</v>
      </c>
      <c r="C59" s="162"/>
      <c r="D59" s="163"/>
      <c r="E59" s="162"/>
      <c r="F59" s="162">
        <f>SUM(F60:F64)</f>
        <v>121479.837</v>
      </c>
      <c r="G59" s="162"/>
      <c r="H59" s="162"/>
      <c r="I59" s="162"/>
      <c r="J59" s="162">
        <f>SUM(J60:J64)</f>
        <v>111221.11069999999</v>
      </c>
      <c r="K59" s="162">
        <f>SUM(K60:K64)</f>
        <v>3552.5555999999997</v>
      </c>
      <c r="L59" s="162">
        <f>SUM(L60:L64)</f>
        <v>114773.66629999998</v>
      </c>
      <c r="M59" s="188">
        <f t="shared" si="1"/>
        <v>0.94479601828902671</v>
      </c>
      <c r="N59" s="197">
        <f>F59-L59</f>
        <v>6706.170700000017</v>
      </c>
      <c r="O59" s="81"/>
      <c r="P59" s="7"/>
      <c r="Q59" s="79"/>
      <c r="R59" s="79"/>
      <c r="S59" s="79"/>
      <c r="T59" s="16"/>
      <c r="U59" s="82"/>
      <c r="V59" s="14"/>
      <c r="W59" s="83"/>
      <c r="X59" s="84"/>
      <c r="Y59" s="83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86"/>
      <c r="BA59" s="86"/>
      <c r="BB59" s="86"/>
      <c r="BC59" s="86"/>
      <c r="BD59" s="86"/>
      <c r="BE59" s="86"/>
      <c r="BF59" s="86"/>
      <c r="BG59" s="86"/>
      <c r="BH59" s="86"/>
      <c r="BI59" s="86"/>
      <c r="BJ59" s="86"/>
    </row>
    <row r="60" spans="1:62">
      <c r="A60" s="156"/>
      <c r="B60" s="154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88" t="e">
        <f t="shared" si="1"/>
        <v>#DIV/0!</v>
      </c>
      <c r="N60" s="80"/>
      <c r="O60" s="81"/>
      <c r="Q60" s="80"/>
      <c r="R60" s="80"/>
      <c r="S60" s="91"/>
      <c r="U60" s="82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</row>
    <row r="61" spans="1:62" ht="48" customHeight="1">
      <c r="A61" s="156" t="s">
        <v>69</v>
      </c>
      <c r="B61" s="157" t="s">
        <v>70</v>
      </c>
      <c r="C61" s="156" t="s">
        <v>16</v>
      </c>
      <c r="D61" s="156">
        <v>20.82</v>
      </c>
      <c r="E61" s="156">
        <v>1806.13</v>
      </c>
      <c r="F61" s="156">
        <f t="shared" ref="F61" si="19">D61*E61</f>
        <v>37603.626600000003</v>
      </c>
      <c r="G61" s="156">
        <v>20.149999999999991</v>
      </c>
      <c r="H61" s="156"/>
      <c r="I61" s="156">
        <f t="shared" ref="I61:I64" si="20">G61+H61</f>
        <v>20.149999999999991</v>
      </c>
      <c r="J61" s="156">
        <f t="shared" ref="J61:J64" si="21">E61*G61</f>
        <v>36393.519499999988</v>
      </c>
      <c r="K61" s="156">
        <f t="shared" ref="K61:K64" si="22">H61*E61</f>
        <v>0</v>
      </c>
      <c r="L61" s="156">
        <f t="shared" ref="L61:L64" si="23">J61+K61</f>
        <v>36393.519499999988</v>
      </c>
      <c r="M61" s="188">
        <f t="shared" si="1"/>
        <v>0.96781940441882763</v>
      </c>
      <c r="N61" s="81"/>
      <c r="O61" s="7"/>
      <c r="P61" s="80"/>
      <c r="Q61" s="80"/>
      <c r="R61" s="91"/>
      <c r="S61" s="8"/>
      <c r="T61" s="82"/>
      <c r="W61" s="10"/>
      <c r="X61" s="9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</row>
    <row r="62" spans="1:62" ht="42.75">
      <c r="A62" s="156" t="s">
        <v>71</v>
      </c>
      <c r="B62" s="157" t="s">
        <v>72</v>
      </c>
      <c r="C62" s="156" t="s">
        <v>17</v>
      </c>
      <c r="D62" s="156">
        <v>16.36</v>
      </c>
      <c r="E62" s="156">
        <v>1820.31</v>
      </c>
      <c r="F62" s="156">
        <f>D62*E62</f>
        <v>29780.271599999996</v>
      </c>
      <c r="G62" s="156">
        <v>13.52</v>
      </c>
      <c r="H62" s="156"/>
      <c r="I62" s="156">
        <f t="shared" si="20"/>
        <v>13.52</v>
      </c>
      <c r="J62" s="156">
        <f t="shared" si="21"/>
        <v>24610.591199999999</v>
      </c>
      <c r="K62" s="156">
        <f t="shared" si="22"/>
        <v>0</v>
      </c>
      <c r="L62" s="156">
        <f t="shared" si="23"/>
        <v>24610.591199999999</v>
      </c>
      <c r="M62" s="188">
        <f t="shared" si="1"/>
        <v>0.82640586797066018</v>
      </c>
      <c r="N62" s="81"/>
      <c r="O62" s="7"/>
      <c r="P62" s="80"/>
      <c r="Q62" s="80"/>
      <c r="R62" s="91"/>
      <c r="S62" s="8"/>
      <c r="T62" s="82"/>
      <c r="W62" s="10"/>
      <c r="X62" s="9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</row>
    <row r="63" spans="1:62">
      <c r="A63" s="156" t="s">
        <v>73</v>
      </c>
      <c r="B63" s="158" t="s">
        <v>74</v>
      </c>
      <c r="C63" s="156" t="s">
        <v>16</v>
      </c>
      <c r="D63" s="156">
        <v>12.36</v>
      </c>
      <c r="E63" s="156">
        <v>313.83</v>
      </c>
      <c r="F63" s="156">
        <f>D63*E63</f>
        <v>3878.9387999999994</v>
      </c>
      <c r="G63" s="156">
        <v>0</v>
      </c>
      <c r="H63" s="156">
        <f>'MEMORIA BM 06'!L83</f>
        <v>11.32</v>
      </c>
      <c r="I63" s="156">
        <f t="shared" si="20"/>
        <v>11.32</v>
      </c>
      <c r="J63" s="156">
        <f t="shared" si="21"/>
        <v>0</v>
      </c>
      <c r="K63" s="156">
        <f t="shared" si="22"/>
        <v>3552.5555999999997</v>
      </c>
      <c r="L63" s="156">
        <f t="shared" si="23"/>
        <v>3552.5555999999997</v>
      </c>
      <c r="M63" s="188">
        <f t="shared" si="1"/>
        <v>0.91585760517799353</v>
      </c>
      <c r="N63" s="81"/>
      <c r="O63" s="7"/>
      <c r="P63" s="80"/>
      <c r="Q63" s="80"/>
      <c r="R63" s="91"/>
      <c r="S63" s="8"/>
      <c r="T63" s="82"/>
      <c r="W63" s="10"/>
      <c r="X63" s="9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</row>
    <row r="64" spans="1:62" ht="42.75">
      <c r="A64" s="156" t="s">
        <v>75</v>
      </c>
      <c r="B64" s="157" t="s">
        <v>76</v>
      </c>
      <c r="C64" s="156" t="s">
        <v>16</v>
      </c>
      <c r="D64" s="156">
        <v>475</v>
      </c>
      <c r="E64" s="156">
        <v>105.72</v>
      </c>
      <c r="F64" s="156">
        <f>D64*E64</f>
        <v>50217</v>
      </c>
      <c r="G64" s="156">
        <v>474.99999999999994</v>
      </c>
      <c r="H64" s="156"/>
      <c r="I64" s="156">
        <f t="shared" si="20"/>
        <v>474.99999999999994</v>
      </c>
      <c r="J64" s="156">
        <f t="shared" si="21"/>
        <v>50216.999999999993</v>
      </c>
      <c r="K64" s="156">
        <f t="shared" si="22"/>
        <v>0</v>
      </c>
      <c r="L64" s="156">
        <f t="shared" si="23"/>
        <v>50216.999999999993</v>
      </c>
      <c r="M64" s="188">
        <f t="shared" si="1"/>
        <v>0.99999999999999989</v>
      </c>
      <c r="N64" s="81"/>
      <c r="O64" s="7"/>
      <c r="P64" s="80"/>
      <c r="Q64" s="80"/>
      <c r="R64" s="91"/>
      <c r="S64" s="8"/>
      <c r="T64" s="82"/>
      <c r="W64" s="10"/>
      <c r="X64" s="9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</row>
    <row r="65" spans="1:62">
      <c r="A65" s="156"/>
      <c r="B65" s="154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88" t="e">
        <f t="shared" si="1"/>
        <v>#DIV/0!</v>
      </c>
      <c r="N65" s="81"/>
      <c r="O65" s="7"/>
      <c r="P65" s="80"/>
      <c r="Q65" s="80"/>
      <c r="R65" s="91"/>
      <c r="S65" s="8"/>
      <c r="T65" s="82"/>
      <c r="W65" s="10"/>
      <c r="X65" s="9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</row>
    <row r="66" spans="1:62" s="87" customFormat="1">
      <c r="A66" s="160" t="s">
        <v>77</v>
      </c>
      <c r="B66" s="161" t="s">
        <v>78</v>
      </c>
      <c r="C66" s="162"/>
      <c r="D66" s="163"/>
      <c r="E66" s="162"/>
      <c r="F66" s="162">
        <f>SUM(F67:F76)</f>
        <v>104840.8438</v>
      </c>
      <c r="G66" s="162"/>
      <c r="H66" s="162"/>
      <c r="I66" s="162"/>
      <c r="J66" s="162">
        <f>SUM(J67:J76)</f>
        <v>102669.21490000002</v>
      </c>
      <c r="K66" s="162">
        <f t="shared" ref="K66:L66" si="24">SUM(K67:K76)</f>
        <v>0</v>
      </c>
      <c r="L66" s="162">
        <f t="shared" si="24"/>
        <v>102669.21490000002</v>
      </c>
      <c r="M66" s="188">
        <f t="shared" si="1"/>
        <v>0.97928642291221257</v>
      </c>
      <c r="N66" s="80"/>
      <c r="O66" s="81"/>
      <c r="P66" s="7"/>
      <c r="Q66" s="79"/>
      <c r="R66" s="79"/>
      <c r="S66" s="79"/>
      <c r="T66" s="16"/>
      <c r="U66" s="82"/>
      <c r="V66" s="14"/>
      <c r="W66" s="83"/>
      <c r="X66" s="84"/>
      <c r="Y66" s="83"/>
      <c r="Z66" s="85"/>
      <c r="AA66" s="85"/>
      <c r="AB66" s="85"/>
      <c r="AC66" s="85"/>
      <c r="AD66" s="85"/>
      <c r="AE66" s="85"/>
      <c r="AF66" s="85"/>
      <c r="AG66" s="85"/>
      <c r="AH66" s="85"/>
      <c r="AI66" s="85"/>
      <c r="AJ66" s="85"/>
      <c r="AK66" s="85"/>
      <c r="AL66" s="86"/>
      <c r="AM66" s="86"/>
      <c r="AN66" s="86"/>
      <c r="AO66" s="86"/>
      <c r="AP66" s="86"/>
      <c r="AQ66" s="86"/>
      <c r="AR66" s="86"/>
      <c r="AS66" s="86"/>
      <c r="AT66" s="86"/>
      <c r="AU66" s="86"/>
      <c r="AV66" s="86"/>
      <c r="AW66" s="86"/>
      <c r="AX66" s="86"/>
      <c r="AY66" s="86"/>
      <c r="AZ66" s="86"/>
      <c r="BA66" s="86"/>
      <c r="BB66" s="86"/>
      <c r="BC66" s="86"/>
      <c r="BD66" s="86"/>
      <c r="BE66" s="86"/>
      <c r="BF66" s="86"/>
      <c r="BG66" s="86"/>
      <c r="BH66" s="86"/>
      <c r="BI66" s="86"/>
      <c r="BJ66" s="86"/>
    </row>
    <row r="67" spans="1:62">
      <c r="A67" s="156"/>
      <c r="B67" s="154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88" t="e">
        <f t="shared" si="1"/>
        <v>#DIV/0!</v>
      </c>
      <c r="N67" s="81"/>
      <c r="O67" s="7"/>
      <c r="P67" s="80"/>
      <c r="Q67" s="80"/>
      <c r="R67" s="91"/>
      <c r="S67" s="8"/>
      <c r="T67" s="82"/>
      <c r="W67" s="10"/>
      <c r="X67" s="9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</row>
    <row r="68" spans="1:62" ht="57">
      <c r="A68" s="156" t="s">
        <v>79</v>
      </c>
      <c r="B68" s="157" t="s">
        <v>80</v>
      </c>
      <c r="C68" s="156" t="s">
        <v>16</v>
      </c>
      <c r="D68" s="156">
        <v>784.04</v>
      </c>
      <c r="E68" s="156">
        <v>49.23</v>
      </c>
      <c r="F68" s="156">
        <f t="shared" ref="F68:F92" si="25">D68*E68</f>
        <v>38598.289199999999</v>
      </c>
      <c r="G68" s="156">
        <v>742.6500000000002</v>
      </c>
      <c r="H68" s="156"/>
      <c r="I68" s="156">
        <f t="shared" ref="I68:I76" si="26">G68+H68</f>
        <v>742.6500000000002</v>
      </c>
      <c r="J68" s="156">
        <f t="shared" ref="J68:J76" si="27">E68*G68</f>
        <v>36560.659500000009</v>
      </c>
      <c r="K68" s="156">
        <f t="shared" ref="K68:K76" si="28">H68*E68</f>
        <v>0</v>
      </c>
      <c r="L68" s="156">
        <f t="shared" ref="L68:L76" si="29">J68+K68</f>
        <v>36560.659500000009</v>
      </c>
      <c r="M68" s="188">
        <f t="shared" si="1"/>
        <v>0.94720932605479335</v>
      </c>
      <c r="N68" s="81">
        <f>F68-J68</f>
        <v>2037.6296999999904</v>
      </c>
      <c r="O68" s="7"/>
      <c r="P68" s="80"/>
      <c r="Q68" s="80"/>
      <c r="R68" s="91"/>
      <c r="S68" s="8"/>
      <c r="T68" s="82"/>
      <c r="W68" s="10"/>
      <c r="X68" s="9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</row>
    <row r="69" spans="1:62" ht="42.75">
      <c r="A69" s="156" t="s">
        <v>82</v>
      </c>
      <c r="B69" s="157" t="s">
        <v>83</v>
      </c>
      <c r="C69" s="156" t="s">
        <v>16</v>
      </c>
      <c r="D69" s="156">
        <v>35.76</v>
      </c>
      <c r="E69" s="156">
        <v>186.11</v>
      </c>
      <c r="F69" s="156">
        <f t="shared" si="25"/>
        <v>6655.2936</v>
      </c>
      <c r="G69" s="156">
        <v>35.040000000000006</v>
      </c>
      <c r="H69" s="156"/>
      <c r="I69" s="156">
        <f t="shared" si="26"/>
        <v>35.040000000000006</v>
      </c>
      <c r="J69" s="156">
        <f t="shared" si="27"/>
        <v>6521.2944000000016</v>
      </c>
      <c r="K69" s="156">
        <f t="shared" si="28"/>
        <v>0</v>
      </c>
      <c r="L69" s="156">
        <f t="shared" si="29"/>
        <v>6521.2944000000016</v>
      </c>
      <c r="M69" s="188">
        <f t="shared" si="1"/>
        <v>0.97986577181208079</v>
      </c>
      <c r="N69" s="81"/>
      <c r="O69" s="7"/>
      <c r="P69" s="80"/>
      <c r="Q69" s="80"/>
      <c r="R69" s="91"/>
      <c r="S69" s="8"/>
      <c r="T69" s="82"/>
      <c r="W69" s="10"/>
      <c r="X69" s="9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</row>
    <row r="70" spans="1:62" ht="48.75" customHeight="1">
      <c r="A70" s="156" t="s">
        <v>84</v>
      </c>
      <c r="B70" s="157" t="s">
        <v>22</v>
      </c>
      <c r="C70" s="156" t="s">
        <v>16</v>
      </c>
      <c r="D70" s="156">
        <v>359.84</v>
      </c>
      <c r="E70" s="156">
        <v>142.33000000000001</v>
      </c>
      <c r="F70" s="156">
        <f t="shared" si="25"/>
        <v>51216.027200000004</v>
      </c>
      <c r="G70" s="156">
        <v>359.84000000000003</v>
      </c>
      <c r="H70" s="156"/>
      <c r="I70" s="156">
        <f t="shared" si="26"/>
        <v>359.84000000000003</v>
      </c>
      <c r="J70" s="156">
        <f t="shared" si="27"/>
        <v>51216.027200000011</v>
      </c>
      <c r="K70" s="156">
        <f t="shared" si="28"/>
        <v>0</v>
      </c>
      <c r="L70" s="156">
        <f t="shared" si="29"/>
        <v>51216.027200000011</v>
      </c>
      <c r="M70" s="188">
        <f t="shared" si="1"/>
        <v>1.0000000000000002</v>
      </c>
      <c r="N70" s="92"/>
      <c r="O70" s="7"/>
      <c r="P70" s="80"/>
      <c r="Q70" s="80"/>
      <c r="R70" s="91"/>
      <c r="S70" s="8"/>
      <c r="T70" s="82"/>
      <c r="W70" s="10"/>
      <c r="X70" s="9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</row>
    <row r="71" spans="1:62" ht="28.5">
      <c r="A71" s="156" t="s">
        <v>588</v>
      </c>
      <c r="B71" s="157" t="s">
        <v>589</v>
      </c>
      <c r="C71" s="156" t="s">
        <v>43</v>
      </c>
      <c r="D71" s="156">
        <v>22.2</v>
      </c>
      <c r="E71" s="156">
        <v>58.16</v>
      </c>
      <c r="F71" s="156">
        <f t="shared" si="25"/>
        <v>1291.1519999999998</v>
      </c>
      <c r="G71" s="156">
        <v>22.2</v>
      </c>
      <c r="H71" s="156"/>
      <c r="I71" s="156">
        <f t="shared" si="26"/>
        <v>22.2</v>
      </c>
      <c r="J71" s="156">
        <f t="shared" si="27"/>
        <v>1291.1519999999998</v>
      </c>
      <c r="K71" s="156">
        <f t="shared" si="28"/>
        <v>0</v>
      </c>
      <c r="L71" s="156">
        <f t="shared" si="29"/>
        <v>1291.1519999999998</v>
      </c>
      <c r="M71" s="188">
        <f t="shared" si="1"/>
        <v>1</v>
      </c>
      <c r="N71" s="92"/>
      <c r="O71" s="7"/>
      <c r="P71" s="80"/>
      <c r="Q71" s="80"/>
      <c r="R71" s="91"/>
      <c r="S71" s="8"/>
      <c r="T71" s="82"/>
      <c r="W71" s="10"/>
      <c r="X71" s="9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</row>
    <row r="72" spans="1:62" ht="28.5">
      <c r="A72" s="156" t="s">
        <v>590</v>
      </c>
      <c r="B72" s="157" t="s">
        <v>591</v>
      </c>
      <c r="C72" s="156" t="s">
        <v>43</v>
      </c>
      <c r="D72" s="156">
        <v>2.2000000000000002</v>
      </c>
      <c r="E72" s="156">
        <v>69.45</v>
      </c>
      <c r="F72" s="156">
        <f t="shared" si="25"/>
        <v>152.79000000000002</v>
      </c>
      <c r="G72" s="156">
        <v>2.2000000000000002</v>
      </c>
      <c r="H72" s="156"/>
      <c r="I72" s="156">
        <f t="shared" si="26"/>
        <v>2.2000000000000002</v>
      </c>
      <c r="J72" s="156">
        <f t="shared" si="27"/>
        <v>152.79000000000002</v>
      </c>
      <c r="K72" s="156">
        <f t="shared" si="28"/>
        <v>0</v>
      </c>
      <c r="L72" s="156">
        <f t="shared" si="29"/>
        <v>152.79000000000002</v>
      </c>
      <c r="M72" s="188">
        <f t="shared" si="1"/>
        <v>1</v>
      </c>
      <c r="N72" s="92"/>
      <c r="O72" s="7"/>
      <c r="P72" s="80"/>
      <c r="Q72" s="80"/>
      <c r="R72" s="91"/>
      <c r="S72" s="8"/>
      <c r="T72" s="82"/>
      <c r="W72" s="10"/>
      <c r="X72" s="9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</row>
    <row r="73" spans="1:62" ht="28.5">
      <c r="A73" s="156" t="s">
        <v>592</v>
      </c>
      <c r="B73" s="157" t="s">
        <v>593</v>
      </c>
      <c r="C73" s="156" t="s">
        <v>43</v>
      </c>
      <c r="D73" s="156">
        <v>19.399999999999999</v>
      </c>
      <c r="E73" s="156">
        <v>59.41</v>
      </c>
      <c r="F73" s="156">
        <f t="shared" si="25"/>
        <v>1152.5539999999999</v>
      </c>
      <c r="G73" s="156">
        <v>19.399999999999999</v>
      </c>
      <c r="H73" s="156"/>
      <c r="I73" s="156">
        <f t="shared" si="26"/>
        <v>19.399999999999999</v>
      </c>
      <c r="J73" s="156">
        <f t="shared" si="27"/>
        <v>1152.5539999999999</v>
      </c>
      <c r="K73" s="156">
        <f t="shared" si="28"/>
        <v>0</v>
      </c>
      <c r="L73" s="156">
        <f t="shared" si="29"/>
        <v>1152.5539999999999</v>
      </c>
      <c r="M73" s="188">
        <f t="shared" si="1"/>
        <v>1</v>
      </c>
      <c r="N73" s="92"/>
      <c r="O73" s="7"/>
      <c r="P73" s="80"/>
      <c r="Q73" s="80"/>
      <c r="R73" s="91"/>
      <c r="S73" s="8"/>
      <c r="T73" s="82"/>
      <c r="W73" s="10"/>
      <c r="X73" s="9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</row>
    <row r="74" spans="1:62" ht="28.5">
      <c r="A74" s="156" t="s">
        <v>594</v>
      </c>
      <c r="B74" s="157" t="s">
        <v>595</v>
      </c>
      <c r="C74" s="156" t="s">
        <v>43</v>
      </c>
      <c r="D74" s="156">
        <v>30.02</v>
      </c>
      <c r="E74" s="156">
        <v>68.260000000000005</v>
      </c>
      <c r="F74" s="156">
        <f t="shared" si="25"/>
        <v>2049.1651999999999</v>
      </c>
      <c r="G74" s="156">
        <v>30.02</v>
      </c>
      <c r="H74" s="156"/>
      <c r="I74" s="156">
        <f t="shared" si="26"/>
        <v>30.02</v>
      </c>
      <c r="J74" s="156">
        <f t="shared" si="27"/>
        <v>2049.1651999999999</v>
      </c>
      <c r="K74" s="156">
        <f t="shared" si="28"/>
        <v>0</v>
      </c>
      <c r="L74" s="156">
        <f t="shared" si="29"/>
        <v>2049.1651999999999</v>
      </c>
      <c r="M74" s="188">
        <f t="shared" si="1"/>
        <v>1</v>
      </c>
      <c r="N74" s="92"/>
      <c r="O74" s="7"/>
      <c r="P74" s="80"/>
      <c r="Q74" s="80"/>
      <c r="R74" s="91"/>
      <c r="S74" s="8"/>
      <c r="T74" s="82"/>
      <c r="W74" s="10"/>
      <c r="X74" s="9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</row>
    <row r="75" spans="1:62" ht="28.5">
      <c r="A75" s="156" t="s">
        <v>596</v>
      </c>
      <c r="B75" s="157" t="s">
        <v>597</v>
      </c>
      <c r="C75" s="156" t="s">
        <v>43</v>
      </c>
      <c r="D75" s="156">
        <v>25.4</v>
      </c>
      <c r="E75" s="156">
        <v>56.3</v>
      </c>
      <c r="F75" s="156">
        <f t="shared" si="25"/>
        <v>1430.0199999999998</v>
      </c>
      <c r="G75" s="156">
        <v>25.4</v>
      </c>
      <c r="H75" s="156"/>
      <c r="I75" s="156">
        <f t="shared" si="26"/>
        <v>25.4</v>
      </c>
      <c r="J75" s="156">
        <f t="shared" si="27"/>
        <v>1430.0199999999998</v>
      </c>
      <c r="K75" s="156">
        <f t="shared" si="28"/>
        <v>0</v>
      </c>
      <c r="L75" s="156">
        <f t="shared" si="29"/>
        <v>1430.0199999999998</v>
      </c>
      <c r="M75" s="188">
        <f t="shared" si="1"/>
        <v>1</v>
      </c>
      <c r="N75" s="92"/>
      <c r="O75" s="7"/>
      <c r="P75" s="80"/>
      <c r="Q75" s="80"/>
      <c r="R75" s="91"/>
      <c r="S75" s="8"/>
      <c r="T75" s="82"/>
      <c r="W75" s="10"/>
      <c r="X75" s="9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</row>
    <row r="76" spans="1:62" ht="28.5">
      <c r="A76" s="156" t="s">
        <v>598</v>
      </c>
      <c r="B76" s="157" t="s">
        <v>599</v>
      </c>
      <c r="C76" s="156" t="s">
        <v>43</v>
      </c>
      <c r="D76" s="156">
        <v>36.42</v>
      </c>
      <c r="E76" s="156">
        <v>63.03</v>
      </c>
      <c r="F76" s="156">
        <f t="shared" si="25"/>
        <v>2295.5526</v>
      </c>
      <c r="G76" s="156">
        <v>36.42</v>
      </c>
      <c r="H76" s="156"/>
      <c r="I76" s="156">
        <f t="shared" si="26"/>
        <v>36.42</v>
      </c>
      <c r="J76" s="156">
        <f t="shared" si="27"/>
        <v>2295.5526</v>
      </c>
      <c r="K76" s="156">
        <f t="shared" si="28"/>
        <v>0</v>
      </c>
      <c r="L76" s="156">
        <f t="shared" si="29"/>
        <v>2295.5526</v>
      </c>
      <c r="M76" s="188">
        <f t="shared" si="1"/>
        <v>1</v>
      </c>
      <c r="N76" s="92"/>
      <c r="O76" s="7"/>
      <c r="P76" s="80"/>
      <c r="Q76" s="80"/>
      <c r="R76" s="91"/>
      <c r="S76" s="8"/>
      <c r="T76" s="82"/>
      <c r="W76" s="10"/>
      <c r="X76" s="9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</row>
    <row r="77" spans="1:62">
      <c r="A77" s="156"/>
      <c r="B77" s="154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88" t="e">
        <f t="shared" si="1"/>
        <v>#DIV/0!</v>
      </c>
      <c r="N77" s="81"/>
      <c r="O77" s="7"/>
      <c r="P77" s="80"/>
      <c r="Q77" s="80"/>
      <c r="R77" s="91"/>
      <c r="S77" s="8"/>
      <c r="T77" s="82"/>
      <c r="W77" s="10"/>
      <c r="X77" s="9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</row>
    <row r="78" spans="1:62" s="87" customFormat="1">
      <c r="A78" s="164" t="s">
        <v>85</v>
      </c>
      <c r="B78" s="165" t="s">
        <v>86</v>
      </c>
      <c r="C78" s="166"/>
      <c r="D78" s="167"/>
      <c r="E78" s="166"/>
      <c r="F78" s="166">
        <f>SUM(F80:F92)</f>
        <v>62123.493099999992</v>
      </c>
      <c r="G78" s="166"/>
      <c r="H78" s="166"/>
      <c r="I78" s="166"/>
      <c r="J78" s="166">
        <f>SUM(J80:J92)</f>
        <v>44627.217199999999</v>
      </c>
      <c r="K78" s="166">
        <f t="shared" ref="K78:L78" si="30">SUM(K80:K92)</f>
        <v>16373.115499999998</v>
      </c>
      <c r="L78" s="166">
        <f t="shared" si="30"/>
        <v>61000.332699999992</v>
      </c>
      <c r="M78" s="188">
        <f t="shared" si="1"/>
        <v>0.98192052082145398</v>
      </c>
      <c r="N78" s="98"/>
      <c r="O78" s="7"/>
      <c r="P78" s="97"/>
      <c r="Q78" s="97"/>
      <c r="R78" s="79"/>
      <c r="S78" s="16"/>
      <c r="T78" s="82"/>
      <c r="U78" s="14"/>
      <c r="V78" s="14"/>
      <c r="W78" s="84"/>
      <c r="X78" s="83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86"/>
      <c r="AL78" s="86"/>
      <c r="AM78" s="86"/>
      <c r="AN78" s="86"/>
      <c r="AO78" s="86"/>
      <c r="AP78" s="86"/>
      <c r="AQ78" s="86"/>
      <c r="AR78" s="86"/>
      <c r="AS78" s="86"/>
      <c r="AT78" s="86"/>
      <c r="AU78" s="86"/>
      <c r="AV78" s="86"/>
      <c r="AW78" s="86"/>
      <c r="AX78" s="86"/>
      <c r="AY78" s="86"/>
      <c r="AZ78" s="86"/>
      <c r="BA78" s="86"/>
      <c r="BB78" s="86"/>
      <c r="BC78" s="86"/>
      <c r="BD78" s="86"/>
      <c r="BE78" s="86"/>
      <c r="BF78" s="86"/>
      <c r="BG78" s="86"/>
      <c r="BH78" s="86"/>
      <c r="BI78" s="86"/>
    </row>
    <row r="79" spans="1:62" s="87" customFormat="1">
      <c r="A79" s="168"/>
      <c r="B79" s="169"/>
      <c r="C79" s="170"/>
      <c r="D79" s="171"/>
      <c r="E79" s="170"/>
      <c r="F79" s="170"/>
      <c r="G79" s="170"/>
      <c r="H79" s="170"/>
      <c r="I79" s="170"/>
      <c r="J79" s="170"/>
      <c r="K79" s="170"/>
      <c r="L79" s="170"/>
      <c r="M79" s="188" t="e">
        <f t="shared" si="1"/>
        <v>#DIV/0!</v>
      </c>
      <c r="N79" s="98"/>
      <c r="O79" s="7"/>
      <c r="P79" s="97"/>
      <c r="Q79" s="97"/>
      <c r="R79" s="79"/>
      <c r="S79" s="16"/>
      <c r="T79" s="82"/>
      <c r="U79" s="14"/>
      <c r="V79" s="14"/>
      <c r="W79" s="84"/>
      <c r="X79" s="83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6"/>
      <c r="AL79" s="86"/>
      <c r="AM79" s="86"/>
      <c r="AN79" s="86"/>
      <c r="AO79" s="86"/>
      <c r="AP79" s="86"/>
      <c r="AQ79" s="86"/>
      <c r="AR79" s="86"/>
      <c r="AS79" s="86"/>
      <c r="AT79" s="86"/>
      <c r="AU79" s="86"/>
      <c r="AV79" s="86"/>
      <c r="AW79" s="86"/>
      <c r="AX79" s="86"/>
      <c r="AY79" s="86"/>
      <c r="AZ79" s="86"/>
      <c r="BA79" s="86"/>
      <c r="BB79" s="86"/>
      <c r="BC79" s="86"/>
      <c r="BD79" s="86"/>
      <c r="BE79" s="86"/>
      <c r="BF79" s="86"/>
      <c r="BG79" s="86"/>
      <c r="BH79" s="86"/>
      <c r="BI79" s="86"/>
    </row>
    <row r="80" spans="1:62" ht="57">
      <c r="A80" s="156" t="s">
        <v>87</v>
      </c>
      <c r="B80" s="157" t="s">
        <v>88</v>
      </c>
      <c r="C80" s="156" t="s">
        <v>7</v>
      </c>
      <c r="D80" s="156">
        <v>8</v>
      </c>
      <c r="E80" s="156">
        <v>478.15</v>
      </c>
      <c r="F80" s="156">
        <f t="shared" si="25"/>
        <v>3825.2</v>
      </c>
      <c r="G80" s="156">
        <v>0</v>
      </c>
      <c r="H80" s="156">
        <f>'MEMORIA BM 06'!L124</f>
        <v>8</v>
      </c>
      <c r="I80" s="156">
        <f t="shared" ref="I80:I92" si="31">G80+H80</f>
        <v>8</v>
      </c>
      <c r="J80" s="156">
        <f t="shared" ref="J80:J92" si="32">E80*G80</f>
        <v>0</v>
      </c>
      <c r="K80" s="156">
        <f t="shared" ref="K80:K92" si="33">H80*E80</f>
        <v>3825.2</v>
      </c>
      <c r="L80" s="156">
        <f t="shared" ref="L80:L92" si="34">J80+K80</f>
        <v>3825.2</v>
      </c>
      <c r="M80" s="188">
        <f t="shared" si="1"/>
        <v>1</v>
      </c>
      <c r="N80" s="81"/>
      <c r="O80" s="7"/>
      <c r="P80" s="80"/>
      <c r="Q80" s="80"/>
      <c r="R80" s="91"/>
      <c r="S80" s="8"/>
      <c r="T80" s="82"/>
      <c r="W80" s="10"/>
      <c r="X80" s="12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</row>
    <row r="81" spans="1:61" ht="56.25" customHeight="1">
      <c r="A81" s="156" t="s">
        <v>89</v>
      </c>
      <c r="B81" s="157" t="s">
        <v>90</v>
      </c>
      <c r="C81" s="156" t="s">
        <v>7</v>
      </c>
      <c r="D81" s="156">
        <v>10</v>
      </c>
      <c r="E81" s="156">
        <v>546.86</v>
      </c>
      <c r="F81" s="156">
        <f t="shared" si="25"/>
        <v>5468.6</v>
      </c>
      <c r="G81" s="156">
        <v>0</v>
      </c>
      <c r="H81" s="156">
        <f>'MEMORIA BM 06'!L127</f>
        <v>10</v>
      </c>
      <c r="I81" s="156">
        <f t="shared" si="31"/>
        <v>10</v>
      </c>
      <c r="J81" s="156">
        <f t="shared" si="32"/>
        <v>0</v>
      </c>
      <c r="K81" s="156">
        <f t="shared" si="33"/>
        <v>5468.6</v>
      </c>
      <c r="L81" s="156">
        <f t="shared" si="34"/>
        <v>5468.6</v>
      </c>
      <c r="M81" s="188">
        <f t="shared" si="1"/>
        <v>1</v>
      </c>
      <c r="N81" s="81"/>
      <c r="O81" s="7"/>
      <c r="P81" s="80"/>
      <c r="Q81" s="80"/>
      <c r="R81" s="91"/>
      <c r="S81" s="8"/>
      <c r="T81" s="82"/>
      <c r="W81" s="10"/>
      <c r="X81" s="12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</row>
    <row r="82" spans="1:61" ht="56.25" customHeight="1">
      <c r="A82" s="156" t="s">
        <v>91</v>
      </c>
      <c r="B82" s="157" t="s">
        <v>92</v>
      </c>
      <c r="C82" s="156" t="s">
        <v>7</v>
      </c>
      <c r="D82" s="156">
        <v>0</v>
      </c>
      <c r="E82" s="156">
        <v>546.86</v>
      </c>
      <c r="F82" s="156">
        <f t="shared" si="25"/>
        <v>0</v>
      </c>
      <c r="G82" s="156">
        <v>0</v>
      </c>
      <c r="H82" s="156"/>
      <c r="I82" s="156">
        <f t="shared" si="31"/>
        <v>0</v>
      </c>
      <c r="J82" s="156">
        <f t="shared" si="32"/>
        <v>0</v>
      </c>
      <c r="K82" s="156">
        <f t="shared" si="33"/>
        <v>0</v>
      </c>
      <c r="L82" s="156">
        <f t="shared" si="34"/>
        <v>0</v>
      </c>
      <c r="M82" s="188" t="e">
        <f t="shared" si="1"/>
        <v>#DIV/0!</v>
      </c>
      <c r="N82" s="81"/>
      <c r="O82" s="7"/>
      <c r="P82" s="80"/>
      <c r="Q82" s="80"/>
      <c r="R82" s="91"/>
      <c r="S82" s="8"/>
      <c r="T82" s="82"/>
      <c r="W82" s="10"/>
      <c r="X82" s="12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</row>
    <row r="83" spans="1:61" ht="42.75">
      <c r="A83" s="156" t="s">
        <v>93</v>
      </c>
      <c r="B83" s="157" t="s">
        <v>94</v>
      </c>
      <c r="C83" s="156" t="s">
        <v>16</v>
      </c>
      <c r="D83" s="156">
        <v>42.65</v>
      </c>
      <c r="E83" s="156">
        <v>483.07</v>
      </c>
      <c r="F83" s="156">
        <f t="shared" si="25"/>
        <v>20602.9355</v>
      </c>
      <c r="G83" s="156">
        <v>42.65</v>
      </c>
      <c r="H83" s="156"/>
      <c r="I83" s="156">
        <f t="shared" si="31"/>
        <v>42.65</v>
      </c>
      <c r="J83" s="156">
        <f t="shared" si="32"/>
        <v>20602.9355</v>
      </c>
      <c r="K83" s="156">
        <f t="shared" si="33"/>
        <v>0</v>
      </c>
      <c r="L83" s="156">
        <f t="shared" si="34"/>
        <v>20602.9355</v>
      </c>
      <c r="M83" s="188">
        <f t="shared" si="1"/>
        <v>1</v>
      </c>
      <c r="N83" s="81"/>
      <c r="O83" s="7"/>
      <c r="P83" s="80"/>
      <c r="Q83" s="80"/>
      <c r="R83" s="91"/>
      <c r="S83" s="8"/>
      <c r="T83" s="82"/>
      <c r="W83" s="10"/>
      <c r="X83" s="12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</row>
    <row r="84" spans="1:61" ht="28.5">
      <c r="A84" s="156" t="s">
        <v>95</v>
      </c>
      <c r="B84" s="157" t="s">
        <v>96</v>
      </c>
      <c r="C84" s="156" t="s">
        <v>16</v>
      </c>
      <c r="D84" s="156">
        <v>3</v>
      </c>
      <c r="E84" s="156">
        <v>348.93</v>
      </c>
      <c r="F84" s="156">
        <f t="shared" si="25"/>
        <v>1046.79</v>
      </c>
      <c r="G84" s="156">
        <v>0</v>
      </c>
      <c r="H84" s="156"/>
      <c r="I84" s="156">
        <f t="shared" si="31"/>
        <v>0</v>
      </c>
      <c r="J84" s="156">
        <f t="shared" si="32"/>
        <v>0</v>
      </c>
      <c r="K84" s="156">
        <f t="shared" si="33"/>
        <v>0</v>
      </c>
      <c r="L84" s="156">
        <f t="shared" si="34"/>
        <v>0</v>
      </c>
      <c r="M84" s="188">
        <f t="shared" si="1"/>
        <v>0</v>
      </c>
      <c r="N84" s="81">
        <f>F84</f>
        <v>1046.79</v>
      </c>
      <c r="O84" s="7"/>
      <c r="P84" s="80"/>
      <c r="Q84" s="80"/>
      <c r="R84" s="91"/>
      <c r="S84" s="8"/>
      <c r="T84" s="82"/>
      <c r="W84" s="10"/>
      <c r="X84" s="12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</row>
    <row r="85" spans="1:61">
      <c r="A85" s="156" t="s">
        <v>97</v>
      </c>
      <c r="B85" s="157" t="s">
        <v>98</v>
      </c>
      <c r="C85" s="156" t="s">
        <v>16</v>
      </c>
      <c r="D85" s="156">
        <v>0</v>
      </c>
      <c r="E85" s="156">
        <v>348.93</v>
      </c>
      <c r="F85" s="156">
        <f t="shared" si="25"/>
        <v>0</v>
      </c>
      <c r="G85" s="156">
        <v>0</v>
      </c>
      <c r="H85" s="156"/>
      <c r="I85" s="156">
        <f t="shared" si="31"/>
        <v>0</v>
      </c>
      <c r="J85" s="156">
        <f t="shared" si="32"/>
        <v>0</v>
      </c>
      <c r="K85" s="156">
        <f t="shared" si="33"/>
        <v>0</v>
      </c>
      <c r="L85" s="156">
        <f t="shared" si="34"/>
        <v>0</v>
      </c>
      <c r="M85" s="188" t="e">
        <f t="shared" si="1"/>
        <v>#DIV/0!</v>
      </c>
      <c r="N85" s="81"/>
      <c r="O85" s="7"/>
      <c r="P85" s="80"/>
      <c r="Q85" s="80"/>
      <c r="R85" s="91"/>
      <c r="S85" s="8"/>
      <c r="T85" s="82"/>
      <c r="W85" s="10"/>
      <c r="X85" s="12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</row>
    <row r="86" spans="1:61" ht="28.5">
      <c r="A86" s="156" t="s">
        <v>99</v>
      </c>
      <c r="B86" s="157" t="s">
        <v>96</v>
      </c>
      <c r="C86" s="156" t="s">
        <v>16</v>
      </c>
      <c r="D86" s="156">
        <v>0</v>
      </c>
      <c r="E86" s="156">
        <v>687.84</v>
      </c>
      <c r="F86" s="156">
        <f t="shared" si="25"/>
        <v>0</v>
      </c>
      <c r="G86" s="156">
        <v>0</v>
      </c>
      <c r="H86" s="156"/>
      <c r="I86" s="156">
        <f t="shared" si="31"/>
        <v>0</v>
      </c>
      <c r="J86" s="156">
        <f t="shared" si="32"/>
        <v>0</v>
      </c>
      <c r="K86" s="156">
        <f t="shared" si="33"/>
        <v>0</v>
      </c>
      <c r="L86" s="156">
        <f t="shared" si="34"/>
        <v>0</v>
      </c>
      <c r="M86" s="188" t="e">
        <f t="shared" si="1"/>
        <v>#DIV/0!</v>
      </c>
      <c r="N86" s="81"/>
      <c r="O86" s="7"/>
      <c r="P86" s="80"/>
      <c r="Q86" s="80"/>
      <c r="R86" s="91"/>
      <c r="S86" s="8"/>
      <c r="T86" s="82"/>
      <c r="W86" s="10"/>
      <c r="X86" s="12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</row>
    <row r="87" spans="1:61">
      <c r="A87" s="156" t="s">
        <v>101</v>
      </c>
      <c r="B87" s="157" t="s">
        <v>100</v>
      </c>
      <c r="C87" s="156" t="s">
        <v>7</v>
      </c>
      <c r="D87" s="156">
        <v>4</v>
      </c>
      <c r="E87" s="156">
        <v>266.2</v>
      </c>
      <c r="F87" s="156">
        <f t="shared" si="25"/>
        <v>1064.8</v>
      </c>
      <c r="G87" s="156">
        <v>0</v>
      </c>
      <c r="H87" s="200">
        <f>'MEMORIA BM 06'!L145</f>
        <v>4</v>
      </c>
      <c r="I87" s="156">
        <f t="shared" si="31"/>
        <v>4</v>
      </c>
      <c r="J87" s="156">
        <f t="shared" si="32"/>
        <v>0</v>
      </c>
      <c r="K87" s="156">
        <f t="shared" si="33"/>
        <v>1064.8</v>
      </c>
      <c r="L87" s="156">
        <f t="shared" si="34"/>
        <v>1064.8</v>
      </c>
      <c r="M87" s="188">
        <f t="shared" si="1"/>
        <v>1</v>
      </c>
      <c r="N87" s="81">
        <f>F87</f>
        <v>1064.8</v>
      </c>
      <c r="O87" s="7"/>
      <c r="P87" s="80"/>
      <c r="Q87" s="80"/>
      <c r="R87" s="91"/>
      <c r="S87" s="8"/>
      <c r="T87" s="82"/>
      <c r="W87" s="10"/>
      <c r="X87" s="12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</row>
    <row r="88" spans="1:61">
      <c r="A88" s="156" t="s">
        <v>102</v>
      </c>
      <c r="B88" s="157" t="s">
        <v>103</v>
      </c>
      <c r="C88" s="156" t="s">
        <v>81</v>
      </c>
      <c r="D88" s="156">
        <v>42.65</v>
      </c>
      <c r="E88" s="156">
        <v>101.87</v>
      </c>
      <c r="F88" s="156">
        <f t="shared" si="25"/>
        <v>4344.7555000000002</v>
      </c>
      <c r="G88" s="156">
        <v>0</v>
      </c>
      <c r="H88" s="156">
        <f>'MEMORIA BM 06'!L149</f>
        <v>42.65</v>
      </c>
      <c r="I88" s="156">
        <f t="shared" si="31"/>
        <v>42.65</v>
      </c>
      <c r="J88" s="156">
        <f t="shared" si="32"/>
        <v>0</v>
      </c>
      <c r="K88" s="156">
        <f t="shared" si="33"/>
        <v>4344.7555000000002</v>
      </c>
      <c r="L88" s="156">
        <f t="shared" si="34"/>
        <v>4344.7555000000002</v>
      </c>
      <c r="M88" s="188">
        <f t="shared" si="1"/>
        <v>1</v>
      </c>
      <c r="N88" s="81"/>
      <c r="O88" s="7"/>
      <c r="P88" s="80"/>
      <c r="Q88" s="80"/>
      <c r="R88" s="91"/>
      <c r="S88" s="8"/>
      <c r="T88" s="82"/>
      <c r="W88" s="10"/>
      <c r="X88" s="12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</row>
    <row r="89" spans="1:61" ht="30.75" customHeight="1">
      <c r="A89" s="156" t="s">
        <v>104</v>
      </c>
      <c r="B89" s="157" t="s">
        <v>105</v>
      </c>
      <c r="C89" s="156" t="s">
        <v>7</v>
      </c>
      <c r="D89" s="156">
        <v>20</v>
      </c>
      <c r="E89" s="156">
        <v>96.95</v>
      </c>
      <c r="F89" s="156">
        <f t="shared" si="25"/>
        <v>1939</v>
      </c>
      <c r="G89" s="156">
        <v>4</v>
      </c>
      <c r="H89" s="156">
        <f>'MEMORIA BM 06'!L152</f>
        <v>16</v>
      </c>
      <c r="I89" s="156">
        <f t="shared" si="31"/>
        <v>20</v>
      </c>
      <c r="J89" s="156">
        <f t="shared" si="32"/>
        <v>387.8</v>
      </c>
      <c r="K89" s="156">
        <f t="shared" si="33"/>
        <v>1551.2</v>
      </c>
      <c r="L89" s="156">
        <f t="shared" si="34"/>
        <v>1939</v>
      </c>
      <c r="M89" s="188">
        <f t="shared" si="1"/>
        <v>1</v>
      </c>
      <c r="N89" s="81"/>
      <c r="O89" s="7"/>
      <c r="P89" s="80"/>
      <c r="Q89" s="80"/>
      <c r="R89" s="91"/>
      <c r="S89" s="8"/>
      <c r="T89" s="82"/>
      <c r="W89" s="10"/>
      <c r="X89" s="12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</row>
    <row r="90" spans="1:61" ht="42.75">
      <c r="A90" s="156" t="s">
        <v>106</v>
      </c>
      <c r="B90" s="157" t="s">
        <v>107</v>
      </c>
      <c r="C90" s="156" t="s">
        <v>7</v>
      </c>
      <c r="D90" s="156">
        <v>2</v>
      </c>
      <c r="E90" s="156">
        <v>59.28</v>
      </c>
      <c r="F90" s="156">
        <f t="shared" si="25"/>
        <v>118.56</v>
      </c>
      <c r="G90" s="156">
        <v>0</v>
      </c>
      <c r="H90" s="156">
        <f>'MEMORIA BM 06'!L155</f>
        <v>2</v>
      </c>
      <c r="I90" s="156">
        <f t="shared" si="31"/>
        <v>2</v>
      </c>
      <c r="J90" s="156">
        <f t="shared" si="32"/>
        <v>0</v>
      </c>
      <c r="K90" s="156">
        <f t="shared" si="33"/>
        <v>118.56</v>
      </c>
      <c r="L90" s="156">
        <f t="shared" si="34"/>
        <v>118.56</v>
      </c>
      <c r="M90" s="188">
        <f t="shared" si="1"/>
        <v>1</v>
      </c>
      <c r="N90" s="81"/>
      <c r="O90" s="7"/>
      <c r="P90" s="80"/>
      <c r="Q90" s="80"/>
      <c r="R90" s="91"/>
      <c r="S90" s="8"/>
      <c r="T90" s="82"/>
      <c r="W90" s="10"/>
      <c r="X90" s="12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</row>
    <row r="91" spans="1:61" ht="28.5">
      <c r="A91" s="156" t="s">
        <v>600</v>
      </c>
      <c r="B91" s="157" t="s">
        <v>601</v>
      </c>
      <c r="C91" s="156" t="s">
        <v>602</v>
      </c>
      <c r="D91" s="156">
        <v>5</v>
      </c>
      <c r="E91" s="156">
        <v>477.92</v>
      </c>
      <c r="F91" s="156">
        <f t="shared" si="25"/>
        <v>2389.6</v>
      </c>
      <c r="G91" s="156">
        <v>5</v>
      </c>
      <c r="H91" s="156"/>
      <c r="I91" s="156">
        <f t="shared" si="31"/>
        <v>5</v>
      </c>
      <c r="J91" s="156">
        <f t="shared" si="32"/>
        <v>2389.6</v>
      </c>
      <c r="K91" s="156">
        <f t="shared" si="33"/>
        <v>0</v>
      </c>
      <c r="L91" s="156">
        <f t="shared" si="34"/>
        <v>2389.6</v>
      </c>
      <c r="M91" s="188">
        <f t="shared" si="1"/>
        <v>1</v>
      </c>
      <c r="N91" s="81"/>
      <c r="O91" s="7"/>
      <c r="P91" s="80"/>
      <c r="Q91" s="80"/>
      <c r="R91" s="91"/>
      <c r="S91" s="8"/>
      <c r="T91" s="82"/>
      <c r="W91" s="10"/>
      <c r="X91" s="12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</row>
    <row r="92" spans="1:61">
      <c r="A92" s="156" t="s">
        <v>603</v>
      </c>
      <c r="B92" s="157" t="s">
        <v>604</v>
      </c>
      <c r="C92" s="156" t="s">
        <v>81</v>
      </c>
      <c r="D92" s="156">
        <v>67.010000000000005</v>
      </c>
      <c r="E92" s="156">
        <v>318.20999999999998</v>
      </c>
      <c r="F92" s="156">
        <f t="shared" si="25"/>
        <v>21323.252100000002</v>
      </c>
      <c r="G92" s="156">
        <v>66.77</v>
      </c>
      <c r="H92" s="156"/>
      <c r="I92" s="156">
        <f t="shared" si="31"/>
        <v>66.77</v>
      </c>
      <c r="J92" s="156">
        <f t="shared" si="32"/>
        <v>21246.881699999998</v>
      </c>
      <c r="K92" s="156">
        <f t="shared" si="33"/>
        <v>0</v>
      </c>
      <c r="L92" s="156">
        <f t="shared" si="34"/>
        <v>21246.881699999998</v>
      </c>
      <c r="M92" s="188">
        <f t="shared" si="1"/>
        <v>0.99641844500820753</v>
      </c>
      <c r="N92" s="81"/>
      <c r="O92" s="7"/>
      <c r="P92" s="80"/>
      <c r="Q92" s="80"/>
      <c r="R92" s="91"/>
      <c r="S92" s="8"/>
      <c r="T92" s="82"/>
      <c r="W92" s="10"/>
      <c r="X92" s="12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</row>
    <row r="93" spans="1:61">
      <c r="A93" s="156"/>
      <c r="B93" s="154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88" t="e">
        <f t="shared" si="1"/>
        <v>#DIV/0!</v>
      </c>
      <c r="N93" s="81"/>
      <c r="O93" s="7"/>
      <c r="P93" s="80"/>
      <c r="Q93" s="80"/>
      <c r="R93" s="91"/>
      <c r="S93" s="8"/>
      <c r="T93" s="82"/>
      <c r="W93" s="10"/>
      <c r="X93" s="12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</row>
    <row r="94" spans="1:61" s="87" customFormat="1">
      <c r="A94" s="164" t="s">
        <v>108</v>
      </c>
      <c r="B94" s="165" t="s">
        <v>3</v>
      </c>
      <c r="C94" s="166"/>
      <c r="D94" s="167"/>
      <c r="E94" s="166"/>
      <c r="F94" s="166">
        <f>SUM(F96:F105)</f>
        <v>53736.512299999995</v>
      </c>
      <c r="G94" s="166"/>
      <c r="H94" s="166"/>
      <c r="I94" s="166"/>
      <c r="J94" s="166">
        <f>SUM(J96:J105)</f>
        <v>50575.325999999994</v>
      </c>
      <c r="K94" s="166">
        <f t="shared" ref="K94:L94" si="35">SUM(K96:K105)</f>
        <v>0</v>
      </c>
      <c r="L94" s="166">
        <f t="shared" si="35"/>
        <v>50575.325999999994</v>
      </c>
      <c r="M94" s="188">
        <f t="shared" si="1"/>
        <v>0.9411724698031807</v>
      </c>
      <c r="N94" s="98"/>
      <c r="O94" s="7"/>
      <c r="P94" s="97"/>
      <c r="Q94" s="97"/>
      <c r="R94" s="79"/>
      <c r="S94" s="16"/>
      <c r="T94" s="82"/>
      <c r="U94" s="14"/>
      <c r="V94" s="14"/>
      <c r="W94" s="84"/>
      <c r="X94" s="83"/>
      <c r="Y94" s="85"/>
      <c r="Z94" s="85"/>
      <c r="AA94" s="85"/>
      <c r="AB94" s="85"/>
      <c r="AC94" s="85"/>
      <c r="AD94" s="85"/>
      <c r="AE94" s="85"/>
      <c r="AF94" s="85"/>
      <c r="AG94" s="85"/>
      <c r="AH94" s="85"/>
      <c r="AI94" s="85"/>
      <c r="AJ94" s="85"/>
      <c r="AK94" s="86"/>
      <c r="AL94" s="86"/>
      <c r="AM94" s="86"/>
      <c r="AN94" s="86"/>
      <c r="AO94" s="86"/>
      <c r="AP94" s="86"/>
      <c r="AQ94" s="86"/>
      <c r="AR94" s="86"/>
      <c r="AS94" s="86"/>
      <c r="AT94" s="86"/>
      <c r="AU94" s="86"/>
      <c r="AV94" s="86"/>
      <c r="AW94" s="86"/>
      <c r="AX94" s="86"/>
      <c r="AY94" s="86"/>
      <c r="AZ94" s="86"/>
      <c r="BA94" s="86"/>
      <c r="BB94" s="86"/>
      <c r="BC94" s="86"/>
      <c r="BD94" s="86"/>
      <c r="BE94" s="86"/>
      <c r="BF94" s="86"/>
      <c r="BG94" s="86"/>
      <c r="BH94" s="86"/>
      <c r="BI94" s="86"/>
    </row>
    <row r="95" spans="1:61">
      <c r="A95" s="156"/>
      <c r="B95" s="154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88" t="e">
        <f t="shared" si="1"/>
        <v>#DIV/0!</v>
      </c>
      <c r="N95" s="81"/>
      <c r="O95" s="7"/>
      <c r="P95" s="80"/>
      <c r="Q95" s="80"/>
      <c r="R95" s="91"/>
      <c r="S95" s="8"/>
      <c r="T95" s="82"/>
      <c r="W95" s="10"/>
      <c r="X95" s="12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</row>
    <row r="96" spans="1:61" ht="42.75">
      <c r="A96" s="156" t="s">
        <v>109</v>
      </c>
      <c r="B96" s="157" t="s">
        <v>110</v>
      </c>
      <c r="C96" s="156" t="s">
        <v>16</v>
      </c>
      <c r="D96" s="156">
        <v>0</v>
      </c>
      <c r="E96" s="156">
        <v>22.8</v>
      </c>
      <c r="F96" s="156">
        <f t="shared" ref="F96:F105" si="36">D96*E96</f>
        <v>0</v>
      </c>
      <c r="G96" s="156">
        <v>0</v>
      </c>
      <c r="H96" s="156"/>
      <c r="I96" s="156">
        <f t="shared" ref="I96:I105" si="37">G96+H96</f>
        <v>0</v>
      </c>
      <c r="J96" s="156">
        <f t="shared" ref="J96:J105" si="38">E96*G96</f>
        <v>0</v>
      </c>
      <c r="K96" s="156">
        <f t="shared" ref="K96:K105" si="39">H96*E96</f>
        <v>0</v>
      </c>
      <c r="L96" s="156">
        <f t="shared" ref="L96:L105" si="40">J96+K96</f>
        <v>0</v>
      </c>
      <c r="M96" s="188" t="e">
        <f t="shared" ref="M96:M159" si="41">L96/F96</f>
        <v>#DIV/0!</v>
      </c>
      <c r="N96" s="81"/>
      <c r="O96" s="7"/>
      <c r="P96" s="80"/>
      <c r="Q96" s="80"/>
      <c r="R96" s="91"/>
      <c r="S96" s="8"/>
      <c r="T96" s="82"/>
      <c r="W96" s="10"/>
      <c r="X96" s="12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</row>
    <row r="97" spans="1:61" ht="42.75">
      <c r="A97" s="156" t="s">
        <v>111</v>
      </c>
      <c r="B97" s="157" t="s">
        <v>112</v>
      </c>
      <c r="C97" s="156" t="s">
        <v>16</v>
      </c>
      <c r="D97" s="156">
        <v>511.15</v>
      </c>
      <c r="E97" s="156">
        <v>48.73</v>
      </c>
      <c r="F97" s="156">
        <f t="shared" si="36"/>
        <v>24908.339499999998</v>
      </c>
      <c r="G97" s="156">
        <v>511.15</v>
      </c>
      <c r="H97" s="156"/>
      <c r="I97" s="156">
        <f t="shared" si="37"/>
        <v>511.15</v>
      </c>
      <c r="J97" s="156">
        <f t="shared" si="38"/>
        <v>24908.339499999998</v>
      </c>
      <c r="K97" s="156">
        <f t="shared" si="39"/>
        <v>0</v>
      </c>
      <c r="L97" s="156">
        <f t="shared" si="40"/>
        <v>24908.339499999998</v>
      </c>
      <c r="M97" s="188">
        <f t="shared" si="41"/>
        <v>1</v>
      </c>
      <c r="N97" s="92"/>
      <c r="O97" s="7"/>
      <c r="P97" s="80"/>
      <c r="Q97" s="80"/>
      <c r="R97" s="91"/>
      <c r="S97" s="8"/>
      <c r="T97" s="82"/>
      <c r="W97" s="10"/>
      <c r="X97" s="9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</row>
    <row r="98" spans="1:61" ht="28.5">
      <c r="A98" s="156" t="s">
        <v>113</v>
      </c>
      <c r="B98" s="157" t="s">
        <v>114</v>
      </c>
      <c r="C98" s="156" t="s">
        <v>16</v>
      </c>
      <c r="D98" s="156">
        <v>511.15</v>
      </c>
      <c r="E98" s="156">
        <v>25.93</v>
      </c>
      <c r="F98" s="156">
        <f t="shared" si="36"/>
        <v>13254.119499999999</v>
      </c>
      <c r="G98" s="156">
        <v>511.15</v>
      </c>
      <c r="H98" s="156"/>
      <c r="I98" s="156">
        <f t="shared" si="37"/>
        <v>511.15</v>
      </c>
      <c r="J98" s="156">
        <f t="shared" si="38"/>
        <v>13254.119499999999</v>
      </c>
      <c r="K98" s="156">
        <f t="shared" si="39"/>
        <v>0</v>
      </c>
      <c r="L98" s="156">
        <f t="shared" si="40"/>
        <v>13254.119499999999</v>
      </c>
      <c r="M98" s="188">
        <f t="shared" si="41"/>
        <v>1</v>
      </c>
      <c r="N98" s="92"/>
      <c r="O98" s="7"/>
      <c r="P98" s="80"/>
      <c r="Q98" s="80"/>
      <c r="R98" s="91"/>
      <c r="S98" s="8"/>
      <c r="T98" s="82"/>
      <c r="W98" s="10"/>
      <c r="X98" s="9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</row>
    <row r="99" spans="1:61" ht="42" customHeight="1">
      <c r="A99" s="156" t="s">
        <v>115</v>
      </c>
      <c r="B99" s="157" t="s">
        <v>116</v>
      </c>
      <c r="C99" s="156" t="s">
        <v>6</v>
      </c>
      <c r="D99" s="156">
        <v>70.63</v>
      </c>
      <c r="E99" s="156">
        <v>14.2</v>
      </c>
      <c r="F99" s="156">
        <f t="shared" si="36"/>
        <v>1002.9459999999999</v>
      </c>
      <c r="G99" s="156">
        <v>49.51</v>
      </c>
      <c r="H99" s="156"/>
      <c r="I99" s="156">
        <f t="shared" si="37"/>
        <v>49.51</v>
      </c>
      <c r="J99" s="156">
        <f t="shared" si="38"/>
        <v>703.04199999999992</v>
      </c>
      <c r="K99" s="156">
        <f t="shared" si="39"/>
        <v>0</v>
      </c>
      <c r="L99" s="156">
        <f t="shared" si="40"/>
        <v>703.04199999999992</v>
      </c>
      <c r="M99" s="188">
        <f t="shared" si="41"/>
        <v>0.7009769219878238</v>
      </c>
      <c r="N99" s="81"/>
      <c r="O99" s="7"/>
      <c r="P99" s="80"/>
      <c r="Q99" s="80"/>
      <c r="R99" s="91"/>
      <c r="S99" s="8"/>
      <c r="T99" s="82"/>
      <c r="W99" s="10"/>
      <c r="X99" s="9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</row>
    <row r="100" spans="1:61" ht="28.5">
      <c r="A100" s="156" t="s">
        <v>117</v>
      </c>
      <c r="B100" s="157" t="s">
        <v>118</v>
      </c>
      <c r="C100" s="156" t="s">
        <v>5</v>
      </c>
      <c r="D100" s="156">
        <v>41.57</v>
      </c>
      <c r="E100" s="156">
        <v>26.11</v>
      </c>
      <c r="F100" s="156">
        <f t="shared" si="36"/>
        <v>1085.3926999999999</v>
      </c>
      <c r="G100" s="156">
        <v>0</v>
      </c>
      <c r="H100" s="156"/>
      <c r="I100" s="156">
        <f t="shared" si="37"/>
        <v>0</v>
      </c>
      <c r="J100" s="156">
        <f t="shared" si="38"/>
        <v>0</v>
      </c>
      <c r="K100" s="156">
        <f t="shared" si="39"/>
        <v>0</v>
      </c>
      <c r="L100" s="156">
        <f t="shared" si="40"/>
        <v>0</v>
      </c>
      <c r="M100" s="188">
        <f t="shared" si="41"/>
        <v>0</v>
      </c>
      <c r="N100" s="81">
        <f>F100</f>
        <v>1085.3926999999999</v>
      </c>
      <c r="O100" s="7"/>
      <c r="P100" s="80"/>
      <c r="Q100" s="80"/>
      <c r="R100" s="91"/>
      <c r="S100" s="8"/>
      <c r="T100" s="82"/>
      <c r="W100" s="10"/>
      <c r="X100" s="9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</row>
    <row r="101" spans="1:61" ht="28.5">
      <c r="A101" s="156" t="s">
        <v>119</v>
      </c>
      <c r="B101" s="157" t="s">
        <v>120</v>
      </c>
      <c r="C101" s="156" t="s">
        <v>5</v>
      </c>
      <c r="D101" s="156">
        <v>8.7799999999999994</v>
      </c>
      <c r="E101" s="156">
        <v>15.87</v>
      </c>
      <c r="F101" s="156">
        <f t="shared" si="36"/>
        <v>139.33859999999999</v>
      </c>
      <c r="G101" s="156">
        <v>8.7799999999999994</v>
      </c>
      <c r="H101" s="156"/>
      <c r="I101" s="156">
        <f t="shared" si="37"/>
        <v>8.7799999999999994</v>
      </c>
      <c r="J101" s="156">
        <f t="shared" si="38"/>
        <v>139.33859999999999</v>
      </c>
      <c r="K101" s="156">
        <f t="shared" si="39"/>
        <v>0</v>
      </c>
      <c r="L101" s="156">
        <f t="shared" si="40"/>
        <v>139.33859999999999</v>
      </c>
      <c r="M101" s="188">
        <f t="shared" si="41"/>
        <v>1</v>
      </c>
      <c r="N101" s="92"/>
      <c r="O101" s="7"/>
      <c r="P101" s="80"/>
      <c r="Q101" s="80"/>
      <c r="R101" s="91"/>
      <c r="S101" s="8"/>
      <c r="T101" s="82"/>
      <c r="W101" s="10"/>
      <c r="X101" s="9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</row>
    <row r="102" spans="1:61">
      <c r="A102" s="156" t="s">
        <v>121</v>
      </c>
      <c r="B102" s="157" t="s">
        <v>122</v>
      </c>
      <c r="C102" s="172" t="s">
        <v>16</v>
      </c>
      <c r="D102" s="156">
        <v>8.31</v>
      </c>
      <c r="E102" s="156">
        <v>26.72</v>
      </c>
      <c r="F102" s="156">
        <f t="shared" si="36"/>
        <v>222.04320000000001</v>
      </c>
      <c r="G102" s="156">
        <v>8.31</v>
      </c>
      <c r="H102" s="156"/>
      <c r="I102" s="156">
        <f t="shared" si="37"/>
        <v>8.31</v>
      </c>
      <c r="J102" s="156">
        <f t="shared" si="38"/>
        <v>222.04320000000001</v>
      </c>
      <c r="K102" s="156">
        <f t="shared" si="39"/>
        <v>0</v>
      </c>
      <c r="L102" s="156">
        <f t="shared" si="40"/>
        <v>222.04320000000001</v>
      </c>
      <c r="M102" s="188">
        <f t="shared" si="41"/>
        <v>1</v>
      </c>
      <c r="N102" s="92"/>
      <c r="O102" s="7"/>
      <c r="P102" s="80"/>
      <c r="Q102" s="80"/>
      <c r="R102" s="91"/>
      <c r="S102" s="8"/>
      <c r="T102" s="82"/>
      <c r="W102" s="10"/>
      <c r="X102" s="9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</row>
    <row r="103" spans="1:61" s="87" customFormat="1" ht="30.75" customHeight="1">
      <c r="A103" s="156" t="s">
        <v>123</v>
      </c>
      <c r="B103" s="157" t="s">
        <v>124</v>
      </c>
      <c r="C103" s="172" t="s">
        <v>16</v>
      </c>
      <c r="D103" s="155">
        <v>0</v>
      </c>
      <c r="E103" s="155">
        <v>46.27</v>
      </c>
      <c r="F103" s="156">
        <f t="shared" si="36"/>
        <v>0</v>
      </c>
      <c r="G103" s="156">
        <v>0</v>
      </c>
      <c r="H103" s="156"/>
      <c r="I103" s="156">
        <f t="shared" si="37"/>
        <v>0</v>
      </c>
      <c r="J103" s="156">
        <f t="shared" si="38"/>
        <v>0</v>
      </c>
      <c r="K103" s="156">
        <f t="shared" si="39"/>
        <v>0</v>
      </c>
      <c r="L103" s="156">
        <f t="shared" si="40"/>
        <v>0</v>
      </c>
      <c r="M103" s="188" t="e">
        <f t="shared" si="41"/>
        <v>#DIV/0!</v>
      </c>
      <c r="N103" s="81"/>
      <c r="O103" s="7"/>
      <c r="P103" s="79"/>
      <c r="Q103" s="79"/>
      <c r="R103" s="79"/>
      <c r="S103" s="16"/>
      <c r="T103" s="82"/>
      <c r="U103" s="14"/>
      <c r="V103" s="14"/>
      <c r="W103" s="84"/>
      <c r="X103" s="83"/>
      <c r="Y103" s="85"/>
      <c r="Z103" s="85"/>
      <c r="AA103" s="85"/>
      <c r="AB103" s="85"/>
      <c r="AC103" s="85"/>
      <c r="AD103" s="85"/>
      <c r="AE103" s="86"/>
      <c r="AF103" s="86"/>
      <c r="AG103" s="86"/>
      <c r="AH103" s="86"/>
      <c r="AI103" s="86"/>
      <c r="AJ103" s="86"/>
      <c r="AK103" s="86"/>
      <c r="AL103" s="86"/>
      <c r="AM103" s="86"/>
      <c r="AN103" s="86"/>
      <c r="AO103" s="86"/>
      <c r="AP103" s="86"/>
      <c r="AQ103" s="86"/>
      <c r="AR103" s="86"/>
      <c r="AS103" s="86"/>
      <c r="AT103" s="86"/>
      <c r="AU103" s="86"/>
      <c r="AV103" s="86"/>
      <c r="AW103" s="86"/>
      <c r="AX103" s="86"/>
      <c r="AY103" s="86"/>
      <c r="AZ103" s="86"/>
      <c r="BA103" s="86"/>
      <c r="BB103" s="86"/>
      <c r="BC103" s="86"/>
      <c r="BD103" s="86"/>
      <c r="BE103" s="86"/>
      <c r="BF103" s="86"/>
      <c r="BG103" s="86"/>
      <c r="BH103" s="86"/>
      <c r="BI103" s="86"/>
    </row>
    <row r="104" spans="1:61" s="87" customFormat="1">
      <c r="A104" s="156" t="s">
        <v>605</v>
      </c>
      <c r="B104" s="157" t="s">
        <v>606</v>
      </c>
      <c r="C104" s="172" t="s">
        <v>81</v>
      </c>
      <c r="D104" s="155">
        <v>475</v>
      </c>
      <c r="E104" s="155">
        <v>26.49</v>
      </c>
      <c r="F104" s="156">
        <f t="shared" si="36"/>
        <v>12582.75</v>
      </c>
      <c r="G104" s="156">
        <v>407.96000000000004</v>
      </c>
      <c r="H104" s="156"/>
      <c r="I104" s="156">
        <f t="shared" si="37"/>
        <v>407.96000000000004</v>
      </c>
      <c r="J104" s="156">
        <f t="shared" si="38"/>
        <v>10806.8604</v>
      </c>
      <c r="K104" s="156">
        <f t="shared" si="39"/>
        <v>0</v>
      </c>
      <c r="L104" s="156">
        <f t="shared" si="40"/>
        <v>10806.8604</v>
      </c>
      <c r="M104" s="188">
        <f t="shared" si="41"/>
        <v>0.85886315789473677</v>
      </c>
      <c r="N104" s="81">
        <f>F104-L104</f>
        <v>1775.8896000000004</v>
      </c>
      <c r="O104" s="7"/>
      <c r="P104" s="79"/>
      <c r="Q104" s="79"/>
      <c r="R104" s="79"/>
      <c r="S104" s="16"/>
      <c r="T104" s="82"/>
      <c r="U104" s="14"/>
      <c r="V104" s="14"/>
      <c r="W104" s="84"/>
      <c r="X104" s="83"/>
      <c r="Y104" s="85"/>
      <c r="Z104" s="85"/>
      <c r="AA104" s="85"/>
      <c r="AB104" s="85"/>
      <c r="AC104" s="85"/>
      <c r="AD104" s="85"/>
      <c r="AE104" s="86"/>
      <c r="AF104" s="86"/>
      <c r="AG104" s="86"/>
      <c r="AH104" s="86"/>
      <c r="AI104" s="86"/>
      <c r="AJ104" s="86"/>
      <c r="AK104" s="86"/>
      <c r="AL104" s="86"/>
      <c r="AM104" s="86"/>
      <c r="AN104" s="86"/>
      <c r="AO104" s="86"/>
      <c r="AP104" s="86"/>
      <c r="AQ104" s="86"/>
      <c r="AR104" s="86"/>
      <c r="AS104" s="86"/>
      <c r="AT104" s="86"/>
      <c r="AU104" s="86"/>
      <c r="AV104" s="86"/>
      <c r="AW104" s="86"/>
      <c r="AX104" s="86"/>
      <c r="AY104" s="86"/>
      <c r="AZ104" s="86"/>
      <c r="BA104" s="86"/>
      <c r="BB104" s="86"/>
      <c r="BC104" s="86"/>
      <c r="BD104" s="86"/>
      <c r="BE104" s="86"/>
      <c r="BF104" s="86"/>
      <c r="BG104" s="86"/>
      <c r="BH104" s="86"/>
      <c r="BI104" s="86"/>
    </row>
    <row r="105" spans="1:61" s="87" customFormat="1">
      <c r="A105" s="156" t="s">
        <v>607</v>
      </c>
      <c r="B105" s="157" t="s">
        <v>608</v>
      </c>
      <c r="C105" s="172" t="s">
        <v>43</v>
      </c>
      <c r="D105" s="155">
        <v>101.42</v>
      </c>
      <c r="E105" s="155">
        <v>5.34</v>
      </c>
      <c r="F105" s="156">
        <f t="shared" si="36"/>
        <v>541.58280000000002</v>
      </c>
      <c r="G105" s="156">
        <v>101.42</v>
      </c>
      <c r="H105" s="156"/>
      <c r="I105" s="156">
        <f t="shared" si="37"/>
        <v>101.42</v>
      </c>
      <c r="J105" s="156">
        <f t="shared" si="38"/>
        <v>541.58280000000002</v>
      </c>
      <c r="K105" s="156">
        <f t="shared" si="39"/>
        <v>0</v>
      </c>
      <c r="L105" s="156">
        <f t="shared" si="40"/>
        <v>541.58280000000002</v>
      </c>
      <c r="M105" s="188">
        <f t="shared" si="41"/>
        <v>1</v>
      </c>
      <c r="N105" s="92"/>
      <c r="O105" s="7"/>
      <c r="P105" s="79"/>
      <c r="Q105" s="79"/>
      <c r="R105" s="79"/>
      <c r="S105" s="16"/>
      <c r="T105" s="82"/>
      <c r="U105" s="14"/>
      <c r="V105" s="14"/>
      <c r="W105" s="84"/>
      <c r="X105" s="83"/>
      <c r="Y105" s="85"/>
      <c r="Z105" s="85"/>
      <c r="AA105" s="85"/>
      <c r="AB105" s="85"/>
      <c r="AC105" s="85"/>
      <c r="AD105" s="85"/>
      <c r="AE105" s="86"/>
      <c r="AF105" s="86"/>
      <c r="AG105" s="86"/>
      <c r="AH105" s="86"/>
      <c r="AI105" s="86"/>
      <c r="AJ105" s="86"/>
      <c r="AK105" s="86"/>
      <c r="AL105" s="86"/>
      <c r="AM105" s="86"/>
      <c r="AN105" s="86"/>
      <c r="AO105" s="86"/>
      <c r="AP105" s="86"/>
      <c r="AQ105" s="86"/>
      <c r="AR105" s="86"/>
      <c r="AS105" s="86"/>
      <c r="AT105" s="86"/>
      <c r="AU105" s="86"/>
      <c r="AV105" s="86"/>
      <c r="AW105" s="86"/>
      <c r="AX105" s="86"/>
      <c r="AY105" s="86"/>
      <c r="AZ105" s="86"/>
      <c r="BA105" s="86"/>
      <c r="BB105" s="86"/>
      <c r="BC105" s="86"/>
      <c r="BD105" s="86"/>
      <c r="BE105" s="86"/>
      <c r="BF105" s="86"/>
      <c r="BG105" s="86"/>
      <c r="BH105" s="86"/>
      <c r="BI105" s="86"/>
    </row>
    <row r="106" spans="1:61">
      <c r="A106" s="156"/>
      <c r="B106" s="154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88" t="e">
        <f t="shared" si="41"/>
        <v>#DIV/0!</v>
      </c>
      <c r="N106" s="81"/>
      <c r="O106" s="7"/>
      <c r="P106" s="80"/>
      <c r="Q106" s="80"/>
      <c r="R106" s="91"/>
      <c r="S106" s="8"/>
      <c r="T106" s="82"/>
      <c r="W106" s="10"/>
      <c r="X106" s="9"/>
      <c r="Y106" s="99"/>
      <c r="Z106" s="100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</row>
    <row r="107" spans="1:61" s="87" customFormat="1">
      <c r="A107" s="164" t="s">
        <v>125</v>
      </c>
      <c r="B107" s="165" t="s">
        <v>126</v>
      </c>
      <c r="C107" s="166"/>
      <c r="D107" s="167"/>
      <c r="E107" s="166"/>
      <c r="F107" s="166">
        <f>SUM(F109:F112)</f>
        <v>66961.275599999994</v>
      </c>
      <c r="G107" s="166"/>
      <c r="H107" s="166"/>
      <c r="I107" s="166"/>
      <c r="J107" s="166">
        <f>SUM(J109:J112)</f>
        <v>56961.800800000012</v>
      </c>
      <c r="K107" s="166">
        <f>SUM(K109:K112)</f>
        <v>1542.4133999999999</v>
      </c>
      <c r="L107" s="166">
        <f>SUM(L109:L112)</f>
        <v>58504.214200000009</v>
      </c>
      <c r="M107" s="188">
        <f t="shared" si="41"/>
        <v>0.87370220587613801</v>
      </c>
      <c r="N107" s="98"/>
      <c r="O107" s="7"/>
      <c r="P107" s="97"/>
      <c r="Q107" s="97"/>
      <c r="R107" s="79"/>
      <c r="S107" s="16"/>
      <c r="T107" s="82"/>
      <c r="U107" s="14"/>
      <c r="V107" s="14"/>
      <c r="W107" s="84"/>
      <c r="X107" s="83"/>
      <c r="Y107" s="85"/>
      <c r="Z107" s="85"/>
      <c r="AA107" s="85"/>
      <c r="AB107" s="85"/>
      <c r="AC107" s="85"/>
      <c r="AD107" s="85"/>
      <c r="AE107" s="85"/>
      <c r="AF107" s="85"/>
      <c r="AG107" s="85"/>
      <c r="AH107" s="85"/>
      <c r="AI107" s="85"/>
      <c r="AJ107" s="85"/>
      <c r="AK107" s="86"/>
      <c r="AL107" s="86"/>
      <c r="AM107" s="86"/>
      <c r="AN107" s="86"/>
      <c r="AO107" s="86"/>
      <c r="AP107" s="86"/>
      <c r="AQ107" s="86"/>
      <c r="AR107" s="86"/>
      <c r="AS107" s="86"/>
      <c r="AT107" s="86"/>
      <c r="AU107" s="86"/>
      <c r="AV107" s="86"/>
      <c r="AW107" s="86"/>
      <c r="AX107" s="86"/>
      <c r="AY107" s="86"/>
      <c r="AZ107" s="86"/>
      <c r="BA107" s="86"/>
      <c r="BB107" s="86"/>
      <c r="BC107" s="86"/>
      <c r="BD107" s="86"/>
      <c r="BE107" s="86"/>
      <c r="BF107" s="86"/>
      <c r="BG107" s="86"/>
      <c r="BH107" s="86"/>
      <c r="BI107" s="86"/>
    </row>
    <row r="108" spans="1:61" s="87" customFormat="1">
      <c r="A108" s="156"/>
      <c r="B108" s="154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88" t="e">
        <f t="shared" si="41"/>
        <v>#DIV/0!</v>
      </c>
      <c r="N108" s="81"/>
      <c r="O108" s="7"/>
      <c r="P108" s="79"/>
      <c r="Q108" s="79"/>
      <c r="R108" s="79"/>
      <c r="S108" s="16"/>
      <c r="T108" s="82"/>
      <c r="U108" s="14"/>
      <c r="V108" s="14"/>
      <c r="W108" s="84"/>
      <c r="X108" s="83"/>
      <c r="Y108" s="85"/>
      <c r="Z108" s="85"/>
      <c r="AA108" s="85"/>
      <c r="AB108" s="85"/>
      <c r="AC108" s="85"/>
      <c r="AD108" s="85"/>
      <c r="AE108" s="85"/>
      <c r="AF108" s="85"/>
      <c r="AG108" s="85"/>
      <c r="AH108" s="85"/>
      <c r="AI108" s="85"/>
      <c r="AJ108" s="85"/>
      <c r="AK108" s="86"/>
      <c r="AL108" s="86"/>
      <c r="AM108" s="86"/>
      <c r="AN108" s="86"/>
      <c r="AO108" s="86"/>
      <c r="AP108" s="86"/>
      <c r="AQ108" s="86"/>
      <c r="AR108" s="86"/>
      <c r="AS108" s="86"/>
      <c r="AT108" s="86"/>
      <c r="AU108" s="86"/>
      <c r="AV108" s="86"/>
      <c r="AW108" s="86"/>
      <c r="AX108" s="86"/>
      <c r="AY108" s="86"/>
      <c r="AZ108" s="86"/>
      <c r="BA108" s="86"/>
      <c r="BB108" s="86"/>
      <c r="BC108" s="86"/>
      <c r="BD108" s="86"/>
      <c r="BE108" s="86"/>
      <c r="BF108" s="86"/>
      <c r="BG108" s="86"/>
      <c r="BH108" s="86"/>
      <c r="BI108" s="86"/>
    </row>
    <row r="109" spans="1:61" ht="42.75">
      <c r="A109" s="156" t="s">
        <v>127</v>
      </c>
      <c r="B109" s="157" t="s">
        <v>128</v>
      </c>
      <c r="C109" s="156" t="s">
        <v>16</v>
      </c>
      <c r="D109" s="156">
        <v>1663.44</v>
      </c>
      <c r="E109" s="156">
        <v>2.92</v>
      </c>
      <c r="F109" s="156">
        <f t="shared" ref="F109:F112" si="42">D109*E109</f>
        <v>4857.2448000000004</v>
      </c>
      <c r="G109" s="156">
        <v>1337.3</v>
      </c>
      <c r="H109" s="156"/>
      <c r="I109" s="156">
        <f t="shared" ref="I109:I112" si="43">G109+H109</f>
        <v>1337.3</v>
      </c>
      <c r="J109" s="156">
        <f t="shared" ref="J109:J112" si="44">E109*G109</f>
        <v>3904.9159999999997</v>
      </c>
      <c r="K109" s="156">
        <f t="shared" ref="K109:K112" si="45">H109*E109</f>
        <v>0</v>
      </c>
      <c r="L109" s="156">
        <f t="shared" ref="L109:L112" si="46">J109+K109</f>
        <v>3904.9159999999997</v>
      </c>
      <c r="M109" s="188">
        <f t="shared" si="41"/>
        <v>0.80393642091088335</v>
      </c>
      <c r="N109" s="198">
        <f>F109-J109</f>
        <v>952.32880000000068</v>
      </c>
      <c r="O109" s="7"/>
      <c r="P109" s="80"/>
      <c r="Q109" s="80"/>
      <c r="R109" s="91"/>
      <c r="S109" s="8"/>
      <c r="T109" s="82"/>
      <c r="W109" s="10"/>
      <c r="X109" s="9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</row>
    <row r="110" spans="1:61" ht="57.75" customHeight="1">
      <c r="A110" s="156" t="s">
        <v>129</v>
      </c>
      <c r="B110" s="157" t="s">
        <v>130</v>
      </c>
      <c r="C110" s="156" t="s">
        <v>16</v>
      </c>
      <c r="D110" s="156">
        <v>1146.79</v>
      </c>
      <c r="E110" s="156">
        <v>21.42</v>
      </c>
      <c r="F110" s="156">
        <f t="shared" si="42"/>
        <v>24564.2418</v>
      </c>
      <c r="G110" s="156">
        <v>846.89000000000021</v>
      </c>
      <c r="H110" s="156"/>
      <c r="I110" s="156">
        <f t="shared" si="43"/>
        <v>846.89000000000021</v>
      </c>
      <c r="J110" s="156">
        <f t="shared" si="44"/>
        <v>18140.383800000007</v>
      </c>
      <c r="K110" s="156">
        <f t="shared" si="45"/>
        <v>0</v>
      </c>
      <c r="L110" s="156">
        <f t="shared" si="46"/>
        <v>18140.383800000007</v>
      </c>
      <c r="M110" s="188">
        <f t="shared" si="41"/>
        <v>0.73848743013106177</v>
      </c>
      <c r="N110" s="198">
        <f>F110-J110</f>
        <v>6423.8579999999929</v>
      </c>
      <c r="O110" s="7"/>
      <c r="P110" s="80"/>
      <c r="Q110" s="80"/>
      <c r="R110" s="91"/>
      <c r="S110" s="8"/>
      <c r="T110" s="82"/>
      <c r="W110" s="10"/>
      <c r="X110" s="9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</row>
    <row r="111" spans="1:61" ht="57">
      <c r="A111" s="156" t="s">
        <v>131</v>
      </c>
      <c r="B111" s="157" t="s">
        <v>132</v>
      </c>
      <c r="C111" s="156" t="s">
        <v>16</v>
      </c>
      <c r="D111" s="156">
        <v>516.65</v>
      </c>
      <c r="E111" s="156">
        <v>21.4</v>
      </c>
      <c r="F111" s="156">
        <f t="shared" si="42"/>
        <v>11056.31</v>
      </c>
      <c r="G111" s="156">
        <v>515.2700000000001</v>
      </c>
      <c r="H111" s="156"/>
      <c r="I111" s="156">
        <f t="shared" si="43"/>
        <v>515.2700000000001</v>
      </c>
      <c r="J111" s="156">
        <f t="shared" si="44"/>
        <v>11026.778000000002</v>
      </c>
      <c r="K111" s="156">
        <f t="shared" si="45"/>
        <v>0</v>
      </c>
      <c r="L111" s="156">
        <f t="shared" si="46"/>
        <v>11026.778000000002</v>
      </c>
      <c r="M111" s="188">
        <f t="shared" si="41"/>
        <v>0.99732894609503553</v>
      </c>
      <c r="N111" s="81"/>
      <c r="O111" s="7"/>
      <c r="P111" s="80"/>
      <c r="Q111" s="80"/>
      <c r="R111" s="91"/>
      <c r="S111" s="8"/>
      <c r="T111" s="82"/>
      <c r="W111" s="10"/>
      <c r="X111" s="9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</row>
    <row r="112" spans="1:61" ht="42.75">
      <c r="A112" s="156" t="s">
        <v>133</v>
      </c>
      <c r="B112" s="157" t="s">
        <v>134</v>
      </c>
      <c r="C112" s="156" t="s">
        <v>16</v>
      </c>
      <c r="D112" s="156">
        <v>516.65</v>
      </c>
      <c r="E112" s="156">
        <v>51.26</v>
      </c>
      <c r="F112" s="156">
        <f t="shared" si="42"/>
        <v>26483.478999999999</v>
      </c>
      <c r="G112" s="156">
        <v>466.0499999999999</v>
      </c>
      <c r="H112" s="156">
        <f>'MEMORIA BM 06'!L207</f>
        <v>30.09</v>
      </c>
      <c r="I112" s="156">
        <f t="shared" si="43"/>
        <v>496.13999999999987</v>
      </c>
      <c r="J112" s="156">
        <f t="shared" si="44"/>
        <v>23889.722999999994</v>
      </c>
      <c r="K112" s="156">
        <f t="shared" si="45"/>
        <v>1542.4133999999999</v>
      </c>
      <c r="L112" s="156">
        <f t="shared" si="46"/>
        <v>25432.136399999996</v>
      </c>
      <c r="M112" s="188">
        <f t="shared" si="41"/>
        <v>0.96030194522403933</v>
      </c>
      <c r="N112" s="81">
        <f>F112-L112</f>
        <v>1051.3426000000036</v>
      </c>
      <c r="O112" s="7"/>
      <c r="P112" s="80"/>
      <c r="Q112" s="80"/>
      <c r="R112" s="91"/>
      <c r="S112" s="8"/>
      <c r="T112" s="82"/>
      <c r="W112" s="10"/>
      <c r="X112" s="9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</row>
    <row r="113" spans="1:66">
      <c r="A113" s="156"/>
      <c r="B113" s="154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88" t="e">
        <f t="shared" si="41"/>
        <v>#DIV/0!</v>
      </c>
      <c r="N113" s="81"/>
      <c r="O113" s="7"/>
      <c r="P113" s="80"/>
      <c r="Q113" s="80"/>
      <c r="R113" s="91"/>
      <c r="S113" s="8"/>
      <c r="T113" s="82"/>
      <c r="W113" s="10"/>
      <c r="X113" s="9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</row>
    <row r="114" spans="1:66" s="87" customFormat="1">
      <c r="A114" s="164" t="s">
        <v>135</v>
      </c>
      <c r="B114" s="165" t="s">
        <v>8</v>
      </c>
      <c r="C114" s="166"/>
      <c r="D114" s="167"/>
      <c r="E114" s="166"/>
      <c r="F114" s="166">
        <f>SUM(F116:F126)</f>
        <v>36084.308730000004</v>
      </c>
      <c r="G114" s="166"/>
      <c r="H114" s="166"/>
      <c r="I114" s="166"/>
      <c r="J114" s="166">
        <f>SUM(J116:J126)</f>
        <v>14997.738700000007</v>
      </c>
      <c r="K114" s="166">
        <f t="shared" ref="K114:L114" si="47">SUM(K116:K126)</f>
        <v>19590.829120000006</v>
      </c>
      <c r="L114" s="166">
        <f t="shared" si="47"/>
        <v>34588.567820000018</v>
      </c>
      <c r="M114" s="188">
        <f t="shared" si="41"/>
        <v>0.95854871652961871</v>
      </c>
      <c r="N114" s="98">
        <f>F114-L114-N123</f>
        <v>1495.7409099999859</v>
      </c>
      <c r="O114" s="7"/>
      <c r="P114" s="97"/>
      <c r="Q114" s="97"/>
      <c r="R114" s="79"/>
      <c r="S114" s="16"/>
      <c r="T114" s="82"/>
      <c r="U114" s="14"/>
      <c r="V114" s="14"/>
      <c r="W114" s="84"/>
      <c r="X114" s="83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86"/>
      <c r="AL114" s="86"/>
      <c r="AM114" s="86"/>
      <c r="AN114" s="86"/>
      <c r="AO114" s="86"/>
      <c r="AP114" s="86"/>
      <c r="AQ114" s="86"/>
      <c r="AR114" s="86"/>
      <c r="AS114" s="86"/>
      <c r="AT114" s="86"/>
      <c r="AU114" s="86"/>
      <c r="AV114" s="86"/>
      <c r="AW114" s="86"/>
      <c r="AX114" s="86"/>
      <c r="AY114" s="86"/>
      <c r="AZ114" s="86"/>
      <c r="BA114" s="86"/>
      <c r="BB114" s="86"/>
      <c r="BC114" s="86"/>
      <c r="BD114" s="86"/>
      <c r="BE114" s="86"/>
      <c r="BF114" s="86"/>
      <c r="BG114" s="86"/>
      <c r="BH114" s="86"/>
      <c r="BI114" s="86"/>
    </row>
    <row r="115" spans="1:66" s="87" customFormat="1">
      <c r="A115" s="156"/>
      <c r="B115" s="154"/>
      <c r="C115" s="156"/>
      <c r="D115" s="155"/>
      <c r="E115" s="155"/>
      <c r="F115" s="155"/>
      <c r="G115" s="155"/>
      <c r="H115" s="155"/>
      <c r="I115" s="155"/>
      <c r="J115" s="155"/>
      <c r="K115" s="155"/>
      <c r="L115" s="155"/>
      <c r="M115" s="188" t="e">
        <f t="shared" si="41"/>
        <v>#DIV/0!</v>
      </c>
      <c r="N115" s="81"/>
      <c r="O115" s="7"/>
      <c r="P115" s="79"/>
      <c r="Q115" s="79"/>
      <c r="R115" s="79"/>
      <c r="S115" s="16"/>
      <c r="T115" s="82"/>
      <c r="U115" s="14"/>
      <c r="V115" s="14"/>
      <c r="W115" s="84"/>
      <c r="X115" s="83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6"/>
      <c r="AJ115" s="86"/>
      <c r="AK115" s="86"/>
      <c r="AL115" s="86"/>
      <c r="AM115" s="86"/>
      <c r="AN115" s="86"/>
      <c r="AO115" s="86"/>
      <c r="AP115" s="86"/>
      <c r="AQ115" s="86"/>
      <c r="AR115" s="86"/>
      <c r="AS115" s="86"/>
      <c r="AT115" s="86"/>
      <c r="AU115" s="86"/>
      <c r="AV115" s="86"/>
      <c r="AW115" s="86"/>
      <c r="AX115" s="86"/>
      <c r="AY115" s="86"/>
      <c r="AZ115" s="86"/>
      <c r="BA115" s="86"/>
      <c r="BB115" s="86"/>
      <c r="BC115" s="86"/>
      <c r="BD115" s="86"/>
      <c r="BE115" s="86"/>
      <c r="BF115" s="86"/>
      <c r="BG115" s="86"/>
      <c r="BH115" s="86"/>
      <c r="BI115" s="86"/>
    </row>
    <row r="116" spans="1:66">
      <c r="A116" s="156" t="s">
        <v>136</v>
      </c>
      <c r="B116" s="157" t="s">
        <v>137</v>
      </c>
      <c r="C116" s="156" t="s">
        <v>16</v>
      </c>
      <c r="D116" s="156">
        <v>773.61700000000053</v>
      </c>
      <c r="E116" s="156">
        <v>1.79</v>
      </c>
      <c r="F116" s="156">
        <f t="shared" ref="F116:F126" si="48">D116*E116</f>
        <v>1384.7744300000011</v>
      </c>
      <c r="G116" s="156">
        <v>773.61700000000053</v>
      </c>
      <c r="H116" s="156"/>
      <c r="I116" s="156">
        <f t="shared" ref="I116:I126" si="49">G116+H116</f>
        <v>773.61700000000053</v>
      </c>
      <c r="J116" s="156">
        <f t="shared" ref="J116:J126" si="50">E116*G116</f>
        <v>1384.7744300000011</v>
      </c>
      <c r="K116" s="156">
        <f t="shared" ref="K116:K126" si="51">H116*E116</f>
        <v>0</v>
      </c>
      <c r="L116" s="156">
        <f t="shared" ref="L116:L126" si="52">J116+K116</f>
        <v>1384.7744300000011</v>
      </c>
      <c r="M116" s="188">
        <f t="shared" si="41"/>
        <v>1</v>
      </c>
      <c r="N116" s="81"/>
      <c r="O116" s="7"/>
      <c r="P116" s="80"/>
      <c r="Q116" s="80"/>
      <c r="R116" s="91"/>
      <c r="S116" s="8"/>
      <c r="T116" s="82"/>
      <c r="W116" s="10"/>
      <c r="X116" s="9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</row>
    <row r="117" spans="1:66" s="87" customFormat="1" ht="16.5" customHeight="1">
      <c r="A117" s="156" t="s">
        <v>138</v>
      </c>
      <c r="B117" s="157" t="s">
        <v>139</v>
      </c>
      <c r="C117" s="156" t="s">
        <v>16</v>
      </c>
      <c r="D117" s="156">
        <v>414.88</v>
      </c>
      <c r="E117" s="156">
        <v>9.23</v>
      </c>
      <c r="F117" s="156">
        <f t="shared" si="48"/>
        <v>3829.3424</v>
      </c>
      <c r="G117" s="156">
        <v>414.87700000000052</v>
      </c>
      <c r="H117" s="156"/>
      <c r="I117" s="156">
        <f t="shared" si="49"/>
        <v>414.87700000000052</v>
      </c>
      <c r="J117" s="156">
        <f t="shared" si="50"/>
        <v>3829.3147100000051</v>
      </c>
      <c r="K117" s="156">
        <f t="shared" si="51"/>
        <v>0</v>
      </c>
      <c r="L117" s="156">
        <f t="shared" si="52"/>
        <v>3829.3147100000051</v>
      </c>
      <c r="M117" s="188">
        <f t="shared" si="41"/>
        <v>0.99999276899344525</v>
      </c>
      <c r="N117" s="81"/>
      <c r="O117" s="7"/>
      <c r="P117" s="80"/>
      <c r="Q117" s="80"/>
      <c r="R117" s="79"/>
      <c r="S117" s="16"/>
      <c r="T117" s="82"/>
      <c r="U117" s="14"/>
      <c r="V117" s="14"/>
      <c r="W117" s="84"/>
      <c r="X117" s="83"/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86"/>
      <c r="AJ117" s="86"/>
      <c r="AK117" s="86"/>
      <c r="AL117" s="86"/>
      <c r="AM117" s="86"/>
      <c r="AN117" s="86"/>
      <c r="AO117" s="86"/>
      <c r="AP117" s="86"/>
      <c r="AQ117" s="86"/>
      <c r="AR117" s="86"/>
      <c r="AS117" s="86"/>
      <c r="AT117" s="86"/>
      <c r="AU117" s="86"/>
      <c r="AV117" s="86"/>
      <c r="AW117" s="86"/>
      <c r="AX117" s="86"/>
      <c r="AY117" s="86"/>
      <c r="AZ117" s="86"/>
      <c r="BA117" s="86"/>
      <c r="BB117" s="86"/>
      <c r="BC117" s="86"/>
      <c r="BD117" s="86"/>
      <c r="BE117" s="86"/>
      <c r="BF117" s="86"/>
      <c r="BG117" s="86"/>
      <c r="BH117" s="86"/>
      <c r="BI117" s="86"/>
    </row>
    <row r="118" spans="1:66" s="87" customFormat="1" ht="28.5">
      <c r="A118" s="156" t="s">
        <v>140</v>
      </c>
      <c r="B118" s="157" t="s">
        <v>141</v>
      </c>
      <c r="C118" s="156" t="s">
        <v>16</v>
      </c>
      <c r="D118" s="156">
        <v>358.74</v>
      </c>
      <c r="E118" s="156">
        <v>11.88</v>
      </c>
      <c r="F118" s="156">
        <f t="shared" si="48"/>
        <v>4261.8312000000005</v>
      </c>
      <c r="G118" s="156">
        <v>187.44199999999998</v>
      </c>
      <c r="H118" s="156">
        <f>'MEMORIA BM 06'!L238</f>
        <v>171.29000000000002</v>
      </c>
      <c r="I118" s="156">
        <f t="shared" si="49"/>
        <v>358.73199999999997</v>
      </c>
      <c r="J118" s="156">
        <f t="shared" si="50"/>
        <v>2226.8109599999998</v>
      </c>
      <c r="K118" s="156">
        <f t="shared" si="51"/>
        <v>2034.9252000000004</v>
      </c>
      <c r="L118" s="156">
        <f t="shared" si="52"/>
        <v>4261.7361600000004</v>
      </c>
      <c r="M118" s="188">
        <f t="shared" si="41"/>
        <v>0.9999776997268216</v>
      </c>
      <c r="N118" s="81"/>
      <c r="O118" s="7"/>
      <c r="P118" s="80"/>
      <c r="Q118" s="80"/>
      <c r="R118" s="79"/>
      <c r="S118" s="16"/>
      <c r="T118" s="82"/>
      <c r="U118" s="14"/>
      <c r="V118" s="14"/>
      <c r="W118" s="84"/>
      <c r="X118" s="83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6"/>
      <c r="AJ118" s="86"/>
      <c r="AK118" s="86"/>
      <c r="AL118" s="86"/>
      <c r="AM118" s="86"/>
      <c r="AN118" s="86"/>
      <c r="AO118" s="86"/>
      <c r="AP118" s="86"/>
      <c r="AQ118" s="86"/>
      <c r="AR118" s="86"/>
      <c r="AS118" s="86"/>
      <c r="AT118" s="86"/>
      <c r="AU118" s="86"/>
      <c r="AV118" s="86"/>
      <c r="AW118" s="86"/>
      <c r="AX118" s="86"/>
      <c r="AY118" s="86"/>
      <c r="AZ118" s="86"/>
      <c r="BA118" s="86"/>
      <c r="BB118" s="86"/>
      <c r="BC118" s="86"/>
      <c r="BD118" s="86"/>
      <c r="BE118" s="86"/>
      <c r="BF118" s="86"/>
      <c r="BG118" s="86"/>
      <c r="BH118" s="86"/>
      <c r="BI118" s="86"/>
    </row>
    <row r="119" spans="1:66" s="87" customFormat="1" ht="28.5">
      <c r="A119" s="156" t="s">
        <v>142</v>
      </c>
      <c r="B119" s="157" t="s">
        <v>143</v>
      </c>
      <c r="C119" s="156" t="s">
        <v>16</v>
      </c>
      <c r="D119" s="156">
        <v>358.74</v>
      </c>
      <c r="E119" s="156">
        <v>10.61</v>
      </c>
      <c r="F119" s="156">
        <f t="shared" si="48"/>
        <v>3806.2313999999997</v>
      </c>
      <c r="G119" s="156">
        <v>0</v>
      </c>
      <c r="H119" s="155">
        <f>'MEMORIA BM 06'!L243</f>
        <v>358.73200000000003</v>
      </c>
      <c r="I119" s="156">
        <f t="shared" si="49"/>
        <v>358.73200000000003</v>
      </c>
      <c r="J119" s="156">
        <f t="shared" si="50"/>
        <v>0</v>
      </c>
      <c r="K119" s="156">
        <f t="shared" si="51"/>
        <v>3806.1465200000002</v>
      </c>
      <c r="L119" s="156">
        <f t="shared" si="52"/>
        <v>3806.1465200000002</v>
      </c>
      <c r="M119" s="188">
        <f t="shared" si="41"/>
        <v>0.99997769972682182</v>
      </c>
      <c r="N119" s="81"/>
      <c r="O119" s="7"/>
      <c r="P119" s="80"/>
      <c r="Q119" s="80"/>
      <c r="R119" s="79"/>
      <c r="S119" s="16"/>
      <c r="T119" s="82"/>
      <c r="U119" s="14"/>
      <c r="V119" s="14"/>
      <c r="W119" s="84"/>
      <c r="X119" s="83"/>
      <c r="Y119" s="85"/>
      <c r="Z119" s="85"/>
      <c r="AA119" s="85"/>
      <c r="AB119" s="85"/>
      <c r="AC119" s="85"/>
      <c r="AD119" s="85"/>
      <c r="AE119" s="85"/>
      <c r="AF119" s="85"/>
      <c r="AG119" s="85"/>
      <c r="AH119" s="85"/>
      <c r="AI119" s="86"/>
      <c r="AJ119" s="86"/>
      <c r="AK119" s="86"/>
      <c r="AL119" s="86"/>
      <c r="AM119" s="86"/>
      <c r="AN119" s="86"/>
      <c r="AO119" s="86"/>
      <c r="AP119" s="86"/>
      <c r="AQ119" s="86"/>
      <c r="AR119" s="86"/>
      <c r="AS119" s="86"/>
      <c r="AT119" s="86"/>
      <c r="AU119" s="86"/>
      <c r="AV119" s="86"/>
      <c r="AW119" s="86"/>
      <c r="AX119" s="86"/>
      <c r="AY119" s="86"/>
      <c r="AZ119" s="86"/>
      <c r="BA119" s="86"/>
      <c r="BB119" s="86"/>
      <c r="BC119" s="86"/>
      <c r="BD119" s="86"/>
      <c r="BE119" s="86"/>
      <c r="BF119" s="86"/>
      <c r="BG119" s="86"/>
      <c r="BH119" s="86"/>
      <c r="BI119" s="86"/>
    </row>
    <row r="120" spans="1:66" s="87" customFormat="1" ht="28.5">
      <c r="A120" s="156" t="s">
        <v>144</v>
      </c>
      <c r="B120" s="157" t="s">
        <v>145</v>
      </c>
      <c r="C120" s="156" t="s">
        <v>16</v>
      </c>
      <c r="D120" s="156">
        <v>81.38</v>
      </c>
      <c r="E120" s="156">
        <v>13.51</v>
      </c>
      <c r="F120" s="156">
        <f t="shared" si="48"/>
        <v>1099.4438</v>
      </c>
      <c r="G120" s="156">
        <v>0</v>
      </c>
      <c r="H120" s="155">
        <f>'MEMORIA BM 06'!L253</f>
        <v>71.400000000000006</v>
      </c>
      <c r="I120" s="156">
        <f t="shared" si="49"/>
        <v>71.400000000000006</v>
      </c>
      <c r="J120" s="156">
        <f t="shared" si="50"/>
        <v>0</v>
      </c>
      <c r="K120" s="156">
        <f t="shared" si="51"/>
        <v>964.61400000000003</v>
      </c>
      <c r="L120" s="156">
        <f t="shared" si="52"/>
        <v>964.61400000000003</v>
      </c>
      <c r="M120" s="188">
        <f t="shared" si="41"/>
        <v>0.8773654460555419</v>
      </c>
      <c r="N120" s="81"/>
      <c r="O120" s="199"/>
      <c r="P120" s="80"/>
      <c r="Q120" s="80"/>
      <c r="R120" s="79"/>
      <c r="S120" s="16"/>
      <c r="T120" s="82"/>
      <c r="U120" s="14"/>
      <c r="V120" s="14"/>
      <c r="W120" s="84"/>
      <c r="X120" s="83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6"/>
      <c r="AJ120" s="86"/>
      <c r="AK120" s="86"/>
      <c r="AL120" s="86"/>
      <c r="AM120" s="86"/>
      <c r="AN120" s="86"/>
      <c r="AO120" s="86"/>
      <c r="AP120" s="86"/>
      <c r="AQ120" s="86"/>
      <c r="AR120" s="86"/>
      <c r="AS120" s="86"/>
      <c r="AT120" s="86"/>
      <c r="AU120" s="86"/>
      <c r="AV120" s="86"/>
      <c r="AW120" s="86"/>
      <c r="AX120" s="86"/>
      <c r="AY120" s="86"/>
      <c r="AZ120" s="86"/>
      <c r="BA120" s="86"/>
      <c r="BB120" s="86"/>
      <c r="BC120" s="86"/>
      <c r="BD120" s="86"/>
      <c r="BE120" s="86"/>
      <c r="BF120" s="86"/>
      <c r="BG120" s="86"/>
      <c r="BH120" s="86"/>
      <c r="BI120" s="86"/>
    </row>
    <row r="121" spans="1:66" s="87" customFormat="1" ht="42.75">
      <c r="A121" s="156" t="s">
        <v>146</v>
      </c>
      <c r="B121" s="157" t="s">
        <v>147</v>
      </c>
      <c r="C121" s="156" t="s">
        <v>16</v>
      </c>
      <c r="D121" s="156">
        <v>83.17</v>
      </c>
      <c r="E121" s="156">
        <v>15.22</v>
      </c>
      <c r="F121" s="156">
        <f t="shared" si="48"/>
        <v>1265.8474000000001</v>
      </c>
      <c r="G121" s="156">
        <v>83.17</v>
      </c>
      <c r="H121" s="155"/>
      <c r="I121" s="156">
        <f t="shared" si="49"/>
        <v>83.17</v>
      </c>
      <c r="J121" s="156">
        <f t="shared" si="50"/>
        <v>1265.8474000000001</v>
      </c>
      <c r="K121" s="156">
        <f t="shared" si="51"/>
        <v>0</v>
      </c>
      <c r="L121" s="156">
        <f t="shared" si="52"/>
        <v>1265.8474000000001</v>
      </c>
      <c r="M121" s="188">
        <f t="shared" si="41"/>
        <v>1</v>
      </c>
      <c r="N121" s="81"/>
      <c r="O121" s="7"/>
      <c r="P121" s="79"/>
      <c r="Q121" s="79"/>
      <c r="R121" s="79"/>
      <c r="S121" s="16"/>
      <c r="T121" s="82"/>
      <c r="U121" s="14"/>
      <c r="V121" s="14"/>
      <c r="W121" s="84"/>
      <c r="X121" s="83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  <c r="AJ121" s="85"/>
      <c r="AK121" s="85"/>
      <c r="AL121" s="85"/>
      <c r="AM121" s="85"/>
      <c r="AN121" s="85"/>
      <c r="AO121" s="85"/>
      <c r="AP121" s="85"/>
      <c r="AQ121" s="85"/>
      <c r="AR121" s="85"/>
      <c r="AS121" s="85"/>
      <c r="AT121" s="85"/>
      <c r="AU121" s="85"/>
      <c r="AV121" s="85"/>
      <c r="AW121" s="85"/>
      <c r="AX121" s="85"/>
      <c r="AY121" s="85"/>
      <c r="AZ121" s="85"/>
      <c r="BA121" s="85"/>
      <c r="BB121" s="85"/>
      <c r="BC121" s="85"/>
      <c r="BD121" s="85"/>
      <c r="BE121" s="85"/>
      <c r="BF121" s="85"/>
      <c r="BG121" s="85"/>
      <c r="BH121" s="85"/>
      <c r="BI121" s="85"/>
      <c r="BJ121" s="101"/>
      <c r="BK121" s="101"/>
      <c r="BL121" s="101"/>
      <c r="BM121" s="101"/>
      <c r="BN121" s="101"/>
    </row>
    <row r="122" spans="1:66" s="87" customFormat="1" ht="28.5">
      <c r="A122" s="156" t="s">
        <v>148</v>
      </c>
      <c r="B122" s="157" t="s">
        <v>149</v>
      </c>
      <c r="C122" s="156" t="s">
        <v>16</v>
      </c>
      <c r="D122" s="156">
        <v>414.88</v>
      </c>
      <c r="E122" s="156">
        <v>8.5</v>
      </c>
      <c r="F122" s="156">
        <f t="shared" si="48"/>
        <v>3526.48</v>
      </c>
      <c r="G122" s="156">
        <v>0</v>
      </c>
      <c r="H122" s="155">
        <f>'MEMORIA BM 06'!L260</f>
        <v>414.87700000000052</v>
      </c>
      <c r="I122" s="156">
        <f t="shared" si="49"/>
        <v>414.87700000000052</v>
      </c>
      <c r="J122" s="156">
        <f t="shared" si="50"/>
        <v>0</v>
      </c>
      <c r="K122" s="156">
        <f t="shared" si="51"/>
        <v>3526.4545000000044</v>
      </c>
      <c r="L122" s="156">
        <f t="shared" si="52"/>
        <v>3526.4545000000044</v>
      </c>
      <c r="M122" s="188">
        <f t="shared" si="41"/>
        <v>0.99999276899344514</v>
      </c>
      <c r="N122" s="81"/>
      <c r="O122" s="7"/>
      <c r="P122" s="79"/>
      <c r="Q122" s="79"/>
      <c r="R122" s="79"/>
      <c r="S122" s="16"/>
      <c r="T122" s="82"/>
      <c r="U122" s="14"/>
      <c r="V122" s="14"/>
      <c r="W122" s="84"/>
      <c r="X122" s="83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  <c r="AJ122" s="85"/>
      <c r="AK122" s="85"/>
      <c r="AL122" s="85"/>
      <c r="AM122" s="85"/>
      <c r="AN122" s="85"/>
      <c r="AO122" s="85"/>
      <c r="AP122" s="85"/>
      <c r="AQ122" s="85"/>
      <c r="AR122" s="85"/>
      <c r="AS122" s="85"/>
      <c r="AT122" s="85"/>
      <c r="AU122" s="85"/>
      <c r="AV122" s="85"/>
      <c r="AW122" s="85"/>
      <c r="AX122" s="85"/>
      <c r="AY122" s="85"/>
      <c r="AZ122" s="85"/>
      <c r="BA122" s="85"/>
      <c r="BB122" s="85"/>
      <c r="BC122" s="85"/>
      <c r="BD122" s="85"/>
      <c r="BE122" s="85"/>
      <c r="BF122" s="85"/>
      <c r="BG122" s="85"/>
      <c r="BH122" s="85"/>
      <c r="BI122" s="85"/>
      <c r="BJ122" s="101"/>
      <c r="BK122" s="101"/>
      <c r="BL122" s="101"/>
      <c r="BM122" s="101"/>
      <c r="BN122" s="101"/>
    </row>
    <row r="123" spans="1:66" s="87" customFormat="1">
      <c r="A123" s="156" t="s">
        <v>150</v>
      </c>
      <c r="B123" s="158" t="s">
        <v>151</v>
      </c>
      <c r="C123" s="156" t="s">
        <v>16</v>
      </c>
      <c r="D123" s="156">
        <v>766.73</v>
      </c>
      <c r="E123" s="156">
        <v>6.97</v>
      </c>
      <c r="F123" s="156">
        <f t="shared" si="48"/>
        <v>5344.1081000000004</v>
      </c>
      <c r="G123" s="156">
        <v>0</v>
      </c>
      <c r="H123" s="156">
        <f>'MEMORIA BM 06'!L263</f>
        <v>766.73</v>
      </c>
      <c r="I123" s="156">
        <f t="shared" si="49"/>
        <v>766.73</v>
      </c>
      <c r="J123" s="156">
        <f t="shared" si="50"/>
        <v>0</v>
      </c>
      <c r="K123" s="156">
        <f t="shared" si="51"/>
        <v>5344.1081000000004</v>
      </c>
      <c r="L123" s="156">
        <f t="shared" si="52"/>
        <v>5344.1081000000004</v>
      </c>
      <c r="M123" s="188">
        <f t="shared" si="41"/>
        <v>1</v>
      </c>
      <c r="N123" s="81"/>
      <c r="O123" s="7"/>
      <c r="P123" s="79"/>
      <c r="Q123" s="79"/>
      <c r="R123" s="79"/>
      <c r="S123" s="16"/>
      <c r="T123" s="82"/>
      <c r="U123" s="14"/>
      <c r="V123" s="14"/>
      <c r="W123" s="84"/>
      <c r="X123" s="83"/>
      <c r="Y123" s="85"/>
      <c r="Z123" s="85"/>
      <c r="AA123" s="85"/>
      <c r="AB123" s="85"/>
      <c r="AC123" s="85"/>
      <c r="AD123" s="85"/>
      <c r="AE123" s="85"/>
      <c r="AF123" s="85"/>
      <c r="AG123" s="85"/>
      <c r="AH123" s="85"/>
      <c r="AI123" s="85"/>
      <c r="AJ123" s="85"/>
      <c r="AK123" s="85"/>
      <c r="AL123" s="85"/>
      <c r="AM123" s="85"/>
      <c r="AN123" s="85"/>
      <c r="AO123" s="85"/>
      <c r="AP123" s="85"/>
      <c r="AQ123" s="85"/>
      <c r="AR123" s="85"/>
      <c r="AS123" s="85"/>
      <c r="AT123" s="85"/>
      <c r="AU123" s="85"/>
      <c r="AV123" s="85"/>
      <c r="AW123" s="85"/>
      <c r="AX123" s="85"/>
      <c r="AY123" s="85"/>
      <c r="AZ123" s="85"/>
      <c r="BA123" s="85"/>
      <c r="BB123" s="85"/>
      <c r="BC123" s="85"/>
      <c r="BD123" s="85"/>
      <c r="BE123" s="85"/>
      <c r="BF123" s="85"/>
      <c r="BG123" s="85"/>
      <c r="BH123" s="85"/>
      <c r="BI123" s="85"/>
      <c r="BJ123" s="101"/>
      <c r="BK123" s="101"/>
      <c r="BL123" s="101"/>
      <c r="BM123" s="101"/>
      <c r="BN123" s="101"/>
    </row>
    <row r="124" spans="1:66" s="87" customFormat="1">
      <c r="A124" s="156" t="s">
        <v>609</v>
      </c>
      <c r="B124" s="158" t="s">
        <v>610</v>
      </c>
      <c r="C124" s="156" t="s">
        <v>81</v>
      </c>
      <c r="D124" s="156">
        <v>475</v>
      </c>
      <c r="E124" s="156">
        <v>2.64</v>
      </c>
      <c r="F124" s="156">
        <f t="shared" si="48"/>
        <v>1254</v>
      </c>
      <c r="G124" s="156">
        <v>419.12000000000006</v>
      </c>
      <c r="H124" s="155"/>
      <c r="I124" s="156">
        <f t="shared" si="49"/>
        <v>419.12000000000006</v>
      </c>
      <c r="J124" s="156">
        <f t="shared" si="50"/>
        <v>1106.4768000000001</v>
      </c>
      <c r="K124" s="156">
        <f t="shared" si="51"/>
        <v>0</v>
      </c>
      <c r="L124" s="156">
        <f t="shared" si="52"/>
        <v>1106.4768000000001</v>
      </c>
      <c r="M124" s="188">
        <f t="shared" si="41"/>
        <v>0.88235789473684223</v>
      </c>
      <c r="N124" s="81"/>
      <c r="O124" s="7"/>
      <c r="P124" s="79"/>
      <c r="Q124" s="79"/>
      <c r="R124" s="79"/>
      <c r="S124" s="16"/>
      <c r="T124" s="82"/>
      <c r="U124" s="14"/>
      <c r="V124" s="14"/>
      <c r="W124" s="84"/>
      <c r="X124" s="83"/>
      <c r="Y124" s="85"/>
      <c r="Z124" s="85"/>
      <c r="AA124" s="85"/>
      <c r="AB124" s="85"/>
      <c r="AC124" s="85"/>
      <c r="AD124" s="85"/>
      <c r="AE124" s="85"/>
      <c r="AF124" s="85"/>
      <c r="AG124" s="85"/>
      <c r="AH124" s="85"/>
      <c r="AI124" s="85"/>
      <c r="AJ124" s="85"/>
      <c r="AK124" s="85"/>
      <c r="AL124" s="85"/>
      <c r="AM124" s="85"/>
      <c r="AN124" s="85"/>
      <c r="AO124" s="85"/>
      <c r="AP124" s="85"/>
      <c r="AQ124" s="85"/>
      <c r="AR124" s="85"/>
      <c r="AS124" s="85"/>
      <c r="AT124" s="85"/>
      <c r="AU124" s="85"/>
      <c r="AV124" s="85"/>
      <c r="AW124" s="85"/>
      <c r="AX124" s="85"/>
      <c r="AY124" s="85"/>
      <c r="AZ124" s="85"/>
      <c r="BA124" s="85"/>
      <c r="BB124" s="85"/>
      <c r="BC124" s="85"/>
      <c r="BD124" s="85"/>
      <c r="BE124" s="85"/>
      <c r="BF124" s="85"/>
      <c r="BG124" s="85"/>
      <c r="BH124" s="85"/>
      <c r="BI124" s="85"/>
      <c r="BJ124" s="101"/>
      <c r="BK124" s="101"/>
      <c r="BL124" s="101"/>
      <c r="BM124" s="101"/>
      <c r="BN124" s="101"/>
    </row>
    <row r="125" spans="1:66" s="87" customFormat="1">
      <c r="A125" s="156" t="s">
        <v>611</v>
      </c>
      <c r="B125" s="158" t="s">
        <v>612</v>
      </c>
      <c r="C125" s="156" t="s">
        <v>81</v>
      </c>
      <c r="D125" s="156">
        <v>475</v>
      </c>
      <c r="E125" s="156">
        <v>12.37</v>
      </c>
      <c r="F125" s="156">
        <f t="shared" si="48"/>
        <v>5875.75</v>
      </c>
      <c r="G125" s="156">
        <v>419.12000000000006</v>
      </c>
      <c r="H125" s="155"/>
      <c r="I125" s="156">
        <f t="shared" si="49"/>
        <v>419.12000000000006</v>
      </c>
      <c r="J125" s="156">
        <f t="shared" si="50"/>
        <v>5184.5144</v>
      </c>
      <c r="K125" s="156">
        <f t="shared" si="51"/>
        <v>0</v>
      </c>
      <c r="L125" s="156">
        <f t="shared" si="52"/>
        <v>5184.5144</v>
      </c>
      <c r="M125" s="188">
        <f t="shared" si="41"/>
        <v>0.88235789473684212</v>
      </c>
      <c r="N125" s="81"/>
      <c r="O125" s="7"/>
      <c r="P125" s="79"/>
      <c r="Q125" s="79"/>
      <c r="R125" s="79"/>
      <c r="S125" s="16"/>
      <c r="T125" s="82"/>
      <c r="U125" s="14"/>
      <c r="V125" s="14"/>
      <c r="W125" s="84"/>
      <c r="X125" s="83"/>
      <c r="Y125" s="85"/>
      <c r="Z125" s="85"/>
      <c r="AA125" s="85"/>
      <c r="AB125" s="85"/>
      <c r="AC125" s="85"/>
      <c r="AD125" s="85"/>
      <c r="AE125" s="85"/>
      <c r="AF125" s="85"/>
      <c r="AG125" s="85"/>
      <c r="AH125" s="85"/>
      <c r="AI125" s="85"/>
      <c r="AJ125" s="85"/>
      <c r="AK125" s="85"/>
      <c r="AL125" s="85"/>
      <c r="AM125" s="85"/>
      <c r="AN125" s="85"/>
      <c r="AO125" s="85"/>
      <c r="AP125" s="85"/>
      <c r="AQ125" s="85"/>
      <c r="AR125" s="85"/>
      <c r="AS125" s="85"/>
      <c r="AT125" s="85"/>
      <c r="AU125" s="85"/>
      <c r="AV125" s="85"/>
      <c r="AW125" s="85"/>
      <c r="AX125" s="85"/>
      <c r="AY125" s="85"/>
      <c r="AZ125" s="85"/>
      <c r="BA125" s="85"/>
      <c r="BB125" s="85"/>
      <c r="BC125" s="85"/>
      <c r="BD125" s="85"/>
      <c r="BE125" s="85"/>
      <c r="BF125" s="85"/>
      <c r="BG125" s="85"/>
      <c r="BH125" s="85"/>
      <c r="BI125" s="85"/>
      <c r="BJ125" s="101"/>
      <c r="BK125" s="101"/>
      <c r="BL125" s="101"/>
      <c r="BM125" s="101"/>
      <c r="BN125" s="101"/>
    </row>
    <row r="126" spans="1:66" s="87" customFormat="1" ht="33.75" customHeight="1">
      <c r="A126" s="156" t="s">
        <v>613</v>
      </c>
      <c r="B126" s="157" t="s">
        <v>614</v>
      </c>
      <c r="C126" s="156" t="s">
        <v>81</v>
      </c>
      <c r="D126" s="156">
        <v>475</v>
      </c>
      <c r="E126" s="156">
        <v>9.34</v>
      </c>
      <c r="F126" s="156">
        <f t="shared" si="48"/>
        <v>4436.5</v>
      </c>
      <c r="G126" s="156">
        <v>0</v>
      </c>
      <c r="H126" s="155">
        <f>'MEMORIA BM 06'!L272</f>
        <v>419.12000000000006</v>
      </c>
      <c r="I126" s="156">
        <f t="shared" si="49"/>
        <v>419.12000000000006</v>
      </c>
      <c r="J126" s="156">
        <f t="shared" si="50"/>
        <v>0</v>
      </c>
      <c r="K126" s="156">
        <f t="shared" si="51"/>
        <v>3914.5808000000006</v>
      </c>
      <c r="L126" s="156">
        <f t="shared" si="52"/>
        <v>3914.5808000000006</v>
      </c>
      <c r="M126" s="188">
        <f t="shared" si="41"/>
        <v>0.88235789473684223</v>
      </c>
      <c r="N126" s="81"/>
      <c r="O126" s="7"/>
      <c r="P126" s="79"/>
      <c r="Q126" s="79"/>
      <c r="R126" s="79"/>
      <c r="S126" s="16"/>
      <c r="T126" s="82"/>
      <c r="U126" s="14"/>
      <c r="V126" s="14"/>
      <c r="W126" s="84"/>
      <c r="X126" s="83"/>
      <c r="Y126" s="85"/>
      <c r="Z126" s="85"/>
      <c r="AA126" s="85"/>
      <c r="AB126" s="85"/>
      <c r="AC126" s="85"/>
      <c r="AD126" s="85"/>
      <c r="AE126" s="85"/>
      <c r="AF126" s="85"/>
      <c r="AG126" s="85"/>
      <c r="AH126" s="85"/>
      <c r="AI126" s="85"/>
      <c r="AJ126" s="85"/>
      <c r="AK126" s="85"/>
      <c r="AL126" s="85"/>
      <c r="AM126" s="85"/>
      <c r="AN126" s="85"/>
      <c r="AO126" s="85"/>
      <c r="AP126" s="85"/>
      <c r="AQ126" s="85"/>
      <c r="AR126" s="85"/>
      <c r="AS126" s="85"/>
      <c r="AT126" s="85"/>
      <c r="AU126" s="85"/>
      <c r="AV126" s="85"/>
      <c r="AW126" s="85"/>
      <c r="AX126" s="85"/>
      <c r="AY126" s="85"/>
      <c r="AZ126" s="85"/>
      <c r="BA126" s="85"/>
      <c r="BB126" s="85"/>
      <c r="BC126" s="85"/>
      <c r="BD126" s="85"/>
      <c r="BE126" s="85"/>
      <c r="BF126" s="85"/>
      <c r="BG126" s="85"/>
      <c r="BH126" s="85"/>
      <c r="BI126" s="85"/>
      <c r="BJ126" s="101"/>
      <c r="BK126" s="101"/>
      <c r="BL126" s="101"/>
      <c r="BM126" s="101"/>
      <c r="BN126" s="101"/>
    </row>
    <row r="127" spans="1:66" s="87" customFormat="1">
      <c r="A127" s="156"/>
      <c r="B127" s="154"/>
      <c r="C127" s="156"/>
      <c r="D127" s="156"/>
      <c r="E127" s="156"/>
      <c r="F127" s="156"/>
      <c r="G127" s="156"/>
      <c r="H127" s="155"/>
      <c r="I127" s="156"/>
      <c r="J127" s="156"/>
      <c r="K127" s="156"/>
      <c r="L127" s="156"/>
      <c r="M127" s="188" t="e">
        <f t="shared" si="41"/>
        <v>#DIV/0!</v>
      </c>
      <c r="N127" s="81"/>
      <c r="O127" s="7"/>
      <c r="P127" s="79"/>
      <c r="Q127" s="79"/>
      <c r="R127" s="79"/>
      <c r="S127" s="16"/>
      <c r="T127" s="82"/>
      <c r="U127" s="14"/>
      <c r="V127" s="14"/>
      <c r="W127" s="84"/>
      <c r="X127" s="83"/>
      <c r="Y127" s="85"/>
      <c r="Z127" s="85"/>
      <c r="AA127" s="85"/>
      <c r="AB127" s="85"/>
      <c r="AC127" s="85"/>
      <c r="AD127" s="85"/>
      <c r="AE127" s="85"/>
      <c r="AF127" s="85"/>
      <c r="AG127" s="85"/>
      <c r="AH127" s="85"/>
      <c r="AI127" s="85"/>
      <c r="AJ127" s="85"/>
      <c r="AK127" s="85"/>
      <c r="AL127" s="85"/>
      <c r="AM127" s="85"/>
      <c r="AN127" s="85"/>
      <c r="AO127" s="85"/>
      <c r="AP127" s="85"/>
      <c r="AQ127" s="85"/>
      <c r="AR127" s="85"/>
      <c r="AS127" s="85"/>
      <c r="AT127" s="85"/>
      <c r="AU127" s="85"/>
      <c r="AV127" s="85"/>
      <c r="AW127" s="85"/>
      <c r="AX127" s="85"/>
      <c r="AY127" s="85"/>
      <c r="AZ127" s="85"/>
      <c r="BA127" s="85"/>
      <c r="BB127" s="85"/>
      <c r="BC127" s="85"/>
      <c r="BD127" s="85"/>
      <c r="BE127" s="85"/>
      <c r="BF127" s="85"/>
      <c r="BG127" s="85"/>
      <c r="BH127" s="85"/>
      <c r="BI127" s="85"/>
      <c r="BJ127" s="101"/>
      <c r="BK127" s="101"/>
      <c r="BL127" s="101"/>
      <c r="BM127" s="101"/>
      <c r="BN127" s="101"/>
    </row>
    <row r="128" spans="1:66" s="87" customFormat="1">
      <c r="A128" s="164" t="s">
        <v>152</v>
      </c>
      <c r="B128" s="165" t="s">
        <v>4</v>
      </c>
      <c r="C128" s="166"/>
      <c r="D128" s="167"/>
      <c r="E128" s="166"/>
      <c r="F128" s="166">
        <f>SUM(F130:F137)</f>
        <v>36882.385199999997</v>
      </c>
      <c r="G128" s="166"/>
      <c r="H128" s="166"/>
      <c r="I128" s="166"/>
      <c r="J128" s="166">
        <f>SUM(J130:J137)</f>
        <v>34963.317599999995</v>
      </c>
      <c r="K128" s="166">
        <f>SUM(K130:K137)</f>
        <v>826.06600000000003</v>
      </c>
      <c r="L128" s="166">
        <f>SUM(L130:L137)</f>
        <v>35789.383599999994</v>
      </c>
      <c r="M128" s="188">
        <f t="shared" si="41"/>
        <v>0.9703652137985912</v>
      </c>
      <c r="N128" s="98"/>
      <c r="O128" s="7"/>
      <c r="P128" s="97"/>
      <c r="Q128" s="97"/>
      <c r="R128" s="79"/>
      <c r="S128" s="16"/>
      <c r="T128" s="82"/>
      <c r="U128" s="14"/>
      <c r="V128" s="14"/>
      <c r="W128" s="84"/>
      <c r="X128" s="83"/>
      <c r="Y128" s="85"/>
      <c r="Z128" s="85"/>
      <c r="AA128" s="85"/>
      <c r="AB128" s="85"/>
      <c r="AC128" s="85"/>
      <c r="AD128" s="85"/>
      <c r="AE128" s="85"/>
      <c r="AF128" s="85"/>
      <c r="AG128" s="85"/>
      <c r="AH128" s="85"/>
      <c r="AI128" s="85"/>
      <c r="AJ128" s="85"/>
      <c r="AK128" s="86"/>
      <c r="AL128" s="86"/>
      <c r="AM128" s="86"/>
      <c r="AN128" s="86"/>
      <c r="AO128" s="86"/>
      <c r="AP128" s="86"/>
      <c r="AQ128" s="86"/>
      <c r="AR128" s="86"/>
      <c r="AS128" s="86"/>
      <c r="AT128" s="86"/>
      <c r="AU128" s="86"/>
      <c r="AV128" s="86"/>
      <c r="AW128" s="86"/>
      <c r="AX128" s="86"/>
      <c r="AY128" s="86"/>
      <c r="AZ128" s="86"/>
      <c r="BA128" s="86"/>
      <c r="BB128" s="86"/>
      <c r="BC128" s="86"/>
      <c r="BD128" s="86"/>
      <c r="BE128" s="86"/>
      <c r="BF128" s="86"/>
      <c r="BG128" s="86"/>
      <c r="BH128" s="86"/>
      <c r="BI128" s="86"/>
    </row>
    <row r="129" spans="1:66" s="87" customFormat="1">
      <c r="A129" s="173"/>
      <c r="B129" s="154"/>
      <c r="C129" s="156"/>
      <c r="D129" s="155"/>
      <c r="E129" s="155"/>
      <c r="F129" s="155"/>
      <c r="G129" s="155"/>
      <c r="H129" s="155"/>
      <c r="I129" s="155"/>
      <c r="J129" s="155"/>
      <c r="K129" s="155"/>
      <c r="L129" s="155"/>
      <c r="M129" s="188" t="e">
        <f t="shared" si="41"/>
        <v>#DIV/0!</v>
      </c>
      <c r="N129" s="81"/>
      <c r="O129" s="7"/>
      <c r="P129" s="79"/>
      <c r="Q129" s="79"/>
      <c r="R129" s="79"/>
      <c r="S129" s="16"/>
      <c r="T129" s="82"/>
      <c r="U129" s="14"/>
      <c r="V129" s="14"/>
      <c r="W129" s="84"/>
      <c r="X129" s="83"/>
      <c r="Y129" s="85"/>
      <c r="Z129" s="85"/>
      <c r="AA129" s="85"/>
      <c r="AB129" s="85"/>
      <c r="AC129" s="85"/>
      <c r="AD129" s="85"/>
      <c r="AE129" s="85"/>
      <c r="AF129" s="85"/>
      <c r="AG129" s="85"/>
      <c r="AH129" s="85"/>
      <c r="AI129" s="85"/>
      <c r="AJ129" s="85"/>
      <c r="AK129" s="85"/>
      <c r="AL129" s="85"/>
      <c r="AM129" s="85"/>
      <c r="AN129" s="85"/>
      <c r="AO129" s="85"/>
      <c r="AP129" s="85"/>
      <c r="AQ129" s="85"/>
      <c r="AR129" s="85"/>
      <c r="AS129" s="85"/>
      <c r="AT129" s="85"/>
      <c r="AU129" s="85"/>
      <c r="AV129" s="85"/>
      <c r="AW129" s="85"/>
      <c r="AX129" s="85"/>
      <c r="AY129" s="85"/>
      <c r="AZ129" s="85"/>
      <c r="BA129" s="85"/>
      <c r="BB129" s="85"/>
      <c r="BC129" s="85"/>
      <c r="BD129" s="85"/>
      <c r="BE129" s="85"/>
      <c r="BF129" s="85"/>
      <c r="BG129" s="85"/>
      <c r="BH129" s="85"/>
      <c r="BI129" s="85"/>
      <c r="BJ129" s="101"/>
      <c r="BK129" s="101"/>
      <c r="BL129" s="101"/>
      <c r="BM129" s="101"/>
      <c r="BN129" s="101"/>
    </row>
    <row r="130" spans="1:66" s="87" customFormat="1" ht="28.5">
      <c r="A130" s="156" t="s">
        <v>153</v>
      </c>
      <c r="B130" s="157" t="s">
        <v>154</v>
      </c>
      <c r="C130" s="156" t="s">
        <v>16</v>
      </c>
      <c r="D130" s="156">
        <v>497.30999999999995</v>
      </c>
      <c r="E130" s="156">
        <v>19.399999999999999</v>
      </c>
      <c r="F130" s="156">
        <f t="shared" ref="F130:F137" si="53">D130*E130</f>
        <v>9647.8139999999985</v>
      </c>
      <c r="G130" s="156">
        <v>497.31</v>
      </c>
      <c r="H130" s="155"/>
      <c r="I130" s="156">
        <f t="shared" ref="I130:I137" si="54">G130+H130</f>
        <v>497.31</v>
      </c>
      <c r="J130" s="156">
        <f t="shared" ref="J130:J137" si="55">E130*G130</f>
        <v>9647.8139999999985</v>
      </c>
      <c r="K130" s="156">
        <f t="shared" ref="K130:K137" si="56">H130*E130</f>
        <v>0</v>
      </c>
      <c r="L130" s="156">
        <f t="shared" ref="L130:L137" si="57">J130+K130</f>
        <v>9647.8139999999985</v>
      </c>
      <c r="M130" s="188">
        <f t="shared" si="41"/>
        <v>1</v>
      </c>
      <c r="N130" s="92"/>
      <c r="O130" s="194"/>
      <c r="P130" s="79"/>
      <c r="Q130" s="79"/>
      <c r="R130" s="79"/>
      <c r="S130" s="16"/>
      <c r="T130" s="82"/>
      <c r="U130" s="14"/>
      <c r="V130" s="14"/>
      <c r="W130" s="84"/>
      <c r="X130" s="83"/>
      <c r="Y130" s="85"/>
      <c r="Z130" s="85"/>
      <c r="AA130" s="85"/>
      <c r="AB130" s="85"/>
      <c r="AC130" s="85"/>
      <c r="AD130" s="85"/>
      <c r="AE130" s="85"/>
      <c r="AF130" s="85"/>
      <c r="AG130" s="85"/>
      <c r="AH130" s="85"/>
      <c r="AI130" s="85"/>
      <c r="AJ130" s="85"/>
      <c r="AK130" s="85"/>
      <c r="AL130" s="85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  <c r="AX130" s="85"/>
      <c r="AY130" s="85"/>
      <c r="AZ130" s="85"/>
      <c r="BA130" s="85"/>
      <c r="BB130" s="85"/>
      <c r="BC130" s="85"/>
      <c r="BD130" s="85"/>
      <c r="BE130" s="85"/>
      <c r="BF130" s="85"/>
      <c r="BG130" s="85"/>
      <c r="BH130" s="85"/>
      <c r="BI130" s="85"/>
      <c r="BJ130" s="101"/>
      <c r="BK130" s="101"/>
      <c r="BL130" s="101"/>
      <c r="BM130" s="101"/>
      <c r="BN130" s="101"/>
    </row>
    <row r="131" spans="1:66" s="87" customFormat="1">
      <c r="A131" s="156" t="s">
        <v>155</v>
      </c>
      <c r="B131" s="157" t="s">
        <v>156</v>
      </c>
      <c r="C131" s="156" t="s">
        <v>16</v>
      </c>
      <c r="D131" s="156">
        <v>115.4</v>
      </c>
      <c r="E131" s="156">
        <v>18.36</v>
      </c>
      <c r="F131" s="156">
        <f t="shared" si="53"/>
        <v>2118.7440000000001</v>
      </c>
      <c r="G131" s="156">
        <v>115.39999999999999</v>
      </c>
      <c r="H131" s="155"/>
      <c r="I131" s="156">
        <f t="shared" si="54"/>
        <v>115.39999999999999</v>
      </c>
      <c r="J131" s="156">
        <f t="shared" si="55"/>
        <v>2118.7439999999997</v>
      </c>
      <c r="K131" s="156">
        <f t="shared" si="56"/>
        <v>0</v>
      </c>
      <c r="L131" s="156">
        <f t="shared" si="57"/>
        <v>2118.7439999999997</v>
      </c>
      <c r="M131" s="188">
        <f t="shared" si="41"/>
        <v>0.99999999999999978</v>
      </c>
      <c r="N131" s="92"/>
      <c r="O131" s="7"/>
      <c r="P131" s="79"/>
      <c r="Q131" s="79"/>
      <c r="R131" s="79"/>
      <c r="S131" s="16"/>
      <c r="T131" s="82"/>
      <c r="U131" s="14"/>
      <c r="V131" s="14"/>
      <c r="W131" s="84"/>
      <c r="X131" s="83"/>
      <c r="Y131" s="85"/>
      <c r="Z131" s="85"/>
      <c r="AA131" s="85"/>
      <c r="AB131" s="85"/>
      <c r="AC131" s="85"/>
      <c r="AD131" s="85"/>
      <c r="AE131" s="85"/>
      <c r="AF131" s="85"/>
      <c r="AG131" s="85"/>
      <c r="AH131" s="85"/>
      <c r="AI131" s="85"/>
      <c r="AJ131" s="85"/>
      <c r="AK131" s="85"/>
      <c r="AL131" s="85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  <c r="AX131" s="85"/>
      <c r="AY131" s="85"/>
      <c r="AZ131" s="85"/>
      <c r="BA131" s="85"/>
      <c r="BB131" s="85"/>
      <c r="BC131" s="85"/>
      <c r="BD131" s="85"/>
      <c r="BE131" s="85"/>
      <c r="BF131" s="85"/>
      <c r="BG131" s="85"/>
      <c r="BH131" s="85"/>
      <c r="BI131" s="85"/>
      <c r="BJ131" s="101"/>
      <c r="BK131" s="101"/>
      <c r="BL131" s="101"/>
      <c r="BM131" s="101"/>
      <c r="BN131" s="101"/>
    </row>
    <row r="132" spans="1:66" s="87" customFormat="1" ht="35.25" customHeight="1">
      <c r="A132" s="156" t="s">
        <v>157</v>
      </c>
      <c r="B132" s="157" t="s">
        <v>158</v>
      </c>
      <c r="C132" s="156" t="s">
        <v>16</v>
      </c>
      <c r="D132" s="156">
        <v>45.74</v>
      </c>
      <c r="E132" s="156">
        <v>46.2</v>
      </c>
      <c r="F132" s="156">
        <f t="shared" si="53"/>
        <v>2113.1880000000001</v>
      </c>
      <c r="G132" s="156">
        <v>34.209999999999994</v>
      </c>
      <c r="H132" s="156">
        <f>'MEMORIA BM 06'!L283</f>
        <v>11.53</v>
      </c>
      <c r="I132" s="156">
        <f t="shared" si="54"/>
        <v>45.739999999999995</v>
      </c>
      <c r="J132" s="156">
        <f t="shared" si="55"/>
        <v>1580.5019999999997</v>
      </c>
      <c r="K132" s="156">
        <f t="shared" si="56"/>
        <v>532.68600000000004</v>
      </c>
      <c r="L132" s="156">
        <f t="shared" si="57"/>
        <v>2113.1879999999996</v>
      </c>
      <c r="M132" s="188">
        <f t="shared" si="41"/>
        <v>0.99999999999999978</v>
      </c>
      <c r="N132" s="81"/>
      <c r="O132" s="7"/>
      <c r="P132" s="79"/>
      <c r="Q132" s="79"/>
      <c r="R132" s="79"/>
      <c r="S132" s="16"/>
      <c r="T132" s="82"/>
      <c r="U132" s="14"/>
      <c r="V132" s="14"/>
      <c r="W132" s="84"/>
      <c r="X132" s="83"/>
      <c r="Y132" s="85"/>
      <c r="Z132" s="85"/>
      <c r="AA132" s="85"/>
      <c r="AB132" s="85"/>
      <c r="AC132" s="85"/>
      <c r="AD132" s="85"/>
      <c r="AE132" s="85"/>
      <c r="AF132" s="85"/>
      <c r="AG132" s="85"/>
      <c r="AH132" s="85"/>
      <c r="AI132" s="85"/>
      <c r="AJ132" s="85"/>
      <c r="AK132" s="85"/>
      <c r="AL132" s="85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  <c r="AX132" s="85"/>
      <c r="AY132" s="85"/>
      <c r="AZ132" s="85"/>
      <c r="BA132" s="85"/>
      <c r="BB132" s="85"/>
      <c r="BC132" s="85"/>
      <c r="BD132" s="85"/>
      <c r="BE132" s="85"/>
      <c r="BF132" s="85"/>
      <c r="BG132" s="85"/>
      <c r="BH132" s="85"/>
      <c r="BI132" s="85"/>
      <c r="BJ132" s="101"/>
      <c r="BK132" s="101"/>
      <c r="BL132" s="101"/>
      <c r="BM132" s="101"/>
      <c r="BN132" s="101"/>
    </row>
    <row r="133" spans="1:66" s="87" customFormat="1" ht="28.5">
      <c r="A133" s="156" t="s">
        <v>159</v>
      </c>
      <c r="B133" s="157" t="s">
        <v>160</v>
      </c>
      <c r="C133" s="156" t="s">
        <v>16</v>
      </c>
      <c r="D133" s="156">
        <v>381.91</v>
      </c>
      <c r="E133" s="156">
        <v>24.63</v>
      </c>
      <c r="F133" s="156">
        <f t="shared" si="53"/>
        <v>9406.4433000000008</v>
      </c>
      <c r="G133" s="156">
        <v>381.91</v>
      </c>
      <c r="H133" s="156"/>
      <c r="I133" s="156">
        <f t="shared" si="54"/>
        <v>381.91</v>
      </c>
      <c r="J133" s="156">
        <f t="shared" si="55"/>
        <v>9406.4433000000008</v>
      </c>
      <c r="K133" s="156">
        <f t="shared" si="56"/>
        <v>0</v>
      </c>
      <c r="L133" s="156">
        <f t="shared" si="57"/>
        <v>9406.4433000000008</v>
      </c>
      <c r="M133" s="188">
        <f t="shared" si="41"/>
        <v>1</v>
      </c>
      <c r="N133" s="81"/>
      <c r="O133" s="7"/>
      <c r="P133" s="79"/>
      <c r="Q133" s="79"/>
      <c r="R133" s="79"/>
      <c r="S133" s="16"/>
      <c r="T133" s="82"/>
      <c r="U133" s="14"/>
      <c r="V133" s="14"/>
      <c r="W133" s="84"/>
      <c r="X133" s="83"/>
      <c r="Y133" s="85"/>
      <c r="Z133" s="85"/>
      <c r="AA133" s="85"/>
      <c r="AB133" s="85"/>
      <c r="AC133" s="85"/>
      <c r="AD133" s="85"/>
      <c r="AE133" s="85"/>
      <c r="AF133" s="85"/>
      <c r="AG133" s="85"/>
      <c r="AH133" s="85"/>
      <c r="AI133" s="85"/>
      <c r="AJ133" s="85"/>
      <c r="AK133" s="85"/>
      <c r="AL133" s="85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  <c r="AX133" s="85"/>
      <c r="AY133" s="85"/>
      <c r="AZ133" s="85"/>
      <c r="BA133" s="85"/>
      <c r="BB133" s="85"/>
      <c r="BC133" s="85"/>
      <c r="BD133" s="85"/>
      <c r="BE133" s="85"/>
      <c r="BF133" s="85"/>
      <c r="BG133" s="85"/>
      <c r="BH133" s="85"/>
      <c r="BI133" s="85"/>
      <c r="BJ133" s="101"/>
      <c r="BK133" s="101"/>
      <c r="BL133" s="101"/>
      <c r="BM133" s="101"/>
      <c r="BN133" s="101"/>
    </row>
    <row r="134" spans="1:66" s="87" customFormat="1" ht="42" customHeight="1">
      <c r="A134" s="156" t="s">
        <v>161</v>
      </c>
      <c r="B134" s="157" t="s">
        <v>162</v>
      </c>
      <c r="C134" s="156" t="s">
        <v>16</v>
      </c>
      <c r="D134" s="156">
        <v>99.37</v>
      </c>
      <c r="E134" s="156">
        <v>59.23</v>
      </c>
      <c r="F134" s="156">
        <f t="shared" si="53"/>
        <v>5885.6850999999997</v>
      </c>
      <c r="G134" s="156">
        <v>99.37</v>
      </c>
      <c r="H134" s="155"/>
      <c r="I134" s="156">
        <f t="shared" si="54"/>
        <v>99.37</v>
      </c>
      <c r="J134" s="156">
        <f t="shared" si="55"/>
        <v>5885.6850999999997</v>
      </c>
      <c r="K134" s="156">
        <f t="shared" si="56"/>
        <v>0</v>
      </c>
      <c r="L134" s="156">
        <f t="shared" si="57"/>
        <v>5885.6850999999997</v>
      </c>
      <c r="M134" s="188">
        <f t="shared" si="41"/>
        <v>1</v>
      </c>
      <c r="N134" s="81"/>
      <c r="O134" s="7"/>
      <c r="P134" s="79"/>
      <c r="Q134" s="79"/>
      <c r="R134" s="79"/>
      <c r="S134" s="16"/>
      <c r="T134" s="82"/>
      <c r="U134" s="14"/>
      <c r="V134" s="14"/>
      <c r="W134" s="84"/>
      <c r="X134" s="83"/>
      <c r="Y134" s="85"/>
      <c r="Z134" s="85"/>
      <c r="AA134" s="85"/>
      <c r="AB134" s="85"/>
      <c r="AC134" s="85"/>
      <c r="AD134" s="85"/>
      <c r="AE134" s="85"/>
      <c r="AF134" s="85"/>
      <c r="AG134" s="85"/>
      <c r="AH134" s="85"/>
      <c r="AI134" s="85"/>
      <c r="AJ134" s="85"/>
      <c r="AK134" s="85"/>
      <c r="AL134" s="85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  <c r="AX134" s="85"/>
      <c r="AY134" s="85"/>
      <c r="AZ134" s="85"/>
      <c r="BA134" s="85"/>
      <c r="BB134" s="85"/>
      <c r="BC134" s="85"/>
      <c r="BD134" s="85"/>
      <c r="BE134" s="85"/>
      <c r="BF134" s="85"/>
      <c r="BG134" s="85"/>
      <c r="BH134" s="85"/>
      <c r="BI134" s="85"/>
      <c r="BJ134" s="101"/>
      <c r="BK134" s="101"/>
      <c r="BL134" s="101"/>
      <c r="BM134" s="101"/>
      <c r="BN134" s="101"/>
    </row>
    <row r="135" spans="1:66" s="87" customFormat="1" ht="42.75">
      <c r="A135" s="156" t="s">
        <v>163</v>
      </c>
      <c r="B135" s="157" t="s">
        <v>162</v>
      </c>
      <c r="C135" s="156" t="s">
        <v>16</v>
      </c>
      <c r="D135" s="156">
        <v>55.96</v>
      </c>
      <c r="E135" s="156">
        <v>59.23</v>
      </c>
      <c r="F135" s="156">
        <f t="shared" si="53"/>
        <v>3314.5108</v>
      </c>
      <c r="G135" s="156">
        <v>49.46</v>
      </c>
      <c r="H135" s="155"/>
      <c r="I135" s="156">
        <f t="shared" si="54"/>
        <v>49.46</v>
      </c>
      <c r="J135" s="156">
        <f t="shared" si="55"/>
        <v>2929.5157999999997</v>
      </c>
      <c r="K135" s="156">
        <f t="shared" si="56"/>
        <v>0</v>
      </c>
      <c r="L135" s="156">
        <f t="shared" si="57"/>
        <v>2929.5157999999997</v>
      </c>
      <c r="M135" s="188">
        <f t="shared" si="41"/>
        <v>0.88384560400285905</v>
      </c>
      <c r="N135" s="81">
        <f>F135-L135</f>
        <v>384.99500000000035</v>
      </c>
      <c r="O135" s="7"/>
      <c r="P135" s="79"/>
      <c r="Q135" s="79"/>
      <c r="R135" s="79"/>
      <c r="S135" s="16"/>
      <c r="T135" s="82"/>
      <c r="U135" s="14"/>
      <c r="V135" s="14"/>
      <c r="W135" s="84"/>
      <c r="X135" s="83"/>
      <c r="Y135" s="85"/>
      <c r="Z135" s="85"/>
      <c r="AA135" s="85"/>
      <c r="AB135" s="85"/>
      <c r="AC135" s="85"/>
      <c r="AD135" s="85"/>
      <c r="AE135" s="85"/>
      <c r="AF135" s="85"/>
      <c r="AG135" s="85"/>
      <c r="AH135" s="85"/>
      <c r="AI135" s="85"/>
      <c r="AJ135" s="85"/>
      <c r="AK135" s="85"/>
      <c r="AL135" s="85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  <c r="AX135" s="85"/>
      <c r="AY135" s="85"/>
      <c r="AZ135" s="85"/>
      <c r="BA135" s="85"/>
      <c r="BB135" s="85"/>
      <c r="BC135" s="85"/>
      <c r="BD135" s="85"/>
      <c r="BE135" s="85"/>
      <c r="BF135" s="85"/>
      <c r="BG135" s="85"/>
      <c r="BH135" s="85"/>
      <c r="BI135" s="85"/>
      <c r="BJ135" s="101"/>
      <c r="BK135" s="101"/>
      <c r="BL135" s="101"/>
      <c r="BM135" s="101"/>
      <c r="BN135" s="101"/>
    </row>
    <row r="136" spans="1:66" s="87" customFormat="1" ht="28.5">
      <c r="A136" s="156" t="s">
        <v>164</v>
      </c>
      <c r="B136" s="157" t="s">
        <v>165</v>
      </c>
      <c r="C136" s="156" t="s">
        <v>16</v>
      </c>
      <c r="D136" s="156">
        <v>101</v>
      </c>
      <c r="E136" s="156">
        <v>40.619999999999997</v>
      </c>
      <c r="F136" s="156">
        <f t="shared" si="53"/>
        <v>4102.62</v>
      </c>
      <c r="G136" s="156">
        <v>83.57</v>
      </c>
      <c r="H136" s="155"/>
      <c r="I136" s="156">
        <f t="shared" si="54"/>
        <v>83.57</v>
      </c>
      <c r="J136" s="156">
        <f t="shared" si="55"/>
        <v>3394.6133999999997</v>
      </c>
      <c r="K136" s="156">
        <f t="shared" si="56"/>
        <v>0</v>
      </c>
      <c r="L136" s="156">
        <f t="shared" si="57"/>
        <v>3394.6133999999997</v>
      </c>
      <c r="M136" s="188">
        <f t="shared" si="41"/>
        <v>0.82742574257425738</v>
      </c>
      <c r="N136" s="81">
        <f>F136-J136</f>
        <v>708.00660000000016</v>
      </c>
      <c r="O136" s="7"/>
      <c r="P136" s="79"/>
      <c r="Q136" s="79"/>
      <c r="R136" s="79"/>
      <c r="S136" s="16"/>
      <c r="T136" s="82"/>
      <c r="U136" s="14"/>
      <c r="V136" s="14"/>
      <c r="W136" s="84"/>
      <c r="X136" s="83"/>
      <c r="Y136" s="85"/>
      <c r="Z136" s="85"/>
      <c r="AA136" s="85"/>
      <c r="AB136" s="85"/>
      <c r="AC136" s="85"/>
      <c r="AD136" s="85"/>
      <c r="AE136" s="85"/>
      <c r="AF136" s="85"/>
      <c r="AG136" s="85"/>
      <c r="AH136" s="85"/>
      <c r="AI136" s="85"/>
      <c r="AJ136" s="85"/>
      <c r="AK136" s="85"/>
      <c r="AL136" s="85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  <c r="AX136" s="85"/>
      <c r="AY136" s="85"/>
      <c r="AZ136" s="85"/>
      <c r="BA136" s="85"/>
      <c r="BB136" s="85"/>
      <c r="BC136" s="85"/>
      <c r="BD136" s="85"/>
      <c r="BE136" s="85"/>
      <c r="BF136" s="85"/>
      <c r="BG136" s="85"/>
      <c r="BH136" s="85"/>
      <c r="BI136" s="85"/>
      <c r="BJ136" s="101"/>
      <c r="BK136" s="101"/>
      <c r="BL136" s="101"/>
      <c r="BM136" s="101"/>
      <c r="BN136" s="101"/>
    </row>
    <row r="137" spans="1:66" s="87" customFormat="1" ht="57">
      <c r="A137" s="156" t="s">
        <v>166</v>
      </c>
      <c r="B137" s="157" t="s">
        <v>167</v>
      </c>
      <c r="C137" s="156" t="s">
        <v>7</v>
      </c>
      <c r="D137" s="156">
        <v>1</v>
      </c>
      <c r="E137" s="156">
        <v>293.38</v>
      </c>
      <c r="F137" s="156">
        <f t="shared" si="53"/>
        <v>293.38</v>
      </c>
      <c r="G137" s="156">
        <v>0</v>
      </c>
      <c r="H137" s="156">
        <f>'MEMORIA BM 06'!L301</f>
        <v>1</v>
      </c>
      <c r="I137" s="156">
        <f t="shared" si="54"/>
        <v>1</v>
      </c>
      <c r="J137" s="156">
        <f t="shared" si="55"/>
        <v>0</v>
      </c>
      <c r="K137" s="156">
        <f t="shared" si="56"/>
        <v>293.38</v>
      </c>
      <c r="L137" s="156">
        <f t="shared" si="57"/>
        <v>293.38</v>
      </c>
      <c r="M137" s="188">
        <f t="shared" si="41"/>
        <v>1</v>
      </c>
      <c r="N137" s="81"/>
      <c r="O137" s="7"/>
      <c r="P137" s="79"/>
      <c r="Q137" s="79"/>
      <c r="R137" s="79"/>
      <c r="S137" s="16"/>
      <c r="T137" s="82"/>
      <c r="U137" s="14"/>
      <c r="V137" s="14"/>
      <c r="W137" s="84"/>
      <c r="X137" s="83"/>
      <c r="Y137" s="85"/>
      <c r="Z137" s="85"/>
      <c r="AA137" s="85"/>
      <c r="AB137" s="85"/>
      <c r="AC137" s="85"/>
      <c r="AD137" s="85"/>
      <c r="AE137" s="85"/>
      <c r="AF137" s="85"/>
      <c r="AG137" s="85"/>
      <c r="AH137" s="85"/>
      <c r="AI137" s="85"/>
      <c r="AJ137" s="85"/>
      <c r="AK137" s="85"/>
      <c r="AL137" s="85"/>
      <c r="AM137" s="85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  <c r="AX137" s="85"/>
      <c r="AY137" s="85"/>
      <c r="AZ137" s="85"/>
      <c r="BA137" s="85"/>
      <c r="BB137" s="85"/>
      <c r="BC137" s="85"/>
      <c r="BD137" s="85"/>
      <c r="BE137" s="85"/>
      <c r="BF137" s="85"/>
      <c r="BG137" s="85"/>
      <c r="BH137" s="85"/>
      <c r="BI137" s="85"/>
      <c r="BJ137" s="101"/>
      <c r="BK137" s="101"/>
      <c r="BL137" s="101"/>
      <c r="BM137" s="101"/>
      <c r="BN137" s="101"/>
    </row>
    <row r="138" spans="1:66" s="87" customFormat="1">
      <c r="A138" s="156"/>
      <c r="B138" s="154"/>
      <c r="C138" s="156"/>
      <c r="D138" s="156"/>
      <c r="E138" s="156"/>
      <c r="F138" s="156"/>
      <c r="G138" s="156"/>
      <c r="H138" s="155"/>
      <c r="I138" s="156"/>
      <c r="J138" s="156"/>
      <c r="K138" s="156"/>
      <c r="L138" s="156"/>
      <c r="M138" s="188" t="e">
        <f t="shared" si="41"/>
        <v>#DIV/0!</v>
      </c>
      <c r="N138" s="81"/>
      <c r="O138" s="7"/>
      <c r="P138" s="79"/>
      <c r="Q138" s="79"/>
      <c r="R138" s="79"/>
      <c r="S138" s="16"/>
      <c r="T138" s="82"/>
      <c r="U138" s="14"/>
      <c r="V138" s="14"/>
      <c r="W138" s="84"/>
      <c r="X138" s="83"/>
      <c r="Y138" s="85"/>
      <c r="Z138" s="85"/>
      <c r="AA138" s="85"/>
      <c r="AB138" s="85"/>
      <c r="AC138" s="85"/>
      <c r="AD138" s="85"/>
      <c r="AE138" s="85"/>
      <c r="AF138" s="85"/>
      <c r="AG138" s="85"/>
      <c r="AH138" s="85"/>
      <c r="AI138" s="85"/>
      <c r="AJ138" s="85"/>
      <c r="AK138" s="85"/>
      <c r="AL138" s="85"/>
      <c r="AM138" s="85"/>
      <c r="AN138" s="85"/>
      <c r="AO138" s="85"/>
      <c r="AP138" s="85"/>
      <c r="AQ138" s="85"/>
      <c r="AR138" s="85"/>
      <c r="AS138" s="85"/>
      <c r="AT138" s="85"/>
      <c r="AU138" s="85"/>
      <c r="AV138" s="85"/>
      <c r="AW138" s="85"/>
      <c r="AX138" s="85"/>
      <c r="AY138" s="85"/>
      <c r="AZ138" s="85"/>
      <c r="BA138" s="85"/>
      <c r="BB138" s="85"/>
      <c r="BC138" s="85"/>
      <c r="BD138" s="85"/>
      <c r="BE138" s="85"/>
      <c r="BF138" s="85"/>
      <c r="BG138" s="85"/>
      <c r="BH138" s="85"/>
      <c r="BI138" s="85"/>
      <c r="BJ138" s="101"/>
      <c r="BK138" s="101"/>
      <c r="BL138" s="101"/>
      <c r="BM138" s="101"/>
      <c r="BN138" s="101"/>
    </row>
    <row r="139" spans="1:66" s="87" customFormat="1">
      <c r="A139" s="164" t="s">
        <v>168</v>
      </c>
      <c r="B139" s="165" t="s">
        <v>169</v>
      </c>
      <c r="C139" s="166"/>
      <c r="D139" s="167"/>
      <c r="E139" s="166"/>
      <c r="F139" s="166">
        <f>SUM(F141:F167)</f>
        <v>20859.394999999993</v>
      </c>
      <c r="G139" s="166"/>
      <c r="H139" s="166"/>
      <c r="I139" s="166"/>
      <c r="J139" s="166">
        <f>SUM(J141:J167)</f>
        <v>9911.3000000000011</v>
      </c>
      <c r="K139" s="166">
        <f t="shared" ref="K139:L139" si="58">SUM(K141:K167)</f>
        <v>6595.4760000000006</v>
      </c>
      <c r="L139" s="166">
        <f t="shared" si="58"/>
        <v>16506.776000000002</v>
      </c>
      <c r="M139" s="188">
        <f t="shared" si="41"/>
        <v>0.79133531916913247</v>
      </c>
      <c r="N139" s="98">
        <f>F139-L139</f>
        <v>4352.6189999999915</v>
      </c>
      <c r="O139" s="7"/>
      <c r="P139" s="97"/>
      <c r="Q139" s="97"/>
      <c r="R139" s="79"/>
      <c r="S139" s="16"/>
      <c r="T139" s="82"/>
      <c r="U139" s="14"/>
      <c r="V139" s="14"/>
      <c r="W139" s="84"/>
      <c r="X139" s="83"/>
      <c r="Y139" s="85"/>
      <c r="Z139" s="85"/>
      <c r="AA139" s="85"/>
      <c r="AB139" s="85"/>
      <c r="AC139" s="85"/>
      <c r="AD139" s="85"/>
      <c r="AE139" s="85"/>
      <c r="AF139" s="85"/>
      <c r="AG139" s="85"/>
      <c r="AH139" s="85"/>
      <c r="AI139" s="85"/>
      <c r="AJ139" s="85"/>
      <c r="AK139" s="86"/>
      <c r="AL139" s="86"/>
      <c r="AM139" s="86"/>
      <c r="AN139" s="86"/>
      <c r="AO139" s="86"/>
      <c r="AP139" s="86"/>
      <c r="AQ139" s="86"/>
      <c r="AR139" s="86"/>
      <c r="AS139" s="86"/>
      <c r="AT139" s="86"/>
      <c r="AU139" s="86"/>
      <c r="AV139" s="86"/>
      <c r="AW139" s="86"/>
      <c r="AX139" s="86"/>
      <c r="AY139" s="86"/>
      <c r="AZ139" s="86"/>
      <c r="BA139" s="86"/>
      <c r="BB139" s="86"/>
      <c r="BC139" s="86"/>
      <c r="BD139" s="86"/>
      <c r="BE139" s="86"/>
      <c r="BF139" s="86"/>
      <c r="BG139" s="86"/>
      <c r="BH139" s="86"/>
      <c r="BI139" s="86"/>
    </row>
    <row r="140" spans="1:66" ht="12" customHeight="1">
      <c r="A140" s="156"/>
      <c r="B140" s="154"/>
      <c r="C140" s="156"/>
      <c r="D140" s="156"/>
      <c r="E140" s="156"/>
      <c r="F140" s="156"/>
      <c r="G140" s="156"/>
      <c r="H140" s="156"/>
      <c r="I140" s="156"/>
      <c r="J140" s="156"/>
      <c r="K140" s="156"/>
      <c r="L140" s="156"/>
      <c r="M140" s="188" t="e">
        <f t="shared" si="41"/>
        <v>#DIV/0!</v>
      </c>
      <c r="N140" s="81"/>
      <c r="O140" s="7"/>
      <c r="P140" s="80"/>
      <c r="Q140" s="80"/>
      <c r="R140" s="91"/>
      <c r="S140" s="8"/>
      <c r="T140" s="82"/>
      <c r="W140" s="10"/>
      <c r="X140" s="9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</row>
    <row r="141" spans="1:66" s="87" customFormat="1" ht="42.75">
      <c r="A141" s="156" t="s">
        <v>170</v>
      </c>
      <c r="B141" s="157" t="s">
        <v>749</v>
      </c>
      <c r="C141" s="156" t="s">
        <v>7</v>
      </c>
      <c r="D141" s="155">
        <v>3</v>
      </c>
      <c r="E141" s="156">
        <v>339.22</v>
      </c>
      <c r="F141" s="156">
        <f t="shared" ref="F141:F167" si="59">D141*E141</f>
        <v>1017.6600000000001</v>
      </c>
      <c r="G141" s="156">
        <v>3</v>
      </c>
      <c r="H141" s="156"/>
      <c r="I141" s="156">
        <f t="shared" ref="I141:I167" si="60">G141+H141</f>
        <v>3</v>
      </c>
      <c r="J141" s="156">
        <f t="shared" ref="J141:J167" si="61">E141*G141</f>
        <v>1017.6600000000001</v>
      </c>
      <c r="K141" s="156">
        <f t="shared" ref="K141:K167" si="62">H141*E141</f>
        <v>0</v>
      </c>
      <c r="L141" s="156">
        <f t="shared" ref="L141:L167" si="63">J141+K141</f>
        <v>1017.6600000000001</v>
      </c>
      <c r="M141" s="188">
        <f t="shared" si="41"/>
        <v>1</v>
      </c>
      <c r="N141" s="80"/>
      <c r="O141" s="7"/>
      <c r="P141" s="79"/>
      <c r="Q141" s="79"/>
      <c r="R141" s="79"/>
      <c r="S141" s="16"/>
      <c r="T141" s="82"/>
      <c r="U141" s="14"/>
      <c r="V141" s="14"/>
      <c r="W141" s="84"/>
      <c r="X141" s="83"/>
      <c r="Y141" s="85"/>
      <c r="Z141" s="85"/>
      <c r="AA141" s="85"/>
      <c r="AB141" s="85"/>
      <c r="AC141" s="85"/>
      <c r="AD141" s="85"/>
      <c r="AE141" s="85"/>
      <c r="AF141" s="85"/>
      <c r="AG141" s="85"/>
      <c r="AH141" s="86"/>
      <c r="AI141" s="86"/>
      <c r="AJ141" s="86"/>
      <c r="AK141" s="86"/>
      <c r="AL141" s="86"/>
      <c r="AM141" s="86"/>
      <c r="AN141" s="86"/>
      <c r="AO141" s="86"/>
      <c r="AP141" s="86"/>
      <c r="AQ141" s="86"/>
      <c r="AR141" s="86"/>
      <c r="AS141" s="86"/>
      <c r="AT141" s="86"/>
      <c r="AU141" s="86"/>
      <c r="AV141" s="86"/>
      <c r="AW141" s="86"/>
      <c r="AX141" s="86"/>
      <c r="AY141" s="86"/>
      <c r="AZ141" s="86"/>
      <c r="BA141" s="86"/>
      <c r="BB141" s="86"/>
      <c r="BC141" s="86"/>
      <c r="BD141" s="86"/>
      <c r="BE141" s="86"/>
      <c r="BF141" s="86"/>
      <c r="BG141" s="86"/>
      <c r="BH141" s="86"/>
      <c r="BI141" s="86"/>
    </row>
    <row r="142" spans="1:66" s="87" customFormat="1" ht="42.75">
      <c r="A142" s="156" t="s">
        <v>171</v>
      </c>
      <c r="B142" s="157" t="s">
        <v>172</v>
      </c>
      <c r="C142" s="156" t="s">
        <v>7</v>
      </c>
      <c r="D142" s="155">
        <v>2</v>
      </c>
      <c r="E142" s="156">
        <v>595.92999999999995</v>
      </c>
      <c r="F142" s="156">
        <f t="shared" si="59"/>
        <v>1191.8599999999999</v>
      </c>
      <c r="G142" s="156">
        <v>0</v>
      </c>
      <c r="H142" s="200">
        <f>'MEMORIA BM 06'!L309</f>
        <v>2</v>
      </c>
      <c r="I142" s="156">
        <f t="shared" si="60"/>
        <v>2</v>
      </c>
      <c r="J142" s="156">
        <f t="shared" si="61"/>
        <v>0</v>
      </c>
      <c r="K142" s="156">
        <f t="shared" si="62"/>
        <v>1191.8599999999999</v>
      </c>
      <c r="L142" s="156">
        <f t="shared" si="63"/>
        <v>1191.8599999999999</v>
      </c>
      <c r="M142" s="188">
        <f t="shared" si="41"/>
        <v>1</v>
      </c>
      <c r="N142" s="80"/>
      <c r="O142" s="7"/>
      <c r="P142" s="79"/>
      <c r="Q142" s="79"/>
      <c r="R142" s="79"/>
      <c r="S142" s="16"/>
      <c r="T142" s="82"/>
      <c r="U142" s="14"/>
      <c r="V142" s="14"/>
      <c r="W142" s="84"/>
      <c r="X142" s="83"/>
      <c r="Y142" s="85"/>
      <c r="Z142" s="85"/>
      <c r="AA142" s="85"/>
      <c r="AB142" s="85"/>
      <c r="AC142" s="85"/>
      <c r="AD142" s="85"/>
      <c r="AE142" s="85"/>
      <c r="AF142" s="85"/>
      <c r="AG142" s="85"/>
      <c r="AH142" s="86"/>
      <c r="AI142" s="86"/>
      <c r="AJ142" s="86"/>
      <c r="AK142" s="86"/>
      <c r="AL142" s="86"/>
      <c r="AM142" s="86"/>
      <c r="AN142" s="86"/>
      <c r="AO142" s="86"/>
      <c r="AP142" s="86"/>
      <c r="AQ142" s="86"/>
      <c r="AR142" s="86"/>
      <c r="AS142" s="86"/>
      <c r="AT142" s="86"/>
      <c r="AU142" s="86"/>
      <c r="AV142" s="86"/>
      <c r="AW142" s="86"/>
      <c r="AX142" s="86"/>
      <c r="AY142" s="86"/>
      <c r="AZ142" s="86"/>
      <c r="BA142" s="86"/>
      <c r="BB142" s="86"/>
      <c r="BC142" s="86"/>
      <c r="BD142" s="86"/>
      <c r="BE142" s="86"/>
      <c r="BF142" s="86"/>
      <c r="BG142" s="86"/>
      <c r="BH142" s="86"/>
      <c r="BI142" s="86"/>
    </row>
    <row r="143" spans="1:66" s="87" customFormat="1" ht="28.5">
      <c r="A143" s="156" t="s">
        <v>173</v>
      </c>
      <c r="B143" s="157" t="s">
        <v>174</v>
      </c>
      <c r="C143" s="156" t="s">
        <v>7</v>
      </c>
      <c r="D143" s="155">
        <v>5</v>
      </c>
      <c r="E143" s="156">
        <v>347.61</v>
      </c>
      <c r="F143" s="156">
        <f t="shared" si="59"/>
        <v>1738.0500000000002</v>
      </c>
      <c r="G143" s="156">
        <v>5</v>
      </c>
      <c r="H143" s="156"/>
      <c r="I143" s="156">
        <f t="shared" si="60"/>
        <v>5</v>
      </c>
      <c r="J143" s="156">
        <f t="shared" si="61"/>
        <v>1738.0500000000002</v>
      </c>
      <c r="K143" s="156">
        <f t="shared" si="62"/>
        <v>0</v>
      </c>
      <c r="L143" s="156">
        <f t="shared" si="63"/>
        <v>1738.0500000000002</v>
      </c>
      <c r="M143" s="188">
        <f t="shared" si="41"/>
        <v>1</v>
      </c>
      <c r="N143" s="80"/>
      <c r="O143" s="7"/>
      <c r="P143" s="79"/>
      <c r="Q143" s="79"/>
      <c r="R143" s="79"/>
      <c r="S143" s="16"/>
      <c r="T143" s="82"/>
      <c r="U143" s="14"/>
      <c r="V143" s="14"/>
      <c r="W143" s="84"/>
      <c r="X143" s="83"/>
      <c r="Y143" s="85"/>
      <c r="Z143" s="85"/>
      <c r="AA143" s="85"/>
      <c r="AB143" s="85"/>
      <c r="AC143" s="85"/>
      <c r="AD143" s="85"/>
      <c r="AE143" s="85"/>
      <c r="AF143" s="85"/>
      <c r="AG143" s="85"/>
      <c r="AH143" s="86"/>
      <c r="AI143" s="86"/>
      <c r="AJ143" s="86"/>
      <c r="AK143" s="86"/>
      <c r="AL143" s="86"/>
      <c r="AM143" s="86"/>
      <c r="AN143" s="86"/>
      <c r="AO143" s="86"/>
      <c r="AP143" s="86"/>
      <c r="AQ143" s="86"/>
      <c r="AR143" s="86"/>
      <c r="AS143" s="86"/>
      <c r="AT143" s="86"/>
      <c r="AU143" s="86"/>
      <c r="AV143" s="86"/>
      <c r="AW143" s="86"/>
      <c r="AX143" s="86"/>
      <c r="AY143" s="86"/>
      <c r="AZ143" s="86"/>
      <c r="BA143" s="86"/>
      <c r="BB143" s="86"/>
      <c r="BC143" s="86"/>
      <c r="BD143" s="86"/>
      <c r="BE143" s="86"/>
      <c r="BF143" s="86"/>
      <c r="BG143" s="86"/>
      <c r="BH143" s="86"/>
      <c r="BI143" s="86"/>
    </row>
    <row r="144" spans="1:66" s="87" customFormat="1" ht="28.5">
      <c r="A144" s="156" t="s">
        <v>175</v>
      </c>
      <c r="B144" s="157" t="s">
        <v>176</v>
      </c>
      <c r="C144" s="156" t="s">
        <v>7</v>
      </c>
      <c r="D144" s="155">
        <v>1</v>
      </c>
      <c r="E144" s="156">
        <v>166.76</v>
      </c>
      <c r="F144" s="156">
        <f t="shared" si="59"/>
        <v>166.76</v>
      </c>
      <c r="G144" s="156">
        <v>0</v>
      </c>
      <c r="H144" s="156"/>
      <c r="I144" s="156">
        <f t="shared" si="60"/>
        <v>0</v>
      </c>
      <c r="J144" s="156">
        <f t="shared" si="61"/>
        <v>0</v>
      </c>
      <c r="K144" s="156">
        <f t="shared" si="62"/>
        <v>0</v>
      </c>
      <c r="L144" s="156">
        <f t="shared" si="63"/>
        <v>0</v>
      </c>
      <c r="M144" s="188">
        <f t="shared" si="41"/>
        <v>0</v>
      </c>
      <c r="N144" s="80"/>
      <c r="O144" s="7"/>
      <c r="P144" s="79"/>
      <c r="Q144" s="79"/>
      <c r="R144" s="79"/>
      <c r="S144" s="16"/>
      <c r="T144" s="82"/>
      <c r="U144" s="14"/>
      <c r="V144" s="14"/>
      <c r="W144" s="84"/>
      <c r="X144" s="83"/>
      <c r="Y144" s="85"/>
      <c r="Z144" s="85"/>
      <c r="AA144" s="85"/>
      <c r="AB144" s="85"/>
      <c r="AC144" s="85"/>
      <c r="AD144" s="85"/>
      <c r="AE144" s="85"/>
      <c r="AF144" s="85"/>
      <c r="AG144" s="85"/>
      <c r="AH144" s="86"/>
      <c r="AI144" s="86"/>
      <c r="AJ144" s="86"/>
      <c r="AK144" s="86"/>
      <c r="AL144" s="86"/>
      <c r="AM144" s="86"/>
      <c r="AN144" s="86"/>
      <c r="AO144" s="86"/>
      <c r="AP144" s="86"/>
      <c r="AQ144" s="86"/>
      <c r="AR144" s="86"/>
      <c r="AS144" s="86"/>
      <c r="AT144" s="86"/>
      <c r="AU144" s="86"/>
      <c r="AV144" s="86"/>
      <c r="AW144" s="86"/>
      <c r="AX144" s="86"/>
      <c r="AY144" s="86"/>
      <c r="AZ144" s="86"/>
      <c r="BA144" s="86"/>
      <c r="BB144" s="86"/>
      <c r="BC144" s="86"/>
      <c r="BD144" s="86"/>
      <c r="BE144" s="86"/>
      <c r="BF144" s="86"/>
      <c r="BG144" s="86"/>
      <c r="BH144" s="86"/>
      <c r="BI144" s="86"/>
    </row>
    <row r="145" spans="1:61" s="87" customFormat="1" ht="57">
      <c r="A145" s="156" t="s">
        <v>177</v>
      </c>
      <c r="B145" s="157" t="s">
        <v>178</v>
      </c>
      <c r="C145" s="156" t="s">
        <v>7</v>
      </c>
      <c r="D145" s="155">
        <v>7</v>
      </c>
      <c r="E145" s="156">
        <v>130.03</v>
      </c>
      <c r="F145" s="156">
        <f t="shared" si="59"/>
        <v>910.21</v>
      </c>
      <c r="G145" s="156">
        <v>7</v>
      </c>
      <c r="H145" s="156"/>
      <c r="I145" s="156">
        <f t="shared" si="60"/>
        <v>7</v>
      </c>
      <c r="J145" s="156">
        <f t="shared" si="61"/>
        <v>910.21</v>
      </c>
      <c r="K145" s="156">
        <f t="shared" si="62"/>
        <v>0</v>
      </c>
      <c r="L145" s="156">
        <f t="shared" si="63"/>
        <v>910.21</v>
      </c>
      <c r="M145" s="188">
        <f t="shared" si="41"/>
        <v>1</v>
      </c>
      <c r="N145" s="80"/>
      <c r="O145" s="7"/>
      <c r="P145" s="79"/>
      <c r="Q145" s="79"/>
      <c r="R145" s="79"/>
      <c r="S145" s="16"/>
      <c r="T145" s="82"/>
      <c r="U145" s="14"/>
      <c r="V145" s="14"/>
      <c r="W145" s="84"/>
      <c r="X145" s="83"/>
      <c r="Y145" s="85"/>
      <c r="Z145" s="85"/>
      <c r="AA145" s="85"/>
      <c r="AB145" s="85"/>
      <c r="AC145" s="85"/>
      <c r="AD145" s="85"/>
      <c r="AE145" s="85"/>
      <c r="AF145" s="85"/>
      <c r="AG145" s="85"/>
      <c r="AH145" s="86"/>
      <c r="AI145" s="86"/>
      <c r="AJ145" s="86"/>
      <c r="AK145" s="86"/>
      <c r="AL145" s="86"/>
      <c r="AM145" s="86"/>
      <c r="AN145" s="86"/>
      <c r="AO145" s="86"/>
      <c r="AP145" s="86"/>
      <c r="AQ145" s="86"/>
      <c r="AR145" s="86"/>
      <c r="AS145" s="86"/>
      <c r="AT145" s="86"/>
      <c r="AU145" s="86"/>
      <c r="AV145" s="86"/>
      <c r="AW145" s="86"/>
      <c r="AX145" s="86"/>
      <c r="AY145" s="86"/>
      <c r="AZ145" s="86"/>
      <c r="BA145" s="86"/>
      <c r="BB145" s="86"/>
      <c r="BC145" s="86"/>
      <c r="BD145" s="86"/>
      <c r="BE145" s="86"/>
      <c r="BF145" s="86"/>
      <c r="BG145" s="86"/>
      <c r="BH145" s="86"/>
      <c r="BI145" s="86"/>
    </row>
    <row r="146" spans="1:61" s="87" customFormat="1" ht="28.5">
      <c r="A146" s="156" t="s">
        <v>179</v>
      </c>
      <c r="B146" s="157" t="s">
        <v>180</v>
      </c>
      <c r="C146" s="156" t="s">
        <v>7</v>
      </c>
      <c r="D146" s="155">
        <v>5</v>
      </c>
      <c r="E146" s="156">
        <v>64.959999999999994</v>
      </c>
      <c r="F146" s="156">
        <f t="shared" si="59"/>
        <v>324.79999999999995</v>
      </c>
      <c r="G146" s="156">
        <v>1</v>
      </c>
      <c r="H146" s="156"/>
      <c r="I146" s="156">
        <f t="shared" si="60"/>
        <v>1</v>
      </c>
      <c r="J146" s="156">
        <f t="shared" si="61"/>
        <v>64.959999999999994</v>
      </c>
      <c r="K146" s="156">
        <f t="shared" si="62"/>
        <v>0</v>
      </c>
      <c r="L146" s="156">
        <f t="shared" si="63"/>
        <v>64.959999999999994</v>
      </c>
      <c r="M146" s="188">
        <f t="shared" si="41"/>
        <v>0.2</v>
      </c>
      <c r="N146" s="80"/>
      <c r="O146" s="7"/>
      <c r="P146" s="79"/>
      <c r="Q146" s="79"/>
      <c r="R146" s="79"/>
      <c r="S146" s="16"/>
      <c r="T146" s="82"/>
      <c r="U146" s="14"/>
      <c r="V146" s="14"/>
      <c r="W146" s="84"/>
      <c r="X146" s="83"/>
      <c r="Y146" s="85"/>
      <c r="Z146" s="85"/>
      <c r="AA146" s="85"/>
      <c r="AB146" s="85"/>
      <c r="AC146" s="85"/>
      <c r="AD146" s="85"/>
      <c r="AE146" s="85"/>
      <c r="AF146" s="85"/>
      <c r="AG146" s="85"/>
      <c r="AH146" s="86"/>
      <c r="AI146" s="86"/>
      <c r="AJ146" s="86"/>
      <c r="AK146" s="86"/>
      <c r="AL146" s="86"/>
      <c r="AM146" s="86"/>
      <c r="AN146" s="86"/>
      <c r="AO146" s="86"/>
      <c r="AP146" s="86"/>
      <c r="AQ146" s="86"/>
      <c r="AR146" s="86"/>
      <c r="AS146" s="86"/>
      <c r="AT146" s="86"/>
      <c r="AU146" s="86"/>
      <c r="AV146" s="86"/>
      <c r="AW146" s="86"/>
      <c r="AX146" s="86"/>
      <c r="AY146" s="86"/>
      <c r="AZ146" s="86"/>
      <c r="BA146" s="86"/>
      <c r="BB146" s="86"/>
      <c r="BC146" s="86"/>
      <c r="BD146" s="86"/>
      <c r="BE146" s="86"/>
      <c r="BF146" s="86"/>
      <c r="BG146" s="86"/>
      <c r="BH146" s="86"/>
      <c r="BI146" s="86"/>
    </row>
    <row r="147" spans="1:61" s="87" customFormat="1" ht="28.5">
      <c r="A147" s="156" t="s">
        <v>181</v>
      </c>
      <c r="B147" s="157" t="s">
        <v>182</v>
      </c>
      <c r="C147" s="156" t="s">
        <v>7</v>
      </c>
      <c r="D147" s="155">
        <v>2</v>
      </c>
      <c r="E147" s="156">
        <v>93.12</v>
      </c>
      <c r="F147" s="156">
        <f t="shared" si="59"/>
        <v>186.24</v>
      </c>
      <c r="G147" s="156">
        <v>0</v>
      </c>
      <c r="H147" s="156">
        <f>'MEMORIA BM 06'!L325</f>
        <v>1</v>
      </c>
      <c r="I147" s="156">
        <f t="shared" si="60"/>
        <v>1</v>
      </c>
      <c r="J147" s="156">
        <f t="shared" si="61"/>
        <v>0</v>
      </c>
      <c r="K147" s="156">
        <f t="shared" si="62"/>
        <v>93.12</v>
      </c>
      <c r="L147" s="156">
        <f t="shared" si="63"/>
        <v>93.12</v>
      </c>
      <c r="M147" s="188">
        <f t="shared" si="41"/>
        <v>0.5</v>
      </c>
      <c r="N147" s="80"/>
      <c r="O147" s="7"/>
      <c r="P147" s="79"/>
      <c r="Q147" s="79"/>
      <c r="R147" s="79"/>
      <c r="S147" s="16"/>
      <c r="T147" s="82"/>
      <c r="U147" s="14"/>
      <c r="V147" s="14"/>
      <c r="W147" s="84"/>
      <c r="X147" s="83"/>
      <c r="Y147" s="85"/>
      <c r="Z147" s="85"/>
      <c r="AA147" s="85"/>
      <c r="AB147" s="85"/>
      <c r="AC147" s="85"/>
      <c r="AD147" s="85"/>
      <c r="AE147" s="85"/>
      <c r="AF147" s="85"/>
      <c r="AG147" s="85"/>
      <c r="AH147" s="86"/>
      <c r="AI147" s="86"/>
      <c r="AJ147" s="86"/>
      <c r="AK147" s="86"/>
      <c r="AL147" s="86"/>
      <c r="AM147" s="86"/>
      <c r="AN147" s="86"/>
      <c r="AO147" s="86"/>
      <c r="AP147" s="86"/>
      <c r="AQ147" s="86"/>
      <c r="AR147" s="86"/>
      <c r="AS147" s="86"/>
      <c r="AT147" s="86"/>
      <c r="AU147" s="86"/>
      <c r="AV147" s="86"/>
      <c r="AW147" s="86"/>
      <c r="AX147" s="86"/>
      <c r="AY147" s="86"/>
      <c r="AZ147" s="86"/>
      <c r="BA147" s="86"/>
      <c r="BB147" s="86"/>
      <c r="BC147" s="86"/>
      <c r="BD147" s="86"/>
      <c r="BE147" s="86"/>
      <c r="BF147" s="86"/>
      <c r="BG147" s="86"/>
      <c r="BH147" s="86"/>
      <c r="BI147" s="86"/>
    </row>
    <row r="148" spans="1:61" s="87" customFormat="1" ht="28.5">
      <c r="A148" s="156" t="s">
        <v>183</v>
      </c>
      <c r="B148" s="157" t="s">
        <v>184</v>
      </c>
      <c r="C148" s="156" t="s">
        <v>7</v>
      </c>
      <c r="D148" s="155">
        <v>5</v>
      </c>
      <c r="E148" s="156">
        <v>83.07</v>
      </c>
      <c r="F148" s="156">
        <f t="shared" si="59"/>
        <v>415.34999999999997</v>
      </c>
      <c r="G148" s="156">
        <v>5</v>
      </c>
      <c r="H148" s="156"/>
      <c r="I148" s="156">
        <f t="shared" si="60"/>
        <v>5</v>
      </c>
      <c r="J148" s="156">
        <f t="shared" si="61"/>
        <v>415.34999999999997</v>
      </c>
      <c r="K148" s="156">
        <f t="shared" si="62"/>
        <v>0</v>
      </c>
      <c r="L148" s="156">
        <f t="shared" si="63"/>
        <v>415.34999999999997</v>
      </c>
      <c r="M148" s="188">
        <f t="shared" si="41"/>
        <v>1</v>
      </c>
      <c r="N148" s="80"/>
      <c r="O148" s="7"/>
      <c r="P148" s="79"/>
      <c r="Q148" s="79"/>
      <c r="R148" s="79"/>
      <c r="S148" s="16"/>
      <c r="T148" s="82"/>
      <c r="U148" s="14"/>
      <c r="V148" s="14"/>
      <c r="W148" s="84"/>
      <c r="X148" s="83"/>
      <c r="Y148" s="85"/>
      <c r="Z148" s="85"/>
      <c r="AA148" s="85"/>
      <c r="AB148" s="85"/>
      <c r="AC148" s="85"/>
      <c r="AD148" s="85"/>
      <c r="AE148" s="85"/>
      <c r="AF148" s="85"/>
      <c r="AG148" s="85"/>
      <c r="AH148" s="86"/>
      <c r="AI148" s="86"/>
      <c r="AJ148" s="86"/>
      <c r="AK148" s="86"/>
      <c r="AL148" s="86"/>
      <c r="AM148" s="86"/>
      <c r="AN148" s="86"/>
      <c r="AO148" s="86"/>
      <c r="AP148" s="86"/>
      <c r="AQ148" s="86"/>
      <c r="AR148" s="86"/>
      <c r="AS148" s="86"/>
      <c r="AT148" s="86"/>
      <c r="AU148" s="86"/>
      <c r="AV148" s="86"/>
      <c r="AW148" s="86"/>
      <c r="AX148" s="86"/>
      <c r="AY148" s="86"/>
      <c r="AZ148" s="86"/>
      <c r="BA148" s="86"/>
      <c r="BB148" s="86"/>
      <c r="BC148" s="86"/>
      <c r="BD148" s="86"/>
      <c r="BE148" s="86"/>
      <c r="BF148" s="86"/>
      <c r="BG148" s="86"/>
      <c r="BH148" s="86"/>
      <c r="BI148" s="86"/>
    </row>
    <row r="149" spans="1:61" s="87" customFormat="1" ht="28.5">
      <c r="A149" s="156" t="s">
        <v>185</v>
      </c>
      <c r="B149" s="157" t="s">
        <v>186</v>
      </c>
      <c r="C149" s="156" t="s">
        <v>7</v>
      </c>
      <c r="D149" s="155">
        <v>2</v>
      </c>
      <c r="E149" s="156">
        <v>37.409999999999997</v>
      </c>
      <c r="F149" s="156">
        <f t="shared" si="59"/>
        <v>74.819999999999993</v>
      </c>
      <c r="G149" s="156">
        <v>2</v>
      </c>
      <c r="H149" s="156"/>
      <c r="I149" s="156">
        <f t="shared" si="60"/>
        <v>2</v>
      </c>
      <c r="J149" s="156">
        <f t="shared" si="61"/>
        <v>74.819999999999993</v>
      </c>
      <c r="K149" s="156">
        <f t="shared" si="62"/>
        <v>0</v>
      </c>
      <c r="L149" s="156">
        <f t="shared" si="63"/>
        <v>74.819999999999993</v>
      </c>
      <c r="M149" s="188">
        <f t="shared" si="41"/>
        <v>1</v>
      </c>
      <c r="N149" s="80"/>
      <c r="O149" s="7"/>
      <c r="P149" s="79"/>
      <c r="Q149" s="79"/>
      <c r="R149" s="79"/>
      <c r="S149" s="16"/>
      <c r="T149" s="82"/>
      <c r="U149" s="14"/>
      <c r="V149" s="14"/>
      <c r="W149" s="84"/>
      <c r="X149" s="83"/>
      <c r="Y149" s="85"/>
      <c r="Z149" s="85"/>
      <c r="AA149" s="85"/>
      <c r="AB149" s="85"/>
      <c r="AC149" s="85"/>
      <c r="AD149" s="85"/>
      <c r="AE149" s="85"/>
      <c r="AF149" s="85"/>
      <c r="AG149" s="85"/>
      <c r="AH149" s="86"/>
      <c r="AI149" s="86"/>
      <c r="AJ149" s="86"/>
      <c r="AK149" s="86"/>
      <c r="AL149" s="86"/>
      <c r="AM149" s="86"/>
      <c r="AN149" s="86"/>
      <c r="AO149" s="86"/>
      <c r="AP149" s="86"/>
      <c r="AQ149" s="86"/>
      <c r="AR149" s="86"/>
      <c r="AS149" s="86"/>
      <c r="AT149" s="86"/>
      <c r="AU149" s="86"/>
      <c r="AV149" s="86"/>
      <c r="AW149" s="86"/>
      <c r="AX149" s="86"/>
      <c r="AY149" s="86"/>
      <c r="AZ149" s="86"/>
      <c r="BA149" s="86"/>
      <c r="BB149" s="86"/>
      <c r="BC149" s="86"/>
      <c r="BD149" s="86"/>
      <c r="BE149" s="86"/>
      <c r="BF149" s="86"/>
      <c r="BG149" s="86"/>
      <c r="BH149" s="86"/>
      <c r="BI149" s="86"/>
    </row>
    <row r="150" spans="1:61" s="87" customFormat="1">
      <c r="A150" s="156" t="s">
        <v>187</v>
      </c>
      <c r="B150" s="158" t="s">
        <v>188</v>
      </c>
      <c r="C150" s="156" t="s">
        <v>7</v>
      </c>
      <c r="D150" s="155">
        <v>3</v>
      </c>
      <c r="E150" s="156">
        <v>25.29</v>
      </c>
      <c r="F150" s="156">
        <f t="shared" si="59"/>
        <v>75.87</v>
      </c>
      <c r="G150" s="156">
        <v>0</v>
      </c>
      <c r="H150" s="200">
        <f>'MEMORIA BM 06'!L334</f>
        <v>3</v>
      </c>
      <c r="I150" s="156">
        <f t="shared" si="60"/>
        <v>3</v>
      </c>
      <c r="J150" s="156">
        <f t="shared" si="61"/>
        <v>0</v>
      </c>
      <c r="K150" s="156">
        <f t="shared" si="62"/>
        <v>75.87</v>
      </c>
      <c r="L150" s="156">
        <f t="shared" si="63"/>
        <v>75.87</v>
      </c>
      <c r="M150" s="188">
        <f t="shared" si="41"/>
        <v>1</v>
      </c>
      <c r="N150" s="80"/>
      <c r="O150" s="7"/>
      <c r="P150" s="79"/>
      <c r="Q150" s="79"/>
      <c r="R150" s="79"/>
      <c r="S150" s="16"/>
      <c r="T150" s="82"/>
      <c r="U150" s="14"/>
      <c r="V150" s="14"/>
      <c r="W150" s="84"/>
      <c r="X150" s="83"/>
      <c r="Y150" s="85"/>
      <c r="Z150" s="85"/>
      <c r="AA150" s="85"/>
      <c r="AB150" s="85"/>
      <c r="AC150" s="85"/>
      <c r="AD150" s="85"/>
      <c r="AE150" s="85"/>
      <c r="AF150" s="85"/>
      <c r="AG150" s="85"/>
      <c r="AH150" s="86"/>
      <c r="AI150" s="86"/>
      <c r="AJ150" s="86"/>
      <c r="AK150" s="86"/>
      <c r="AL150" s="86"/>
      <c r="AM150" s="86"/>
      <c r="AN150" s="86"/>
      <c r="AO150" s="86"/>
      <c r="AP150" s="86"/>
      <c r="AQ150" s="86"/>
      <c r="AR150" s="86"/>
      <c r="AS150" s="86"/>
      <c r="AT150" s="86"/>
      <c r="AU150" s="86"/>
      <c r="AV150" s="86"/>
      <c r="AW150" s="86"/>
      <c r="AX150" s="86"/>
      <c r="AY150" s="86"/>
      <c r="AZ150" s="86"/>
      <c r="BA150" s="86"/>
      <c r="BB150" s="86"/>
      <c r="BC150" s="86"/>
      <c r="BD150" s="86"/>
      <c r="BE150" s="86"/>
      <c r="BF150" s="86"/>
      <c r="BG150" s="86"/>
      <c r="BH150" s="86"/>
      <c r="BI150" s="86"/>
    </row>
    <row r="151" spans="1:61" s="87" customFormat="1">
      <c r="A151" s="156" t="s">
        <v>189</v>
      </c>
      <c r="B151" s="158" t="s">
        <v>190</v>
      </c>
      <c r="C151" s="156" t="s">
        <v>7</v>
      </c>
      <c r="D151" s="155">
        <v>1</v>
      </c>
      <c r="E151" s="156">
        <v>16.079999999999998</v>
      </c>
      <c r="F151" s="156">
        <f t="shared" si="59"/>
        <v>16.079999999999998</v>
      </c>
      <c r="G151" s="156">
        <v>1</v>
      </c>
      <c r="H151" s="200"/>
      <c r="I151" s="156">
        <f t="shared" si="60"/>
        <v>1</v>
      </c>
      <c r="J151" s="156">
        <f t="shared" si="61"/>
        <v>16.079999999999998</v>
      </c>
      <c r="K151" s="156">
        <f t="shared" si="62"/>
        <v>0</v>
      </c>
      <c r="L151" s="156">
        <f t="shared" si="63"/>
        <v>16.079999999999998</v>
      </c>
      <c r="M151" s="188">
        <f t="shared" si="41"/>
        <v>1</v>
      </c>
      <c r="N151" s="80"/>
      <c r="O151" s="7"/>
      <c r="P151" s="79"/>
      <c r="Q151" s="79"/>
      <c r="R151" s="79"/>
      <c r="S151" s="16"/>
      <c r="T151" s="82"/>
      <c r="U151" s="14"/>
      <c r="V151" s="14"/>
      <c r="W151" s="84"/>
      <c r="X151" s="83"/>
      <c r="Y151" s="85"/>
      <c r="Z151" s="85"/>
      <c r="AA151" s="85"/>
      <c r="AB151" s="85"/>
      <c r="AC151" s="85"/>
      <c r="AD151" s="85"/>
      <c r="AE151" s="85"/>
      <c r="AF151" s="85"/>
      <c r="AG151" s="85"/>
      <c r="AH151" s="86"/>
      <c r="AI151" s="86"/>
      <c r="AJ151" s="86"/>
      <c r="AK151" s="86"/>
      <c r="AL151" s="86"/>
      <c r="AM151" s="86"/>
      <c r="AN151" s="86"/>
      <c r="AO151" s="86"/>
      <c r="AP151" s="86"/>
      <c r="AQ151" s="86"/>
      <c r="AR151" s="86"/>
      <c r="AS151" s="86"/>
      <c r="AT151" s="86"/>
      <c r="AU151" s="86"/>
      <c r="AV151" s="86"/>
      <c r="AW151" s="86"/>
      <c r="AX151" s="86"/>
      <c r="AY151" s="86"/>
      <c r="AZ151" s="86"/>
      <c r="BA151" s="86"/>
      <c r="BB151" s="86"/>
      <c r="BC151" s="86"/>
      <c r="BD151" s="86"/>
      <c r="BE151" s="86"/>
      <c r="BF151" s="86"/>
      <c r="BG151" s="86"/>
      <c r="BH151" s="86"/>
      <c r="BI151" s="86"/>
    </row>
    <row r="152" spans="1:61" s="87" customFormat="1" ht="28.5">
      <c r="A152" s="156" t="s">
        <v>191</v>
      </c>
      <c r="B152" s="157" t="s">
        <v>192</v>
      </c>
      <c r="C152" s="156" t="s">
        <v>7</v>
      </c>
      <c r="D152" s="155">
        <v>5</v>
      </c>
      <c r="E152" s="156">
        <v>62.9</v>
      </c>
      <c r="F152" s="156">
        <f t="shared" si="59"/>
        <v>314.5</v>
      </c>
      <c r="G152" s="156">
        <v>0</v>
      </c>
      <c r="H152" s="200">
        <f>'MEMORIA BM 06'!L342</f>
        <v>5</v>
      </c>
      <c r="I152" s="156">
        <f t="shared" si="60"/>
        <v>5</v>
      </c>
      <c r="J152" s="156">
        <f t="shared" si="61"/>
        <v>0</v>
      </c>
      <c r="K152" s="156">
        <f t="shared" si="62"/>
        <v>314.5</v>
      </c>
      <c r="L152" s="156">
        <f t="shared" si="63"/>
        <v>314.5</v>
      </c>
      <c r="M152" s="188">
        <f t="shared" si="41"/>
        <v>1</v>
      </c>
      <c r="N152" s="80"/>
      <c r="O152" s="7"/>
      <c r="P152" s="79"/>
      <c r="Q152" s="79"/>
      <c r="R152" s="79"/>
      <c r="S152" s="16"/>
      <c r="T152" s="82"/>
      <c r="U152" s="14"/>
      <c r="V152" s="14"/>
      <c r="W152" s="84"/>
      <c r="X152" s="83"/>
      <c r="Y152" s="85"/>
      <c r="Z152" s="85"/>
      <c r="AA152" s="85"/>
      <c r="AB152" s="85"/>
      <c r="AC152" s="85"/>
      <c r="AD152" s="85"/>
      <c r="AE152" s="85"/>
      <c r="AF152" s="85"/>
      <c r="AG152" s="85"/>
      <c r="AH152" s="86"/>
      <c r="AI152" s="86"/>
      <c r="AJ152" s="86"/>
      <c r="AK152" s="86"/>
      <c r="AL152" s="86"/>
      <c r="AM152" s="86"/>
      <c r="AN152" s="86"/>
      <c r="AO152" s="86"/>
      <c r="AP152" s="86"/>
      <c r="AQ152" s="86"/>
      <c r="AR152" s="86"/>
      <c r="AS152" s="86"/>
      <c r="AT152" s="86"/>
      <c r="AU152" s="86"/>
      <c r="AV152" s="86"/>
      <c r="AW152" s="86"/>
      <c r="AX152" s="86"/>
      <c r="AY152" s="86"/>
      <c r="AZ152" s="86"/>
      <c r="BA152" s="86"/>
      <c r="BB152" s="86"/>
      <c r="BC152" s="86"/>
      <c r="BD152" s="86"/>
      <c r="BE152" s="86"/>
      <c r="BF152" s="86"/>
      <c r="BG152" s="86"/>
      <c r="BH152" s="86"/>
      <c r="BI152" s="86"/>
    </row>
    <row r="153" spans="1:61" s="87" customFormat="1">
      <c r="A153" s="156" t="s">
        <v>193</v>
      </c>
      <c r="B153" s="158" t="s">
        <v>194</v>
      </c>
      <c r="C153" s="156" t="s">
        <v>7</v>
      </c>
      <c r="D153" s="155">
        <v>5</v>
      </c>
      <c r="E153" s="156">
        <v>40.880000000000003</v>
      </c>
      <c r="F153" s="156">
        <f t="shared" si="59"/>
        <v>204.4</v>
      </c>
      <c r="G153" s="156">
        <v>0</v>
      </c>
      <c r="H153" s="200">
        <f>'MEMORIA BM 06'!L349</f>
        <v>5</v>
      </c>
      <c r="I153" s="156">
        <f t="shared" si="60"/>
        <v>5</v>
      </c>
      <c r="J153" s="156">
        <f t="shared" si="61"/>
        <v>0</v>
      </c>
      <c r="K153" s="156">
        <f t="shared" si="62"/>
        <v>204.4</v>
      </c>
      <c r="L153" s="156">
        <f t="shared" si="63"/>
        <v>204.4</v>
      </c>
      <c r="M153" s="188">
        <f t="shared" si="41"/>
        <v>1</v>
      </c>
      <c r="N153" s="80"/>
      <c r="O153" s="7"/>
      <c r="P153" s="79"/>
      <c r="Q153" s="79"/>
      <c r="R153" s="79"/>
      <c r="S153" s="16"/>
      <c r="T153" s="82"/>
      <c r="U153" s="14"/>
      <c r="V153" s="14"/>
      <c r="W153" s="84"/>
      <c r="X153" s="83"/>
      <c r="Y153" s="85"/>
      <c r="Z153" s="85"/>
      <c r="AA153" s="85"/>
      <c r="AB153" s="85"/>
      <c r="AC153" s="85"/>
      <c r="AD153" s="85"/>
      <c r="AE153" s="85"/>
      <c r="AF153" s="85"/>
      <c r="AG153" s="85"/>
      <c r="AH153" s="86"/>
      <c r="AI153" s="86"/>
      <c r="AJ153" s="86"/>
      <c r="AK153" s="86"/>
      <c r="AL153" s="86"/>
      <c r="AM153" s="86"/>
      <c r="AN153" s="86"/>
      <c r="AO153" s="86"/>
      <c r="AP153" s="86"/>
      <c r="AQ153" s="86"/>
      <c r="AR153" s="86"/>
      <c r="AS153" s="86"/>
      <c r="AT153" s="86"/>
      <c r="AU153" s="86"/>
      <c r="AV153" s="86"/>
      <c r="AW153" s="86"/>
      <c r="AX153" s="86"/>
      <c r="AY153" s="86"/>
      <c r="AZ153" s="86"/>
      <c r="BA153" s="86"/>
      <c r="BB153" s="86"/>
      <c r="BC153" s="86"/>
      <c r="BD153" s="86"/>
      <c r="BE153" s="86"/>
      <c r="BF153" s="86"/>
      <c r="BG153" s="86"/>
      <c r="BH153" s="86"/>
      <c r="BI153" s="86"/>
    </row>
    <row r="154" spans="1:61" s="87" customFormat="1">
      <c r="A154" s="156" t="s">
        <v>195</v>
      </c>
      <c r="B154" s="158" t="s">
        <v>196</v>
      </c>
      <c r="C154" s="156" t="s">
        <v>7</v>
      </c>
      <c r="D154" s="155">
        <v>5</v>
      </c>
      <c r="E154" s="156">
        <v>52.81</v>
      </c>
      <c r="F154" s="156">
        <f t="shared" si="59"/>
        <v>264.05</v>
      </c>
      <c r="G154" s="156">
        <v>0</v>
      </c>
      <c r="H154" s="200">
        <f>'MEMORIA BM 06'!L356</f>
        <v>5</v>
      </c>
      <c r="I154" s="156">
        <f t="shared" si="60"/>
        <v>5</v>
      </c>
      <c r="J154" s="156">
        <f t="shared" si="61"/>
        <v>0</v>
      </c>
      <c r="K154" s="156">
        <f t="shared" si="62"/>
        <v>264.05</v>
      </c>
      <c r="L154" s="156">
        <f t="shared" si="63"/>
        <v>264.05</v>
      </c>
      <c r="M154" s="188">
        <f t="shared" si="41"/>
        <v>1</v>
      </c>
      <c r="N154" s="80"/>
      <c r="O154" s="7"/>
      <c r="P154" s="79"/>
      <c r="Q154" s="79"/>
      <c r="R154" s="79"/>
      <c r="S154" s="16"/>
      <c r="T154" s="82"/>
      <c r="U154" s="14"/>
      <c r="V154" s="14"/>
      <c r="W154" s="84"/>
      <c r="X154" s="83"/>
      <c r="Y154" s="85"/>
      <c r="Z154" s="85"/>
      <c r="AA154" s="85"/>
      <c r="AB154" s="85"/>
      <c r="AC154" s="85"/>
      <c r="AD154" s="85"/>
      <c r="AE154" s="85"/>
      <c r="AF154" s="85"/>
      <c r="AG154" s="85"/>
      <c r="AH154" s="86"/>
      <c r="AI154" s="86"/>
      <c r="AJ154" s="86"/>
      <c r="AK154" s="86"/>
      <c r="AL154" s="86"/>
      <c r="AM154" s="86"/>
      <c r="AN154" s="86"/>
      <c r="AO154" s="86"/>
      <c r="AP154" s="86"/>
      <c r="AQ154" s="86"/>
      <c r="AR154" s="86"/>
      <c r="AS154" s="86"/>
      <c r="AT154" s="86"/>
      <c r="AU154" s="86"/>
      <c r="AV154" s="86"/>
      <c r="AW154" s="86"/>
      <c r="AX154" s="86"/>
      <c r="AY154" s="86"/>
      <c r="AZ154" s="86"/>
      <c r="BA154" s="86"/>
      <c r="BB154" s="86"/>
      <c r="BC154" s="86"/>
      <c r="BD154" s="86"/>
      <c r="BE154" s="86"/>
      <c r="BF154" s="86"/>
      <c r="BG154" s="86"/>
      <c r="BH154" s="86"/>
      <c r="BI154" s="86"/>
    </row>
    <row r="155" spans="1:61" s="87" customFormat="1" ht="42.75">
      <c r="A155" s="156" t="s">
        <v>197</v>
      </c>
      <c r="B155" s="157" t="s">
        <v>198</v>
      </c>
      <c r="C155" s="156" t="s">
        <v>7</v>
      </c>
      <c r="D155" s="155">
        <v>7</v>
      </c>
      <c r="E155" s="156">
        <v>7</v>
      </c>
      <c r="F155" s="156">
        <f t="shared" si="59"/>
        <v>49</v>
      </c>
      <c r="G155" s="156">
        <v>0</v>
      </c>
      <c r="H155" s="156"/>
      <c r="I155" s="156">
        <f t="shared" si="60"/>
        <v>0</v>
      </c>
      <c r="J155" s="156">
        <f t="shared" si="61"/>
        <v>0</v>
      </c>
      <c r="K155" s="156">
        <f t="shared" si="62"/>
        <v>0</v>
      </c>
      <c r="L155" s="156">
        <f t="shared" si="63"/>
        <v>0</v>
      </c>
      <c r="M155" s="188">
        <f t="shared" si="41"/>
        <v>0</v>
      </c>
      <c r="N155" s="80"/>
      <c r="O155" s="7"/>
      <c r="P155" s="79"/>
      <c r="Q155" s="79"/>
      <c r="R155" s="79"/>
      <c r="S155" s="16"/>
      <c r="T155" s="82"/>
      <c r="U155" s="14"/>
      <c r="V155" s="14"/>
      <c r="W155" s="84"/>
      <c r="X155" s="83"/>
      <c r="Y155" s="85"/>
      <c r="Z155" s="85"/>
      <c r="AA155" s="85"/>
      <c r="AB155" s="85"/>
      <c r="AC155" s="85"/>
      <c r="AD155" s="85"/>
      <c r="AE155" s="85"/>
      <c r="AF155" s="85"/>
      <c r="AG155" s="85"/>
      <c r="AH155" s="86"/>
      <c r="AI155" s="86"/>
      <c r="AJ155" s="86"/>
      <c r="AK155" s="86"/>
      <c r="AL155" s="86"/>
      <c r="AM155" s="86"/>
      <c r="AN155" s="86"/>
      <c r="AO155" s="86"/>
      <c r="AP155" s="86"/>
      <c r="AQ155" s="86"/>
      <c r="AR155" s="86"/>
      <c r="AS155" s="86"/>
      <c r="AT155" s="86"/>
      <c r="AU155" s="86"/>
      <c r="AV155" s="86"/>
      <c r="AW155" s="86"/>
      <c r="AX155" s="86"/>
      <c r="AY155" s="86"/>
      <c r="AZ155" s="86"/>
      <c r="BA155" s="86"/>
      <c r="BB155" s="86"/>
      <c r="BC155" s="86"/>
      <c r="BD155" s="86"/>
      <c r="BE155" s="86"/>
      <c r="BF155" s="86"/>
      <c r="BG155" s="86"/>
      <c r="BH155" s="86"/>
      <c r="BI155" s="86"/>
    </row>
    <row r="156" spans="1:61" s="87" customFormat="1" ht="28.5">
      <c r="A156" s="156" t="s">
        <v>199</v>
      </c>
      <c r="B156" s="157" t="s">
        <v>200</v>
      </c>
      <c r="C156" s="156" t="s">
        <v>7</v>
      </c>
      <c r="D156" s="155">
        <v>2</v>
      </c>
      <c r="E156" s="156">
        <v>144.46</v>
      </c>
      <c r="F156" s="156">
        <f t="shared" si="59"/>
        <v>288.92</v>
      </c>
      <c r="G156" s="156">
        <v>1</v>
      </c>
      <c r="H156" s="156"/>
      <c r="I156" s="156">
        <f t="shared" si="60"/>
        <v>1</v>
      </c>
      <c r="J156" s="156">
        <f t="shared" si="61"/>
        <v>144.46</v>
      </c>
      <c r="K156" s="156">
        <f t="shared" si="62"/>
        <v>0</v>
      </c>
      <c r="L156" s="156">
        <f t="shared" si="63"/>
        <v>144.46</v>
      </c>
      <c r="M156" s="188">
        <f t="shared" si="41"/>
        <v>0.5</v>
      </c>
      <c r="N156" s="80"/>
      <c r="O156" s="7"/>
      <c r="P156" s="79"/>
      <c r="Q156" s="79"/>
      <c r="R156" s="79"/>
      <c r="S156" s="16"/>
      <c r="T156" s="82"/>
      <c r="U156" s="14"/>
      <c r="V156" s="14"/>
      <c r="W156" s="84"/>
      <c r="X156" s="83"/>
      <c r="Y156" s="85"/>
      <c r="Z156" s="85"/>
      <c r="AA156" s="85"/>
      <c r="AB156" s="85"/>
      <c r="AC156" s="85"/>
      <c r="AD156" s="85"/>
      <c r="AE156" s="85"/>
      <c r="AF156" s="85"/>
      <c r="AG156" s="85"/>
      <c r="AH156" s="86"/>
      <c r="AI156" s="86"/>
      <c r="AJ156" s="86"/>
      <c r="AK156" s="86"/>
      <c r="AL156" s="86"/>
      <c r="AM156" s="86"/>
      <c r="AN156" s="86"/>
      <c r="AO156" s="86"/>
      <c r="AP156" s="86"/>
      <c r="AQ156" s="86"/>
      <c r="AR156" s="86"/>
      <c r="AS156" s="86"/>
      <c r="AT156" s="86"/>
      <c r="AU156" s="86"/>
      <c r="AV156" s="86"/>
      <c r="AW156" s="86"/>
      <c r="AX156" s="86"/>
      <c r="AY156" s="86"/>
      <c r="AZ156" s="86"/>
      <c r="BA156" s="86"/>
      <c r="BB156" s="86"/>
      <c r="BC156" s="86"/>
      <c r="BD156" s="86"/>
      <c r="BE156" s="86"/>
      <c r="BF156" s="86"/>
      <c r="BG156" s="86"/>
      <c r="BH156" s="86"/>
      <c r="BI156" s="86"/>
    </row>
    <row r="157" spans="1:61" s="87" customFormat="1" ht="28.5">
      <c r="A157" s="156" t="s">
        <v>201</v>
      </c>
      <c r="B157" s="157" t="s">
        <v>202</v>
      </c>
      <c r="C157" s="156" t="s">
        <v>7</v>
      </c>
      <c r="D157" s="155">
        <v>1</v>
      </c>
      <c r="E157" s="156">
        <v>159.54</v>
      </c>
      <c r="F157" s="156">
        <f t="shared" si="59"/>
        <v>159.54</v>
      </c>
      <c r="G157" s="156">
        <v>1</v>
      </c>
      <c r="H157" s="156"/>
      <c r="I157" s="156">
        <f t="shared" si="60"/>
        <v>1</v>
      </c>
      <c r="J157" s="156">
        <f t="shared" si="61"/>
        <v>159.54</v>
      </c>
      <c r="K157" s="156">
        <f t="shared" si="62"/>
        <v>0</v>
      </c>
      <c r="L157" s="156">
        <f t="shared" si="63"/>
        <v>159.54</v>
      </c>
      <c r="M157" s="188">
        <f t="shared" si="41"/>
        <v>1</v>
      </c>
      <c r="N157" s="80"/>
      <c r="O157" s="7"/>
      <c r="P157" s="79"/>
      <c r="Q157" s="79"/>
      <c r="R157" s="79"/>
      <c r="S157" s="16"/>
      <c r="T157" s="82"/>
      <c r="U157" s="14"/>
      <c r="V157" s="14"/>
      <c r="W157" s="84"/>
      <c r="X157" s="83"/>
      <c r="Y157" s="85"/>
      <c r="Z157" s="85"/>
      <c r="AA157" s="85"/>
      <c r="AB157" s="85"/>
      <c r="AC157" s="85"/>
      <c r="AD157" s="85"/>
      <c r="AE157" s="85"/>
      <c r="AF157" s="85"/>
      <c r="AG157" s="85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6"/>
      <c r="AU157" s="86"/>
      <c r="AV157" s="86"/>
      <c r="AW157" s="86"/>
      <c r="AX157" s="86"/>
      <c r="AY157" s="86"/>
      <c r="AZ157" s="86"/>
      <c r="BA157" s="86"/>
      <c r="BB157" s="86"/>
      <c r="BC157" s="86"/>
      <c r="BD157" s="86"/>
      <c r="BE157" s="86"/>
      <c r="BF157" s="86"/>
      <c r="BG157" s="86"/>
      <c r="BH157" s="86"/>
      <c r="BI157" s="86"/>
    </row>
    <row r="158" spans="1:61" s="87" customFormat="1">
      <c r="A158" s="156" t="s">
        <v>203</v>
      </c>
      <c r="B158" s="158" t="s">
        <v>204</v>
      </c>
      <c r="C158" s="156" t="s">
        <v>16</v>
      </c>
      <c r="D158" s="155">
        <v>3.2</v>
      </c>
      <c r="E158" s="156">
        <v>350.43</v>
      </c>
      <c r="F158" s="156">
        <f t="shared" si="59"/>
        <v>1121.376</v>
      </c>
      <c r="G158" s="156">
        <v>0</v>
      </c>
      <c r="H158" s="156">
        <f>'MEMORIA BM 06'!L372</f>
        <v>3.2</v>
      </c>
      <c r="I158" s="156">
        <f t="shared" si="60"/>
        <v>3.2</v>
      </c>
      <c r="J158" s="156">
        <f t="shared" si="61"/>
        <v>0</v>
      </c>
      <c r="K158" s="156">
        <f t="shared" si="62"/>
        <v>1121.376</v>
      </c>
      <c r="L158" s="156">
        <f t="shared" si="63"/>
        <v>1121.376</v>
      </c>
      <c r="M158" s="188">
        <f t="shared" si="41"/>
        <v>1</v>
      </c>
      <c r="N158" s="80"/>
      <c r="O158" s="7"/>
      <c r="P158" s="79"/>
      <c r="Q158" s="79"/>
      <c r="R158" s="79"/>
      <c r="S158" s="16"/>
      <c r="T158" s="82"/>
      <c r="U158" s="14"/>
      <c r="V158" s="14"/>
      <c r="W158" s="84"/>
      <c r="X158" s="83"/>
      <c r="Y158" s="85"/>
      <c r="Z158" s="85"/>
      <c r="AA158" s="85"/>
      <c r="AB158" s="85"/>
      <c r="AC158" s="85"/>
      <c r="AD158" s="85"/>
      <c r="AE158" s="85"/>
      <c r="AF158" s="85"/>
      <c r="AG158" s="85"/>
      <c r="AH158" s="86"/>
      <c r="AI158" s="86"/>
      <c r="AJ158" s="86"/>
      <c r="AK158" s="86"/>
      <c r="AL158" s="86"/>
      <c r="AM158" s="86"/>
      <c r="AN158" s="86"/>
      <c r="AO158" s="86"/>
      <c r="AP158" s="86"/>
      <c r="AQ158" s="86"/>
      <c r="AR158" s="86"/>
      <c r="AS158" s="86"/>
      <c r="AT158" s="86"/>
      <c r="AU158" s="86"/>
      <c r="AV158" s="86"/>
      <c r="AW158" s="86"/>
      <c r="AX158" s="86"/>
      <c r="AY158" s="86"/>
      <c r="AZ158" s="86"/>
      <c r="BA158" s="86"/>
      <c r="BB158" s="86"/>
      <c r="BC158" s="86"/>
      <c r="BD158" s="86"/>
      <c r="BE158" s="86"/>
      <c r="BF158" s="86"/>
      <c r="BG158" s="86"/>
      <c r="BH158" s="86"/>
      <c r="BI158" s="86"/>
    </row>
    <row r="159" spans="1:61" s="87" customFormat="1" ht="28.5">
      <c r="A159" s="156" t="s">
        <v>205</v>
      </c>
      <c r="B159" s="157" t="s">
        <v>206</v>
      </c>
      <c r="C159" s="156" t="s">
        <v>7</v>
      </c>
      <c r="D159" s="155">
        <v>2</v>
      </c>
      <c r="E159" s="156">
        <v>707.44</v>
      </c>
      <c r="F159" s="156">
        <f t="shared" si="59"/>
        <v>1414.88</v>
      </c>
      <c r="G159" s="156">
        <v>0</v>
      </c>
      <c r="H159" s="156"/>
      <c r="I159" s="156">
        <f t="shared" si="60"/>
        <v>0</v>
      </c>
      <c r="J159" s="156">
        <f t="shared" si="61"/>
        <v>0</v>
      </c>
      <c r="K159" s="156">
        <f t="shared" si="62"/>
        <v>0</v>
      </c>
      <c r="L159" s="156">
        <f t="shared" si="63"/>
        <v>0</v>
      </c>
      <c r="M159" s="188">
        <f t="shared" si="41"/>
        <v>0</v>
      </c>
      <c r="N159" s="80"/>
      <c r="O159" s="7"/>
      <c r="P159" s="79"/>
      <c r="Q159" s="79"/>
      <c r="R159" s="79"/>
      <c r="S159" s="16"/>
      <c r="T159" s="82"/>
      <c r="U159" s="14"/>
      <c r="V159" s="14"/>
      <c r="W159" s="84"/>
      <c r="X159" s="83"/>
      <c r="Y159" s="85"/>
      <c r="Z159" s="85"/>
      <c r="AA159" s="85"/>
      <c r="AB159" s="85"/>
      <c r="AC159" s="85"/>
      <c r="AD159" s="85"/>
      <c r="AE159" s="85"/>
      <c r="AF159" s="85"/>
      <c r="AG159" s="85"/>
      <c r="AH159" s="86"/>
      <c r="AI159" s="86"/>
      <c r="AJ159" s="86"/>
      <c r="AK159" s="86"/>
      <c r="AL159" s="86"/>
      <c r="AM159" s="86"/>
      <c r="AN159" s="86"/>
      <c r="AO159" s="86"/>
      <c r="AP159" s="86"/>
      <c r="AQ159" s="86"/>
      <c r="AR159" s="86"/>
      <c r="AS159" s="86"/>
      <c r="AT159" s="86"/>
      <c r="AU159" s="86"/>
      <c r="AV159" s="86"/>
      <c r="AW159" s="86"/>
      <c r="AX159" s="86"/>
      <c r="AY159" s="86"/>
      <c r="AZ159" s="86"/>
      <c r="BA159" s="86"/>
      <c r="BB159" s="86"/>
      <c r="BC159" s="86"/>
      <c r="BD159" s="86"/>
      <c r="BE159" s="86"/>
      <c r="BF159" s="86"/>
      <c r="BG159" s="86"/>
      <c r="BH159" s="86"/>
      <c r="BI159" s="86"/>
    </row>
    <row r="160" spans="1:61" s="87" customFormat="1">
      <c r="A160" s="156" t="s">
        <v>207</v>
      </c>
      <c r="B160" s="158" t="s">
        <v>23</v>
      </c>
      <c r="C160" s="156" t="s">
        <v>16</v>
      </c>
      <c r="D160" s="155">
        <v>8.31</v>
      </c>
      <c r="E160" s="156">
        <v>250.9</v>
      </c>
      <c r="F160" s="156">
        <f t="shared" si="59"/>
        <v>2084.9790000000003</v>
      </c>
      <c r="G160" s="156">
        <v>0</v>
      </c>
      <c r="H160" s="156">
        <f>'MEMORIA BM 06'!L378</f>
        <v>1.9</v>
      </c>
      <c r="I160" s="156">
        <f t="shared" si="60"/>
        <v>1.9</v>
      </c>
      <c r="J160" s="156">
        <f t="shared" si="61"/>
        <v>0</v>
      </c>
      <c r="K160" s="156">
        <f t="shared" si="62"/>
        <v>476.71</v>
      </c>
      <c r="L160" s="156">
        <f t="shared" si="63"/>
        <v>476.71</v>
      </c>
      <c r="M160" s="188">
        <f t="shared" ref="M160:M223" si="64">L160/F160</f>
        <v>0.22864019253910947</v>
      </c>
      <c r="N160" s="80"/>
      <c r="O160" s="7"/>
      <c r="P160" s="79"/>
      <c r="Q160" s="79"/>
      <c r="R160" s="79"/>
      <c r="S160" s="16"/>
      <c r="T160" s="82"/>
      <c r="U160" s="14"/>
      <c r="V160" s="14"/>
      <c r="W160" s="84"/>
      <c r="X160" s="83"/>
      <c r="Y160" s="85"/>
      <c r="Z160" s="85"/>
      <c r="AA160" s="85"/>
      <c r="AB160" s="85"/>
      <c r="AC160" s="85"/>
      <c r="AD160" s="85"/>
      <c r="AE160" s="85"/>
      <c r="AF160" s="85"/>
      <c r="AG160" s="85"/>
      <c r="AH160" s="86"/>
      <c r="AI160" s="86"/>
      <c r="AJ160" s="86"/>
      <c r="AK160" s="86"/>
      <c r="AL160" s="86"/>
      <c r="AM160" s="86"/>
      <c r="AN160" s="86"/>
      <c r="AO160" s="86"/>
      <c r="AP160" s="86"/>
      <c r="AQ160" s="86"/>
      <c r="AR160" s="86"/>
      <c r="AS160" s="86"/>
      <c r="AT160" s="86"/>
      <c r="AU160" s="86"/>
      <c r="AV160" s="86"/>
      <c r="AW160" s="86"/>
      <c r="AX160" s="86"/>
      <c r="AY160" s="86"/>
      <c r="AZ160" s="86"/>
      <c r="BA160" s="86"/>
      <c r="BB160" s="86"/>
      <c r="BC160" s="86"/>
      <c r="BD160" s="86"/>
      <c r="BE160" s="86"/>
      <c r="BF160" s="86"/>
      <c r="BG160" s="86"/>
      <c r="BH160" s="86"/>
      <c r="BI160" s="86"/>
    </row>
    <row r="161" spans="1:66" s="87" customFormat="1" ht="45.75" customHeight="1">
      <c r="A161" s="156" t="s">
        <v>208</v>
      </c>
      <c r="B161" s="157" t="s">
        <v>209</v>
      </c>
      <c r="C161" s="156" t="s">
        <v>7</v>
      </c>
      <c r="D161" s="155">
        <v>14</v>
      </c>
      <c r="E161" s="156">
        <v>85.09</v>
      </c>
      <c r="F161" s="156">
        <f t="shared" si="59"/>
        <v>1191.26</v>
      </c>
      <c r="G161" s="156">
        <v>14</v>
      </c>
      <c r="H161" s="156"/>
      <c r="I161" s="156">
        <f t="shared" si="60"/>
        <v>14</v>
      </c>
      <c r="J161" s="156">
        <f t="shared" si="61"/>
        <v>1191.26</v>
      </c>
      <c r="K161" s="156">
        <f t="shared" si="62"/>
        <v>0</v>
      </c>
      <c r="L161" s="156">
        <f t="shared" si="63"/>
        <v>1191.26</v>
      </c>
      <c r="M161" s="188">
        <f t="shared" si="64"/>
        <v>1</v>
      </c>
      <c r="N161" s="80"/>
      <c r="O161" s="7"/>
      <c r="P161" s="79"/>
      <c r="Q161" s="79"/>
      <c r="R161" s="79"/>
      <c r="S161" s="16"/>
      <c r="T161" s="82"/>
      <c r="U161" s="14"/>
      <c r="V161" s="14"/>
      <c r="W161" s="84"/>
      <c r="X161" s="83"/>
      <c r="Y161" s="85"/>
      <c r="Z161" s="85"/>
      <c r="AA161" s="85"/>
      <c r="AB161" s="85"/>
      <c r="AC161" s="85"/>
      <c r="AD161" s="85"/>
      <c r="AE161" s="85"/>
      <c r="AF161" s="85"/>
      <c r="AG161" s="85"/>
      <c r="AH161" s="86"/>
      <c r="AI161" s="86"/>
      <c r="AJ161" s="86"/>
      <c r="AK161" s="86"/>
      <c r="AL161" s="86"/>
      <c r="AM161" s="86"/>
      <c r="AN161" s="86"/>
      <c r="AO161" s="86"/>
      <c r="AP161" s="86"/>
      <c r="AQ161" s="86"/>
      <c r="AR161" s="86"/>
      <c r="AS161" s="86"/>
      <c r="AT161" s="86"/>
      <c r="AU161" s="86"/>
      <c r="AV161" s="86"/>
      <c r="AW161" s="86"/>
      <c r="AX161" s="86"/>
      <c r="AY161" s="86"/>
      <c r="AZ161" s="86"/>
      <c r="BA161" s="86"/>
      <c r="BB161" s="86"/>
      <c r="BC161" s="86"/>
      <c r="BD161" s="86"/>
      <c r="BE161" s="86"/>
      <c r="BF161" s="86"/>
      <c r="BG161" s="86"/>
      <c r="BH161" s="86"/>
      <c r="BI161" s="86"/>
    </row>
    <row r="162" spans="1:66" s="87" customFormat="1" ht="42.75">
      <c r="A162" s="156" t="s">
        <v>210</v>
      </c>
      <c r="B162" s="157" t="s">
        <v>211</v>
      </c>
      <c r="C162" s="156" t="s">
        <v>7</v>
      </c>
      <c r="D162" s="155">
        <v>3</v>
      </c>
      <c r="E162" s="156">
        <v>205.43</v>
      </c>
      <c r="F162" s="156">
        <f t="shared" si="59"/>
        <v>616.29</v>
      </c>
      <c r="G162" s="156">
        <v>0</v>
      </c>
      <c r="H162" s="156"/>
      <c r="I162" s="156">
        <f t="shared" si="60"/>
        <v>0</v>
      </c>
      <c r="J162" s="156">
        <f t="shared" si="61"/>
        <v>0</v>
      </c>
      <c r="K162" s="156">
        <f t="shared" si="62"/>
        <v>0</v>
      </c>
      <c r="L162" s="156">
        <f t="shared" si="63"/>
        <v>0</v>
      </c>
      <c r="M162" s="188">
        <f t="shared" si="64"/>
        <v>0</v>
      </c>
      <c r="N162" s="80"/>
      <c r="O162" s="7"/>
      <c r="P162" s="79"/>
      <c r="Q162" s="79"/>
      <c r="R162" s="79"/>
      <c r="S162" s="16"/>
      <c r="T162" s="82"/>
      <c r="U162" s="14"/>
      <c r="V162" s="14"/>
      <c r="W162" s="84"/>
      <c r="X162" s="83"/>
      <c r="Y162" s="85"/>
      <c r="Z162" s="85"/>
      <c r="AA162" s="85"/>
      <c r="AB162" s="85"/>
      <c r="AC162" s="85"/>
      <c r="AD162" s="85"/>
      <c r="AE162" s="85"/>
      <c r="AF162" s="85"/>
      <c r="AG162" s="85"/>
      <c r="AH162" s="86"/>
      <c r="AI162" s="86"/>
      <c r="AJ162" s="86"/>
      <c r="AK162" s="86"/>
      <c r="AL162" s="86"/>
      <c r="AM162" s="86"/>
      <c r="AN162" s="86"/>
      <c r="AO162" s="86"/>
      <c r="AP162" s="86"/>
      <c r="AQ162" s="86"/>
      <c r="AR162" s="86"/>
      <c r="AS162" s="86"/>
      <c r="AT162" s="86"/>
      <c r="AU162" s="86"/>
      <c r="AV162" s="86"/>
      <c r="AW162" s="86"/>
      <c r="AX162" s="86"/>
      <c r="AY162" s="86"/>
      <c r="AZ162" s="86"/>
      <c r="BA162" s="86"/>
      <c r="BB162" s="86"/>
      <c r="BC162" s="86"/>
      <c r="BD162" s="86"/>
      <c r="BE162" s="86"/>
      <c r="BF162" s="86"/>
      <c r="BG162" s="86"/>
      <c r="BH162" s="86"/>
      <c r="BI162" s="86"/>
    </row>
    <row r="163" spans="1:66" s="87" customFormat="1" ht="99.75">
      <c r="A163" s="156" t="s">
        <v>212</v>
      </c>
      <c r="B163" s="157" t="s">
        <v>213</v>
      </c>
      <c r="C163" s="156" t="s">
        <v>7</v>
      </c>
      <c r="D163" s="155">
        <v>1</v>
      </c>
      <c r="E163" s="156">
        <v>2718.67</v>
      </c>
      <c r="F163" s="156">
        <f t="shared" si="59"/>
        <v>2718.67</v>
      </c>
      <c r="G163" s="156">
        <v>0</v>
      </c>
      <c r="H163" s="200">
        <f>'MEMORIA BM 06'!L388</f>
        <v>1</v>
      </c>
      <c r="I163" s="156">
        <f t="shared" si="60"/>
        <v>1</v>
      </c>
      <c r="J163" s="156">
        <f t="shared" si="61"/>
        <v>0</v>
      </c>
      <c r="K163" s="156">
        <f t="shared" si="62"/>
        <v>2718.67</v>
      </c>
      <c r="L163" s="156">
        <f t="shared" si="63"/>
        <v>2718.67</v>
      </c>
      <c r="M163" s="188">
        <f t="shared" si="64"/>
        <v>1</v>
      </c>
      <c r="N163" s="80"/>
      <c r="O163" s="7"/>
      <c r="P163" s="79"/>
      <c r="Q163" s="79"/>
      <c r="R163" s="79"/>
      <c r="S163" s="16"/>
      <c r="T163" s="82"/>
      <c r="U163" s="14"/>
      <c r="V163" s="14"/>
      <c r="W163" s="84"/>
      <c r="X163" s="83"/>
      <c r="Y163" s="85"/>
      <c r="Z163" s="85"/>
      <c r="AA163" s="85"/>
      <c r="AB163" s="85"/>
      <c r="AC163" s="85"/>
      <c r="AD163" s="85"/>
      <c r="AE163" s="85"/>
      <c r="AF163" s="85"/>
      <c r="AG163" s="85"/>
      <c r="AH163" s="86"/>
      <c r="AI163" s="86"/>
      <c r="AJ163" s="86"/>
      <c r="AK163" s="86"/>
      <c r="AL163" s="86"/>
      <c r="AM163" s="86"/>
      <c r="AN163" s="86"/>
      <c r="AO163" s="86"/>
      <c r="AP163" s="86"/>
      <c r="AQ163" s="86"/>
      <c r="AR163" s="86"/>
      <c r="AS163" s="86"/>
      <c r="AT163" s="86"/>
      <c r="AU163" s="86"/>
      <c r="AV163" s="86"/>
      <c r="AW163" s="86"/>
      <c r="AX163" s="86"/>
      <c r="AY163" s="86"/>
      <c r="AZ163" s="86"/>
      <c r="BA163" s="86"/>
      <c r="BB163" s="86"/>
      <c r="BC163" s="86"/>
      <c r="BD163" s="86"/>
      <c r="BE163" s="86"/>
      <c r="BF163" s="86"/>
      <c r="BG163" s="86"/>
      <c r="BH163" s="86"/>
      <c r="BI163" s="86"/>
    </row>
    <row r="164" spans="1:66" s="87" customFormat="1">
      <c r="A164" s="156" t="s">
        <v>214</v>
      </c>
      <c r="B164" s="157" t="s">
        <v>215</v>
      </c>
      <c r="C164" s="156" t="s">
        <v>7</v>
      </c>
      <c r="D164" s="155">
        <v>1</v>
      </c>
      <c r="E164" s="156">
        <v>3978.99</v>
      </c>
      <c r="F164" s="156">
        <f t="shared" si="59"/>
        <v>3978.99</v>
      </c>
      <c r="G164" s="156">
        <v>1</v>
      </c>
      <c r="H164" s="156"/>
      <c r="I164" s="156">
        <f t="shared" si="60"/>
        <v>1</v>
      </c>
      <c r="J164" s="156">
        <f t="shared" si="61"/>
        <v>3978.99</v>
      </c>
      <c r="K164" s="156">
        <f t="shared" si="62"/>
        <v>0</v>
      </c>
      <c r="L164" s="156">
        <f t="shared" si="63"/>
        <v>3978.99</v>
      </c>
      <c r="M164" s="188">
        <f t="shared" si="64"/>
        <v>1</v>
      </c>
      <c r="N164" s="81"/>
      <c r="O164" s="7"/>
      <c r="P164" s="79"/>
      <c r="Q164" s="79"/>
      <c r="R164" s="79"/>
      <c r="S164" s="16"/>
      <c r="T164" s="82"/>
      <c r="U164" s="14"/>
      <c r="V164" s="14"/>
      <c r="W164" s="84"/>
      <c r="X164" s="83"/>
      <c r="Y164" s="85"/>
      <c r="Z164" s="85"/>
      <c r="AA164" s="85"/>
      <c r="AB164" s="85"/>
      <c r="AC164" s="85"/>
      <c r="AD164" s="85"/>
      <c r="AE164" s="85"/>
      <c r="AF164" s="85"/>
      <c r="AG164" s="85"/>
      <c r="AH164" s="86"/>
      <c r="AI164" s="86"/>
      <c r="AJ164" s="86"/>
      <c r="AK164" s="86"/>
      <c r="AL164" s="86"/>
      <c r="AM164" s="86"/>
      <c r="AN164" s="86"/>
      <c r="AO164" s="86"/>
      <c r="AP164" s="86"/>
      <c r="AQ164" s="86"/>
      <c r="AR164" s="86"/>
      <c r="AS164" s="86"/>
      <c r="AT164" s="86"/>
      <c r="AU164" s="86"/>
      <c r="AV164" s="86"/>
      <c r="AW164" s="86"/>
      <c r="AX164" s="86"/>
      <c r="AY164" s="86"/>
      <c r="AZ164" s="86"/>
      <c r="BA164" s="86"/>
      <c r="BB164" s="86"/>
      <c r="BC164" s="86"/>
      <c r="BD164" s="86"/>
      <c r="BE164" s="86"/>
      <c r="BF164" s="86"/>
      <c r="BG164" s="86"/>
      <c r="BH164" s="86"/>
      <c r="BI164" s="86"/>
    </row>
    <row r="165" spans="1:66" s="87" customFormat="1" ht="28.5">
      <c r="A165" s="156" t="s">
        <v>615</v>
      </c>
      <c r="B165" s="157" t="s">
        <v>616</v>
      </c>
      <c r="C165" s="156" t="s">
        <v>602</v>
      </c>
      <c r="D165" s="155">
        <v>1</v>
      </c>
      <c r="E165" s="156">
        <v>134.91999999999999</v>
      </c>
      <c r="F165" s="156">
        <f t="shared" si="59"/>
        <v>134.91999999999999</v>
      </c>
      <c r="G165" s="156">
        <v>0</v>
      </c>
      <c r="H165" s="156">
        <f>'MEMORIA BM 06'!L394</f>
        <v>1</v>
      </c>
      <c r="I165" s="156">
        <f t="shared" si="60"/>
        <v>1</v>
      </c>
      <c r="J165" s="156">
        <f t="shared" si="61"/>
        <v>0</v>
      </c>
      <c r="K165" s="156">
        <f t="shared" si="62"/>
        <v>134.91999999999999</v>
      </c>
      <c r="L165" s="156">
        <f t="shared" si="63"/>
        <v>134.91999999999999</v>
      </c>
      <c r="M165" s="188">
        <f t="shared" si="64"/>
        <v>1</v>
      </c>
      <c r="N165" s="81"/>
      <c r="O165" s="7"/>
      <c r="P165" s="79"/>
      <c r="Q165" s="79"/>
      <c r="R165" s="79"/>
      <c r="S165" s="16"/>
      <c r="T165" s="82"/>
      <c r="U165" s="14"/>
      <c r="V165" s="14"/>
      <c r="W165" s="84"/>
      <c r="X165" s="83"/>
      <c r="Y165" s="85"/>
      <c r="Z165" s="85"/>
      <c r="AA165" s="85"/>
      <c r="AB165" s="85"/>
      <c r="AC165" s="85"/>
      <c r="AD165" s="85"/>
      <c r="AE165" s="85"/>
      <c r="AF165" s="85"/>
      <c r="AG165" s="85"/>
      <c r="AH165" s="86"/>
      <c r="AI165" s="86"/>
      <c r="AJ165" s="86"/>
      <c r="AK165" s="86"/>
      <c r="AL165" s="86"/>
      <c r="AM165" s="86"/>
      <c r="AN165" s="86"/>
      <c r="AO165" s="86"/>
      <c r="AP165" s="86"/>
      <c r="AQ165" s="86"/>
      <c r="AR165" s="86"/>
      <c r="AS165" s="86"/>
      <c r="AT165" s="86"/>
      <c r="AU165" s="86"/>
      <c r="AV165" s="86"/>
      <c r="AW165" s="86"/>
      <c r="AX165" s="86"/>
      <c r="AY165" s="86"/>
      <c r="AZ165" s="86"/>
      <c r="BA165" s="86"/>
      <c r="BB165" s="86"/>
      <c r="BC165" s="86"/>
      <c r="BD165" s="86"/>
      <c r="BE165" s="86"/>
      <c r="BF165" s="86"/>
      <c r="BG165" s="86"/>
      <c r="BH165" s="86"/>
      <c r="BI165" s="86"/>
    </row>
    <row r="166" spans="1:66" s="87" customFormat="1" ht="28.5">
      <c r="A166" s="156" t="s">
        <v>617</v>
      </c>
      <c r="B166" s="157" t="s">
        <v>618</v>
      </c>
      <c r="C166" s="156" t="s">
        <v>43</v>
      </c>
      <c r="D166" s="155">
        <v>21</v>
      </c>
      <c r="E166" s="156">
        <v>8.49</v>
      </c>
      <c r="F166" s="156">
        <f t="shared" si="59"/>
        <v>178.29</v>
      </c>
      <c r="G166" s="156">
        <v>21</v>
      </c>
      <c r="H166" s="156"/>
      <c r="I166" s="156">
        <f t="shared" si="60"/>
        <v>21</v>
      </c>
      <c r="J166" s="156">
        <f t="shared" si="61"/>
        <v>178.29</v>
      </c>
      <c r="K166" s="156">
        <f t="shared" si="62"/>
        <v>0</v>
      </c>
      <c r="L166" s="156">
        <f t="shared" si="63"/>
        <v>178.29</v>
      </c>
      <c r="M166" s="188">
        <f t="shared" si="64"/>
        <v>1</v>
      </c>
      <c r="N166" s="81"/>
      <c r="O166" s="7"/>
      <c r="P166" s="79"/>
      <c r="Q166" s="79"/>
      <c r="R166" s="79"/>
      <c r="S166" s="16"/>
      <c r="T166" s="82"/>
      <c r="U166" s="14"/>
      <c r="V166" s="14"/>
      <c r="W166" s="84"/>
      <c r="X166" s="83"/>
      <c r="Y166" s="85"/>
      <c r="Z166" s="85"/>
      <c r="AA166" s="85"/>
      <c r="AB166" s="85"/>
      <c r="AC166" s="85"/>
      <c r="AD166" s="85"/>
      <c r="AE166" s="85"/>
      <c r="AF166" s="85"/>
      <c r="AG166" s="85"/>
      <c r="AH166" s="86"/>
      <c r="AI166" s="86"/>
      <c r="AJ166" s="86"/>
      <c r="AK166" s="86"/>
      <c r="AL166" s="86"/>
      <c r="AM166" s="86"/>
      <c r="AN166" s="86"/>
      <c r="AO166" s="86"/>
      <c r="AP166" s="86"/>
      <c r="AQ166" s="86"/>
      <c r="AR166" s="86"/>
      <c r="AS166" s="86"/>
      <c r="AT166" s="86"/>
      <c r="AU166" s="86"/>
      <c r="AV166" s="86"/>
      <c r="AW166" s="86"/>
      <c r="AX166" s="86"/>
      <c r="AY166" s="86"/>
      <c r="AZ166" s="86"/>
      <c r="BA166" s="86"/>
      <c r="BB166" s="86"/>
      <c r="BC166" s="86"/>
      <c r="BD166" s="86"/>
      <c r="BE166" s="86"/>
      <c r="BF166" s="86"/>
      <c r="BG166" s="86"/>
      <c r="BH166" s="86"/>
      <c r="BI166" s="86"/>
    </row>
    <row r="167" spans="1:66" s="87" customFormat="1" ht="28.5">
      <c r="A167" s="156" t="s">
        <v>619</v>
      </c>
      <c r="B167" s="157" t="s">
        <v>620</v>
      </c>
      <c r="C167" s="156" t="s">
        <v>602</v>
      </c>
      <c r="D167" s="155">
        <v>7</v>
      </c>
      <c r="E167" s="156">
        <v>3.09</v>
      </c>
      <c r="F167" s="156">
        <f t="shared" si="59"/>
        <v>21.63</v>
      </c>
      <c r="G167" s="156">
        <v>7</v>
      </c>
      <c r="H167" s="156"/>
      <c r="I167" s="156">
        <f t="shared" si="60"/>
        <v>7</v>
      </c>
      <c r="J167" s="156">
        <f t="shared" si="61"/>
        <v>21.63</v>
      </c>
      <c r="K167" s="156">
        <f t="shared" si="62"/>
        <v>0</v>
      </c>
      <c r="L167" s="156">
        <f t="shared" si="63"/>
        <v>21.63</v>
      </c>
      <c r="M167" s="188">
        <f t="shared" si="64"/>
        <v>1</v>
      </c>
      <c r="N167" s="81"/>
      <c r="O167" s="7"/>
      <c r="P167" s="79"/>
      <c r="Q167" s="79"/>
      <c r="R167" s="79"/>
      <c r="S167" s="16"/>
      <c r="T167" s="82"/>
      <c r="U167" s="14"/>
      <c r="V167" s="14"/>
      <c r="W167" s="84"/>
      <c r="X167" s="83"/>
      <c r="Y167" s="85"/>
      <c r="Z167" s="85"/>
      <c r="AA167" s="85"/>
      <c r="AB167" s="85"/>
      <c r="AC167" s="85"/>
      <c r="AD167" s="85"/>
      <c r="AE167" s="85"/>
      <c r="AF167" s="85"/>
      <c r="AG167" s="85"/>
      <c r="AH167" s="86"/>
      <c r="AI167" s="86"/>
      <c r="AJ167" s="86"/>
      <c r="AK167" s="86"/>
      <c r="AL167" s="86"/>
      <c r="AM167" s="86"/>
      <c r="AN167" s="86"/>
      <c r="AO167" s="86"/>
      <c r="AP167" s="86"/>
      <c r="AQ167" s="86"/>
      <c r="AR167" s="86"/>
      <c r="AS167" s="86"/>
      <c r="AT167" s="86"/>
      <c r="AU167" s="86"/>
      <c r="AV167" s="86"/>
      <c r="AW167" s="86"/>
      <c r="AX167" s="86"/>
      <c r="AY167" s="86"/>
      <c r="AZ167" s="86"/>
      <c r="BA167" s="86"/>
      <c r="BB167" s="86"/>
      <c r="BC167" s="86"/>
      <c r="BD167" s="86"/>
      <c r="BE167" s="86"/>
      <c r="BF167" s="86"/>
      <c r="BG167" s="86"/>
      <c r="BH167" s="86"/>
      <c r="BI167" s="86"/>
    </row>
    <row r="168" spans="1:66" s="87" customFormat="1">
      <c r="A168" s="156"/>
      <c r="B168" s="154"/>
      <c r="C168" s="156"/>
      <c r="D168" s="156"/>
      <c r="E168" s="156"/>
      <c r="F168" s="156"/>
      <c r="G168" s="156"/>
      <c r="H168" s="156"/>
      <c r="I168" s="156"/>
      <c r="J168" s="156"/>
      <c r="K168" s="156"/>
      <c r="L168" s="156"/>
      <c r="M168" s="188" t="e">
        <f t="shared" si="64"/>
        <v>#DIV/0!</v>
      </c>
      <c r="N168" s="81"/>
      <c r="O168" s="7"/>
      <c r="P168" s="79"/>
      <c r="Q168" s="79"/>
      <c r="R168" s="79"/>
      <c r="S168" s="16"/>
      <c r="T168" s="82"/>
      <c r="U168" s="14"/>
      <c r="V168" s="14"/>
      <c r="W168" s="84"/>
      <c r="X168" s="83"/>
      <c r="Y168" s="85"/>
      <c r="Z168" s="85"/>
      <c r="AA168" s="85"/>
      <c r="AB168" s="85"/>
      <c r="AC168" s="85"/>
      <c r="AD168" s="85"/>
      <c r="AE168" s="85"/>
      <c r="AF168" s="85"/>
      <c r="AG168" s="85"/>
      <c r="AH168" s="85"/>
      <c r="AI168" s="85"/>
      <c r="AJ168" s="85"/>
      <c r="AK168" s="85"/>
      <c r="AL168" s="85"/>
      <c r="AM168" s="85"/>
      <c r="AN168" s="85"/>
      <c r="AO168" s="85"/>
      <c r="AP168" s="85"/>
      <c r="AQ168" s="85"/>
      <c r="AR168" s="85"/>
      <c r="AS168" s="85"/>
      <c r="AT168" s="85"/>
      <c r="AU168" s="85"/>
      <c r="AV168" s="85"/>
      <c r="AW168" s="85"/>
      <c r="AX168" s="85"/>
      <c r="AY168" s="85"/>
      <c r="AZ168" s="85"/>
      <c r="BA168" s="85"/>
      <c r="BB168" s="85"/>
      <c r="BC168" s="85"/>
      <c r="BD168" s="85"/>
      <c r="BE168" s="85"/>
      <c r="BF168" s="85"/>
      <c r="BG168" s="85"/>
      <c r="BH168" s="85"/>
      <c r="BI168" s="85"/>
      <c r="BJ168" s="101"/>
      <c r="BK168" s="101"/>
      <c r="BL168" s="101"/>
      <c r="BM168" s="101"/>
      <c r="BN168" s="101"/>
    </row>
    <row r="169" spans="1:66" s="87" customFormat="1">
      <c r="A169" s="164" t="s">
        <v>216</v>
      </c>
      <c r="B169" s="165" t="s">
        <v>217</v>
      </c>
      <c r="C169" s="166"/>
      <c r="D169" s="167"/>
      <c r="E169" s="166"/>
      <c r="F169" s="166">
        <f>SUM(F171:F181)</f>
        <v>23125.97</v>
      </c>
      <c r="G169" s="166"/>
      <c r="H169" s="166"/>
      <c r="I169" s="166"/>
      <c r="J169" s="166">
        <f>SUM(J171:J181)</f>
        <v>23125.97</v>
      </c>
      <c r="K169" s="166">
        <f t="shared" ref="K169:L169" si="65">SUM(K171:K181)</f>
        <v>0</v>
      </c>
      <c r="L169" s="166">
        <f t="shared" si="65"/>
        <v>23125.97</v>
      </c>
      <c r="M169" s="188">
        <f t="shared" si="64"/>
        <v>1</v>
      </c>
      <c r="N169" s="98"/>
      <c r="O169" s="7"/>
      <c r="P169" s="97"/>
      <c r="Q169" s="97"/>
      <c r="R169" s="79"/>
      <c r="S169" s="16"/>
      <c r="T169" s="82"/>
      <c r="U169" s="14"/>
      <c r="V169" s="14"/>
      <c r="W169" s="84"/>
      <c r="X169" s="83"/>
      <c r="Y169" s="85"/>
      <c r="Z169" s="85"/>
      <c r="AA169" s="85"/>
      <c r="AB169" s="85"/>
      <c r="AC169" s="85"/>
      <c r="AD169" s="85"/>
      <c r="AE169" s="85"/>
      <c r="AF169" s="85"/>
      <c r="AG169" s="85"/>
      <c r="AH169" s="85"/>
      <c r="AI169" s="85"/>
      <c r="AJ169" s="85"/>
      <c r="AK169" s="86"/>
      <c r="AL169" s="86"/>
      <c r="AM169" s="86"/>
      <c r="AN169" s="86"/>
      <c r="AO169" s="86"/>
      <c r="AP169" s="86"/>
      <c r="AQ169" s="86"/>
      <c r="AR169" s="86"/>
      <c r="AS169" s="86"/>
      <c r="AT169" s="86"/>
      <c r="AU169" s="86"/>
      <c r="AV169" s="86"/>
      <c r="AW169" s="86"/>
      <c r="AX169" s="86"/>
      <c r="AY169" s="86"/>
      <c r="AZ169" s="86"/>
      <c r="BA169" s="86"/>
      <c r="BB169" s="86"/>
      <c r="BC169" s="86"/>
      <c r="BD169" s="86"/>
      <c r="BE169" s="86"/>
      <c r="BF169" s="86"/>
      <c r="BG169" s="86"/>
      <c r="BH169" s="86"/>
      <c r="BI169" s="86"/>
    </row>
    <row r="170" spans="1:66" s="87" customFormat="1">
      <c r="A170" s="156"/>
      <c r="B170" s="154"/>
      <c r="C170" s="156"/>
      <c r="D170" s="156"/>
      <c r="E170" s="156"/>
      <c r="F170" s="156"/>
      <c r="G170" s="156"/>
      <c r="H170" s="156"/>
      <c r="I170" s="156"/>
      <c r="J170" s="156"/>
      <c r="K170" s="156"/>
      <c r="L170" s="156"/>
      <c r="M170" s="188" t="e">
        <f t="shared" si="64"/>
        <v>#DIV/0!</v>
      </c>
      <c r="N170" s="81"/>
      <c r="O170" s="7"/>
      <c r="P170" s="79"/>
      <c r="Q170" s="79"/>
      <c r="R170" s="79"/>
      <c r="S170" s="16"/>
      <c r="T170" s="82"/>
      <c r="U170" s="14"/>
      <c r="V170" s="14"/>
      <c r="W170" s="84"/>
      <c r="X170" s="83"/>
      <c r="Y170" s="85"/>
      <c r="Z170" s="85"/>
      <c r="AA170" s="85"/>
      <c r="AB170" s="85"/>
      <c r="AC170" s="85"/>
      <c r="AD170" s="85"/>
      <c r="AE170" s="85"/>
      <c r="AF170" s="85"/>
      <c r="AG170" s="85"/>
      <c r="AH170" s="85"/>
      <c r="AI170" s="85"/>
      <c r="AJ170" s="85"/>
      <c r="AK170" s="85"/>
      <c r="AL170" s="85"/>
      <c r="AM170" s="85"/>
      <c r="AN170" s="85"/>
      <c r="AO170" s="85"/>
      <c r="AP170" s="85"/>
      <c r="AQ170" s="85"/>
      <c r="AR170" s="85"/>
      <c r="AS170" s="85"/>
      <c r="AT170" s="85"/>
      <c r="AU170" s="85"/>
      <c r="AV170" s="85"/>
      <c r="AW170" s="85"/>
      <c r="AX170" s="85"/>
      <c r="AY170" s="85"/>
      <c r="AZ170" s="85"/>
      <c r="BA170" s="85"/>
      <c r="BB170" s="85"/>
      <c r="BC170" s="85"/>
      <c r="BD170" s="85"/>
      <c r="BE170" s="85"/>
      <c r="BF170" s="85"/>
      <c r="BG170" s="85"/>
      <c r="BH170" s="85"/>
      <c r="BI170" s="85"/>
      <c r="BJ170" s="101"/>
      <c r="BK170" s="101"/>
      <c r="BL170" s="101"/>
      <c r="BM170" s="101"/>
      <c r="BN170" s="101"/>
    </row>
    <row r="171" spans="1:66" s="87" customFormat="1" ht="42.75">
      <c r="A171" s="156" t="s">
        <v>218</v>
      </c>
      <c r="B171" s="157" t="s">
        <v>198</v>
      </c>
      <c r="C171" s="156" t="s">
        <v>7</v>
      </c>
      <c r="D171" s="156">
        <v>7</v>
      </c>
      <c r="E171" s="156">
        <v>7</v>
      </c>
      <c r="F171" s="156">
        <f t="shared" ref="F171:F181" si="66">D171*E171</f>
        <v>49</v>
      </c>
      <c r="G171" s="156">
        <v>7</v>
      </c>
      <c r="H171" s="156"/>
      <c r="I171" s="156">
        <f t="shared" ref="I171:I181" si="67">G171+H171</f>
        <v>7</v>
      </c>
      <c r="J171" s="156">
        <f t="shared" ref="J171:J181" si="68">E171*G171</f>
        <v>49</v>
      </c>
      <c r="K171" s="156">
        <f t="shared" ref="K171:K181" si="69">H171*E171</f>
        <v>0</v>
      </c>
      <c r="L171" s="156">
        <f t="shared" ref="L171:L181" si="70">J171+K171</f>
        <v>49</v>
      </c>
      <c r="M171" s="188">
        <f t="shared" si="64"/>
        <v>1</v>
      </c>
      <c r="N171" s="81"/>
      <c r="O171" s="7"/>
      <c r="P171" s="79"/>
      <c r="Q171" s="79"/>
      <c r="R171" s="79"/>
      <c r="S171" s="16"/>
      <c r="T171" s="82"/>
      <c r="U171" s="14"/>
      <c r="V171" s="14"/>
      <c r="W171" s="84"/>
      <c r="X171" s="83"/>
      <c r="Y171" s="85"/>
      <c r="Z171" s="85"/>
      <c r="AA171" s="85"/>
      <c r="AB171" s="85"/>
      <c r="AC171" s="85"/>
      <c r="AD171" s="85"/>
      <c r="AE171" s="85"/>
      <c r="AF171" s="85"/>
      <c r="AG171" s="85"/>
      <c r="AH171" s="85"/>
      <c r="AI171" s="85"/>
      <c r="AJ171" s="85"/>
      <c r="AK171" s="85"/>
      <c r="AL171" s="85"/>
      <c r="AM171" s="85"/>
      <c r="AN171" s="85"/>
      <c r="AO171" s="85"/>
      <c r="AP171" s="85"/>
      <c r="AQ171" s="85"/>
      <c r="AR171" s="85"/>
      <c r="AS171" s="85"/>
      <c r="AT171" s="85"/>
      <c r="AU171" s="85"/>
      <c r="AV171" s="85"/>
      <c r="AW171" s="85"/>
      <c r="AX171" s="85"/>
      <c r="AY171" s="85"/>
      <c r="AZ171" s="85"/>
      <c r="BA171" s="85"/>
      <c r="BB171" s="85"/>
      <c r="BC171" s="85"/>
      <c r="BD171" s="85"/>
      <c r="BE171" s="85"/>
      <c r="BF171" s="85"/>
      <c r="BG171" s="85"/>
      <c r="BH171" s="85"/>
      <c r="BI171" s="85"/>
      <c r="BJ171" s="101"/>
      <c r="BK171" s="101"/>
      <c r="BL171" s="101"/>
      <c r="BM171" s="101"/>
      <c r="BN171" s="101"/>
    </row>
    <row r="172" spans="1:66" s="87" customFormat="1" ht="57">
      <c r="A172" s="156" t="s">
        <v>219</v>
      </c>
      <c r="B172" s="157" t="s">
        <v>220</v>
      </c>
      <c r="C172" s="156" t="s">
        <v>5</v>
      </c>
      <c r="D172" s="156">
        <v>40</v>
      </c>
      <c r="E172" s="156">
        <v>45.13</v>
      </c>
      <c r="F172" s="156">
        <f t="shared" si="66"/>
        <v>1805.2</v>
      </c>
      <c r="G172" s="156">
        <v>40</v>
      </c>
      <c r="H172" s="156"/>
      <c r="I172" s="156">
        <f t="shared" si="67"/>
        <v>40</v>
      </c>
      <c r="J172" s="156">
        <f t="shared" si="68"/>
        <v>1805.2</v>
      </c>
      <c r="K172" s="156">
        <f t="shared" si="69"/>
        <v>0</v>
      </c>
      <c r="L172" s="156">
        <f t="shared" si="70"/>
        <v>1805.2</v>
      </c>
      <c r="M172" s="188">
        <f t="shared" si="64"/>
        <v>1</v>
      </c>
      <c r="N172" s="81"/>
      <c r="O172" s="7"/>
      <c r="P172" s="80"/>
      <c r="Q172" s="80"/>
      <c r="R172" s="91"/>
      <c r="S172" s="8"/>
      <c r="T172" s="82"/>
      <c r="U172" s="9"/>
      <c r="V172" s="9"/>
      <c r="W172" s="10"/>
      <c r="X172" s="9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2"/>
      <c r="BK172" s="12"/>
      <c r="BL172" s="12"/>
      <c r="BM172" s="12"/>
      <c r="BN172" s="12"/>
    </row>
    <row r="173" spans="1:66">
      <c r="A173" s="156" t="s">
        <v>221</v>
      </c>
      <c r="B173" s="158" t="s">
        <v>222</v>
      </c>
      <c r="C173" s="156" t="s">
        <v>7</v>
      </c>
      <c r="D173" s="156">
        <v>2</v>
      </c>
      <c r="E173" s="156">
        <v>443.39</v>
      </c>
      <c r="F173" s="156">
        <f t="shared" si="66"/>
        <v>886.78</v>
      </c>
      <c r="G173" s="156">
        <v>2</v>
      </c>
      <c r="H173" s="156"/>
      <c r="I173" s="156">
        <f t="shared" si="67"/>
        <v>2</v>
      </c>
      <c r="J173" s="156">
        <f t="shared" si="68"/>
        <v>886.78</v>
      </c>
      <c r="K173" s="156">
        <f t="shared" si="69"/>
        <v>0</v>
      </c>
      <c r="L173" s="156">
        <f t="shared" si="70"/>
        <v>886.78</v>
      </c>
      <c r="M173" s="188">
        <f t="shared" si="64"/>
        <v>1</v>
      </c>
      <c r="N173" s="81"/>
      <c r="O173" s="7"/>
      <c r="P173" s="80"/>
      <c r="Q173" s="80"/>
      <c r="R173" s="91"/>
      <c r="S173" s="8"/>
      <c r="T173" s="82"/>
      <c r="W173" s="10"/>
      <c r="X173" s="9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</row>
    <row r="174" spans="1:66">
      <c r="A174" s="156" t="s">
        <v>223</v>
      </c>
      <c r="B174" s="158" t="s">
        <v>224</v>
      </c>
      <c r="C174" s="156" t="s">
        <v>7</v>
      </c>
      <c r="D174" s="156">
        <v>1</v>
      </c>
      <c r="E174" s="156">
        <v>107.54</v>
      </c>
      <c r="F174" s="156">
        <f t="shared" si="66"/>
        <v>107.54</v>
      </c>
      <c r="G174" s="156">
        <v>1</v>
      </c>
      <c r="H174" s="156"/>
      <c r="I174" s="156">
        <f t="shared" si="67"/>
        <v>1</v>
      </c>
      <c r="J174" s="156">
        <f t="shared" si="68"/>
        <v>107.54</v>
      </c>
      <c r="K174" s="156">
        <f t="shared" si="69"/>
        <v>0</v>
      </c>
      <c r="L174" s="156">
        <f t="shared" si="70"/>
        <v>107.54</v>
      </c>
      <c r="M174" s="188">
        <f t="shared" si="64"/>
        <v>1</v>
      </c>
      <c r="N174" s="81"/>
      <c r="O174" s="7"/>
      <c r="P174" s="80"/>
      <c r="Q174" s="80"/>
      <c r="R174" s="91"/>
      <c r="S174" s="8"/>
      <c r="T174" s="82"/>
      <c r="W174" s="10"/>
      <c r="X174" s="9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</row>
    <row r="175" spans="1:66" ht="28.5">
      <c r="A175" s="156" t="s">
        <v>225</v>
      </c>
      <c r="B175" s="157" t="s">
        <v>226</v>
      </c>
      <c r="C175" s="156" t="s">
        <v>7</v>
      </c>
      <c r="D175" s="156">
        <v>4</v>
      </c>
      <c r="E175" s="156">
        <v>223.9</v>
      </c>
      <c r="F175" s="156">
        <f t="shared" si="66"/>
        <v>895.6</v>
      </c>
      <c r="G175" s="156">
        <v>4</v>
      </c>
      <c r="H175" s="156"/>
      <c r="I175" s="156">
        <f t="shared" si="67"/>
        <v>4</v>
      </c>
      <c r="J175" s="156">
        <f t="shared" si="68"/>
        <v>895.6</v>
      </c>
      <c r="K175" s="156">
        <f t="shared" si="69"/>
        <v>0</v>
      </c>
      <c r="L175" s="156">
        <f t="shared" si="70"/>
        <v>895.6</v>
      </c>
      <c r="M175" s="188">
        <f t="shared" si="64"/>
        <v>1</v>
      </c>
      <c r="N175" s="81"/>
      <c r="O175" s="7"/>
      <c r="P175" s="80"/>
      <c r="Q175" s="80"/>
      <c r="R175" s="91"/>
      <c r="S175" s="8"/>
      <c r="T175" s="82"/>
      <c r="W175" s="10"/>
      <c r="X175" s="9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</row>
    <row r="176" spans="1:66" ht="28.5">
      <c r="A176" s="156" t="s">
        <v>227</v>
      </c>
      <c r="B176" s="157" t="s">
        <v>228</v>
      </c>
      <c r="C176" s="156" t="s">
        <v>7</v>
      </c>
      <c r="D176" s="156">
        <v>10</v>
      </c>
      <c r="E176" s="156">
        <v>56.74</v>
      </c>
      <c r="F176" s="156">
        <f t="shared" si="66"/>
        <v>567.4</v>
      </c>
      <c r="G176" s="156">
        <v>10</v>
      </c>
      <c r="H176" s="156"/>
      <c r="I176" s="156">
        <f t="shared" si="67"/>
        <v>10</v>
      </c>
      <c r="J176" s="156">
        <f t="shared" si="68"/>
        <v>567.4</v>
      </c>
      <c r="K176" s="156">
        <f t="shared" si="69"/>
        <v>0</v>
      </c>
      <c r="L176" s="156">
        <f t="shared" si="70"/>
        <v>567.4</v>
      </c>
      <c r="M176" s="188">
        <f t="shared" si="64"/>
        <v>1</v>
      </c>
      <c r="N176" s="81"/>
      <c r="O176" s="7"/>
      <c r="P176" s="80"/>
      <c r="Q176" s="80"/>
      <c r="R176" s="91"/>
      <c r="S176" s="8"/>
      <c r="T176" s="82"/>
      <c r="W176" s="10"/>
      <c r="X176" s="9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</row>
    <row r="177" spans="1:66" ht="28.5">
      <c r="A177" s="156" t="s">
        <v>229</v>
      </c>
      <c r="B177" s="157" t="s">
        <v>230</v>
      </c>
      <c r="C177" s="156" t="s">
        <v>7</v>
      </c>
      <c r="D177" s="156">
        <v>2</v>
      </c>
      <c r="E177" s="156">
        <v>85.83</v>
      </c>
      <c r="F177" s="156">
        <f t="shared" si="66"/>
        <v>171.66</v>
      </c>
      <c r="G177" s="156">
        <v>2</v>
      </c>
      <c r="H177" s="156"/>
      <c r="I177" s="156">
        <f t="shared" si="67"/>
        <v>2</v>
      </c>
      <c r="J177" s="156">
        <f t="shared" si="68"/>
        <v>171.66</v>
      </c>
      <c r="K177" s="156">
        <f t="shared" si="69"/>
        <v>0</v>
      </c>
      <c r="L177" s="156">
        <f t="shared" si="70"/>
        <v>171.66</v>
      </c>
      <c r="M177" s="188">
        <f t="shared" si="64"/>
        <v>1</v>
      </c>
      <c r="N177" s="81"/>
      <c r="O177" s="7"/>
      <c r="P177" s="80"/>
      <c r="Q177" s="80"/>
      <c r="R177" s="91"/>
      <c r="S177" s="8"/>
      <c r="T177" s="82"/>
      <c r="W177" s="10"/>
      <c r="X177" s="9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</row>
    <row r="178" spans="1:66">
      <c r="A178" s="156" t="s">
        <v>233</v>
      </c>
      <c r="B178" s="157" t="s">
        <v>231</v>
      </c>
      <c r="C178" s="156" t="s">
        <v>232</v>
      </c>
      <c r="D178" s="156">
        <v>5</v>
      </c>
      <c r="E178" s="156">
        <v>87.88</v>
      </c>
      <c r="F178" s="156">
        <f t="shared" si="66"/>
        <v>439.4</v>
      </c>
      <c r="G178" s="156">
        <v>5</v>
      </c>
      <c r="H178" s="156"/>
      <c r="I178" s="156">
        <f t="shared" si="67"/>
        <v>5</v>
      </c>
      <c r="J178" s="156">
        <f t="shared" si="68"/>
        <v>439.4</v>
      </c>
      <c r="K178" s="156">
        <f t="shared" si="69"/>
        <v>0</v>
      </c>
      <c r="L178" s="156">
        <f t="shared" si="70"/>
        <v>439.4</v>
      </c>
      <c r="M178" s="188">
        <f t="shared" si="64"/>
        <v>1</v>
      </c>
      <c r="N178" s="81"/>
      <c r="O178" s="7"/>
      <c r="P178" s="80"/>
      <c r="Q178" s="80"/>
      <c r="R178" s="91"/>
      <c r="S178" s="8"/>
      <c r="T178" s="82"/>
      <c r="W178" s="10"/>
      <c r="X178" s="9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</row>
    <row r="179" spans="1:66" ht="28.5">
      <c r="A179" s="156" t="s">
        <v>621</v>
      </c>
      <c r="B179" s="157" t="s">
        <v>622</v>
      </c>
      <c r="C179" s="156" t="s">
        <v>602</v>
      </c>
      <c r="D179" s="156">
        <v>1</v>
      </c>
      <c r="E179" s="156">
        <v>7103.93</v>
      </c>
      <c r="F179" s="156">
        <f t="shared" si="66"/>
        <v>7103.93</v>
      </c>
      <c r="G179" s="156">
        <v>1</v>
      </c>
      <c r="H179" s="156"/>
      <c r="I179" s="156">
        <f t="shared" si="67"/>
        <v>1</v>
      </c>
      <c r="J179" s="156">
        <f t="shared" si="68"/>
        <v>7103.93</v>
      </c>
      <c r="K179" s="156">
        <f t="shared" si="69"/>
        <v>0</v>
      </c>
      <c r="L179" s="156">
        <f t="shared" si="70"/>
        <v>7103.93</v>
      </c>
      <c r="M179" s="188">
        <f t="shared" si="64"/>
        <v>1</v>
      </c>
      <c r="N179" s="81"/>
      <c r="O179" s="7"/>
      <c r="P179" s="80"/>
      <c r="Q179" s="80"/>
      <c r="R179" s="91"/>
      <c r="S179" s="8"/>
      <c r="T179" s="82"/>
      <c r="W179" s="10"/>
      <c r="X179" s="9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</row>
    <row r="180" spans="1:66" ht="28.5">
      <c r="A180" s="156" t="s">
        <v>623</v>
      </c>
      <c r="B180" s="157" t="s">
        <v>624</v>
      </c>
      <c r="C180" s="156" t="s">
        <v>602</v>
      </c>
      <c r="D180" s="156">
        <v>1</v>
      </c>
      <c r="E180" s="156">
        <v>7260.24</v>
      </c>
      <c r="F180" s="156">
        <f t="shared" si="66"/>
        <v>7260.24</v>
      </c>
      <c r="G180" s="156">
        <v>1</v>
      </c>
      <c r="H180" s="156"/>
      <c r="I180" s="156">
        <f t="shared" si="67"/>
        <v>1</v>
      </c>
      <c r="J180" s="156">
        <f t="shared" si="68"/>
        <v>7260.24</v>
      </c>
      <c r="K180" s="156">
        <f t="shared" si="69"/>
        <v>0</v>
      </c>
      <c r="L180" s="156">
        <f t="shared" si="70"/>
        <v>7260.24</v>
      </c>
      <c r="M180" s="188">
        <f t="shared" si="64"/>
        <v>1</v>
      </c>
      <c r="N180" s="81"/>
      <c r="O180" s="7"/>
      <c r="P180" s="80"/>
      <c r="Q180" s="80"/>
      <c r="R180" s="91"/>
      <c r="S180" s="8"/>
      <c r="T180" s="82"/>
      <c r="W180" s="10"/>
      <c r="X180" s="9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</row>
    <row r="181" spans="1:66" ht="28.5">
      <c r="A181" s="156" t="s">
        <v>625</v>
      </c>
      <c r="B181" s="157" t="s">
        <v>626</v>
      </c>
      <c r="C181" s="156" t="s">
        <v>5</v>
      </c>
      <c r="D181" s="156">
        <v>18</v>
      </c>
      <c r="E181" s="156">
        <v>213.29</v>
      </c>
      <c r="F181" s="156">
        <f t="shared" si="66"/>
        <v>3839.22</v>
      </c>
      <c r="G181" s="156">
        <v>18</v>
      </c>
      <c r="H181" s="156"/>
      <c r="I181" s="156">
        <f t="shared" si="67"/>
        <v>18</v>
      </c>
      <c r="J181" s="156">
        <f t="shared" si="68"/>
        <v>3839.22</v>
      </c>
      <c r="K181" s="156">
        <f t="shared" si="69"/>
        <v>0</v>
      </c>
      <c r="L181" s="156">
        <f t="shared" si="70"/>
        <v>3839.22</v>
      </c>
      <c r="M181" s="188">
        <f t="shared" si="64"/>
        <v>1</v>
      </c>
      <c r="N181" s="81"/>
      <c r="O181" s="7"/>
      <c r="P181" s="80"/>
      <c r="Q181" s="80"/>
      <c r="R181" s="91"/>
      <c r="S181" s="8"/>
      <c r="T181" s="82"/>
      <c r="W181" s="10"/>
      <c r="X181" s="9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</row>
    <row r="182" spans="1:66">
      <c r="A182" s="156"/>
      <c r="B182" s="154"/>
      <c r="C182" s="156"/>
      <c r="D182" s="156"/>
      <c r="E182" s="156"/>
      <c r="F182" s="156"/>
      <c r="G182" s="156"/>
      <c r="H182" s="156"/>
      <c r="I182" s="156"/>
      <c r="J182" s="156"/>
      <c r="K182" s="156"/>
      <c r="L182" s="156"/>
      <c r="M182" s="188" t="e">
        <f t="shared" si="64"/>
        <v>#DIV/0!</v>
      </c>
      <c r="N182" s="81"/>
      <c r="O182" s="7"/>
      <c r="P182" s="79"/>
      <c r="Q182" s="79"/>
      <c r="R182" s="79"/>
      <c r="S182" s="16"/>
      <c r="T182" s="82"/>
      <c r="U182" s="14"/>
      <c r="V182" s="14"/>
      <c r="W182" s="84"/>
      <c r="X182" s="83"/>
      <c r="Y182" s="85"/>
      <c r="Z182" s="85"/>
      <c r="AA182" s="85"/>
      <c r="AB182" s="85"/>
      <c r="AC182" s="85"/>
      <c r="AD182" s="85"/>
      <c r="AE182" s="85"/>
      <c r="AF182" s="85"/>
      <c r="AG182" s="85"/>
      <c r="AH182" s="85"/>
      <c r="AI182" s="85"/>
      <c r="AJ182" s="85"/>
      <c r="AK182" s="85"/>
      <c r="AL182" s="85"/>
      <c r="AM182" s="85"/>
      <c r="AN182" s="85"/>
      <c r="AO182" s="85"/>
      <c r="AP182" s="85"/>
      <c r="AQ182" s="85"/>
      <c r="AR182" s="85"/>
      <c r="AS182" s="85"/>
      <c r="AT182" s="85"/>
      <c r="AU182" s="85"/>
      <c r="AV182" s="85"/>
      <c r="AW182" s="85"/>
      <c r="AX182" s="85"/>
      <c r="AY182" s="85"/>
      <c r="AZ182" s="85"/>
      <c r="BA182" s="85"/>
      <c r="BB182" s="85"/>
      <c r="BC182" s="85"/>
      <c r="BD182" s="85"/>
      <c r="BE182" s="85"/>
      <c r="BF182" s="85"/>
      <c r="BG182" s="85"/>
      <c r="BH182" s="85"/>
      <c r="BI182" s="85"/>
      <c r="BJ182" s="101"/>
      <c r="BK182" s="101"/>
      <c r="BL182" s="101"/>
      <c r="BM182" s="101"/>
      <c r="BN182" s="101"/>
    </row>
    <row r="183" spans="1:66" s="87" customFormat="1">
      <c r="A183" s="164" t="s">
        <v>234</v>
      </c>
      <c r="B183" s="165" t="s">
        <v>235</v>
      </c>
      <c r="C183" s="166"/>
      <c r="D183" s="167"/>
      <c r="E183" s="166"/>
      <c r="F183" s="166">
        <f>SUM(F185:F209)</f>
        <v>27838.5</v>
      </c>
      <c r="G183" s="166"/>
      <c r="H183" s="166"/>
      <c r="I183" s="166"/>
      <c r="J183" s="166">
        <f>SUM(J185:J209)</f>
        <v>17325.490000000002</v>
      </c>
      <c r="K183" s="166">
        <f t="shared" ref="K183:L183" si="71">SUM(K185:K209)</f>
        <v>5257.86</v>
      </c>
      <c r="L183" s="166">
        <f t="shared" si="71"/>
        <v>22583.35</v>
      </c>
      <c r="M183" s="188">
        <f t="shared" si="64"/>
        <v>0.81122725721572642</v>
      </c>
      <c r="N183" s="98">
        <f>F183-L183</f>
        <v>5255.1500000000015</v>
      </c>
      <c r="O183" s="7"/>
      <c r="P183" s="97"/>
      <c r="Q183" s="97"/>
      <c r="R183" s="79"/>
      <c r="S183" s="16"/>
      <c r="T183" s="82"/>
      <c r="U183" s="14"/>
      <c r="V183" s="14"/>
      <c r="W183" s="84"/>
      <c r="X183" s="83"/>
      <c r="Y183" s="85"/>
      <c r="Z183" s="85"/>
      <c r="AA183" s="85"/>
      <c r="AB183" s="85"/>
      <c r="AC183" s="85"/>
      <c r="AD183" s="85"/>
      <c r="AE183" s="85"/>
      <c r="AF183" s="85"/>
      <c r="AG183" s="85"/>
      <c r="AH183" s="85"/>
      <c r="AI183" s="85"/>
      <c r="AJ183" s="85"/>
      <c r="AK183" s="86"/>
      <c r="AL183" s="86"/>
      <c r="AM183" s="86"/>
      <c r="AN183" s="86"/>
      <c r="AO183" s="86"/>
      <c r="AP183" s="86"/>
      <c r="AQ183" s="86"/>
      <c r="AR183" s="86"/>
      <c r="AS183" s="86"/>
      <c r="AT183" s="86"/>
      <c r="AU183" s="86"/>
      <c r="AV183" s="86"/>
      <c r="AW183" s="86"/>
      <c r="AX183" s="86"/>
      <c r="AY183" s="86"/>
      <c r="AZ183" s="86"/>
      <c r="BA183" s="86"/>
      <c r="BB183" s="86"/>
      <c r="BC183" s="86"/>
      <c r="BD183" s="86"/>
      <c r="BE183" s="86"/>
      <c r="BF183" s="86"/>
      <c r="BG183" s="86"/>
      <c r="BH183" s="86"/>
      <c r="BI183" s="86"/>
    </row>
    <row r="184" spans="1:66">
      <c r="A184" s="156"/>
      <c r="B184" s="154"/>
      <c r="C184" s="156"/>
      <c r="D184" s="156"/>
      <c r="E184" s="156"/>
      <c r="F184" s="156"/>
      <c r="G184" s="156"/>
      <c r="H184" s="156"/>
      <c r="I184" s="156"/>
      <c r="J184" s="156"/>
      <c r="K184" s="156"/>
      <c r="L184" s="156"/>
      <c r="M184" s="188" t="e">
        <f t="shared" si="64"/>
        <v>#DIV/0!</v>
      </c>
      <c r="N184" s="81"/>
      <c r="O184" s="7"/>
      <c r="P184" s="80"/>
      <c r="Q184" s="80"/>
      <c r="R184" s="91"/>
      <c r="S184" s="8"/>
      <c r="T184" s="82"/>
      <c r="W184" s="10"/>
      <c r="X184" s="9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</row>
    <row r="185" spans="1:66" ht="28.5">
      <c r="A185" s="156" t="s">
        <v>236</v>
      </c>
      <c r="B185" s="157" t="s">
        <v>226</v>
      </c>
      <c r="C185" s="156" t="s">
        <v>7</v>
      </c>
      <c r="D185" s="156">
        <v>4</v>
      </c>
      <c r="E185" s="156">
        <v>220.04</v>
      </c>
      <c r="F185" s="156">
        <f t="shared" ref="F185:F209" si="72">D185*E185</f>
        <v>880.16</v>
      </c>
      <c r="G185" s="156">
        <v>2</v>
      </c>
      <c r="H185" s="156"/>
      <c r="I185" s="156">
        <f t="shared" ref="I185:I209" si="73">G185+H185</f>
        <v>2</v>
      </c>
      <c r="J185" s="156">
        <f t="shared" ref="J185:J209" si="74">E185*G185</f>
        <v>440.08</v>
      </c>
      <c r="K185" s="156">
        <f t="shared" ref="K185:K209" si="75">H185*E185</f>
        <v>0</v>
      </c>
      <c r="L185" s="156">
        <f t="shared" ref="L185:L209" si="76">J185+K185</f>
        <v>440.08</v>
      </c>
      <c r="M185" s="188">
        <f t="shared" si="64"/>
        <v>0.5</v>
      </c>
      <c r="N185" s="81"/>
      <c r="O185" s="7"/>
      <c r="P185" s="80"/>
      <c r="Q185" s="80"/>
      <c r="R185" s="91"/>
      <c r="S185" s="8"/>
      <c r="T185" s="82"/>
      <c r="W185" s="10"/>
      <c r="X185" s="9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</row>
    <row r="186" spans="1:66" ht="28.5">
      <c r="A186" s="156" t="s">
        <v>237</v>
      </c>
      <c r="B186" s="157" t="s">
        <v>238</v>
      </c>
      <c r="C186" s="156" t="s">
        <v>7</v>
      </c>
      <c r="D186" s="156">
        <v>1</v>
      </c>
      <c r="E186" s="156">
        <v>302.55</v>
      </c>
      <c r="F186" s="156">
        <f t="shared" si="72"/>
        <v>302.55</v>
      </c>
      <c r="G186" s="156">
        <v>0</v>
      </c>
      <c r="H186" s="156"/>
      <c r="I186" s="156">
        <f t="shared" si="73"/>
        <v>0</v>
      </c>
      <c r="J186" s="156">
        <f t="shared" si="74"/>
        <v>0</v>
      </c>
      <c r="K186" s="156">
        <f t="shared" si="75"/>
        <v>0</v>
      </c>
      <c r="L186" s="156">
        <f t="shared" si="76"/>
        <v>0</v>
      </c>
      <c r="M186" s="188">
        <f t="shared" si="64"/>
        <v>0</v>
      </c>
      <c r="N186" s="81"/>
      <c r="O186" s="7"/>
      <c r="P186" s="80"/>
      <c r="Q186" s="80"/>
      <c r="R186" s="91"/>
      <c r="S186" s="8"/>
      <c r="T186" s="82"/>
      <c r="W186" s="10"/>
      <c r="X186" s="9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</row>
    <row r="187" spans="1:66" ht="28.5">
      <c r="A187" s="156" t="s">
        <v>239</v>
      </c>
      <c r="B187" s="157" t="s">
        <v>240</v>
      </c>
      <c r="C187" s="156" t="s">
        <v>7</v>
      </c>
      <c r="D187" s="156">
        <v>7</v>
      </c>
      <c r="E187" s="156">
        <v>41.88</v>
      </c>
      <c r="F187" s="156">
        <f t="shared" si="72"/>
        <v>293.16000000000003</v>
      </c>
      <c r="G187" s="156">
        <v>7</v>
      </c>
      <c r="H187" s="156"/>
      <c r="I187" s="156">
        <f t="shared" si="73"/>
        <v>7</v>
      </c>
      <c r="J187" s="156">
        <f t="shared" si="74"/>
        <v>293.16000000000003</v>
      </c>
      <c r="K187" s="156">
        <f t="shared" si="75"/>
        <v>0</v>
      </c>
      <c r="L187" s="156">
        <f t="shared" si="76"/>
        <v>293.16000000000003</v>
      </c>
      <c r="M187" s="188">
        <f t="shared" si="64"/>
        <v>1</v>
      </c>
      <c r="N187" s="81"/>
      <c r="O187" s="7"/>
      <c r="P187" s="80"/>
      <c r="Q187" s="80"/>
      <c r="R187" s="91"/>
      <c r="S187" s="8"/>
      <c r="T187" s="82"/>
      <c r="W187" s="10"/>
      <c r="X187" s="9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</row>
    <row r="188" spans="1:66" ht="28.5">
      <c r="A188" s="156" t="s">
        <v>241</v>
      </c>
      <c r="B188" s="157" t="s">
        <v>242</v>
      </c>
      <c r="C188" s="156" t="s">
        <v>7</v>
      </c>
      <c r="D188" s="156">
        <v>10</v>
      </c>
      <c r="E188" s="156">
        <v>45.02</v>
      </c>
      <c r="F188" s="156">
        <f t="shared" si="72"/>
        <v>450.20000000000005</v>
      </c>
      <c r="G188" s="156">
        <v>8</v>
      </c>
      <c r="H188" s="156"/>
      <c r="I188" s="156">
        <f t="shared" si="73"/>
        <v>8</v>
      </c>
      <c r="J188" s="156">
        <f t="shared" si="74"/>
        <v>360.16</v>
      </c>
      <c r="K188" s="156">
        <f t="shared" si="75"/>
        <v>0</v>
      </c>
      <c r="L188" s="156">
        <f t="shared" si="76"/>
        <v>360.16</v>
      </c>
      <c r="M188" s="188">
        <f t="shared" si="64"/>
        <v>0.79999999999999993</v>
      </c>
      <c r="N188" s="81"/>
      <c r="O188" s="7"/>
      <c r="P188" s="80"/>
      <c r="Q188" s="80"/>
      <c r="R188" s="91"/>
      <c r="S188" s="8"/>
      <c r="T188" s="82"/>
      <c r="W188" s="10"/>
      <c r="X188" s="9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</row>
    <row r="189" spans="1:66" ht="28.5">
      <c r="A189" s="156" t="s">
        <v>243</v>
      </c>
      <c r="B189" s="157" t="s">
        <v>244</v>
      </c>
      <c r="C189" s="156" t="s">
        <v>7</v>
      </c>
      <c r="D189" s="156">
        <v>3</v>
      </c>
      <c r="E189" s="156">
        <v>39.47</v>
      </c>
      <c r="F189" s="156">
        <f t="shared" si="72"/>
        <v>118.41</v>
      </c>
      <c r="G189" s="156">
        <v>0</v>
      </c>
      <c r="H189" s="156"/>
      <c r="I189" s="156">
        <f t="shared" si="73"/>
        <v>0</v>
      </c>
      <c r="J189" s="156">
        <f t="shared" si="74"/>
        <v>0</v>
      </c>
      <c r="K189" s="156">
        <f t="shared" si="75"/>
        <v>0</v>
      </c>
      <c r="L189" s="156">
        <f t="shared" si="76"/>
        <v>0</v>
      </c>
      <c r="M189" s="188">
        <f t="shared" si="64"/>
        <v>0</v>
      </c>
      <c r="N189" s="81"/>
      <c r="O189" s="7"/>
      <c r="P189" s="80"/>
      <c r="Q189" s="80"/>
      <c r="R189" s="91"/>
      <c r="S189" s="8"/>
      <c r="T189" s="82"/>
      <c r="W189" s="10"/>
      <c r="X189" s="9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</row>
    <row r="190" spans="1:66" ht="28.5">
      <c r="A190" s="156" t="s">
        <v>245</v>
      </c>
      <c r="B190" s="157" t="s">
        <v>246</v>
      </c>
      <c r="C190" s="156" t="s">
        <v>7</v>
      </c>
      <c r="D190" s="156">
        <v>1</v>
      </c>
      <c r="E190" s="156">
        <v>42.9</v>
      </c>
      <c r="F190" s="156">
        <f t="shared" si="72"/>
        <v>42.9</v>
      </c>
      <c r="G190" s="156">
        <v>0</v>
      </c>
      <c r="H190" s="156"/>
      <c r="I190" s="156">
        <f t="shared" si="73"/>
        <v>0</v>
      </c>
      <c r="J190" s="156">
        <f t="shared" si="74"/>
        <v>0</v>
      </c>
      <c r="K190" s="156">
        <f t="shared" si="75"/>
        <v>0</v>
      </c>
      <c r="L190" s="156">
        <f t="shared" si="76"/>
        <v>0</v>
      </c>
      <c r="M190" s="188">
        <f t="shared" si="64"/>
        <v>0</v>
      </c>
      <c r="N190" s="81"/>
      <c r="O190" s="7"/>
      <c r="P190" s="80"/>
      <c r="Q190" s="80"/>
      <c r="R190" s="91"/>
      <c r="S190" s="8"/>
      <c r="T190" s="82"/>
      <c r="W190" s="10"/>
      <c r="X190" s="9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</row>
    <row r="191" spans="1:66" ht="28.5">
      <c r="A191" s="156" t="s">
        <v>247</v>
      </c>
      <c r="B191" s="157" t="s">
        <v>248</v>
      </c>
      <c r="C191" s="156" t="s">
        <v>7</v>
      </c>
      <c r="D191" s="156">
        <v>3</v>
      </c>
      <c r="E191" s="156">
        <v>53.64</v>
      </c>
      <c r="F191" s="156">
        <f t="shared" si="72"/>
        <v>160.92000000000002</v>
      </c>
      <c r="G191" s="156">
        <v>3</v>
      </c>
      <c r="H191" s="156"/>
      <c r="I191" s="156">
        <f t="shared" si="73"/>
        <v>3</v>
      </c>
      <c r="J191" s="156">
        <f t="shared" si="74"/>
        <v>160.92000000000002</v>
      </c>
      <c r="K191" s="156">
        <f t="shared" si="75"/>
        <v>0</v>
      </c>
      <c r="L191" s="156">
        <f t="shared" si="76"/>
        <v>160.92000000000002</v>
      </c>
      <c r="M191" s="188">
        <f t="shared" si="64"/>
        <v>1</v>
      </c>
      <c r="N191" s="81"/>
      <c r="O191" s="7"/>
      <c r="P191" s="80"/>
      <c r="Q191" s="80"/>
      <c r="R191" s="91"/>
      <c r="S191" s="8"/>
      <c r="T191" s="82"/>
      <c r="W191" s="10"/>
      <c r="X191" s="9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</row>
    <row r="192" spans="1:66" ht="28.5">
      <c r="A192" s="156" t="s">
        <v>249</v>
      </c>
      <c r="B192" s="157" t="s">
        <v>250</v>
      </c>
      <c r="C192" s="156" t="s">
        <v>7</v>
      </c>
      <c r="D192" s="156">
        <v>17</v>
      </c>
      <c r="E192" s="156">
        <v>15.83</v>
      </c>
      <c r="F192" s="156">
        <f t="shared" si="72"/>
        <v>269.11</v>
      </c>
      <c r="G192" s="156">
        <v>16</v>
      </c>
      <c r="H192" s="156"/>
      <c r="I192" s="156">
        <f t="shared" si="73"/>
        <v>16</v>
      </c>
      <c r="J192" s="156">
        <f t="shared" si="74"/>
        <v>253.28</v>
      </c>
      <c r="K192" s="156">
        <f t="shared" si="75"/>
        <v>0</v>
      </c>
      <c r="L192" s="156">
        <f t="shared" si="76"/>
        <v>253.28</v>
      </c>
      <c r="M192" s="188">
        <f t="shared" si="64"/>
        <v>0.94117647058823528</v>
      </c>
      <c r="N192" s="81"/>
      <c r="O192" s="7"/>
      <c r="P192" s="80"/>
      <c r="Q192" s="80"/>
      <c r="R192" s="91"/>
      <c r="S192" s="8"/>
      <c r="T192" s="82"/>
      <c r="W192" s="10"/>
      <c r="X192" s="9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</row>
    <row r="193" spans="1:61" ht="28.5">
      <c r="A193" s="156" t="s">
        <v>251</v>
      </c>
      <c r="B193" s="157" t="s">
        <v>252</v>
      </c>
      <c r="C193" s="156" t="s">
        <v>7</v>
      </c>
      <c r="D193" s="156">
        <v>6</v>
      </c>
      <c r="E193" s="156">
        <v>25.08</v>
      </c>
      <c r="F193" s="156">
        <f t="shared" si="72"/>
        <v>150.47999999999999</v>
      </c>
      <c r="G193" s="156">
        <v>6</v>
      </c>
      <c r="H193" s="156"/>
      <c r="I193" s="156">
        <f t="shared" si="73"/>
        <v>6</v>
      </c>
      <c r="J193" s="156">
        <f t="shared" si="74"/>
        <v>150.47999999999999</v>
      </c>
      <c r="K193" s="156">
        <f t="shared" si="75"/>
        <v>0</v>
      </c>
      <c r="L193" s="156">
        <f t="shared" si="76"/>
        <v>150.47999999999999</v>
      </c>
      <c r="M193" s="188">
        <f t="shared" si="64"/>
        <v>1</v>
      </c>
      <c r="N193" s="81"/>
      <c r="O193" s="7"/>
      <c r="P193" s="80"/>
      <c r="Q193" s="80"/>
      <c r="R193" s="91"/>
      <c r="S193" s="8"/>
      <c r="T193" s="82"/>
      <c r="W193" s="10"/>
      <c r="X193" s="9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</row>
    <row r="194" spans="1:61" ht="42.75">
      <c r="A194" s="156" t="s">
        <v>253</v>
      </c>
      <c r="B194" s="157" t="s">
        <v>254</v>
      </c>
      <c r="C194" s="156" t="s">
        <v>7</v>
      </c>
      <c r="D194" s="156">
        <v>24</v>
      </c>
      <c r="E194" s="156">
        <v>62.36</v>
      </c>
      <c r="F194" s="156">
        <f t="shared" si="72"/>
        <v>1496.6399999999999</v>
      </c>
      <c r="G194" s="156">
        <v>0</v>
      </c>
      <c r="H194" s="156">
        <f>'MEMORIA BM 06'!L467</f>
        <v>20</v>
      </c>
      <c r="I194" s="156">
        <f t="shared" si="73"/>
        <v>20</v>
      </c>
      <c r="J194" s="156">
        <f t="shared" si="74"/>
        <v>0</v>
      </c>
      <c r="K194" s="156">
        <f t="shared" si="75"/>
        <v>1247.2</v>
      </c>
      <c r="L194" s="156">
        <f t="shared" si="76"/>
        <v>1247.2</v>
      </c>
      <c r="M194" s="188">
        <f t="shared" si="64"/>
        <v>0.83333333333333348</v>
      </c>
      <c r="N194" s="81"/>
      <c r="O194" s="7"/>
      <c r="P194" s="80"/>
      <c r="Q194" s="80"/>
      <c r="R194" s="91"/>
      <c r="S194" s="8"/>
      <c r="T194" s="82"/>
      <c r="W194" s="10"/>
      <c r="X194" s="9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</row>
    <row r="195" spans="1:61" ht="42.75">
      <c r="A195" s="156" t="s">
        <v>255</v>
      </c>
      <c r="B195" s="157" t="s">
        <v>256</v>
      </c>
      <c r="C195" s="156" t="s">
        <v>7</v>
      </c>
      <c r="D195" s="156">
        <v>53</v>
      </c>
      <c r="E195" s="156">
        <v>84.66</v>
      </c>
      <c r="F195" s="156">
        <f t="shared" si="72"/>
        <v>4486.9799999999996</v>
      </c>
      <c r="G195" s="156">
        <v>0</v>
      </c>
      <c r="H195" s="156">
        <f>'MEMORIA BM 06'!L470</f>
        <v>46</v>
      </c>
      <c r="I195" s="156">
        <f t="shared" si="73"/>
        <v>46</v>
      </c>
      <c r="J195" s="156">
        <f t="shared" si="74"/>
        <v>0</v>
      </c>
      <c r="K195" s="156">
        <f t="shared" si="75"/>
        <v>3894.3599999999997</v>
      </c>
      <c r="L195" s="156">
        <f t="shared" si="76"/>
        <v>3894.3599999999997</v>
      </c>
      <c r="M195" s="188">
        <f t="shared" si="64"/>
        <v>0.86792452830188682</v>
      </c>
      <c r="N195" s="81"/>
      <c r="O195" s="7"/>
      <c r="P195" s="80"/>
      <c r="Q195" s="80"/>
      <c r="R195" s="91"/>
      <c r="S195" s="8"/>
      <c r="T195" s="82"/>
      <c r="W195" s="10"/>
      <c r="X195" s="9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</row>
    <row r="196" spans="1:61" ht="28.5">
      <c r="A196" s="156" t="s">
        <v>257</v>
      </c>
      <c r="B196" s="157" t="s">
        <v>258</v>
      </c>
      <c r="C196" s="156" t="s">
        <v>7</v>
      </c>
      <c r="D196" s="156">
        <v>8</v>
      </c>
      <c r="E196" s="156">
        <v>23.26</v>
      </c>
      <c r="F196" s="156">
        <f t="shared" si="72"/>
        <v>186.08</v>
      </c>
      <c r="G196" s="156">
        <v>0</v>
      </c>
      <c r="H196" s="156">
        <f>'MEMORIA BM 06'!L473</f>
        <v>5</v>
      </c>
      <c r="I196" s="156">
        <f t="shared" si="73"/>
        <v>5</v>
      </c>
      <c r="J196" s="156">
        <f t="shared" si="74"/>
        <v>0</v>
      </c>
      <c r="K196" s="156">
        <f t="shared" si="75"/>
        <v>116.30000000000001</v>
      </c>
      <c r="L196" s="156">
        <f t="shared" si="76"/>
        <v>116.30000000000001</v>
      </c>
      <c r="M196" s="188">
        <f t="shared" si="64"/>
        <v>0.625</v>
      </c>
      <c r="N196" s="81"/>
      <c r="O196" s="7"/>
      <c r="P196" s="80"/>
      <c r="Q196" s="80"/>
      <c r="R196" s="91"/>
      <c r="S196" s="8"/>
      <c r="T196" s="82"/>
      <c r="W196" s="10"/>
      <c r="X196" s="9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</row>
    <row r="197" spans="1:61" ht="42.75">
      <c r="A197" s="156" t="s">
        <v>259</v>
      </c>
      <c r="B197" s="157" t="s">
        <v>260</v>
      </c>
      <c r="C197" s="156" t="s">
        <v>7</v>
      </c>
      <c r="D197" s="156">
        <v>91</v>
      </c>
      <c r="E197" s="156">
        <v>90.03</v>
      </c>
      <c r="F197" s="156">
        <f t="shared" si="72"/>
        <v>8192.73</v>
      </c>
      <c r="G197" s="156">
        <v>76</v>
      </c>
      <c r="H197" s="156"/>
      <c r="I197" s="156">
        <f t="shared" si="73"/>
        <v>76</v>
      </c>
      <c r="J197" s="156">
        <f t="shared" si="74"/>
        <v>6842.28</v>
      </c>
      <c r="K197" s="156">
        <f t="shared" si="75"/>
        <v>0</v>
      </c>
      <c r="L197" s="156">
        <f t="shared" si="76"/>
        <v>6842.28</v>
      </c>
      <c r="M197" s="188">
        <f t="shared" si="64"/>
        <v>0.8351648351648352</v>
      </c>
      <c r="N197" s="81"/>
      <c r="O197" s="7"/>
      <c r="P197" s="80"/>
      <c r="Q197" s="80"/>
      <c r="R197" s="91"/>
      <c r="S197" s="8"/>
      <c r="T197" s="82"/>
      <c r="W197" s="10"/>
      <c r="X197" s="9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</row>
    <row r="198" spans="1:61" ht="28.5">
      <c r="A198" s="156" t="s">
        <v>261</v>
      </c>
      <c r="B198" s="157" t="s">
        <v>262</v>
      </c>
      <c r="C198" s="156" t="s">
        <v>7</v>
      </c>
      <c r="D198" s="156">
        <v>18</v>
      </c>
      <c r="E198" s="156">
        <v>110.51</v>
      </c>
      <c r="F198" s="156">
        <f t="shared" si="72"/>
        <v>1989.18</v>
      </c>
      <c r="G198" s="156">
        <v>18</v>
      </c>
      <c r="H198" s="156"/>
      <c r="I198" s="156">
        <f t="shared" si="73"/>
        <v>18</v>
      </c>
      <c r="J198" s="156">
        <f t="shared" si="74"/>
        <v>1989.18</v>
      </c>
      <c r="K198" s="156">
        <f t="shared" si="75"/>
        <v>0</v>
      </c>
      <c r="L198" s="156">
        <f t="shared" si="76"/>
        <v>1989.18</v>
      </c>
      <c r="M198" s="188">
        <f t="shared" si="64"/>
        <v>1</v>
      </c>
      <c r="N198" s="81"/>
      <c r="O198" s="7"/>
      <c r="P198" s="80"/>
      <c r="Q198" s="80"/>
      <c r="R198" s="91"/>
      <c r="S198" s="8"/>
      <c r="T198" s="82"/>
      <c r="W198" s="10"/>
      <c r="X198" s="9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</row>
    <row r="199" spans="1:61" ht="28.5">
      <c r="A199" s="156" t="s">
        <v>263</v>
      </c>
      <c r="B199" s="157" t="s">
        <v>264</v>
      </c>
      <c r="C199" s="156" t="s">
        <v>7</v>
      </c>
      <c r="D199" s="156">
        <v>12</v>
      </c>
      <c r="E199" s="156">
        <v>117.49</v>
      </c>
      <c r="F199" s="156">
        <f t="shared" si="72"/>
        <v>1409.8799999999999</v>
      </c>
      <c r="G199" s="156">
        <v>12</v>
      </c>
      <c r="H199" s="156"/>
      <c r="I199" s="156">
        <f t="shared" si="73"/>
        <v>12</v>
      </c>
      <c r="J199" s="156">
        <f t="shared" si="74"/>
        <v>1409.8799999999999</v>
      </c>
      <c r="K199" s="156">
        <f t="shared" si="75"/>
        <v>0</v>
      </c>
      <c r="L199" s="156">
        <f t="shared" si="76"/>
        <v>1409.8799999999999</v>
      </c>
      <c r="M199" s="188">
        <f t="shared" si="64"/>
        <v>1</v>
      </c>
      <c r="N199" s="81"/>
      <c r="O199" s="7"/>
      <c r="P199" s="80"/>
      <c r="Q199" s="80"/>
      <c r="R199" s="91"/>
      <c r="S199" s="8"/>
      <c r="T199" s="82"/>
      <c r="W199" s="10"/>
      <c r="X199" s="9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</row>
    <row r="200" spans="1:61" ht="42.75">
      <c r="A200" s="156" t="s">
        <v>265</v>
      </c>
      <c r="B200" s="157" t="s">
        <v>266</v>
      </c>
      <c r="C200" s="156" t="s">
        <v>7</v>
      </c>
      <c r="D200" s="156">
        <v>7</v>
      </c>
      <c r="E200" s="156">
        <v>167.48</v>
      </c>
      <c r="F200" s="156">
        <f t="shared" si="72"/>
        <v>1172.3599999999999</v>
      </c>
      <c r="G200" s="156">
        <v>7</v>
      </c>
      <c r="H200" s="156"/>
      <c r="I200" s="156">
        <f t="shared" si="73"/>
        <v>7</v>
      </c>
      <c r="J200" s="156">
        <f t="shared" si="74"/>
        <v>1172.3599999999999</v>
      </c>
      <c r="K200" s="156">
        <f t="shared" si="75"/>
        <v>0</v>
      </c>
      <c r="L200" s="156">
        <f t="shared" si="76"/>
        <v>1172.3599999999999</v>
      </c>
      <c r="M200" s="188">
        <f t="shared" si="64"/>
        <v>1</v>
      </c>
      <c r="N200" s="81"/>
      <c r="O200" s="7"/>
      <c r="P200" s="80"/>
      <c r="Q200" s="80"/>
      <c r="R200" s="91"/>
      <c r="S200" s="8"/>
      <c r="T200" s="82"/>
      <c r="W200" s="10"/>
      <c r="X200" s="9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</row>
    <row r="201" spans="1:61" ht="42.75">
      <c r="A201" s="156" t="s">
        <v>267</v>
      </c>
      <c r="B201" s="157" t="s">
        <v>266</v>
      </c>
      <c r="C201" s="156" t="s">
        <v>7</v>
      </c>
      <c r="D201" s="156">
        <v>11</v>
      </c>
      <c r="E201" s="156">
        <v>167.48</v>
      </c>
      <c r="F201" s="156">
        <f t="shared" si="72"/>
        <v>1842.28</v>
      </c>
      <c r="G201" s="156">
        <v>11</v>
      </c>
      <c r="H201" s="156"/>
      <c r="I201" s="156">
        <f t="shared" si="73"/>
        <v>11</v>
      </c>
      <c r="J201" s="156">
        <f t="shared" si="74"/>
        <v>1842.28</v>
      </c>
      <c r="K201" s="156">
        <f t="shared" si="75"/>
        <v>0</v>
      </c>
      <c r="L201" s="156">
        <f t="shared" si="76"/>
        <v>1842.28</v>
      </c>
      <c r="M201" s="188">
        <f t="shared" si="64"/>
        <v>1</v>
      </c>
      <c r="N201" s="81"/>
      <c r="O201" s="7"/>
      <c r="P201" s="80"/>
      <c r="Q201" s="80"/>
      <c r="R201" s="91"/>
      <c r="S201" s="8"/>
      <c r="T201" s="82"/>
      <c r="W201" s="10"/>
      <c r="X201" s="9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</row>
    <row r="202" spans="1:61" ht="42.75">
      <c r="A202" s="156" t="s">
        <v>268</v>
      </c>
      <c r="B202" s="157" t="s">
        <v>269</v>
      </c>
      <c r="C202" s="156" t="s">
        <v>7</v>
      </c>
      <c r="D202" s="156">
        <v>1</v>
      </c>
      <c r="E202" s="156">
        <v>424.3</v>
      </c>
      <c r="F202" s="156">
        <f t="shared" si="72"/>
        <v>424.3</v>
      </c>
      <c r="G202" s="156">
        <v>1</v>
      </c>
      <c r="H202" s="156"/>
      <c r="I202" s="156">
        <f t="shared" si="73"/>
        <v>1</v>
      </c>
      <c r="J202" s="156">
        <f t="shared" si="74"/>
        <v>424.3</v>
      </c>
      <c r="K202" s="156">
        <f t="shared" si="75"/>
        <v>0</v>
      </c>
      <c r="L202" s="156">
        <f t="shared" si="76"/>
        <v>424.3</v>
      </c>
      <c r="M202" s="188">
        <f t="shared" si="64"/>
        <v>1</v>
      </c>
      <c r="N202" s="81"/>
      <c r="O202" s="7"/>
      <c r="P202" s="80"/>
      <c r="Q202" s="80"/>
      <c r="R202" s="91"/>
      <c r="S202" s="8"/>
      <c r="T202" s="82"/>
      <c r="W202" s="10"/>
      <c r="X202" s="9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</row>
    <row r="203" spans="1:61" ht="42.75">
      <c r="A203" s="156" t="s">
        <v>270</v>
      </c>
      <c r="B203" s="157" t="s">
        <v>271</v>
      </c>
      <c r="C203" s="156" t="s">
        <v>7</v>
      </c>
      <c r="D203" s="156">
        <v>1</v>
      </c>
      <c r="E203" s="156">
        <v>292.16000000000003</v>
      </c>
      <c r="F203" s="156">
        <f t="shared" si="72"/>
        <v>292.16000000000003</v>
      </c>
      <c r="G203" s="156">
        <v>1</v>
      </c>
      <c r="H203" s="156"/>
      <c r="I203" s="156">
        <f t="shared" si="73"/>
        <v>1</v>
      </c>
      <c r="J203" s="156">
        <f t="shared" si="74"/>
        <v>292.16000000000003</v>
      </c>
      <c r="K203" s="156">
        <f t="shared" si="75"/>
        <v>0</v>
      </c>
      <c r="L203" s="156">
        <f t="shared" si="76"/>
        <v>292.16000000000003</v>
      </c>
      <c r="M203" s="188">
        <f t="shared" si="64"/>
        <v>1</v>
      </c>
      <c r="N203" s="81"/>
      <c r="O203" s="7"/>
      <c r="P203" s="80"/>
      <c r="Q203" s="80"/>
      <c r="R203" s="91"/>
      <c r="S203" s="8"/>
      <c r="T203" s="82"/>
      <c r="W203" s="10"/>
      <c r="X203" s="9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</row>
    <row r="204" spans="1:61" ht="18" customHeight="1">
      <c r="A204" s="156" t="s">
        <v>272</v>
      </c>
      <c r="B204" s="157" t="s">
        <v>273</v>
      </c>
      <c r="C204" s="156" t="s">
        <v>7</v>
      </c>
      <c r="D204" s="156">
        <v>3</v>
      </c>
      <c r="E204" s="156">
        <v>120.03</v>
      </c>
      <c r="F204" s="156">
        <f t="shared" si="72"/>
        <v>360.09000000000003</v>
      </c>
      <c r="G204" s="156">
        <v>0</v>
      </c>
      <c r="H204" s="156"/>
      <c r="I204" s="156">
        <f t="shared" si="73"/>
        <v>0</v>
      </c>
      <c r="J204" s="156">
        <f t="shared" si="74"/>
        <v>0</v>
      </c>
      <c r="K204" s="156">
        <f t="shared" si="75"/>
        <v>0</v>
      </c>
      <c r="L204" s="156">
        <f t="shared" si="76"/>
        <v>0</v>
      </c>
      <c r="M204" s="188">
        <f t="shared" si="64"/>
        <v>0</v>
      </c>
      <c r="N204" s="81"/>
      <c r="O204" s="7"/>
      <c r="P204" s="80"/>
      <c r="Q204" s="80"/>
      <c r="R204" s="91"/>
      <c r="S204" s="8"/>
      <c r="T204" s="82"/>
      <c r="W204" s="10"/>
      <c r="X204" s="9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</row>
    <row r="205" spans="1:61" ht="28.5">
      <c r="A205" s="156" t="s">
        <v>274</v>
      </c>
      <c r="B205" s="157" t="s">
        <v>275</v>
      </c>
      <c r="C205" s="156" t="s">
        <v>232</v>
      </c>
      <c r="D205" s="156">
        <v>1</v>
      </c>
      <c r="E205" s="156">
        <v>239.87</v>
      </c>
      <c r="F205" s="156">
        <f t="shared" si="72"/>
        <v>239.87</v>
      </c>
      <c r="G205" s="156">
        <v>0</v>
      </c>
      <c r="H205" s="156"/>
      <c r="I205" s="156">
        <f t="shared" si="73"/>
        <v>0</v>
      </c>
      <c r="J205" s="156">
        <f t="shared" si="74"/>
        <v>0</v>
      </c>
      <c r="K205" s="156">
        <f t="shared" si="75"/>
        <v>0</v>
      </c>
      <c r="L205" s="156">
        <f t="shared" si="76"/>
        <v>0</v>
      </c>
      <c r="M205" s="188">
        <f t="shared" si="64"/>
        <v>0</v>
      </c>
      <c r="N205" s="81"/>
      <c r="O205" s="7"/>
      <c r="P205" s="80"/>
      <c r="Q205" s="80"/>
      <c r="R205" s="91"/>
      <c r="S205" s="8"/>
      <c r="T205" s="82"/>
      <c r="W205" s="10"/>
      <c r="X205" s="9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</row>
    <row r="206" spans="1:61" ht="42.75">
      <c r="A206" s="156" t="s">
        <v>276</v>
      </c>
      <c r="B206" s="157" t="s">
        <v>277</v>
      </c>
      <c r="C206" s="156" t="s">
        <v>7</v>
      </c>
      <c r="D206" s="156">
        <v>1</v>
      </c>
      <c r="E206" s="156">
        <v>1383.09</v>
      </c>
      <c r="F206" s="156">
        <f t="shared" si="72"/>
        <v>1383.09</v>
      </c>
      <c r="G206" s="156">
        <v>0</v>
      </c>
      <c r="H206" s="156"/>
      <c r="I206" s="156">
        <f t="shared" si="73"/>
        <v>0</v>
      </c>
      <c r="J206" s="156">
        <f t="shared" si="74"/>
        <v>0</v>
      </c>
      <c r="K206" s="156">
        <f t="shared" si="75"/>
        <v>0</v>
      </c>
      <c r="L206" s="156">
        <f t="shared" si="76"/>
        <v>0</v>
      </c>
      <c r="M206" s="188">
        <f t="shared" si="64"/>
        <v>0</v>
      </c>
      <c r="N206" s="81"/>
      <c r="O206" s="7"/>
      <c r="P206" s="80"/>
      <c r="Q206" s="80"/>
      <c r="R206" s="91"/>
      <c r="S206" s="8"/>
      <c r="T206" s="82"/>
      <c r="W206" s="10"/>
      <c r="X206" s="9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</row>
    <row r="207" spans="1:61" ht="28.5">
      <c r="A207" s="156" t="s">
        <v>278</v>
      </c>
      <c r="B207" s="157" t="s">
        <v>279</v>
      </c>
      <c r="C207" s="156" t="s">
        <v>7</v>
      </c>
      <c r="D207" s="156">
        <v>1</v>
      </c>
      <c r="E207" s="156">
        <v>15.07</v>
      </c>
      <c r="F207" s="156">
        <f t="shared" si="72"/>
        <v>15.07</v>
      </c>
      <c r="G207" s="156">
        <v>1</v>
      </c>
      <c r="H207" s="156"/>
      <c r="I207" s="156">
        <f t="shared" si="73"/>
        <v>1</v>
      </c>
      <c r="J207" s="156">
        <f t="shared" si="74"/>
        <v>15.07</v>
      </c>
      <c r="K207" s="156">
        <f t="shared" si="75"/>
        <v>0</v>
      </c>
      <c r="L207" s="156">
        <f t="shared" si="76"/>
        <v>15.07</v>
      </c>
      <c r="M207" s="188">
        <f t="shared" si="64"/>
        <v>1</v>
      </c>
      <c r="N207" s="81"/>
      <c r="O207" s="7"/>
      <c r="P207" s="80"/>
      <c r="Q207" s="80"/>
      <c r="R207" s="91"/>
      <c r="S207" s="8"/>
      <c r="T207" s="82"/>
      <c r="W207" s="10"/>
      <c r="X207" s="9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</row>
    <row r="208" spans="1:61" ht="42.75">
      <c r="A208" s="156" t="s">
        <v>280</v>
      </c>
      <c r="B208" s="157" t="s">
        <v>281</v>
      </c>
      <c r="C208" s="156" t="s">
        <v>7</v>
      </c>
      <c r="D208" s="156">
        <v>1</v>
      </c>
      <c r="E208" s="156">
        <v>1197.9000000000001</v>
      </c>
      <c r="F208" s="156">
        <f t="shared" si="72"/>
        <v>1197.9000000000001</v>
      </c>
      <c r="G208" s="156">
        <v>1</v>
      </c>
      <c r="H208" s="156"/>
      <c r="I208" s="156">
        <f t="shared" si="73"/>
        <v>1</v>
      </c>
      <c r="J208" s="156">
        <f t="shared" si="74"/>
        <v>1197.9000000000001</v>
      </c>
      <c r="K208" s="156">
        <f t="shared" si="75"/>
        <v>0</v>
      </c>
      <c r="L208" s="156">
        <f t="shared" si="76"/>
        <v>1197.9000000000001</v>
      </c>
      <c r="M208" s="188">
        <f t="shared" si="64"/>
        <v>1</v>
      </c>
      <c r="N208" s="81"/>
      <c r="O208" s="7"/>
      <c r="P208" s="80"/>
      <c r="Q208" s="80"/>
      <c r="R208" s="91"/>
      <c r="S208" s="8"/>
      <c r="T208" s="82"/>
      <c r="W208" s="10"/>
      <c r="X208" s="9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</row>
    <row r="209" spans="1:61" ht="28.5">
      <c r="A209" s="156" t="s">
        <v>627</v>
      </c>
      <c r="B209" s="157" t="s">
        <v>628</v>
      </c>
      <c r="C209" s="156" t="s">
        <v>27</v>
      </c>
      <c r="D209" s="156">
        <v>10</v>
      </c>
      <c r="E209" s="156">
        <v>48.2</v>
      </c>
      <c r="F209" s="156">
        <f t="shared" si="72"/>
        <v>482</v>
      </c>
      <c r="G209" s="156">
        <v>10</v>
      </c>
      <c r="H209" s="156"/>
      <c r="I209" s="156">
        <f t="shared" si="73"/>
        <v>10</v>
      </c>
      <c r="J209" s="156">
        <f t="shared" si="74"/>
        <v>482</v>
      </c>
      <c r="K209" s="156">
        <f t="shared" si="75"/>
        <v>0</v>
      </c>
      <c r="L209" s="156">
        <f t="shared" si="76"/>
        <v>482</v>
      </c>
      <c r="M209" s="188">
        <f t="shared" si="64"/>
        <v>1</v>
      </c>
      <c r="N209" s="81"/>
      <c r="O209" s="7"/>
      <c r="P209" s="80"/>
      <c r="Q209" s="80"/>
      <c r="R209" s="91"/>
      <c r="S209" s="8"/>
      <c r="T209" s="82"/>
      <c r="W209" s="10"/>
      <c r="X209" s="9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</row>
    <row r="210" spans="1:61">
      <c r="A210" s="156"/>
      <c r="B210" s="154"/>
      <c r="C210" s="156"/>
      <c r="D210" s="156"/>
      <c r="E210" s="156"/>
      <c r="F210" s="156"/>
      <c r="G210" s="156"/>
      <c r="H210" s="156"/>
      <c r="I210" s="156"/>
      <c r="J210" s="156"/>
      <c r="K210" s="156"/>
      <c r="L210" s="156"/>
      <c r="M210" s="188" t="e">
        <f t="shared" si="64"/>
        <v>#DIV/0!</v>
      </c>
      <c r="N210" s="81"/>
      <c r="O210" s="7"/>
      <c r="P210" s="80"/>
      <c r="Q210" s="80"/>
      <c r="R210" s="91"/>
      <c r="S210" s="8"/>
      <c r="T210" s="82"/>
      <c r="W210" s="10"/>
      <c r="X210" s="9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</row>
    <row r="211" spans="1:61" s="87" customFormat="1">
      <c r="A211" s="164" t="s">
        <v>282</v>
      </c>
      <c r="B211" s="165" t="s">
        <v>283</v>
      </c>
      <c r="C211" s="166"/>
      <c r="D211" s="167"/>
      <c r="E211" s="166"/>
      <c r="F211" s="166">
        <f>SUM(F213:F219)</f>
        <v>7637.2927999999993</v>
      </c>
      <c r="G211" s="166"/>
      <c r="H211" s="166"/>
      <c r="I211" s="166"/>
      <c r="J211" s="166">
        <f>SUM(J213:J219)</f>
        <v>0</v>
      </c>
      <c r="K211" s="166">
        <f>SUM(K213:K219)</f>
        <v>1740.3</v>
      </c>
      <c r="L211" s="166">
        <f>SUM(L213:L219)</f>
        <v>1740.3</v>
      </c>
      <c r="M211" s="188">
        <f t="shared" si="64"/>
        <v>0.22786870237579473</v>
      </c>
      <c r="N211" s="98">
        <f>F211-L211</f>
        <v>5896.9927999999991</v>
      </c>
      <c r="O211" s="7"/>
      <c r="P211" s="97"/>
      <c r="Q211" s="97"/>
      <c r="R211" s="79"/>
      <c r="S211" s="16"/>
      <c r="T211" s="82"/>
      <c r="U211" s="14"/>
      <c r="V211" s="14"/>
      <c r="W211" s="84"/>
      <c r="X211" s="83"/>
      <c r="Y211" s="85"/>
      <c r="Z211" s="85"/>
      <c r="AA211" s="85"/>
      <c r="AB211" s="85"/>
      <c r="AC211" s="85"/>
      <c r="AD211" s="85"/>
      <c r="AE211" s="85"/>
      <c r="AF211" s="85"/>
      <c r="AG211" s="85"/>
      <c r="AH211" s="85"/>
      <c r="AI211" s="85"/>
      <c r="AJ211" s="85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</row>
    <row r="212" spans="1:61">
      <c r="A212" s="156"/>
      <c r="B212" s="154"/>
      <c r="C212" s="156"/>
      <c r="D212" s="156"/>
      <c r="E212" s="156"/>
      <c r="F212" s="156"/>
      <c r="G212" s="156"/>
      <c r="H212" s="156"/>
      <c r="I212" s="156"/>
      <c r="J212" s="156"/>
      <c r="K212" s="156"/>
      <c r="L212" s="156"/>
      <c r="M212" s="188" t="e">
        <f t="shared" si="64"/>
        <v>#DIV/0!</v>
      </c>
      <c r="N212" s="81"/>
      <c r="O212" s="7"/>
      <c r="P212" s="80"/>
      <c r="Q212" s="80"/>
      <c r="R212" s="91"/>
      <c r="S212" s="8"/>
      <c r="T212" s="82"/>
      <c r="W212" s="10"/>
      <c r="X212" s="9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</row>
    <row r="213" spans="1:61" ht="42.75">
      <c r="A213" s="156" t="s">
        <v>284</v>
      </c>
      <c r="B213" s="157" t="s">
        <v>285</v>
      </c>
      <c r="C213" s="156" t="s">
        <v>7</v>
      </c>
      <c r="D213" s="156">
        <v>30</v>
      </c>
      <c r="E213" s="156">
        <v>12.84</v>
      </c>
      <c r="F213" s="156">
        <f t="shared" ref="F213:F219" si="77">D213*E213</f>
        <v>385.2</v>
      </c>
      <c r="G213" s="156">
        <v>0</v>
      </c>
      <c r="H213" s="156"/>
      <c r="I213" s="156">
        <f t="shared" ref="I213:I219" si="78">G213+H213</f>
        <v>0</v>
      </c>
      <c r="J213" s="156">
        <f t="shared" ref="J213:J219" si="79">E213*G213</f>
        <v>0</v>
      </c>
      <c r="K213" s="156">
        <f t="shared" ref="K213:K219" si="80">H213*E213</f>
        <v>0</v>
      </c>
      <c r="L213" s="156">
        <f t="shared" ref="L213:L219" si="81">J213+K213</f>
        <v>0</v>
      </c>
      <c r="M213" s="188">
        <f t="shared" si="64"/>
        <v>0</v>
      </c>
      <c r="N213" s="81"/>
      <c r="O213" s="7"/>
      <c r="P213" s="80"/>
      <c r="Q213" s="80"/>
      <c r="R213" s="91"/>
      <c r="S213" s="8"/>
      <c r="T213" s="82"/>
      <c r="W213" s="10"/>
      <c r="X213" s="9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</row>
    <row r="214" spans="1:61">
      <c r="A214" s="156" t="s">
        <v>286</v>
      </c>
      <c r="B214" s="157" t="s">
        <v>287</v>
      </c>
      <c r="C214" s="156" t="s">
        <v>7</v>
      </c>
      <c r="D214" s="156">
        <v>1</v>
      </c>
      <c r="E214" s="156">
        <v>1146.02</v>
      </c>
      <c r="F214" s="156">
        <f t="shared" si="77"/>
        <v>1146.02</v>
      </c>
      <c r="G214" s="156">
        <v>0</v>
      </c>
      <c r="H214" s="156"/>
      <c r="I214" s="156">
        <f t="shared" si="78"/>
        <v>0</v>
      </c>
      <c r="J214" s="156">
        <f t="shared" si="79"/>
        <v>0</v>
      </c>
      <c r="K214" s="156">
        <f t="shared" si="80"/>
        <v>0</v>
      </c>
      <c r="L214" s="156">
        <f t="shared" si="81"/>
        <v>0</v>
      </c>
      <c r="M214" s="188">
        <f t="shared" si="64"/>
        <v>0</v>
      </c>
      <c r="N214" s="81"/>
      <c r="O214" s="7"/>
      <c r="P214" s="80"/>
      <c r="Q214" s="80"/>
      <c r="R214" s="91"/>
      <c r="S214" s="8"/>
      <c r="T214" s="82"/>
      <c r="W214" s="10"/>
      <c r="X214" s="9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</row>
    <row r="215" spans="1:61">
      <c r="A215" s="156" t="s">
        <v>288</v>
      </c>
      <c r="B215" s="157" t="s">
        <v>289</v>
      </c>
      <c r="C215" s="156" t="s">
        <v>7</v>
      </c>
      <c r="D215" s="156">
        <v>2</v>
      </c>
      <c r="E215" s="156">
        <v>410.9</v>
      </c>
      <c r="F215" s="156">
        <f t="shared" si="77"/>
        <v>821.8</v>
      </c>
      <c r="G215" s="156">
        <v>0</v>
      </c>
      <c r="H215" s="156">
        <f>'MEMORIA BM 06'!L523</f>
        <v>2</v>
      </c>
      <c r="I215" s="156">
        <f t="shared" si="78"/>
        <v>2</v>
      </c>
      <c r="J215" s="156">
        <f t="shared" si="79"/>
        <v>0</v>
      </c>
      <c r="K215" s="156">
        <f t="shared" si="80"/>
        <v>821.8</v>
      </c>
      <c r="L215" s="156">
        <f t="shared" si="81"/>
        <v>821.8</v>
      </c>
      <c r="M215" s="188">
        <f t="shared" si="64"/>
        <v>1</v>
      </c>
      <c r="N215" s="81"/>
      <c r="O215" s="7"/>
      <c r="P215" s="80"/>
      <c r="Q215" s="80"/>
      <c r="R215" s="91"/>
      <c r="S215" s="8"/>
      <c r="T215" s="82"/>
      <c r="W215" s="10"/>
      <c r="X215" s="9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</row>
    <row r="216" spans="1:61">
      <c r="A216" s="156" t="s">
        <v>290</v>
      </c>
      <c r="B216" s="157" t="s">
        <v>802</v>
      </c>
      <c r="C216" s="156" t="s">
        <v>7</v>
      </c>
      <c r="D216" s="156">
        <v>1</v>
      </c>
      <c r="E216" s="156">
        <v>410.9</v>
      </c>
      <c r="F216" s="156">
        <f t="shared" si="77"/>
        <v>410.9</v>
      </c>
      <c r="G216" s="156">
        <v>0</v>
      </c>
      <c r="H216" s="156">
        <f>'MEMORIA BM 06'!L526</f>
        <v>1</v>
      </c>
      <c r="I216" s="156">
        <f t="shared" si="78"/>
        <v>1</v>
      </c>
      <c r="J216" s="156">
        <f t="shared" si="79"/>
        <v>0</v>
      </c>
      <c r="K216" s="156">
        <f t="shared" si="80"/>
        <v>410.9</v>
      </c>
      <c r="L216" s="156">
        <f t="shared" si="81"/>
        <v>410.9</v>
      </c>
      <c r="M216" s="188">
        <f t="shared" si="64"/>
        <v>1</v>
      </c>
      <c r="N216" s="81"/>
      <c r="O216" s="7"/>
      <c r="P216" s="80"/>
      <c r="Q216" s="80"/>
      <c r="R216" s="91"/>
      <c r="S216" s="8"/>
      <c r="T216" s="82"/>
      <c r="W216" s="10"/>
      <c r="X216" s="9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</row>
    <row r="217" spans="1:61">
      <c r="A217" s="156" t="s">
        <v>291</v>
      </c>
      <c r="B217" s="158" t="s">
        <v>292</v>
      </c>
      <c r="C217" s="156" t="s">
        <v>16</v>
      </c>
      <c r="D217" s="156">
        <v>15.36</v>
      </c>
      <c r="E217" s="156">
        <v>284.23</v>
      </c>
      <c r="F217" s="156">
        <f t="shared" si="77"/>
        <v>4365.7727999999997</v>
      </c>
      <c r="G217" s="156">
        <v>0</v>
      </c>
      <c r="H217" s="156"/>
      <c r="I217" s="156">
        <f t="shared" si="78"/>
        <v>0</v>
      </c>
      <c r="J217" s="156">
        <f t="shared" si="79"/>
        <v>0</v>
      </c>
      <c r="K217" s="156">
        <f t="shared" si="80"/>
        <v>0</v>
      </c>
      <c r="L217" s="156">
        <f t="shared" si="81"/>
        <v>0</v>
      </c>
      <c r="M217" s="188">
        <f t="shared" si="64"/>
        <v>0</v>
      </c>
      <c r="N217" s="81"/>
      <c r="O217" s="7"/>
      <c r="P217" s="80"/>
      <c r="Q217" s="80"/>
      <c r="R217" s="91"/>
      <c r="S217" s="8"/>
      <c r="T217" s="82"/>
      <c r="W217" s="10"/>
      <c r="X217" s="9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</row>
    <row r="218" spans="1:61" ht="28.5">
      <c r="A218" s="156" t="s">
        <v>293</v>
      </c>
      <c r="B218" s="157" t="s">
        <v>294</v>
      </c>
      <c r="C218" s="156" t="s">
        <v>7</v>
      </c>
      <c r="D218" s="156">
        <v>1</v>
      </c>
      <c r="E218" s="156">
        <v>171.9</v>
      </c>
      <c r="F218" s="156">
        <f t="shared" si="77"/>
        <v>171.9</v>
      </c>
      <c r="G218" s="156">
        <v>0</v>
      </c>
      <c r="H218" s="200">
        <f>'MEMORIA BM 06'!L532</f>
        <v>1</v>
      </c>
      <c r="I218" s="156">
        <f t="shared" si="78"/>
        <v>1</v>
      </c>
      <c r="J218" s="156">
        <f t="shared" si="79"/>
        <v>0</v>
      </c>
      <c r="K218" s="156">
        <f t="shared" si="80"/>
        <v>171.9</v>
      </c>
      <c r="L218" s="156">
        <f t="shared" si="81"/>
        <v>171.9</v>
      </c>
      <c r="M218" s="188">
        <f t="shared" si="64"/>
        <v>1</v>
      </c>
      <c r="N218" s="81"/>
      <c r="O218" s="7"/>
      <c r="P218" s="80"/>
      <c r="Q218" s="80"/>
      <c r="R218" s="91"/>
      <c r="S218" s="8"/>
      <c r="T218" s="82"/>
      <c r="W218" s="10"/>
      <c r="X218" s="9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</row>
    <row r="219" spans="1:61" ht="28.5">
      <c r="A219" s="156" t="s">
        <v>295</v>
      </c>
      <c r="B219" s="157" t="s">
        <v>296</v>
      </c>
      <c r="C219" s="156" t="s">
        <v>7</v>
      </c>
      <c r="D219" s="156">
        <v>2</v>
      </c>
      <c r="E219" s="156">
        <v>167.85</v>
      </c>
      <c r="F219" s="156">
        <f t="shared" si="77"/>
        <v>335.7</v>
      </c>
      <c r="G219" s="156">
        <v>0</v>
      </c>
      <c r="H219" s="200">
        <f>'MEMORIA BM 06'!L535</f>
        <v>2</v>
      </c>
      <c r="I219" s="156">
        <f t="shared" si="78"/>
        <v>2</v>
      </c>
      <c r="J219" s="156">
        <f t="shared" si="79"/>
        <v>0</v>
      </c>
      <c r="K219" s="156">
        <f t="shared" si="80"/>
        <v>335.7</v>
      </c>
      <c r="L219" s="156">
        <f t="shared" si="81"/>
        <v>335.7</v>
      </c>
      <c r="M219" s="188">
        <f t="shared" si="64"/>
        <v>1</v>
      </c>
      <c r="N219" s="81"/>
      <c r="O219" s="7"/>
      <c r="P219" s="80"/>
      <c r="Q219" s="80"/>
      <c r="R219" s="91"/>
      <c r="S219" s="8"/>
      <c r="T219" s="82"/>
      <c r="W219" s="10"/>
      <c r="X219" s="9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</row>
    <row r="220" spans="1:61">
      <c r="A220" s="156"/>
      <c r="B220" s="154"/>
      <c r="C220" s="156"/>
      <c r="D220" s="156"/>
      <c r="E220" s="156"/>
      <c r="F220" s="156"/>
      <c r="G220" s="156"/>
      <c r="H220" s="156"/>
      <c r="I220" s="156"/>
      <c r="J220" s="156"/>
      <c r="K220" s="156"/>
      <c r="L220" s="156"/>
      <c r="M220" s="188" t="e">
        <f t="shared" si="64"/>
        <v>#DIV/0!</v>
      </c>
      <c r="N220" s="81"/>
      <c r="O220" s="7"/>
      <c r="P220" s="80"/>
      <c r="Q220" s="80"/>
      <c r="R220" s="91"/>
      <c r="S220" s="8"/>
      <c r="T220" s="82"/>
      <c r="W220" s="10"/>
      <c r="X220" s="9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</row>
    <row r="221" spans="1:61" s="87" customFormat="1">
      <c r="A221" s="164" t="s">
        <v>297</v>
      </c>
      <c r="B221" s="165" t="s">
        <v>298</v>
      </c>
      <c r="C221" s="166"/>
      <c r="D221" s="167"/>
      <c r="E221" s="166"/>
      <c r="F221" s="166">
        <f>SUM(F223:F224)</f>
        <v>2055.0042000000003</v>
      </c>
      <c r="G221" s="166"/>
      <c r="H221" s="166"/>
      <c r="I221" s="166"/>
      <c r="J221" s="166">
        <f>SUM(J223:J224)</f>
        <v>0</v>
      </c>
      <c r="K221" s="166">
        <f>SUM(K223:K224)</f>
        <v>2055.0042000000003</v>
      </c>
      <c r="L221" s="166">
        <f>SUM(L223:L224)</f>
        <v>2055.0042000000003</v>
      </c>
      <c r="M221" s="188">
        <f t="shared" si="64"/>
        <v>1</v>
      </c>
      <c r="N221" s="98"/>
      <c r="O221" s="7"/>
      <c r="P221" s="97"/>
      <c r="Q221" s="97"/>
      <c r="R221" s="79"/>
      <c r="S221" s="16"/>
      <c r="T221" s="82"/>
      <c r="U221" s="14"/>
      <c r="V221" s="14"/>
      <c r="W221" s="84"/>
      <c r="X221" s="83"/>
      <c r="Y221" s="85"/>
      <c r="Z221" s="85"/>
      <c r="AA221" s="85"/>
      <c r="AB221" s="85"/>
      <c r="AC221" s="85"/>
      <c r="AD221" s="85"/>
      <c r="AE221" s="85"/>
      <c r="AF221" s="85"/>
      <c r="AG221" s="85"/>
      <c r="AH221" s="85"/>
      <c r="AI221" s="85"/>
      <c r="AJ221" s="85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</row>
    <row r="222" spans="1:61">
      <c r="A222" s="156"/>
      <c r="B222" s="154"/>
      <c r="C222" s="156"/>
      <c r="D222" s="156"/>
      <c r="E222" s="156"/>
      <c r="F222" s="156"/>
      <c r="G222" s="156"/>
      <c r="H222" s="156"/>
      <c r="I222" s="156"/>
      <c r="J222" s="156"/>
      <c r="K222" s="156"/>
      <c r="L222" s="156"/>
      <c r="M222" s="188" t="e">
        <f t="shared" si="64"/>
        <v>#DIV/0!</v>
      </c>
      <c r="N222" s="81"/>
      <c r="O222" s="7"/>
      <c r="P222" s="80"/>
      <c r="Q222" s="80"/>
      <c r="R222" s="91"/>
      <c r="S222" s="8"/>
      <c r="T222" s="82"/>
      <c r="W222" s="10"/>
      <c r="X222" s="9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</row>
    <row r="223" spans="1:61">
      <c r="A223" s="156" t="s">
        <v>299</v>
      </c>
      <c r="B223" s="158" t="s">
        <v>300</v>
      </c>
      <c r="C223" s="156" t="s">
        <v>16</v>
      </c>
      <c r="D223" s="156">
        <v>604</v>
      </c>
      <c r="E223" s="156">
        <v>1.73</v>
      </c>
      <c r="F223" s="156">
        <f t="shared" ref="F223:F224" si="82">D223*E223</f>
        <v>1044.92</v>
      </c>
      <c r="G223" s="156">
        <v>0</v>
      </c>
      <c r="H223" s="156">
        <f>'MEMORIA BM 06'!L540</f>
        <v>604</v>
      </c>
      <c r="I223" s="156">
        <f t="shared" ref="I223:I224" si="83">G223+H223</f>
        <v>604</v>
      </c>
      <c r="J223" s="156">
        <f t="shared" ref="J223:J224" si="84">E223*G223</f>
        <v>0</v>
      </c>
      <c r="K223" s="156">
        <f t="shared" ref="K223:K224" si="85">H223*E223</f>
        <v>1044.92</v>
      </c>
      <c r="L223" s="156">
        <f t="shared" ref="L223:L224" si="86">J223+K223</f>
        <v>1044.92</v>
      </c>
      <c r="M223" s="188">
        <f t="shared" si="64"/>
        <v>1</v>
      </c>
      <c r="N223" s="81"/>
      <c r="O223" s="7"/>
      <c r="P223" s="80"/>
      <c r="Q223" s="80"/>
      <c r="R223" s="91"/>
      <c r="S223" s="8"/>
      <c r="T223" s="82"/>
      <c r="W223" s="10"/>
      <c r="X223" s="9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</row>
    <row r="224" spans="1:61" ht="28.5">
      <c r="A224" s="156" t="s">
        <v>301</v>
      </c>
      <c r="B224" s="157" t="s">
        <v>302</v>
      </c>
      <c r="C224" s="156" t="s">
        <v>17</v>
      </c>
      <c r="D224" s="156">
        <v>81.59</v>
      </c>
      <c r="E224" s="156">
        <v>12.38</v>
      </c>
      <c r="F224" s="156">
        <f t="shared" si="82"/>
        <v>1010.0842000000001</v>
      </c>
      <c r="G224" s="156">
        <v>0</v>
      </c>
      <c r="H224" s="156">
        <f>'MEMORIA BM 06'!L543</f>
        <v>81.59</v>
      </c>
      <c r="I224" s="156">
        <f t="shared" si="83"/>
        <v>81.59</v>
      </c>
      <c r="J224" s="156">
        <f t="shared" si="84"/>
        <v>0</v>
      </c>
      <c r="K224" s="156">
        <f t="shared" si="85"/>
        <v>1010.0842000000001</v>
      </c>
      <c r="L224" s="156">
        <f t="shared" si="86"/>
        <v>1010.0842000000001</v>
      </c>
      <c r="M224" s="188">
        <f t="shared" ref="M224:M287" si="87">L224/F224</f>
        <v>1</v>
      </c>
      <c r="N224" s="81"/>
      <c r="O224" s="7"/>
      <c r="P224" s="80"/>
      <c r="Q224" s="80"/>
      <c r="R224" s="91"/>
      <c r="S224" s="8"/>
      <c r="T224" s="82"/>
      <c r="W224" s="10"/>
      <c r="X224" s="9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</row>
    <row r="225" spans="1:61" ht="14.25" customHeight="1">
      <c r="A225" s="156"/>
      <c r="B225" s="154"/>
      <c r="C225" s="156"/>
      <c r="D225" s="156"/>
      <c r="E225" s="156"/>
      <c r="F225" s="156"/>
      <c r="G225" s="156"/>
      <c r="H225" s="156"/>
      <c r="I225" s="156"/>
      <c r="J225" s="156"/>
      <c r="K225" s="156"/>
      <c r="L225" s="156"/>
      <c r="M225" s="188" t="e">
        <f t="shared" si="87"/>
        <v>#DIV/0!</v>
      </c>
      <c r="N225" s="81"/>
      <c r="O225" s="7"/>
      <c r="P225" s="80"/>
      <c r="Q225" s="80"/>
      <c r="R225" s="91"/>
      <c r="S225" s="8"/>
      <c r="T225" s="82"/>
      <c r="W225" s="10"/>
      <c r="X225" s="9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</row>
    <row r="226" spans="1:61" ht="14.25" customHeight="1">
      <c r="A226" s="262" t="s">
        <v>303</v>
      </c>
      <c r="B226" s="262"/>
      <c r="C226" s="262"/>
      <c r="D226" s="262"/>
      <c r="E226" s="262"/>
      <c r="F226" s="262"/>
      <c r="G226" s="262"/>
      <c r="H226" s="262"/>
      <c r="I226" s="262"/>
      <c r="J226" s="262"/>
      <c r="K226" s="262"/>
      <c r="L226" s="262"/>
      <c r="M226" s="188" t="e">
        <f t="shared" si="87"/>
        <v>#DIV/0!</v>
      </c>
      <c r="N226" s="81"/>
      <c r="O226" s="7"/>
      <c r="P226" s="80"/>
      <c r="Q226" s="80"/>
      <c r="R226" s="91"/>
      <c r="S226" s="8"/>
      <c r="T226" s="82"/>
      <c r="W226" s="10"/>
      <c r="X226" s="9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</row>
    <row r="227" spans="1:61" ht="14.25" customHeight="1">
      <c r="A227" s="262"/>
      <c r="B227" s="262"/>
      <c r="C227" s="262"/>
      <c r="D227" s="262"/>
      <c r="E227" s="262"/>
      <c r="F227" s="262"/>
      <c r="G227" s="262"/>
      <c r="H227" s="262"/>
      <c r="I227" s="262"/>
      <c r="J227" s="262"/>
      <c r="K227" s="262"/>
      <c r="L227" s="262"/>
      <c r="M227" s="188" t="e">
        <f t="shared" si="87"/>
        <v>#DIV/0!</v>
      </c>
      <c r="N227" s="81"/>
      <c r="O227" s="7"/>
      <c r="P227" s="80"/>
      <c r="Q227" s="80"/>
      <c r="R227" s="91"/>
      <c r="S227" s="8"/>
      <c r="T227" s="82"/>
      <c r="W227" s="10"/>
      <c r="X227" s="9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</row>
    <row r="228" spans="1:61" s="87" customFormat="1">
      <c r="A228" s="164" t="s">
        <v>11</v>
      </c>
      <c r="B228" s="165" t="s">
        <v>0</v>
      </c>
      <c r="C228" s="166"/>
      <c r="D228" s="167"/>
      <c r="E228" s="166"/>
      <c r="F228" s="166">
        <f>F230</f>
        <v>1165.1199999999999</v>
      </c>
      <c r="G228" s="166"/>
      <c r="H228" s="166"/>
      <c r="I228" s="166"/>
      <c r="J228" s="166">
        <f>J230</f>
        <v>1165.1199999999999</v>
      </c>
      <c r="K228" s="166">
        <f>K230</f>
        <v>0</v>
      </c>
      <c r="L228" s="166">
        <f>L230</f>
        <v>1165.1199999999999</v>
      </c>
      <c r="M228" s="188">
        <f t="shared" si="87"/>
        <v>1</v>
      </c>
      <c r="N228" s="98"/>
      <c r="O228" s="7"/>
      <c r="P228" s="97"/>
      <c r="Q228" s="97"/>
      <c r="R228" s="79"/>
      <c r="S228" s="16"/>
      <c r="T228" s="82"/>
      <c r="U228" s="14"/>
      <c r="V228" s="14"/>
      <c r="W228" s="84"/>
      <c r="X228" s="83"/>
      <c r="Y228" s="85"/>
      <c r="Z228" s="85"/>
      <c r="AA228" s="85"/>
      <c r="AB228" s="85"/>
      <c r="AC228" s="85"/>
      <c r="AD228" s="85"/>
      <c r="AE228" s="85"/>
      <c r="AF228" s="85"/>
      <c r="AG228" s="85"/>
      <c r="AH228" s="85"/>
      <c r="AI228" s="85"/>
      <c r="AJ228" s="85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</row>
    <row r="229" spans="1:61" ht="14.25" customHeight="1">
      <c r="A229" s="156"/>
      <c r="B229" s="154"/>
      <c r="C229" s="156"/>
      <c r="D229" s="156"/>
      <c r="E229" s="156"/>
      <c r="F229" s="156"/>
      <c r="G229" s="156"/>
      <c r="H229" s="156"/>
      <c r="I229" s="156"/>
      <c r="J229" s="156"/>
      <c r="K229" s="156"/>
      <c r="L229" s="156"/>
      <c r="M229" s="188" t="e">
        <f t="shared" si="87"/>
        <v>#DIV/0!</v>
      </c>
      <c r="N229" s="81"/>
      <c r="O229" s="7"/>
      <c r="P229" s="80"/>
      <c r="Q229" s="80"/>
      <c r="R229" s="91"/>
      <c r="S229" s="8"/>
      <c r="T229" s="82"/>
      <c r="W229" s="10"/>
      <c r="X229" s="9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</row>
    <row r="230" spans="1:61" ht="28.5">
      <c r="A230" s="156" t="s">
        <v>304</v>
      </c>
      <c r="B230" s="157" t="s">
        <v>305</v>
      </c>
      <c r="C230" s="156" t="s">
        <v>5</v>
      </c>
      <c r="D230" s="156">
        <v>32</v>
      </c>
      <c r="E230" s="156">
        <v>36.409999999999997</v>
      </c>
      <c r="F230" s="156">
        <f t="shared" ref="F230" si="88">D230*E230</f>
        <v>1165.1199999999999</v>
      </c>
      <c r="G230" s="156">
        <v>32</v>
      </c>
      <c r="H230" s="156"/>
      <c r="I230" s="156">
        <f t="shared" ref="I230" si="89">G230+H230</f>
        <v>32</v>
      </c>
      <c r="J230" s="156">
        <f t="shared" ref="J230" si="90">E230*G230</f>
        <v>1165.1199999999999</v>
      </c>
      <c r="K230" s="156">
        <f t="shared" ref="K230" si="91">H230*E230</f>
        <v>0</v>
      </c>
      <c r="L230" s="156">
        <f t="shared" ref="L230" si="92">J230+K230</f>
        <v>1165.1199999999999</v>
      </c>
      <c r="M230" s="188">
        <f t="shared" si="87"/>
        <v>1</v>
      </c>
      <c r="N230" s="81"/>
      <c r="O230" s="7"/>
      <c r="P230" s="80"/>
      <c r="Q230" s="80"/>
      <c r="R230" s="91"/>
      <c r="S230" s="8"/>
      <c r="T230" s="82"/>
      <c r="W230" s="10"/>
      <c r="X230" s="9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</row>
    <row r="231" spans="1:61" ht="14.25" customHeight="1">
      <c r="A231" s="156"/>
      <c r="B231" s="154"/>
      <c r="C231" s="156"/>
      <c r="D231" s="156"/>
      <c r="E231" s="156"/>
      <c r="F231" s="156"/>
      <c r="G231" s="156"/>
      <c r="H231" s="156"/>
      <c r="I231" s="156"/>
      <c r="J231" s="156"/>
      <c r="K231" s="156"/>
      <c r="L231" s="156"/>
      <c r="M231" s="188" t="e">
        <f t="shared" si="87"/>
        <v>#DIV/0!</v>
      </c>
      <c r="N231" s="81"/>
      <c r="O231" s="7"/>
      <c r="P231" s="80"/>
      <c r="Q231" s="80"/>
      <c r="R231" s="91"/>
      <c r="S231" s="8"/>
      <c r="T231" s="82"/>
      <c r="W231" s="10"/>
      <c r="X231" s="9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</row>
    <row r="232" spans="1:61" ht="14.25" customHeight="1">
      <c r="A232" s="164" t="s">
        <v>13</v>
      </c>
      <c r="B232" s="165" t="s">
        <v>12</v>
      </c>
      <c r="C232" s="166"/>
      <c r="D232" s="167"/>
      <c r="E232" s="166"/>
      <c r="F232" s="166">
        <f>SUM(F234:F235)</f>
        <v>1010.024</v>
      </c>
      <c r="G232" s="166"/>
      <c r="H232" s="166"/>
      <c r="I232" s="166"/>
      <c r="J232" s="166">
        <f>SUM(J234:J235)</f>
        <v>1010.024</v>
      </c>
      <c r="K232" s="166">
        <f>SUM(K234:K235)</f>
        <v>0</v>
      </c>
      <c r="L232" s="166">
        <f>SUM(L234:L235)</f>
        <v>1010.024</v>
      </c>
      <c r="M232" s="188">
        <f t="shared" si="87"/>
        <v>1</v>
      </c>
      <c r="N232" s="81"/>
      <c r="O232" s="7"/>
      <c r="P232" s="80"/>
      <c r="Q232" s="80"/>
      <c r="R232" s="91"/>
      <c r="S232" s="8"/>
      <c r="T232" s="82"/>
      <c r="W232" s="10"/>
      <c r="X232" s="9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</row>
    <row r="233" spans="1:61" ht="14.25" customHeight="1">
      <c r="A233" s="156"/>
      <c r="B233" s="154"/>
      <c r="C233" s="156"/>
      <c r="D233" s="156"/>
      <c r="E233" s="156"/>
      <c r="F233" s="156"/>
      <c r="G233" s="156"/>
      <c r="H233" s="156"/>
      <c r="I233" s="156"/>
      <c r="J233" s="156"/>
      <c r="K233" s="156"/>
      <c r="L233" s="156"/>
      <c r="M233" s="188" t="e">
        <f t="shared" si="87"/>
        <v>#DIV/0!</v>
      </c>
      <c r="N233" s="81"/>
      <c r="O233" s="7"/>
      <c r="P233" s="80"/>
      <c r="Q233" s="80"/>
      <c r="R233" s="91"/>
      <c r="S233" s="8"/>
      <c r="T233" s="82"/>
      <c r="W233" s="10"/>
      <c r="X233" s="9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</row>
    <row r="234" spans="1:61" ht="28.5">
      <c r="A234" s="156" t="s">
        <v>306</v>
      </c>
      <c r="B234" s="157" t="s">
        <v>52</v>
      </c>
      <c r="C234" s="156" t="s">
        <v>17</v>
      </c>
      <c r="D234" s="156">
        <v>18.2</v>
      </c>
      <c r="E234" s="156">
        <v>8.32</v>
      </c>
      <c r="F234" s="156">
        <f t="shared" ref="F234:F235" si="93">D234*E234</f>
        <v>151.42400000000001</v>
      </c>
      <c r="G234" s="156">
        <v>18.2</v>
      </c>
      <c r="H234" s="156"/>
      <c r="I234" s="156">
        <f t="shared" ref="I234:I235" si="94">G234+H234</f>
        <v>18.2</v>
      </c>
      <c r="J234" s="156">
        <f t="shared" ref="J234:J235" si="95">E234*G234</f>
        <v>151.42400000000001</v>
      </c>
      <c r="K234" s="156">
        <f t="shared" ref="K234:K235" si="96">H234*E234</f>
        <v>0</v>
      </c>
      <c r="L234" s="156">
        <f t="shared" ref="L234:L235" si="97">J234+K234</f>
        <v>151.42400000000001</v>
      </c>
      <c r="M234" s="188">
        <f t="shared" si="87"/>
        <v>1</v>
      </c>
      <c r="N234" s="81"/>
      <c r="O234" s="7"/>
      <c r="P234" s="80"/>
      <c r="Q234" s="80"/>
      <c r="R234" s="91"/>
      <c r="S234" s="8"/>
      <c r="T234" s="82"/>
      <c r="W234" s="10"/>
      <c r="X234" s="9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</row>
    <row r="235" spans="1:61" ht="28.5">
      <c r="A235" s="156" t="s">
        <v>307</v>
      </c>
      <c r="B235" s="157" t="s">
        <v>59</v>
      </c>
      <c r="C235" s="156" t="s">
        <v>17</v>
      </c>
      <c r="D235" s="156">
        <v>2.5</v>
      </c>
      <c r="E235" s="156">
        <v>343.44</v>
      </c>
      <c r="F235" s="156">
        <f t="shared" si="93"/>
        <v>858.6</v>
      </c>
      <c r="G235" s="156">
        <v>2.5</v>
      </c>
      <c r="H235" s="156"/>
      <c r="I235" s="156">
        <f t="shared" si="94"/>
        <v>2.5</v>
      </c>
      <c r="J235" s="156">
        <f t="shared" si="95"/>
        <v>858.6</v>
      </c>
      <c r="K235" s="156">
        <f t="shared" si="96"/>
        <v>0</v>
      </c>
      <c r="L235" s="156">
        <f t="shared" si="97"/>
        <v>858.6</v>
      </c>
      <c r="M235" s="188">
        <f t="shared" si="87"/>
        <v>1</v>
      </c>
      <c r="N235" s="81"/>
      <c r="O235" s="7"/>
      <c r="P235" s="80"/>
      <c r="Q235" s="80"/>
      <c r="R235" s="91"/>
      <c r="S235" s="8"/>
      <c r="T235" s="82"/>
      <c r="W235" s="10"/>
      <c r="X235" s="9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</row>
    <row r="236" spans="1:61">
      <c r="A236" s="156"/>
      <c r="B236" s="157"/>
      <c r="C236" s="156"/>
      <c r="D236" s="156"/>
      <c r="E236" s="156"/>
      <c r="F236" s="156"/>
      <c r="G236" s="156"/>
      <c r="H236" s="156"/>
      <c r="I236" s="156"/>
      <c r="J236" s="156"/>
      <c r="K236" s="156"/>
      <c r="L236" s="156"/>
      <c r="M236" s="188" t="e">
        <f t="shared" si="87"/>
        <v>#DIV/0!</v>
      </c>
      <c r="N236" s="81"/>
      <c r="O236" s="7"/>
      <c r="P236" s="80"/>
      <c r="Q236" s="80"/>
      <c r="R236" s="91"/>
      <c r="S236" s="8"/>
      <c r="T236" s="82"/>
      <c r="W236" s="10"/>
      <c r="X236" s="9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</row>
    <row r="237" spans="1:61" ht="14.25" customHeight="1">
      <c r="A237" s="164" t="s">
        <v>24</v>
      </c>
      <c r="B237" s="165" t="s">
        <v>18</v>
      </c>
      <c r="C237" s="166"/>
      <c r="D237" s="167"/>
      <c r="E237" s="166"/>
      <c r="F237" s="166">
        <f>SUM(F238:F242)</f>
        <v>8414.0084000000006</v>
      </c>
      <c r="G237" s="166"/>
      <c r="H237" s="166"/>
      <c r="I237" s="166"/>
      <c r="J237" s="166">
        <f>SUM(J238:J242)</f>
        <v>8414.0083999999988</v>
      </c>
      <c r="K237" s="166">
        <f t="shared" ref="K237:L237" si="98">SUM(K238:K242)</f>
        <v>0</v>
      </c>
      <c r="L237" s="166">
        <f t="shared" si="98"/>
        <v>8414.0083999999988</v>
      </c>
      <c r="M237" s="188">
        <f t="shared" si="87"/>
        <v>0.99999999999999978</v>
      </c>
      <c r="N237" s="81"/>
      <c r="O237" s="7"/>
      <c r="P237" s="80"/>
      <c r="Q237" s="80"/>
      <c r="R237" s="91"/>
      <c r="S237" s="8"/>
      <c r="T237" s="82"/>
      <c r="W237" s="10"/>
      <c r="X237" s="9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</row>
    <row r="238" spans="1:61">
      <c r="A238" s="156"/>
      <c r="B238" s="157"/>
      <c r="C238" s="156"/>
      <c r="D238" s="156"/>
      <c r="E238" s="156"/>
      <c r="F238" s="156"/>
      <c r="G238" s="156"/>
      <c r="H238" s="156"/>
      <c r="I238" s="156"/>
      <c r="J238" s="156"/>
      <c r="K238" s="156"/>
      <c r="L238" s="156"/>
      <c r="M238" s="188" t="e">
        <f t="shared" si="87"/>
        <v>#DIV/0!</v>
      </c>
      <c r="N238" s="81"/>
      <c r="O238" s="7"/>
      <c r="P238" s="80"/>
      <c r="Q238" s="80"/>
      <c r="R238" s="91"/>
      <c r="S238" s="8"/>
      <c r="T238" s="82"/>
      <c r="W238" s="10"/>
      <c r="X238" s="9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</row>
    <row r="239" spans="1:61">
      <c r="A239" s="156" t="s">
        <v>309</v>
      </c>
      <c r="B239" s="158" t="s">
        <v>63</v>
      </c>
      <c r="C239" s="156" t="s">
        <v>17</v>
      </c>
      <c r="D239" s="156">
        <v>0.7</v>
      </c>
      <c r="E239" s="156">
        <v>402.72</v>
      </c>
      <c r="F239" s="156">
        <f t="shared" ref="F239:F242" si="99">D239*E239</f>
        <v>281.904</v>
      </c>
      <c r="G239" s="156">
        <v>0.7</v>
      </c>
      <c r="H239" s="156"/>
      <c r="I239" s="156">
        <f t="shared" ref="I239:I242" si="100">G239+H239</f>
        <v>0.7</v>
      </c>
      <c r="J239" s="156">
        <f t="shared" ref="J239:J242" si="101">E239*G239</f>
        <v>281.904</v>
      </c>
      <c r="K239" s="156">
        <f t="shared" ref="K239:K242" si="102">H239*E239</f>
        <v>0</v>
      </c>
      <c r="L239" s="156">
        <f t="shared" ref="L239:L242" si="103">J239+K239</f>
        <v>281.904</v>
      </c>
      <c r="M239" s="188">
        <f t="shared" si="87"/>
        <v>1</v>
      </c>
      <c r="N239" s="81"/>
      <c r="O239" s="7"/>
      <c r="P239" s="80"/>
      <c r="Q239" s="80"/>
      <c r="R239" s="91"/>
      <c r="S239" s="8"/>
      <c r="T239" s="82"/>
      <c r="W239" s="10"/>
      <c r="X239" s="9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</row>
    <row r="240" spans="1:61" ht="28.5">
      <c r="A240" s="156" t="s">
        <v>310</v>
      </c>
      <c r="B240" s="157" t="s">
        <v>308</v>
      </c>
      <c r="C240" s="156" t="s">
        <v>17</v>
      </c>
      <c r="D240" s="156">
        <v>1.5</v>
      </c>
      <c r="E240" s="156">
        <v>1618.18</v>
      </c>
      <c r="F240" s="156">
        <f t="shared" si="99"/>
        <v>2427.27</v>
      </c>
      <c r="G240" s="156">
        <v>1.5</v>
      </c>
      <c r="H240" s="156"/>
      <c r="I240" s="156">
        <f t="shared" si="100"/>
        <v>1.5</v>
      </c>
      <c r="J240" s="156">
        <f t="shared" si="101"/>
        <v>2427.27</v>
      </c>
      <c r="K240" s="156">
        <f t="shared" si="102"/>
        <v>0</v>
      </c>
      <c r="L240" s="156">
        <f t="shared" si="103"/>
        <v>2427.27</v>
      </c>
      <c r="M240" s="188">
        <f t="shared" si="87"/>
        <v>1</v>
      </c>
      <c r="N240" s="81"/>
      <c r="O240" s="7"/>
      <c r="P240" s="80"/>
      <c r="Q240" s="80"/>
      <c r="R240" s="91"/>
      <c r="S240" s="8"/>
      <c r="T240" s="82"/>
      <c r="W240" s="10"/>
      <c r="X240" s="9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</row>
    <row r="241" spans="1:61" ht="42.75">
      <c r="A241" s="156" t="s">
        <v>311</v>
      </c>
      <c r="B241" s="157" t="s">
        <v>312</v>
      </c>
      <c r="C241" s="156" t="s">
        <v>17</v>
      </c>
      <c r="D241" s="156">
        <v>1.4</v>
      </c>
      <c r="E241" s="156">
        <v>1618.18</v>
      </c>
      <c r="F241" s="156">
        <f t="shared" si="99"/>
        <v>2265.4519999999998</v>
      </c>
      <c r="G241" s="156">
        <v>1.4</v>
      </c>
      <c r="H241" s="156"/>
      <c r="I241" s="156">
        <f t="shared" si="100"/>
        <v>1.4</v>
      </c>
      <c r="J241" s="156">
        <f t="shared" si="101"/>
        <v>2265.4519999999998</v>
      </c>
      <c r="K241" s="156">
        <f t="shared" si="102"/>
        <v>0</v>
      </c>
      <c r="L241" s="156">
        <f t="shared" si="103"/>
        <v>2265.4519999999998</v>
      </c>
      <c r="M241" s="188">
        <f t="shared" si="87"/>
        <v>1</v>
      </c>
      <c r="N241" s="92"/>
      <c r="O241" s="7"/>
      <c r="P241" s="80"/>
      <c r="Q241" s="80"/>
      <c r="R241" s="91"/>
      <c r="S241" s="8"/>
      <c r="T241" s="82"/>
      <c r="W241" s="10"/>
      <c r="X241" s="9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</row>
    <row r="242" spans="1:61" ht="57">
      <c r="A242" s="156" t="s">
        <v>629</v>
      </c>
      <c r="B242" s="157" t="s">
        <v>630</v>
      </c>
      <c r="C242" s="156" t="s">
        <v>81</v>
      </c>
      <c r="D242" s="156">
        <v>62.24</v>
      </c>
      <c r="E242" s="156">
        <v>55.26</v>
      </c>
      <c r="F242" s="156">
        <f t="shared" si="99"/>
        <v>3439.3824</v>
      </c>
      <c r="G242" s="156">
        <v>62.239999999999995</v>
      </c>
      <c r="H242" s="156"/>
      <c r="I242" s="156">
        <f t="shared" si="100"/>
        <v>62.239999999999995</v>
      </c>
      <c r="J242" s="156">
        <f t="shared" si="101"/>
        <v>3439.3823999999995</v>
      </c>
      <c r="K242" s="156">
        <f t="shared" si="102"/>
        <v>0</v>
      </c>
      <c r="L242" s="156">
        <f t="shared" si="103"/>
        <v>3439.3823999999995</v>
      </c>
      <c r="M242" s="188">
        <f t="shared" si="87"/>
        <v>0.99999999999999989</v>
      </c>
      <c r="N242" s="92"/>
      <c r="O242" s="7"/>
      <c r="P242" s="80"/>
      <c r="Q242" s="80"/>
      <c r="R242" s="91"/>
      <c r="S242" s="8"/>
      <c r="T242" s="82"/>
      <c r="W242" s="10"/>
      <c r="X242" s="9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</row>
    <row r="243" spans="1:61">
      <c r="A243" s="156"/>
      <c r="B243" s="157"/>
      <c r="C243" s="156"/>
      <c r="D243" s="156"/>
      <c r="E243" s="156"/>
      <c r="F243" s="156"/>
      <c r="G243" s="156"/>
      <c r="H243" s="156"/>
      <c r="I243" s="156"/>
      <c r="J243" s="156"/>
      <c r="K243" s="156"/>
      <c r="L243" s="156"/>
      <c r="M243" s="188" t="e">
        <f t="shared" si="87"/>
        <v>#DIV/0!</v>
      </c>
      <c r="N243" s="81"/>
      <c r="O243" s="7"/>
      <c r="P243" s="80"/>
      <c r="Q243" s="80"/>
      <c r="R243" s="91"/>
      <c r="S243" s="8"/>
      <c r="T243" s="82"/>
      <c r="W243" s="10"/>
      <c r="X243" s="9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</row>
    <row r="244" spans="1:61" ht="14.25" customHeight="1">
      <c r="A244" s="164" t="s">
        <v>313</v>
      </c>
      <c r="B244" s="165" t="s">
        <v>2</v>
      </c>
      <c r="C244" s="166"/>
      <c r="D244" s="167"/>
      <c r="E244" s="166"/>
      <c r="F244" s="166">
        <f>SUM(F245:F246)</f>
        <v>2081.4347999999995</v>
      </c>
      <c r="G244" s="166"/>
      <c r="H244" s="166"/>
      <c r="I244" s="166"/>
      <c r="J244" s="166">
        <f>SUM(J245:J246)</f>
        <v>2081.4347999999995</v>
      </c>
      <c r="K244" s="166">
        <f>SUM(K245:K246)</f>
        <v>0</v>
      </c>
      <c r="L244" s="166">
        <f>SUM(L245:L246)</f>
        <v>2081.4347999999995</v>
      </c>
      <c r="M244" s="188">
        <f t="shared" si="87"/>
        <v>1</v>
      </c>
      <c r="N244" s="81"/>
      <c r="O244" s="7"/>
      <c r="P244" s="80"/>
      <c r="Q244" s="80"/>
      <c r="R244" s="91"/>
      <c r="S244" s="8"/>
      <c r="T244" s="82"/>
      <c r="W244" s="10"/>
      <c r="X244" s="9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</row>
    <row r="245" spans="1:61">
      <c r="A245" s="156"/>
      <c r="B245" s="157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88" t="e">
        <f t="shared" si="87"/>
        <v>#DIV/0!</v>
      </c>
      <c r="N245" s="81"/>
      <c r="O245" s="7"/>
      <c r="P245" s="80"/>
      <c r="Q245" s="80"/>
      <c r="R245" s="91"/>
      <c r="S245" s="8"/>
      <c r="T245" s="82"/>
      <c r="W245" s="10"/>
      <c r="X245" s="9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</row>
    <row r="246" spans="1:61" ht="42.75">
      <c r="A246" s="156" t="s">
        <v>314</v>
      </c>
      <c r="B246" s="157" t="s">
        <v>315</v>
      </c>
      <c r="C246" s="156" t="s">
        <v>17</v>
      </c>
      <c r="D246" s="156">
        <v>1.1399999999999999</v>
      </c>
      <c r="E246" s="156">
        <v>1825.82</v>
      </c>
      <c r="F246" s="156">
        <f t="shared" ref="F246" si="104">D246*E246</f>
        <v>2081.4347999999995</v>
      </c>
      <c r="G246" s="156">
        <v>1.1399999999999999</v>
      </c>
      <c r="H246" s="156"/>
      <c r="I246" s="156">
        <f t="shared" ref="I246" si="105">G246+H246</f>
        <v>1.1399999999999999</v>
      </c>
      <c r="J246" s="156">
        <f t="shared" ref="J246" si="106">E246*G246</f>
        <v>2081.4347999999995</v>
      </c>
      <c r="K246" s="156">
        <f t="shared" ref="K246" si="107">H246*E246</f>
        <v>0</v>
      </c>
      <c r="L246" s="156">
        <f t="shared" ref="L246" si="108">J246+K246</f>
        <v>2081.4347999999995</v>
      </c>
      <c r="M246" s="188">
        <f t="shared" si="87"/>
        <v>1</v>
      </c>
      <c r="N246" s="92"/>
      <c r="O246" s="7"/>
      <c r="P246" s="80"/>
      <c r="Q246" s="80"/>
      <c r="R246" s="91"/>
      <c r="S246" s="8"/>
      <c r="T246" s="82"/>
      <c r="W246" s="10"/>
      <c r="X246" s="9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</row>
    <row r="247" spans="1:61">
      <c r="A247" s="156"/>
      <c r="B247" s="157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88" t="e">
        <f t="shared" si="87"/>
        <v>#DIV/0!</v>
      </c>
      <c r="N247" s="81"/>
      <c r="O247" s="7"/>
      <c r="P247" s="80"/>
      <c r="Q247" s="80"/>
      <c r="R247" s="91"/>
      <c r="S247" s="8"/>
      <c r="T247" s="82"/>
      <c r="W247" s="10"/>
      <c r="X247" s="9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</row>
    <row r="248" spans="1:61" ht="14.25" customHeight="1">
      <c r="A248" s="164" t="s">
        <v>316</v>
      </c>
      <c r="B248" s="165" t="s">
        <v>317</v>
      </c>
      <c r="C248" s="166"/>
      <c r="D248" s="167"/>
      <c r="E248" s="166"/>
      <c r="F248" s="166">
        <f>SUM(F249:F250)</f>
        <v>948.97280000000001</v>
      </c>
      <c r="G248" s="166"/>
      <c r="H248" s="166"/>
      <c r="I248" s="166"/>
      <c r="J248" s="166">
        <f>SUM(J249:J250)</f>
        <v>948.97280000000001</v>
      </c>
      <c r="K248" s="166">
        <f>SUM(K249:K250)</f>
        <v>0</v>
      </c>
      <c r="L248" s="166">
        <f>SUM(L249:L250)</f>
        <v>948.97280000000001</v>
      </c>
      <c r="M248" s="188">
        <f t="shared" si="87"/>
        <v>1</v>
      </c>
      <c r="N248" s="81"/>
      <c r="O248" s="7"/>
      <c r="P248" s="80"/>
      <c r="Q248" s="80"/>
      <c r="R248" s="91"/>
      <c r="S248" s="8"/>
      <c r="T248" s="82"/>
      <c r="W248" s="10"/>
      <c r="X248" s="9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</row>
    <row r="249" spans="1:61">
      <c r="A249" s="156"/>
      <c r="B249" s="157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M249" s="188" t="e">
        <f t="shared" si="87"/>
        <v>#DIV/0!</v>
      </c>
      <c r="N249" s="81"/>
      <c r="O249" s="7"/>
      <c r="P249" s="80"/>
      <c r="Q249" s="80"/>
      <c r="R249" s="91"/>
      <c r="S249" s="8"/>
      <c r="T249" s="82"/>
      <c r="W249" s="10"/>
      <c r="X249" s="9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</row>
    <row r="250" spans="1:61" ht="57">
      <c r="A250" s="156" t="s">
        <v>318</v>
      </c>
      <c r="B250" s="157" t="s">
        <v>80</v>
      </c>
      <c r="C250" s="156" t="s">
        <v>16</v>
      </c>
      <c r="D250" s="156">
        <v>18.559999999999999</v>
      </c>
      <c r="E250" s="156">
        <v>51.13</v>
      </c>
      <c r="F250" s="156">
        <f t="shared" ref="F250" si="109">D250*E250</f>
        <v>948.97280000000001</v>
      </c>
      <c r="G250" s="156">
        <v>18.559999999999999</v>
      </c>
      <c r="H250" s="156"/>
      <c r="I250" s="156">
        <f t="shared" ref="I250" si="110">G250+H250</f>
        <v>18.559999999999999</v>
      </c>
      <c r="J250" s="156">
        <f t="shared" ref="J250" si="111">E250*G250</f>
        <v>948.97280000000001</v>
      </c>
      <c r="K250" s="156">
        <f t="shared" ref="K250" si="112">H250*E250</f>
        <v>0</v>
      </c>
      <c r="L250" s="156">
        <f t="shared" ref="L250" si="113">J250+K250</f>
        <v>948.97280000000001</v>
      </c>
      <c r="M250" s="188">
        <f t="shared" si="87"/>
        <v>1</v>
      </c>
      <c r="N250" s="92"/>
      <c r="O250" s="7"/>
      <c r="P250" s="80"/>
      <c r="Q250" s="80"/>
      <c r="R250" s="91"/>
      <c r="S250" s="8"/>
      <c r="T250" s="82"/>
      <c r="W250" s="10"/>
      <c r="X250" s="9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</row>
    <row r="251" spans="1:61">
      <c r="A251" s="156"/>
      <c r="B251" s="157"/>
      <c r="C251" s="156"/>
      <c r="D251" s="156"/>
      <c r="E251" s="156"/>
      <c r="F251" s="156"/>
      <c r="G251" s="156"/>
      <c r="H251" s="156"/>
      <c r="I251" s="156"/>
      <c r="J251" s="156"/>
      <c r="K251" s="156"/>
      <c r="L251" s="156"/>
      <c r="M251" s="188" t="e">
        <f t="shared" si="87"/>
        <v>#DIV/0!</v>
      </c>
      <c r="N251" s="81"/>
      <c r="O251" s="7"/>
      <c r="P251" s="80"/>
      <c r="Q251" s="80"/>
      <c r="R251" s="91"/>
      <c r="S251" s="8"/>
      <c r="T251" s="82"/>
      <c r="W251" s="10"/>
      <c r="X251" s="9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</row>
    <row r="252" spans="1:61" ht="14.25" customHeight="1">
      <c r="A252" s="164" t="s">
        <v>319</v>
      </c>
      <c r="B252" s="165" t="s">
        <v>320</v>
      </c>
      <c r="C252" s="166"/>
      <c r="D252" s="167"/>
      <c r="E252" s="166"/>
      <c r="F252" s="166">
        <f>SUM(F253:F259)</f>
        <v>9832.2376000000004</v>
      </c>
      <c r="G252" s="166"/>
      <c r="H252" s="166"/>
      <c r="I252" s="166"/>
      <c r="J252" s="166">
        <f>SUM(J253:J259)</f>
        <v>9832.2376000000004</v>
      </c>
      <c r="K252" s="166">
        <f t="shared" ref="K252:L252" si="114">SUM(K253:K259)</f>
        <v>0</v>
      </c>
      <c r="L252" s="166">
        <f t="shared" si="114"/>
        <v>9832.2376000000004</v>
      </c>
      <c r="M252" s="188">
        <f t="shared" si="87"/>
        <v>1</v>
      </c>
      <c r="N252" s="81"/>
      <c r="O252" s="7"/>
      <c r="P252" s="80"/>
      <c r="Q252" s="80"/>
      <c r="R252" s="91"/>
      <c r="S252" s="8"/>
      <c r="T252" s="82"/>
      <c r="W252" s="10"/>
      <c r="X252" s="9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</row>
    <row r="253" spans="1:61">
      <c r="A253" s="156"/>
      <c r="B253" s="157"/>
      <c r="C253" s="156"/>
      <c r="D253" s="156"/>
      <c r="E253" s="156"/>
      <c r="F253" s="156"/>
      <c r="G253" s="156"/>
      <c r="H253" s="156"/>
      <c r="I253" s="156"/>
      <c r="J253" s="156"/>
      <c r="K253" s="156"/>
      <c r="L253" s="156"/>
      <c r="M253" s="188" t="e">
        <f t="shared" si="87"/>
        <v>#DIV/0!</v>
      </c>
      <c r="N253" s="81"/>
      <c r="O253" s="7"/>
      <c r="P253" s="80"/>
      <c r="Q253" s="80"/>
      <c r="R253" s="91"/>
      <c r="S253" s="8"/>
      <c r="T253" s="82"/>
      <c r="W253" s="10"/>
      <c r="X253" s="9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</row>
    <row r="254" spans="1:61" ht="42.75">
      <c r="A254" s="156" t="s">
        <v>321</v>
      </c>
      <c r="B254" s="157" t="s">
        <v>110</v>
      </c>
      <c r="C254" s="156" t="s">
        <v>16</v>
      </c>
      <c r="D254" s="156">
        <v>0</v>
      </c>
      <c r="E254" s="156">
        <v>22.8</v>
      </c>
      <c r="F254" s="156">
        <f t="shared" ref="F254:F259" si="115">D254*E254</f>
        <v>0</v>
      </c>
      <c r="G254" s="156">
        <v>0</v>
      </c>
      <c r="H254" s="156"/>
      <c r="I254" s="156">
        <f t="shared" ref="I254:I259" si="116">G254+H254</f>
        <v>0</v>
      </c>
      <c r="J254" s="156">
        <f t="shared" ref="J254:J259" si="117">E254*G254</f>
        <v>0</v>
      </c>
      <c r="K254" s="156">
        <f t="shared" ref="K254:K259" si="118">H254*E254</f>
        <v>0</v>
      </c>
      <c r="L254" s="156">
        <f t="shared" ref="L254:L259" si="119">J254+K254</f>
        <v>0</v>
      </c>
      <c r="M254" s="188" t="e">
        <f t="shared" si="87"/>
        <v>#DIV/0!</v>
      </c>
      <c r="N254" s="81"/>
      <c r="O254" s="7"/>
      <c r="P254" s="80"/>
      <c r="Q254" s="80"/>
      <c r="R254" s="91"/>
      <c r="S254" s="8"/>
      <c r="T254" s="82"/>
      <c r="W254" s="10"/>
      <c r="X254" s="9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</row>
    <row r="255" spans="1:61" ht="42.75">
      <c r="A255" s="156" t="s">
        <v>322</v>
      </c>
      <c r="B255" s="157" t="s">
        <v>323</v>
      </c>
      <c r="C255" s="156" t="s">
        <v>7</v>
      </c>
      <c r="D255" s="156">
        <v>0</v>
      </c>
      <c r="E255" s="156">
        <v>319.25</v>
      </c>
      <c r="F255" s="156">
        <f t="shared" si="115"/>
        <v>0</v>
      </c>
      <c r="G255" s="156">
        <v>0</v>
      </c>
      <c r="H255" s="156"/>
      <c r="I255" s="156">
        <f t="shared" si="116"/>
        <v>0</v>
      </c>
      <c r="J255" s="156">
        <f t="shared" si="117"/>
        <v>0</v>
      </c>
      <c r="K255" s="156">
        <f t="shared" si="118"/>
        <v>0</v>
      </c>
      <c r="L255" s="156">
        <f t="shared" si="119"/>
        <v>0</v>
      </c>
      <c r="M255" s="188" t="e">
        <f t="shared" si="87"/>
        <v>#DIV/0!</v>
      </c>
      <c r="N255" s="81"/>
      <c r="O255" s="7"/>
      <c r="P255" s="80"/>
      <c r="Q255" s="80"/>
      <c r="R255" s="91"/>
      <c r="S255" s="8"/>
      <c r="T255" s="82"/>
      <c r="W255" s="10"/>
      <c r="X255" s="9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</row>
    <row r="256" spans="1:61" ht="28.5">
      <c r="A256" s="156" t="s">
        <v>324</v>
      </c>
      <c r="B256" s="157" t="s">
        <v>114</v>
      </c>
      <c r="C256" s="156" t="s">
        <v>16</v>
      </c>
      <c r="D256" s="156">
        <v>83.16</v>
      </c>
      <c r="E256" s="156">
        <v>25.93</v>
      </c>
      <c r="F256" s="156">
        <f t="shared" si="115"/>
        <v>2156.3388</v>
      </c>
      <c r="G256" s="156">
        <v>83.16</v>
      </c>
      <c r="H256" s="156"/>
      <c r="I256" s="156">
        <f t="shared" si="116"/>
        <v>83.16</v>
      </c>
      <c r="J256" s="156">
        <f t="shared" si="117"/>
        <v>2156.3388</v>
      </c>
      <c r="K256" s="156">
        <f t="shared" si="118"/>
        <v>0</v>
      </c>
      <c r="L256" s="156">
        <f t="shared" si="119"/>
        <v>2156.3388</v>
      </c>
      <c r="M256" s="188">
        <f t="shared" si="87"/>
        <v>1</v>
      </c>
      <c r="N256" s="81"/>
      <c r="O256" s="7"/>
      <c r="P256" s="80"/>
      <c r="Q256" s="80"/>
      <c r="R256" s="91"/>
      <c r="S256" s="8"/>
      <c r="T256" s="82"/>
      <c r="W256" s="10"/>
      <c r="X256" s="9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</row>
    <row r="257" spans="1:61" ht="43.5" customHeight="1">
      <c r="A257" s="156" t="s">
        <v>325</v>
      </c>
      <c r="B257" s="157" t="s">
        <v>116</v>
      </c>
      <c r="C257" s="156" t="s">
        <v>6</v>
      </c>
      <c r="D257" s="156">
        <v>12.6</v>
      </c>
      <c r="E257" s="156">
        <v>10.52</v>
      </c>
      <c r="F257" s="156">
        <f t="shared" si="115"/>
        <v>132.55199999999999</v>
      </c>
      <c r="G257" s="156">
        <v>12.6</v>
      </c>
      <c r="H257" s="156"/>
      <c r="I257" s="156">
        <f t="shared" si="116"/>
        <v>12.6</v>
      </c>
      <c r="J257" s="156">
        <f t="shared" si="117"/>
        <v>132.55199999999999</v>
      </c>
      <c r="K257" s="156">
        <f t="shared" si="118"/>
        <v>0</v>
      </c>
      <c r="L257" s="156">
        <f t="shared" si="119"/>
        <v>132.55199999999999</v>
      </c>
      <c r="M257" s="188">
        <f t="shared" si="87"/>
        <v>1</v>
      </c>
      <c r="N257" s="81"/>
      <c r="O257" s="7"/>
      <c r="P257" s="80"/>
      <c r="Q257" s="80"/>
      <c r="R257" s="91"/>
      <c r="S257" s="8"/>
      <c r="T257" s="82"/>
      <c r="W257" s="10"/>
      <c r="X257" s="9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</row>
    <row r="258" spans="1:61" ht="42.75">
      <c r="A258" s="156" t="s">
        <v>631</v>
      </c>
      <c r="B258" s="157" t="s">
        <v>632</v>
      </c>
      <c r="C258" s="156" t="s">
        <v>602</v>
      </c>
      <c r="D258" s="156">
        <v>4</v>
      </c>
      <c r="E258" s="156">
        <v>872.74</v>
      </c>
      <c r="F258" s="156">
        <f t="shared" si="115"/>
        <v>3490.96</v>
      </c>
      <c r="G258" s="156">
        <v>4</v>
      </c>
      <c r="H258" s="156"/>
      <c r="I258" s="156">
        <f t="shared" si="116"/>
        <v>4</v>
      </c>
      <c r="J258" s="156">
        <f t="shared" si="117"/>
        <v>3490.96</v>
      </c>
      <c r="K258" s="156">
        <f t="shared" si="118"/>
        <v>0</v>
      </c>
      <c r="L258" s="156">
        <f t="shared" si="119"/>
        <v>3490.96</v>
      </c>
      <c r="M258" s="188">
        <f t="shared" si="87"/>
        <v>1</v>
      </c>
      <c r="N258" s="81"/>
      <c r="O258" s="7"/>
      <c r="P258" s="80"/>
      <c r="Q258" s="80"/>
      <c r="R258" s="91"/>
      <c r="S258" s="8"/>
      <c r="T258" s="82"/>
      <c r="W258" s="10"/>
      <c r="X258" s="9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</row>
    <row r="259" spans="1:61" ht="42.75">
      <c r="A259" s="156" t="s">
        <v>633</v>
      </c>
      <c r="B259" s="157" t="s">
        <v>634</v>
      </c>
      <c r="C259" s="156" t="s">
        <v>81</v>
      </c>
      <c r="D259" s="156">
        <v>83.16</v>
      </c>
      <c r="E259" s="156">
        <v>48.73</v>
      </c>
      <c r="F259" s="156">
        <f t="shared" si="115"/>
        <v>4052.3867999999998</v>
      </c>
      <c r="G259" s="156">
        <v>83.16</v>
      </c>
      <c r="H259" s="156"/>
      <c r="I259" s="156">
        <f t="shared" si="116"/>
        <v>83.16</v>
      </c>
      <c r="J259" s="156">
        <f t="shared" si="117"/>
        <v>4052.3867999999998</v>
      </c>
      <c r="K259" s="156">
        <f t="shared" si="118"/>
        <v>0</v>
      </c>
      <c r="L259" s="156">
        <f t="shared" si="119"/>
        <v>4052.3867999999998</v>
      </c>
      <c r="M259" s="188">
        <f t="shared" si="87"/>
        <v>1</v>
      </c>
      <c r="N259" s="81"/>
      <c r="O259" s="7"/>
      <c r="P259" s="80"/>
      <c r="Q259" s="80"/>
      <c r="R259" s="91"/>
      <c r="S259" s="8"/>
      <c r="T259" s="82"/>
      <c r="W259" s="10"/>
      <c r="X259" s="9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</row>
    <row r="260" spans="1:61">
      <c r="A260" s="156"/>
      <c r="B260" s="157"/>
      <c r="C260" s="156"/>
      <c r="D260" s="156"/>
      <c r="E260" s="156"/>
      <c r="F260" s="156"/>
      <c r="G260" s="156"/>
      <c r="H260" s="156"/>
      <c r="I260" s="156"/>
      <c r="J260" s="156"/>
      <c r="K260" s="156"/>
      <c r="L260" s="156"/>
      <c r="M260" s="188" t="e">
        <f t="shared" si="87"/>
        <v>#DIV/0!</v>
      </c>
      <c r="N260" s="81"/>
      <c r="O260" s="7"/>
      <c r="P260" s="80"/>
      <c r="Q260" s="80"/>
      <c r="R260" s="91"/>
      <c r="S260" s="8"/>
      <c r="T260" s="82"/>
      <c r="W260" s="10"/>
      <c r="X260" s="9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</row>
    <row r="261" spans="1:61" ht="14.25" customHeight="1">
      <c r="A261" s="164" t="s">
        <v>326</v>
      </c>
      <c r="B261" s="165" t="s">
        <v>327</v>
      </c>
      <c r="C261" s="166"/>
      <c r="D261" s="167"/>
      <c r="E261" s="166"/>
      <c r="F261" s="166">
        <f>SUM(F262:F266)</f>
        <v>2578.8735999999999</v>
      </c>
      <c r="G261" s="166"/>
      <c r="H261" s="166"/>
      <c r="I261" s="166"/>
      <c r="J261" s="166">
        <f>SUM(J262:J266)</f>
        <v>1627.4880000000001</v>
      </c>
      <c r="K261" s="166">
        <f t="shared" ref="K261:L261" si="120">SUM(K262:K266)</f>
        <v>0</v>
      </c>
      <c r="L261" s="166">
        <f t="shared" si="120"/>
        <v>1627.4880000000001</v>
      </c>
      <c r="M261" s="188">
        <f t="shared" si="87"/>
        <v>0.631084827112116</v>
      </c>
      <c r="N261" s="81">
        <f>F261-J261</f>
        <v>951.38559999999984</v>
      </c>
      <c r="O261" s="7"/>
      <c r="P261" s="80"/>
      <c r="Q261" s="80"/>
      <c r="R261" s="91"/>
      <c r="S261" s="8"/>
      <c r="T261" s="82"/>
      <c r="W261" s="10"/>
      <c r="X261" s="9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</row>
    <row r="262" spans="1:61">
      <c r="A262" s="156"/>
      <c r="B262" s="157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88" t="e">
        <f t="shared" si="87"/>
        <v>#DIV/0!</v>
      </c>
      <c r="N262" s="81"/>
      <c r="O262" s="7"/>
      <c r="P262" s="80"/>
      <c r="Q262" s="80"/>
      <c r="R262" s="91"/>
      <c r="S262" s="8"/>
      <c r="T262" s="82"/>
      <c r="W262" s="10"/>
      <c r="X262" s="9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</row>
    <row r="263" spans="1:61" ht="42.75">
      <c r="A263" s="156" t="s">
        <v>328</v>
      </c>
      <c r="B263" s="157" t="s">
        <v>128</v>
      </c>
      <c r="C263" s="156" t="s">
        <v>16</v>
      </c>
      <c r="D263" s="156">
        <v>66.88</v>
      </c>
      <c r="E263" s="156">
        <v>2.92</v>
      </c>
      <c r="F263" s="156">
        <f t="shared" ref="F263:F266" si="121">D263*E263</f>
        <v>195.28959999999998</v>
      </c>
      <c r="G263" s="156">
        <v>66.88</v>
      </c>
      <c r="H263" s="156"/>
      <c r="I263" s="156">
        <f t="shared" ref="I263:I266" si="122">G263+H263</f>
        <v>66.88</v>
      </c>
      <c r="J263" s="156">
        <f t="shared" ref="J263:J266" si="123">E263*G263</f>
        <v>195.28959999999998</v>
      </c>
      <c r="K263" s="156">
        <f t="shared" ref="K263:K266" si="124">H263*E263</f>
        <v>0</v>
      </c>
      <c r="L263" s="156">
        <f t="shared" ref="L263:L266" si="125">J263+K263</f>
        <v>195.28959999999998</v>
      </c>
      <c r="M263" s="188">
        <f t="shared" si="87"/>
        <v>1</v>
      </c>
      <c r="N263" s="81"/>
      <c r="O263" s="7"/>
      <c r="P263" s="80"/>
      <c r="Q263" s="80"/>
      <c r="R263" s="91"/>
      <c r="S263" s="8"/>
      <c r="T263" s="82"/>
      <c r="W263" s="10"/>
      <c r="X263" s="9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</row>
    <row r="264" spans="1:61" ht="60" customHeight="1">
      <c r="A264" s="156" t="s">
        <v>329</v>
      </c>
      <c r="B264" s="157" t="s">
        <v>130</v>
      </c>
      <c r="C264" s="156" t="s">
        <v>16</v>
      </c>
      <c r="D264" s="156">
        <v>48.32</v>
      </c>
      <c r="E264" s="156">
        <v>21.42</v>
      </c>
      <c r="F264" s="156">
        <f t="shared" si="121"/>
        <v>1035.0144</v>
      </c>
      <c r="G264" s="156">
        <v>48.319999999999993</v>
      </c>
      <c r="H264" s="200"/>
      <c r="I264" s="156">
        <f t="shared" si="122"/>
        <v>48.319999999999993</v>
      </c>
      <c r="J264" s="156">
        <f t="shared" si="123"/>
        <v>1035.0144</v>
      </c>
      <c r="K264" s="156">
        <f t="shared" si="124"/>
        <v>0</v>
      </c>
      <c r="L264" s="156">
        <f t="shared" si="125"/>
        <v>1035.0144</v>
      </c>
      <c r="M264" s="188">
        <f t="shared" si="87"/>
        <v>1</v>
      </c>
      <c r="N264" s="81"/>
      <c r="O264" s="7"/>
      <c r="P264" s="80"/>
      <c r="Q264" s="80"/>
      <c r="R264" s="91"/>
      <c r="S264" s="8"/>
      <c r="T264" s="82"/>
      <c r="W264" s="10"/>
      <c r="X264" s="9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</row>
    <row r="265" spans="1:61" ht="42.75">
      <c r="A265" s="156" t="s">
        <v>330</v>
      </c>
      <c r="B265" s="157" t="s">
        <v>134</v>
      </c>
      <c r="C265" s="156" t="s">
        <v>16</v>
      </c>
      <c r="D265" s="156">
        <v>18.559999999999999</v>
      </c>
      <c r="E265" s="156">
        <v>51.26</v>
      </c>
      <c r="F265" s="156">
        <f t="shared" si="121"/>
        <v>951.38559999999995</v>
      </c>
      <c r="G265" s="156">
        <v>0</v>
      </c>
      <c r="H265" s="200"/>
      <c r="I265" s="156">
        <f t="shared" si="122"/>
        <v>0</v>
      </c>
      <c r="J265" s="156">
        <f t="shared" si="123"/>
        <v>0</v>
      </c>
      <c r="K265" s="156">
        <f t="shared" si="124"/>
        <v>0</v>
      </c>
      <c r="L265" s="156">
        <f t="shared" si="125"/>
        <v>0</v>
      </c>
      <c r="M265" s="188">
        <f t="shared" si="87"/>
        <v>0</v>
      </c>
      <c r="N265" s="81"/>
      <c r="O265" s="7"/>
      <c r="P265" s="80"/>
      <c r="Q265" s="80"/>
      <c r="R265" s="91"/>
      <c r="S265" s="8"/>
      <c r="T265" s="82"/>
      <c r="W265" s="10"/>
      <c r="X265" s="9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</row>
    <row r="266" spans="1:61" ht="42.75">
      <c r="A266" s="156" t="s">
        <v>635</v>
      </c>
      <c r="B266" s="157" t="s">
        <v>636</v>
      </c>
      <c r="C266" s="156" t="s">
        <v>81</v>
      </c>
      <c r="D266" s="156">
        <v>18.559999999999999</v>
      </c>
      <c r="E266" s="156">
        <v>21.4</v>
      </c>
      <c r="F266" s="156">
        <f t="shared" si="121"/>
        <v>397.18399999999997</v>
      </c>
      <c r="G266" s="156">
        <v>18.559999999999999</v>
      </c>
      <c r="H266" s="200"/>
      <c r="I266" s="156">
        <f t="shared" si="122"/>
        <v>18.559999999999999</v>
      </c>
      <c r="J266" s="156">
        <f t="shared" si="123"/>
        <v>397.18399999999997</v>
      </c>
      <c r="K266" s="156">
        <f t="shared" si="124"/>
        <v>0</v>
      </c>
      <c r="L266" s="156">
        <f t="shared" si="125"/>
        <v>397.18399999999997</v>
      </c>
      <c r="M266" s="188">
        <f t="shared" si="87"/>
        <v>1</v>
      </c>
      <c r="N266" s="81"/>
      <c r="O266" s="7"/>
      <c r="P266" s="80"/>
      <c r="Q266" s="80"/>
      <c r="R266" s="91"/>
      <c r="S266" s="8"/>
      <c r="T266" s="82"/>
      <c r="W266" s="10"/>
      <c r="X266" s="9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</row>
    <row r="267" spans="1:61">
      <c r="A267" s="156"/>
      <c r="B267" s="157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88" t="e">
        <f t="shared" si="87"/>
        <v>#DIV/0!</v>
      </c>
      <c r="N267" s="81"/>
      <c r="O267" s="7"/>
      <c r="P267" s="80"/>
      <c r="Q267" s="80"/>
      <c r="R267" s="91"/>
      <c r="S267" s="8"/>
      <c r="T267" s="82"/>
      <c r="W267" s="10"/>
      <c r="X267" s="9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</row>
    <row r="268" spans="1:61" ht="14.25" customHeight="1">
      <c r="A268" s="164" t="s">
        <v>331</v>
      </c>
      <c r="B268" s="165" t="s">
        <v>332</v>
      </c>
      <c r="C268" s="166"/>
      <c r="D268" s="167"/>
      <c r="E268" s="166"/>
      <c r="F268" s="166">
        <f>SUM(F269:F273)</f>
        <v>6167.6136000000006</v>
      </c>
      <c r="G268" s="166"/>
      <c r="H268" s="166"/>
      <c r="I268" s="166"/>
      <c r="J268" s="166">
        <f>SUM(J269:J273)</f>
        <v>4091.8535999999999</v>
      </c>
      <c r="K268" s="166">
        <f t="shared" ref="K268:L268" si="126">SUM(K269:K273)</f>
        <v>2075.7599999999998</v>
      </c>
      <c r="L268" s="166">
        <f t="shared" si="126"/>
        <v>6167.6136000000006</v>
      </c>
      <c r="M268" s="188">
        <f t="shared" si="87"/>
        <v>1</v>
      </c>
      <c r="N268" s="81"/>
      <c r="O268" s="7"/>
      <c r="P268" s="80"/>
      <c r="Q268" s="80"/>
      <c r="R268" s="91"/>
      <c r="S268" s="8"/>
      <c r="T268" s="82"/>
      <c r="W268" s="10"/>
      <c r="X268" s="9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</row>
    <row r="269" spans="1:61">
      <c r="A269" s="156"/>
      <c r="B269" s="157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88" t="e">
        <f t="shared" si="87"/>
        <v>#DIV/0!</v>
      </c>
      <c r="N269" s="81"/>
      <c r="O269" s="7"/>
      <c r="P269" s="80"/>
      <c r="Q269" s="80"/>
      <c r="R269" s="91"/>
      <c r="S269" s="8"/>
      <c r="T269" s="82"/>
      <c r="W269" s="10"/>
      <c r="X269" s="9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</row>
    <row r="270" spans="1:61" ht="28.5">
      <c r="A270" s="156" t="s">
        <v>333</v>
      </c>
      <c r="B270" s="157" t="s">
        <v>154</v>
      </c>
      <c r="C270" s="156" t="s">
        <v>16</v>
      </c>
      <c r="D270" s="156">
        <v>72</v>
      </c>
      <c r="E270" s="156">
        <v>19.77</v>
      </c>
      <c r="F270" s="156">
        <f t="shared" ref="F270:F273" si="127">D270*E270</f>
        <v>1423.44</v>
      </c>
      <c r="G270" s="156">
        <v>72</v>
      </c>
      <c r="H270" s="156"/>
      <c r="I270" s="156">
        <f t="shared" ref="I270:I273" si="128">G270+H270</f>
        <v>72</v>
      </c>
      <c r="J270" s="156">
        <f t="shared" ref="J270:J273" si="129">E270*G270</f>
        <v>1423.44</v>
      </c>
      <c r="K270" s="156">
        <f t="shared" ref="K270:K273" si="130">H270*E270</f>
        <v>0</v>
      </c>
      <c r="L270" s="156">
        <f t="shared" ref="L270:L273" si="131">J270+K270</f>
        <v>1423.44</v>
      </c>
      <c r="M270" s="188">
        <f t="shared" si="87"/>
        <v>1</v>
      </c>
      <c r="N270" s="92"/>
      <c r="O270" s="7"/>
      <c r="P270" s="80"/>
      <c r="Q270" s="80"/>
      <c r="R270" s="91"/>
      <c r="S270" s="8"/>
      <c r="T270" s="82"/>
      <c r="W270" s="10"/>
      <c r="X270" s="9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</row>
    <row r="271" spans="1:61">
      <c r="A271" s="156" t="s">
        <v>334</v>
      </c>
      <c r="B271" s="157" t="s">
        <v>156</v>
      </c>
      <c r="C271" s="156" t="s">
        <v>16</v>
      </c>
      <c r="D271" s="156">
        <v>72</v>
      </c>
      <c r="E271" s="156">
        <v>18.7</v>
      </c>
      <c r="F271" s="156">
        <f t="shared" si="127"/>
        <v>1346.3999999999999</v>
      </c>
      <c r="G271" s="156">
        <v>72</v>
      </c>
      <c r="H271" s="156"/>
      <c r="I271" s="156">
        <f t="shared" si="128"/>
        <v>72</v>
      </c>
      <c r="J271" s="156">
        <f t="shared" si="129"/>
        <v>1346.3999999999999</v>
      </c>
      <c r="K271" s="156">
        <f t="shared" si="130"/>
        <v>0</v>
      </c>
      <c r="L271" s="156">
        <f t="shared" si="131"/>
        <v>1346.3999999999999</v>
      </c>
      <c r="M271" s="188">
        <f t="shared" si="87"/>
        <v>1</v>
      </c>
      <c r="N271" s="92"/>
      <c r="O271" s="7"/>
      <c r="P271" s="80"/>
      <c r="Q271" s="80"/>
      <c r="R271" s="91"/>
      <c r="S271" s="8"/>
      <c r="T271" s="82"/>
      <c r="W271" s="10"/>
      <c r="X271" s="9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</row>
    <row r="272" spans="1:61" ht="28.5">
      <c r="A272" s="156" t="s">
        <v>335</v>
      </c>
      <c r="B272" s="157" t="s">
        <v>160</v>
      </c>
      <c r="C272" s="156" t="s">
        <v>16</v>
      </c>
      <c r="D272" s="156">
        <v>72</v>
      </c>
      <c r="E272" s="156">
        <v>28.83</v>
      </c>
      <c r="F272" s="156">
        <f t="shared" si="127"/>
        <v>2075.7599999999998</v>
      </c>
      <c r="G272" s="156">
        <v>0</v>
      </c>
      <c r="H272" s="156">
        <f>'MEMORIA BM 06'!L627</f>
        <v>72</v>
      </c>
      <c r="I272" s="156">
        <f t="shared" si="128"/>
        <v>72</v>
      </c>
      <c r="J272" s="156">
        <f t="shared" si="129"/>
        <v>0</v>
      </c>
      <c r="K272" s="156">
        <f t="shared" si="130"/>
        <v>2075.7599999999998</v>
      </c>
      <c r="L272" s="156">
        <f t="shared" si="131"/>
        <v>2075.7599999999998</v>
      </c>
      <c r="M272" s="188">
        <f t="shared" si="87"/>
        <v>1</v>
      </c>
      <c r="N272" s="92"/>
      <c r="O272" s="7"/>
      <c r="P272" s="80"/>
      <c r="Q272" s="80"/>
      <c r="R272" s="91"/>
      <c r="S272" s="8"/>
      <c r="T272" s="82"/>
      <c r="W272" s="10"/>
      <c r="X272" s="9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</row>
    <row r="273" spans="1:61" ht="42.75">
      <c r="A273" s="156" t="s">
        <v>637</v>
      </c>
      <c r="B273" s="157" t="s">
        <v>638</v>
      </c>
      <c r="C273" s="156" t="s">
        <v>81</v>
      </c>
      <c r="D273" s="156">
        <v>22.32</v>
      </c>
      <c r="E273" s="156">
        <v>59.23</v>
      </c>
      <c r="F273" s="156">
        <f t="shared" si="127"/>
        <v>1322.0136</v>
      </c>
      <c r="G273" s="156">
        <v>22.319999999999997</v>
      </c>
      <c r="H273" s="156"/>
      <c r="I273" s="156">
        <f t="shared" si="128"/>
        <v>22.319999999999997</v>
      </c>
      <c r="J273" s="156">
        <f t="shared" si="129"/>
        <v>1322.0135999999998</v>
      </c>
      <c r="K273" s="156">
        <f t="shared" si="130"/>
        <v>0</v>
      </c>
      <c r="L273" s="156">
        <f t="shared" si="131"/>
        <v>1322.0135999999998</v>
      </c>
      <c r="M273" s="188">
        <f t="shared" si="87"/>
        <v>0.99999999999999978</v>
      </c>
      <c r="N273" s="92"/>
      <c r="O273" s="7"/>
      <c r="P273" s="80"/>
      <c r="Q273" s="80"/>
      <c r="R273" s="91"/>
      <c r="S273" s="8"/>
      <c r="T273" s="82"/>
      <c r="W273" s="10"/>
      <c r="X273" s="9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</row>
    <row r="274" spans="1:61">
      <c r="A274" s="156"/>
      <c r="B274" s="157"/>
      <c r="C274" s="156"/>
      <c r="D274" s="156"/>
      <c r="E274" s="156"/>
      <c r="F274" s="156"/>
      <c r="G274" s="156"/>
      <c r="H274" s="156"/>
      <c r="I274" s="156"/>
      <c r="J274" s="156"/>
      <c r="K274" s="156"/>
      <c r="L274" s="156"/>
      <c r="M274" s="188" t="e">
        <f t="shared" si="87"/>
        <v>#DIV/0!</v>
      </c>
      <c r="N274" s="81"/>
      <c r="O274" s="7"/>
      <c r="P274" s="80"/>
      <c r="Q274" s="80"/>
      <c r="R274" s="91"/>
      <c r="S274" s="8"/>
      <c r="T274" s="82"/>
      <c r="W274" s="10"/>
      <c r="X274" s="9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</row>
    <row r="275" spans="1:61" ht="14.25" customHeight="1">
      <c r="A275" s="164" t="s">
        <v>336</v>
      </c>
      <c r="B275" s="165" t="s">
        <v>337</v>
      </c>
      <c r="C275" s="166"/>
      <c r="D275" s="167"/>
      <c r="E275" s="166"/>
      <c r="F275" s="166">
        <f>SUM(F276:F281)</f>
        <v>2430.9776000000002</v>
      </c>
      <c r="G275" s="166"/>
      <c r="H275" s="166"/>
      <c r="I275" s="166"/>
      <c r="J275" s="166">
        <f>SUM(J276:J281)</f>
        <v>940.61760000000004</v>
      </c>
      <c r="K275" s="166">
        <f>SUM(K276:K281)</f>
        <v>0</v>
      </c>
      <c r="L275" s="166">
        <f>SUM(L276:L281)</f>
        <v>940.61760000000004</v>
      </c>
      <c r="M275" s="188">
        <f t="shared" si="87"/>
        <v>0.3869297685013634</v>
      </c>
      <c r="N275" s="81"/>
      <c r="O275" s="7"/>
      <c r="P275" s="80"/>
      <c r="Q275" s="80"/>
      <c r="R275" s="91"/>
      <c r="S275" s="8"/>
      <c r="T275" s="82"/>
      <c r="W275" s="10"/>
      <c r="X275" s="9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</row>
    <row r="276" spans="1:61">
      <c r="A276" s="156"/>
      <c r="B276" s="157"/>
      <c r="C276" s="156"/>
      <c r="D276" s="156"/>
      <c r="E276" s="156"/>
      <c r="F276" s="156"/>
      <c r="G276" s="156"/>
      <c r="H276" s="156"/>
      <c r="I276" s="156"/>
      <c r="J276" s="156"/>
      <c r="K276" s="156"/>
      <c r="L276" s="156"/>
      <c r="M276" s="188" t="e">
        <f t="shared" si="87"/>
        <v>#DIV/0!</v>
      </c>
      <c r="N276" s="81"/>
      <c r="O276" s="7"/>
      <c r="P276" s="80"/>
      <c r="Q276" s="80"/>
      <c r="R276" s="91"/>
      <c r="S276" s="8"/>
      <c r="T276" s="82"/>
      <c r="W276" s="10"/>
      <c r="X276" s="9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</row>
    <row r="277" spans="1:61" ht="28.5">
      <c r="A277" s="156" t="s">
        <v>338</v>
      </c>
      <c r="B277" s="157" t="s">
        <v>262</v>
      </c>
      <c r="C277" s="156" t="s">
        <v>7</v>
      </c>
      <c r="D277" s="156">
        <v>4</v>
      </c>
      <c r="E277" s="156">
        <v>116.16</v>
      </c>
      <c r="F277" s="156">
        <f t="shared" ref="F277:F281" si="132">D277*E277</f>
        <v>464.64</v>
      </c>
      <c r="G277" s="156">
        <v>4</v>
      </c>
      <c r="H277" s="156"/>
      <c r="I277" s="156">
        <f t="shared" ref="I277:I281" si="133">G277+H277</f>
        <v>4</v>
      </c>
      <c r="J277" s="156">
        <f t="shared" ref="J277:J281" si="134">E277*G277</f>
        <v>464.64</v>
      </c>
      <c r="K277" s="156">
        <f t="shared" ref="K277:K281" si="135">H277*E277</f>
        <v>0</v>
      </c>
      <c r="L277" s="156">
        <f t="shared" ref="L277:L281" si="136">J277+K277</f>
        <v>464.64</v>
      </c>
      <c r="M277" s="188">
        <f t="shared" si="87"/>
        <v>1</v>
      </c>
      <c r="N277" s="81"/>
      <c r="O277" s="7"/>
      <c r="P277" s="80"/>
      <c r="Q277" s="80"/>
      <c r="R277" s="91"/>
      <c r="S277" s="8"/>
      <c r="T277" s="82"/>
      <c r="W277" s="10"/>
      <c r="X277" s="9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</row>
    <row r="278" spans="1:61" ht="42.75">
      <c r="A278" s="156" t="s">
        <v>339</v>
      </c>
      <c r="B278" s="157" t="s">
        <v>260</v>
      </c>
      <c r="C278" s="156" t="s">
        <v>7</v>
      </c>
      <c r="D278" s="156">
        <v>4</v>
      </c>
      <c r="E278" s="156">
        <v>90.95</v>
      </c>
      <c r="F278" s="156">
        <f t="shared" si="132"/>
        <v>363.8</v>
      </c>
      <c r="G278" s="156">
        <v>4</v>
      </c>
      <c r="H278" s="156"/>
      <c r="I278" s="156">
        <f t="shared" si="133"/>
        <v>4</v>
      </c>
      <c r="J278" s="156">
        <f t="shared" si="134"/>
        <v>363.8</v>
      </c>
      <c r="K278" s="156">
        <f t="shared" si="135"/>
        <v>0</v>
      </c>
      <c r="L278" s="156">
        <f t="shared" si="136"/>
        <v>363.8</v>
      </c>
      <c r="M278" s="188">
        <f t="shared" si="87"/>
        <v>1</v>
      </c>
      <c r="N278" s="81"/>
      <c r="O278" s="7"/>
      <c r="P278" s="80"/>
      <c r="Q278" s="80"/>
      <c r="R278" s="91"/>
      <c r="S278" s="8"/>
      <c r="T278" s="82"/>
      <c r="W278" s="10"/>
      <c r="X278" s="9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  <c r="BH278" s="11"/>
      <c r="BI278" s="11"/>
    </row>
    <row r="279" spans="1:61" ht="28.5">
      <c r="A279" s="156" t="s">
        <v>340</v>
      </c>
      <c r="B279" s="157" t="s">
        <v>341</v>
      </c>
      <c r="C279" s="156" t="s">
        <v>7</v>
      </c>
      <c r="D279" s="156">
        <v>4</v>
      </c>
      <c r="E279" s="156">
        <v>372.59</v>
      </c>
      <c r="F279" s="156">
        <f t="shared" si="132"/>
        <v>1490.36</v>
      </c>
      <c r="G279" s="156">
        <v>0</v>
      </c>
      <c r="H279" s="156"/>
      <c r="I279" s="156">
        <f t="shared" si="133"/>
        <v>0</v>
      </c>
      <c r="J279" s="156">
        <f t="shared" si="134"/>
        <v>0</v>
      </c>
      <c r="K279" s="156">
        <f t="shared" si="135"/>
        <v>0</v>
      </c>
      <c r="L279" s="156">
        <f t="shared" si="136"/>
        <v>0</v>
      </c>
      <c r="M279" s="188">
        <f t="shared" si="87"/>
        <v>0</v>
      </c>
      <c r="N279" s="81">
        <f>F279</f>
        <v>1490.36</v>
      </c>
      <c r="O279" s="7"/>
      <c r="P279" s="80"/>
      <c r="Q279" s="80"/>
      <c r="R279" s="91"/>
      <c r="S279" s="8"/>
      <c r="T279" s="82"/>
      <c r="W279" s="10"/>
      <c r="X279" s="9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</row>
    <row r="280" spans="1:61" ht="28.5">
      <c r="A280" s="156" t="s">
        <v>342</v>
      </c>
      <c r="B280" s="157" t="s">
        <v>343</v>
      </c>
      <c r="C280" s="156" t="s">
        <v>7</v>
      </c>
      <c r="D280" s="156">
        <v>2</v>
      </c>
      <c r="E280" s="156">
        <v>11.09</v>
      </c>
      <c r="F280" s="156">
        <f t="shared" si="132"/>
        <v>22.18</v>
      </c>
      <c r="G280" s="156">
        <v>2</v>
      </c>
      <c r="H280" s="156"/>
      <c r="I280" s="156">
        <f t="shared" si="133"/>
        <v>2</v>
      </c>
      <c r="J280" s="156">
        <f t="shared" si="134"/>
        <v>22.18</v>
      </c>
      <c r="K280" s="156">
        <f t="shared" si="135"/>
        <v>0</v>
      </c>
      <c r="L280" s="156">
        <f t="shared" si="136"/>
        <v>22.18</v>
      </c>
      <c r="M280" s="188">
        <f t="shared" si="87"/>
        <v>1</v>
      </c>
      <c r="N280" s="81"/>
      <c r="O280" s="7"/>
      <c r="P280" s="80"/>
      <c r="Q280" s="80"/>
      <c r="R280" s="91"/>
      <c r="S280" s="8"/>
      <c r="T280" s="82"/>
      <c r="W280" s="10"/>
      <c r="X280" s="9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</row>
    <row r="281" spans="1:61" ht="28.5">
      <c r="A281" s="156" t="s">
        <v>344</v>
      </c>
      <c r="B281" s="157" t="s">
        <v>345</v>
      </c>
      <c r="C281" s="156" t="s">
        <v>16</v>
      </c>
      <c r="D281" s="156">
        <v>19.48</v>
      </c>
      <c r="E281" s="156">
        <v>4.62</v>
      </c>
      <c r="F281" s="156">
        <f t="shared" si="132"/>
        <v>89.997600000000006</v>
      </c>
      <c r="G281" s="156">
        <v>19.48</v>
      </c>
      <c r="H281" s="156"/>
      <c r="I281" s="156">
        <f t="shared" si="133"/>
        <v>19.48</v>
      </c>
      <c r="J281" s="156">
        <f t="shared" si="134"/>
        <v>89.997600000000006</v>
      </c>
      <c r="K281" s="156">
        <f t="shared" si="135"/>
        <v>0</v>
      </c>
      <c r="L281" s="156">
        <f t="shared" si="136"/>
        <v>89.997600000000006</v>
      </c>
      <c r="M281" s="188">
        <f t="shared" si="87"/>
        <v>1</v>
      </c>
      <c r="N281" s="81"/>
      <c r="O281" s="7"/>
      <c r="P281" s="80"/>
      <c r="Q281" s="80"/>
      <c r="R281" s="91"/>
      <c r="S281" s="8"/>
      <c r="T281" s="82"/>
      <c r="W281" s="10"/>
      <c r="X281" s="9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</row>
    <row r="282" spans="1:61">
      <c r="A282" s="147"/>
      <c r="B282" s="94"/>
      <c r="C282" s="147"/>
      <c r="D282" s="147"/>
      <c r="E282" s="147"/>
      <c r="F282" s="147"/>
      <c r="G282" s="147"/>
      <c r="H282" s="147"/>
      <c r="I282" s="147"/>
      <c r="J282" s="147"/>
      <c r="K282" s="147"/>
      <c r="L282" s="147"/>
      <c r="M282" s="188" t="e">
        <f t="shared" si="87"/>
        <v>#DIV/0!</v>
      </c>
      <c r="N282" s="81"/>
      <c r="O282" s="7"/>
      <c r="P282" s="80"/>
      <c r="Q282" s="80"/>
      <c r="R282" s="91"/>
      <c r="S282" s="8"/>
      <c r="T282" s="82"/>
      <c r="W282" s="10"/>
      <c r="X282" s="9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</row>
    <row r="283" spans="1:61" ht="14.25" customHeight="1">
      <c r="A283" s="164" t="s">
        <v>639</v>
      </c>
      <c r="B283" s="165" t="s">
        <v>8</v>
      </c>
      <c r="C283" s="166"/>
      <c r="D283" s="167"/>
      <c r="E283" s="166"/>
      <c r="F283" s="166">
        <f>SUM(F284:F287)</f>
        <v>450.63679999999999</v>
      </c>
      <c r="G283" s="166"/>
      <c r="H283" s="166"/>
      <c r="I283" s="166"/>
      <c r="J283" s="166">
        <f>SUM(J284:J287)</f>
        <v>0</v>
      </c>
      <c r="K283" s="166">
        <f t="shared" ref="K283:L283" si="137">SUM(K284:K287)</f>
        <v>450.63679999999999</v>
      </c>
      <c r="L283" s="166">
        <f t="shared" si="137"/>
        <v>450.63679999999999</v>
      </c>
      <c r="M283" s="188">
        <f t="shared" si="87"/>
        <v>1</v>
      </c>
      <c r="N283" s="81"/>
      <c r="O283" s="7"/>
      <c r="P283" s="80"/>
      <c r="Q283" s="80"/>
      <c r="R283" s="91"/>
      <c r="S283" s="8"/>
      <c r="T283" s="82"/>
      <c r="W283" s="10"/>
      <c r="X283" s="9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</row>
    <row r="284" spans="1:61" ht="14.25" customHeight="1">
      <c r="A284" s="156"/>
      <c r="B284" s="154"/>
      <c r="C284" s="156"/>
      <c r="D284" s="156"/>
      <c r="E284" s="156"/>
      <c r="F284" s="156"/>
      <c r="G284" s="156"/>
      <c r="H284" s="156"/>
      <c r="I284" s="156"/>
      <c r="J284" s="156"/>
      <c r="K284" s="156"/>
      <c r="L284" s="156"/>
      <c r="M284" s="188" t="e">
        <f t="shared" si="87"/>
        <v>#DIV/0!</v>
      </c>
      <c r="N284" s="81"/>
      <c r="O284" s="7"/>
      <c r="P284" s="80"/>
      <c r="Q284" s="80"/>
      <c r="R284" s="91"/>
      <c r="S284" s="8"/>
      <c r="T284" s="82"/>
      <c r="W284" s="10"/>
      <c r="X284" s="9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</row>
    <row r="285" spans="1:61" ht="14.25" customHeight="1">
      <c r="A285" s="156" t="s">
        <v>640</v>
      </c>
      <c r="B285" s="154" t="s">
        <v>137</v>
      </c>
      <c r="C285" s="156" t="s">
        <v>81</v>
      </c>
      <c r="D285" s="156">
        <v>18.559999999999999</v>
      </c>
      <c r="E285" s="156">
        <v>1.79</v>
      </c>
      <c r="F285" s="156">
        <f t="shared" ref="F285:F287" si="138">D285*E285</f>
        <v>33.2224</v>
      </c>
      <c r="G285" s="156">
        <v>0</v>
      </c>
      <c r="H285" s="156">
        <f>'MEMORIA BM 06'!L652</f>
        <v>18.559999999999999</v>
      </c>
      <c r="I285" s="156">
        <f t="shared" ref="I285:I287" si="139">G285+H285</f>
        <v>18.559999999999999</v>
      </c>
      <c r="J285" s="156">
        <f t="shared" ref="J285:J287" si="140">E285*G285</f>
        <v>0</v>
      </c>
      <c r="K285" s="156">
        <f t="shared" ref="K285:K287" si="141">H285*E285</f>
        <v>33.2224</v>
      </c>
      <c r="L285" s="156">
        <f t="shared" ref="L285:L287" si="142">J285+K285</f>
        <v>33.2224</v>
      </c>
      <c r="M285" s="188">
        <f t="shared" si="87"/>
        <v>1</v>
      </c>
      <c r="N285" s="81"/>
      <c r="O285" s="7"/>
      <c r="P285" s="80"/>
      <c r="Q285" s="80"/>
      <c r="R285" s="91"/>
      <c r="S285" s="8"/>
      <c r="T285" s="82"/>
      <c r="W285" s="10"/>
      <c r="X285" s="9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</row>
    <row r="286" spans="1:61" ht="28.5">
      <c r="A286" s="156" t="s">
        <v>641</v>
      </c>
      <c r="B286" s="157" t="s">
        <v>141</v>
      </c>
      <c r="C286" s="156" t="s">
        <v>81</v>
      </c>
      <c r="D286" s="156">
        <v>18.559999999999999</v>
      </c>
      <c r="E286" s="156">
        <v>11.88</v>
      </c>
      <c r="F286" s="156">
        <f t="shared" si="138"/>
        <v>220.49279999999999</v>
      </c>
      <c r="G286" s="156">
        <v>0</v>
      </c>
      <c r="H286" s="156">
        <f>'MEMORIA BM 06'!L655</f>
        <v>18.559999999999999</v>
      </c>
      <c r="I286" s="156">
        <f t="shared" si="139"/>
        <v>18.559999999999999</v>
      </c>
      <c r="J286" s="156">
        <f t="shared" si="140"/>
        <v>0</v>
      </c>
      <c r="K286" s="156">
        <f t="shared" si="141"/>
        <v>220.49279999999999</v>
      </c>
      <c r="L286" s="156">
        <f t="shared" si="142"/>
        <v>220.49279999999999</v>
      </c>
      <c r="M286" s="188">
        <f t="shared" si="87"/>
        <v>1</v>
      </c>
      <c r="N286" s="81"/>
      <c r="O286" s="7"/>
      <c r="P286" s="80"/>
      <c r="Q286" s="80"/>
      <c r="R286" s="91"/>
      <c r="S286" s="8"/>
      <c r="T286" s="82"/>
      <c r="W286" s="10"/>
      <c r="X286" s="9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</row>
    <row r="287" spans="1:61" ht="28.5">
      <c r="A287" s="156" t="s">
        <v>642</v>
      </c>
      <c r="B287" s="157" t="s">
        <v>143</v>
      </c>
      <c r="C287" s="156" t="s">
        <v>81</v>
      </c>
      <c r="D287" s="156">
        <v>18.559999999999999</v>
      </c>
      <c r="E287" s="156">
        <v>10.61</v>
      </c>
      <c r="F287" s="156">
        <f t="shared" si="138"/>
        <v>196.92159999999998</v>
      </c>
      <c r="G287" s="156">
        <v>0</v>
      </c>
      <c r="H287" s="156">
        <f>'MEMORIA BM 06'!L658</f>
        <v>18.559999999999999</v>
      </c>
      <c r="I287" s="156">
        <f t="shared" si="139"/>
        <v>18.559999999999999</v>
      </c>
      <c r="J287" s="156">
        <f t="shared" si="140"/>
        <v>0</v>
      </c>
      <c r="K287" s="156">
        <f t="shared" si="141"/>
        <v>196.92159999999998</v>
      </c>
      <c r="L287" s="156">
        <f t="shared" si="142"/>
        <v>196.92159999999998</v>
      </c>
      <c r="M287" s="188">
        <f t="shared" si="87"/>
        <v>1</v>
      </c>
      <c r="N287" s="81"/>
      <c r="O287" s="7"/>
      <c r="P287" s="80"/>
      <c r="Q287" s="80"/>
      <c r="R287" s="91"/>
      <c r="S287" s="8"/>
      <c r="T287" s="82"/>
      <c r="W287" s="10"/>
      <c r="X287" s="9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</row>
    <row r="288" spans="1:61" ht="16.5" thickBot="1">
      <c r="A288" s="156"/>
      <c r="B288" s="157"/>
      <c r="C288" s="156"/>
      <c r="D288" s="156"/>
      <c r="E288" s="156"/>
      <c r="F288" s="156"/>
      <c r="G288" s="156"/>
      <c r="H288" s="156"/>
      <c r="I288" s="156"/>
      <c r="J288" s="156"/>
      <c r="K288" s="156"/>
      <c r="L288" s="156"/>
      <c r="M288" s="188" t="e">
        <f t="shared" ref="M288:M289" si="143">L288/F288</f>
        <v>#DIV/0!</v>
      </c>
      <c r="N288" s="81"/>
      <c r="O288" s="7"/>
      <c r="P288" s="80"/>
      <c r="Q288" s="80"/>
      <c r="R288" s="91"/>
      <c r="S288" s="8"/>
      <c r="T288" s="82"/>
      <c r="W288" s="10"/>
      <c r="X288" s="9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</row>
    <row r="289" spans="1:61" ht="15.75" customHeight="1" thickBot="1">
      <c r="A289" s="257" t="s">
        <v>347</v>
      </c>
      <c r="B289" s="258"/>
      <c r="C289" s="258"/>
      <c r="D289" s="258"/>
      <c r="E289" s="259"/>
      <c r="F289" s="102">
        <f>SUM(F31+F43+F50+F59+F66+F78+F94+F107+F114+F128+F139+F169+F183+F211+F221+F228+F232+F237+F244+F248+F252+F261+F268+F275+F283)</f>
        <v>751811.60013000015</v>
      </c>
      <c r="G289" s="187"/>
      <c r="H289" s="103"/>
      <c r="I289" s="103"/>
      <c r="J289" s="102">
        <f>SUM(J31+J43+J50+J59+J66+J78+J94+J107+J114+J128+J139+J169+J183+J211+J221+J228+J232+J237+J244+J248+J252+J261+J268+J275)+0.01</f>
        <v>648983.96790000005</v>
      </c>
      <c r="K289" s="102">
        <f>SUM(K31+K43+K50+K59+K66+K78+K94+K107+K114+K128+K139+K169+K183+K211+K221+K228+K232+K237+K244+K248+K252+K261+K268+K275)</f>
        <v>59609.379820000016</v>
      </c>
      <c r="L289" s="102">
        <f>SUM(L31+L43+L50+L59+L66+L78+L94+L107+L114+L128+L139+L169+L183+L211+L221+L228+L232+L237+L244+L248+L252+L261+L268+L275)+0.01</f>
        <v>708593.34771999996</v>
      </c>
      <c r="M289" s="188">
        <f t="shared" si="143"/>
        <v>0.94251451772953876</v>
      </c>
    </row>
    <row r="290" spans="1:61">
      <c r="B290" s="94"/>
      <c r="C290" s="94"/>
      <c r="D290" s="94"/>
      <c r="E290" s="94"/>
      <c r="F290" s="94"/>
      <c r="G290" s="94"/>
      <c r="H290" s="94"/>
      <c r="I290" s="94"/>
      <c r="J290" s="94"/>
      <c r="K290" s="94"/>
      <c r="L290" s="94"/>
      <c r="M290" s="80"/>
      <c r="N290" s="81"/>
      <c r="O290" s="7"/>
      <c r="P290" s="80"/>
      <c r="Q290" s="80"/>
      <c r="R290" s="91"/>
      <c r="S290" s="8"/>
      <c r="T290" s="82"/>
      <c r="W290" s="10"/>
      <c r="X290" s="9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</row>
    <row r="291" spans="1:61">
      <c r="B291" s="292" t="s">
        <v>811</v>
      </c>
      <c r="C291" s="292"/>
      <c r="D291" s="292"/>
      <c r="E291" s="292"/>
      <c r="F291" s="292"/>
      <c r="G291" s="292"/>
      <c r="H291" s="292"/>
      <c r="I291" s="292"/>
      <c r="J291" s="292"/>
      <c r="K291" s="292"/>
      <c r="L291" s="94"/>
      <c r="M291" s="80"/>
      <c r="N291" s="81"/>
      <c r="O291" s="7"/>
      <c r="P291" s="80"/>
      <c r="Q291" s="80"/>
      <c r="R291" s="91"/>
      <c r="S291" s="8"/>
      <c r="T291" s="82"/>
      <c r="W291" s="10"/>
      <c r="X291" s="9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1"/>
    </row>
    <row r="292" spans="1:61">
      <c r="B292" s="94"/>
      <c r="C292" s="94"/>
      <c r="D292" s="94"/>
      <c r="E292" s="94"/>
      <c r="F292" s="94"/>
      <c r="G292" s="94"/>
      <c r="H292" s="94"/>
      <c r="I292" s="94"/>
      <c r="J292" s="94"/>
      <c r="K292" s="94"/>
      <c r="L292" s="94"/>
      <c r="M292" s="80"/>
      <c r="N292" s="81"/>
      <c r="O292" s="7"/>
      <c r="P292" s="80"/>
      <c r="Q292" s="80"/>
      <c r="R292" s="91"/>
      <c r="S292" s="8"/>
      <c r="T292" s="82"/>
      <c r="W292" s="10"/>
      <c r="X292" s="9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</row>
    <row r="293" spans="1:61">
      <c r="B293" s="94"/>
      <c r="E293" s="106"/>
      <c r="F293" s="106"/>
      <c r="G293" s="106"/>
      <c r="H293" s="106"/>
      <c r="I293" s="106"/>
      <c r="J293" s="106"/>
      <c r="K293" s="106"/>
      <c r="L293" s="106"/>
      <c r="M293" s="80"/>
      <c r="N293" s="81"/>
      <c r="O293" s="7"/>
      <c r="P293" s="80"/>
      <c r="Q293" s="80"/>
      <c r="R293" s="91"/>
      <c r="S293" s="8"/>
      <c r="T293" s="82"/>
      <c r="W293" s="10"/>
      <c r="X293" s="9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</row>
    <row r="294" spans="1:61">
      <c r="B294" s="94"/>
      <c r="E294" s="106"/>
      <c r="F294" s="106"/>
      <c r="G294" s="106"/>
      <c r="H294" s="106"/>
      <c r="I294" s="106"/>
      <c r="J294" s="106"/>
      <c r="K294" s="106"/>
      <c r="L294" s="106"/>
    </row>
    <row r="295" spans="1:61">
      <c r="E295" s="106"/>
      <c r="F295" s="106"/>
      <c r="G295" s="106"/>
      <c r="H295" s="106"/>
      <c r="I295" s="106"/>
      <c r="J295" s="106"/>
      <c r="K295" s="106"/>
      <c r="L295" s="106"/>
    </row>
    <row r="296" spans="1:61">
      <c r="E296" s="106"/>
      <c r="F296" s="106"/>
      <c r="G296" s="106"/>
      <c r="H296" s="106"/>
      <c r="I296" s="106"/>
      <c r="J296" s="106"/>
      <c r="K296" s="106"/>
      <c r="L296" s="106"/>
    </row>
    <row r="297" spans="1:61">
      <c r="E297" s="106"/>
      <c r="F297" s="106"/>
      <c r="G297" s="106"/>
      <c r="H297" s="106"/>
      <c r="I297" s="106"/>
      <c r="J297" s="106"/>
      <c r="K297" s="106"/>
      <c r="L297" s="106"/>
    </row>
    <row r="298" spans="1:61">
      <c r="E298" s="106"/>
      <c r="F298" s="106"/>
      <c r="G298" s="106"/>
      <c r="H298" s="106"/>
      <c r="I298" s="106"/>
      <c r="J298" s="106"/>
      <c r="K298" s="106"/>
      <c r="L298" s="106"/>
    </row>
    <row r="299" spans="1:61">
      <c r="E299" s="106"/>
      <c r="F299" s="106"/>
      <c r="G299" s="106"/>
      <c r="H299" s="106"/>
      <c r="I299" s="106"/>
      <c r="J299" s="106"/>
      <c r="K299" s="106"/>
      <c r="L299" s="106"/>
    </row>
    <row r="300" spans="1:61">
      <c r="E300" s="106"/>
      <c r="F300" s="106"/>
      <c r="G300" s="106"/>
      <c r="H300" s="106"/>
      <c r="I300" s="106"/>
      <c r="J300" s="106"/>
      <c r="K300" s="106"/>
      <c r="L300" s="106"/>
    </row>
    <row r="301" spans="1:61">
      <c r="E301" s="106"/>
      <c r="F301" s="106"/>
      <c r="G301" s="106"/>
      <c r="H301" s="106"/>
      <c r="I301" s="106"/>
      <c r="J301" s="106"/>
      <c r="K301" s="106"/>
      <c r="L301" s="106"/>
    </row>
    <row r="302" spans="1:61">
      <c r="E302" s="106"/>
      <c r="F302" s="106"/>
      <c r="G302" s="106"/>
      <c r="I302" s="106"/>
      <c r="J302" s="106"/>
      <c r="K302" s="106"/>
      <c r="L302" s="106"/>
    </row>
    <row r="303" spans="1:61">
      <c r="E303" s="106"/>
      <c r="F303" s="106"/>
      <c r="G303" s="106"/>
      <c r="I303" s="106"/>
      <c r="J303" s="106"/>
      <c r="K303" s="106"/>
      <c r="L303" s="106"/>
    </row>
    <row r="304" spans="1:61">
      <c r="E304" s="106"/>
      <c r="F304" s="106"/>
      <c r="G304" s="106"/>
      <c r="I304" s="106"/>
      <c r="J304" s="106"/>
      <c r="K304" s="106"/>
      <c r="L304" s="106"/>
    </row>
    <row r="305" spans="1:66">
      <c r="E305" s="106"/>
      <c r="F305" s="106"/>
      <c r="G305" s="106"/>
      <c r="I305" s="106"/>
      <c r="J305" s="106"/>
      <c r="K305" s="106"/>
      <c r="L305" s="106"/>
    </row>
    <row r="306" spans="1:66">
      <c r="C306" s="59"/>
      <c r="D306" s="59"/>
      <c r="E306" s="59"/>
      <c r="F306" s="59">
        <v>719635.08</v>
      </c>
      <c r="G306" s="59"/>
      <c r="H306" s="60">
        <v>0.23880000000000001</v>
      </c>
      <c r="I306" s="59"/>
      <c r="J306" s="59"/>
      <c r="K306" s="59"/>
      <c r="L306" s="59" t="s">
        <v>346</v>
      </c>
    </row>
    <row r="307" spans="1:66">
      <c r="C307" s="59"/>
      <c r="D307" s="59"/>
      <c r="E307" s="59"/>
      <c r="F307" s="59">
        <f>SUM(F306*H306+F306)</f>
        <v>891483.93710400001</v>
      </c>
      <c r="G307" s="59"/>
      <c r="H307" s="59"/>
      <c r="I307" s="59"/>
      <c r="J307" s="59"/>
      <c r="K307" s="59"/>
      <c r="L307" s="59" t="s">
        <v>25</v>
      </c>
    </row>
    <row r="308" spans="1:66" s="24" customFormat="1">
      <c r="A308" s="104"/>
      <c r="B308" s="105"/>
      <c r="C308" s="59"/>
      <c r="D308" s="59"/>
      <c r="E308" s="59"/>
      <c r="F308" s="59"/>
      <c r="G308" s="59"/>
      <c r="H308" s="59"/>
      <c r="I308" s="59"/>
      <c r="J308" s="59"/>
      <c r="K308" s="59"/>
      <c r="L308" s="59"/>
      <c r="N308" s="14"/>
      <c r="O308" s="15"/>
      <c r="P308" s="7"/>
      <c r="T308" s="8"/>
      <c r="U308" s="9"/>
      <c r="V308" s="9"/>
      <c r="W308" s="9"/>
      <c r="X308" s="10"/>
      <c r="Y308" s="9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  <c r="BN308" s="12"/>
    </row>
    <row r="309" spans="1:66" s="24" customFormat="1">
      <c r="A309" s="104"/>
      <c r="B309" s="105"/>
      <c r="C309" s="106"/>
      <c r="D309" s="106"/>
      <c r="E309" s="106"/>
      <c r="F309" s="106"/>
      <c r="G309" s="106"/>
      <c r="H309" s="107"/>
      <c r="I309" s="106"/>
      <c r="J309" s="106"/>
      <c r="K309" s="106"/>
      <c r="L309" s="106"/>
      <c r="N309" s="14"/>
      <c r="O309" s="15"/>
      <c r="P309" s="7"/>
      <c r="T309" s="8"/>
      <c r="U309" s="9"/>
      <c r="V309" s="9"/>
      <c r="W309" s="9"/>
      <c r="X309" s="10"/>
      <c r="Y309" s="9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  <c r="BN309" s="12"/>
    </row>
    <row r="310" spans="1:66" s="24" customFormat="1">
      <c r="A310" s="104"/>
      <c r="B310" s="105"/>
      <c r="C310" s="106"/>
      <c r="D310" s="106"/>
      <c r="E310" s="106"/>
      <c r="F310" s="106"/>
      <c r="G310" s="106"/>
      <c r="H310" s="107"/>
      <c r="I310" s="106"/>
      <c r="J310" s="106"/>
      <c r="K310" s="106"/>
      <c r="L310" s="106"/>
      <c r="N310" s="14"/>
      <c r="O310" s="15"/>
      <c r="P310" s="7"/>
      <c r="T310" s="8"/>
      <c r="U310" s="9"/>
      <c r="V310" s="9"/>
      <c r="W310" s="9"/>
      <c r="X310" s="10"/>
      <c r="Y310" s="9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  <c r="BN310" s="12"/>
    </row>
    <row r="311" spans="1:66" s="24" customFormat="1">
      <c r="A311" s="104"/>
      <c r="B311" s="105"/>
      <c r="C311" s="106"/>
      <c r="D311" s="106"/>
      <c r="E311" s="106"/>
      <c r="F311" s="106"/>
      <c r="G311" s="106"/>
      <c r="H311" s="107"/>
      <c r="I311" s="106"/>
      <c r="J311" s="106"/>
      <c r="K311" s="106"/>
      <c r="L311" s="106"/>
      <c r="N311" s="14"/>
      <c r="O311" s="15"/>
      <c r="P311" s="7"/>
      <c r="T311" s="8"/>
      <c r="U311" s="9"/>
      <c r="V311" s="9"/>
      <c r="W311" s="9"/>
      <c r="X311" s="10"/>
      <c r="Y311" s="9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BL311" s="12"/>
      <c r="BM311" s="12"/>
      <c r="BN311" s="12"/>
    </row>
    <row r="312" spans="1:66" s="24" customFormat="1">
      <c r="A312" s="104"/>
      <c r="B312" s="105"/>
      <c r="C312" s="106"/>
      <c r="D312" s="106"/>
      <c r="E312" s="106"/>
      <c r="F312" s="106"/>
      <c r="G312" s="106"/>
      <c r="H312" s="107"/>
      <c r="I312" s="106"/>
      <c r="J312" s="106"/>
      <c r="K312" s="106"/>
      <c r="L312" s="106"/>
      <c r="N312" s="14"/>
      <c r="O312" s="15"/>
      <c r="P312" s="7"/>
      <c r="T312" s="8"/>
      <c r="U312" s="9"/>
      <c r="V312" s="9"/>
      <c r="W312" s="9"/>
      <c r="X312" s="10"/>
      <c r="Y312" s="9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</row>
    <row r="313" spans="1:66" s="24" customFormat="1">
      <c r="A313" s="104"/>
      <c r="B313" s="105"/>
      <c r="C313" s="106"/>
      <c r="D313" s="106"/>
      <c r="E313" s="106"/>
      <c r="F313" s="106"/>
      <c r="G313" s="106"/>
      <c r="H313" s="107"/>
      <c r="I313" s="106"/>
      <c r="J313" s="106"/>
      <c r="K313" s="106"/>
      <c r="L313" s="106"/>
      <c r="N313" s="14"/>
      <c r="O313" s="15"/>
      <c r="P313" s="7"/>
      <c r="T313" s="8"/>
      <c r="U313" s="9"/>
      <c r="V313" s="9"/>
      <c r="W313" s="9"/>
      <c r="X313" s="10"/>
      <c r="Y313" s="9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BL313" s="12"/>
      <c r="BM313" s="12"/>
      <c r="BN313" s="12"/>
    </row>
    <row r="314" spans="1:66" s="24" customFormat="1">
      <c r="A314" s="104"/>
      <c r="B314" s="105"/>
      <c r="C314" s="106"/>
      <c r="D314" s="106"/>
      <c r="E314" s="106"/>
      <c r="F314" s="106"/>
      <c r="G314" s="106"/>
      <c r="H314" s="107"/>
      <c r="I314" s="106"/>
      <c r="J314" s="106"/>
      <c r="K314" s="106"/>
      <c r="L314" s="106"/>
      <c r="N314" s="14"/>
      <c r="O314" s="15"/>
      <c r="P314" s="7"/>
      <c r="T314" s="8"/>
      <c r="U314" s="9"/>
      <c r="V314" s="9"/>
      <c r="W314" s="9"/>
      <c r="X314" s="10"/>
      <c r="Y314" s="9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BL314" s="12"/>
      <c r="BM314" s="12"/>
      <c r="BN314" s="12"/>
    </row>
    <row r="315" spans="1:66" s="24" customFormat="1">
      <c r="A315" s="104"/>
      <c r="B315" s="105"/>
      <c r="C315" s="106"/>
      <c r="D315" s="106"/>
      <c r="E315" s="106"/>
      <c r="F315" s="106"/>
      <c r="G315" s="106"/>
      <c r="H315" s="107"/>
      <c r="I315" s="106"/>
      <c r="J315" s="106"/>
      <c r="K315" s="106"/>
      <c r="L315" s="106"/>
      <c r="N315" s="14"/>
      <c r="O315" s="15"/>
      <c r="P315" s="7"/>
      <c r="T315" s="8"/>
      <c r="U315" s="9"/>
      <c r="V315" s="9"/>
      <c r="W315" s="9"/>
      <c r="X315" s="10"/>
      <c r="Y315" s="9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</row>
    <row r="316" spans="1:66" s="24" customFormat="1">
      <c r="A316" s="104"/>
      <c r="B316" s="105"/>
      <c r="C316" s="106"/>
      <c r="D316" s="106"/>
      <c r="E316" s="106"/>
      <c r="F316" s="106"/>
      <c r="G316" s="106"/>
      <c r="H316" s="107"/>
      <c r="I316" s="106"/>
      <c r="J316" s="106"/>
      <c r="K316" s="106"/>
      <c r="L316" s="106"/>
      <c r="N316" s="14"/>
      <c r="O316" s="15"/>
      <c r="P316" s="7"/>
      <c r="T316" s="8"/>
      <c r="U316" s="9"/>
      <c r="V316" s="9"/>
      <c r="W316" s="9"/>
      <c r="X316" s="10"/>
      <c r="Y316" s="9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</row>
    <row r="317" spans="1:66" s="24" customFormat="1">
      <c r="A317" s="104"/>
      <c r="B317" s="105"/>
      <c r="C317" s="106"/>
      <c r="D317" s="106"/>
      <c r="E317" s="106"/>
      <c r="F317" s="106"/>
      <c r="G317" s="106"/>
      <c r="H317" s="107"/>
      <c r="I317" s="106"/>
      <c r="J317" s="106"/>
      <c r="K317" s="106"/>
      <c r="L317" s="106"/>
      <c r="N317" s="14"/>
      <c r="O317" s="15"/>
      <c r="P317" s="7"/>
      <c r="T317" s="8"/>
      <c r="U317" s="9"/>
      <c r="V317" s="9"/>
      <c r="W317" s="9"/>
      <c r="X317" s="10"/>
      <c r="Y317" s="9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</row>
    <row r="318" spans="1:66" s="24" customFormat="1">
      <c r="A318" s="104"/>
      <c r="B318" s="105"/>
      <c r="C318" s="106"/>
      <c r="D318" s="106"/>
      <c r="E318" s="106"/>
      <c r="F318" s="106"/>
      <c r="G318" s="106"/>
      <c r="H318" s="107"/>
      <c r="I318" s="106"/>
      <c r="J318" s="106"/>
      <c r="K318" s="106"/>
      <c r="L318" s="106"/>
      <c r="N318" s="14"/>
      <c r="O318" s="15"/>
      <c r="P318" s="7"/>
      <c r="T318" s="8"/>
      <c r="U318" s="9"/>
      <c r="V318" s="9"/>
      <c r="W318" s="9"/>
      <c r="X318" s="10"/>
      <c r="Y318" s="9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</row>
    <row r="319" spans="1:66" s="24" customFormat="1">
      <c r="A319" s="104"/>
      <c r="B319" s="105"/>
      <c r="C319" s="106"/>
      <c r="D319" s="106"/>
      <c r="E319" s="106"/>
      <c r="F319" s="106"/>
      <c r="G319" s="106"/>
      <c r="H319" s="107"/>
      <c r="I319" s="106"/>
      <c r="J319" s="106"/>
      <c r="K319" s="106"/>
      <c r="L319" s="106"/>
      <c r="N319" s="14"/>
      <c r="O319" s="15"/>
      <c r="P319" s="7"/>
      <c r="T319" s="8"/>
      <c r="U319" s="9"/>
      <c r="V319" s="9"/>
      <c r="W319" s="9"/>
      <c r="X319" s="10"/>
      <c r="Y319" s="9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</row>
    <row r="320" spans="1:66" s="24" customFormat="1">
      <c r="A320" s="104"/>
      <c r="B320" s="105"/>
      <c r="C320" s="106"/>
      <c r="D320" s="106"/>
      <c r="E320" s="106"/>
      <c r="F320" s="106"/>
      <c r="G320" s="106"/>
      <c r="H320" s="107"/>
      <c r="I320" s="106"/>
      <c r="J320" s="106"/>
      <c r="K320" s="106"/>
      <c r="L320" s="106"/>
      <c r="N320" s="14"/>
      <c r="O320" s="15"/>
      <c r="P320" s="7"/>
      <c r="T320" s="8"/>
      <c r="U320" s="9"/>
      <c r="V320" s="9"/>
      <c r="W320" s="9"/>
      <c r="X320" s="10"/>
      <c r="Y320" s="9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</row>
    <row r="321" spans="1:66" s="24" customFormat="1">
      <c r="A321" s="104"/>
      <c r="B321" s="105"/>
      <c r="C321" s="106"/>
      <c r="D321" s="106"/>
      <c r="E321" s="106"/>
      <c r="F321" s="106"/>
      <c r="G321" s="106"/>
      <c r="H321" s="107"/>
      <c r="I321" s="106"/>
      <c r="J321" s="106"/>
      <c r="K321" s="106"/>
      <c r="L321" s="106"/>
      <c r="N321" s="14"/>
      <c r="O321" s="15"/>
      <c r="P321" s="7"/>
      <c r="T321" s="8"/>
      <c r="U321" s="9"/>
      <c r="V321" s="9"/>
      <c r="W321" s="9"/>
      <c r="X321" s="10"/>
      <c r="Y321" s="9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</row>
    <row r="322" spans="1:66" s="24" customFormat="1">
      <c r="A322" s="104"/>
      <c r="B322" s="105"/>
      <c r="C322" s="106"/>
      <c r="D322" s="106"/>
      <c r="E322" s="106"/>
      <c r="F322" s="106"/>
      <c r="G322" s="106"/>
      <c r="H322" s="107"/>
      <c r="I322" s="106"/>
      <c r="J322" s="106"/>
      <c r="K322" s="106"/>
      <c r="L322" s="106"/>
      <c r="N322" s="14"/>
      <c r="O322" s="15"/>
      <c r="P322" s="7"/>
      <c r="T322" s="8"/>
      <c r="U322" s="9"/>
      <c r="V322" s="9"/>
      <c r="W322" s="9"/>
      <c r="X322" s="10"/>
      <c r="Y322" s="9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</row>
    <row r="323" spans="1:66" s="24" customFormat="1">
      <c r="A323" s="104"/>
      <c r="B323" s="105"/>
      <c r="C323" s="106"/>
      <c r="D323" s="106"/>
      <c r="E323" s="106"/>
      <c r="F323" s="106"/>
      <c r="G323" s="106"/>
      <c r="H323" s="107"/>
      <c r="I323" s="106"/>
      <c r="J323" s="106"/>
      <c r="K323" s="106"/>
      <c r="L323" s="106"/>
      <c r="N323" s="14"/>
      <c r="O323" s="15"/>
      <c r="P323" s="7"/>
      <c r="T323" s="8"/>
      <c r="U323" s="9"/>
      <c r="V323" s="9"/>
      <c r="W323" s="9"/>
      <c r="X323" s="10"/>
      <c r="Y323" s="9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</row>
    <row r="324" spans="1:66" s="24" customFormat="1">
      <c r="A324" s="104"/>
      <c r="B324" s="105"/>
      <c r="C324" s="106"/>
      <c r="D324" s="106"/>
      <c r="E324" s="106"/>
      <c r="F324" s="106"/>
      <c r="G324" s="106"/>
      <c r="H324" s="107"/>
      <c r="I324" s="106"/>
      <c r="J324" s="106"/>
      <c r="K324" s="106"/>
      <c r="L324" s="106"/>
      <c r="N324" s="14"/>
      <c r="O324" s="15"/>
      <c r="P324" s="7"/>
      <c r="T324" s="8"/>
      <c r="U324" s="9"/>
      <c r="V324" s="9"/>
      <c r="W324" s="9"/>
      <c r="X324" s="10"/>
      <c r="Y324" s="9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</row>
    <row r="325" spans="1:66" s="24" customFormat="1">
      <c r="A325" s="104"/>
      <c r="B325" s="105"/>
      <c r="C325" s="106"/>
      <c r="D325" s="106"/>
      <c r="E325" s="106"/>
      <c r="F325" s="106"/>
      <c r="G325" s="106"/>
      <c r="H325" s="107"/>
      <c r="I325" s="106"/>
      <c r="J325" s="106"/>
      <c r="K325" s="106"/>
      <c r="L325" s="106"/>
      <c r="N325" s="14"/>
      <c r="O325" s="15"/>
      <c r="P325" s="7"/>
      <c r="T325" s="8"/>
      <c r="U325" s="9"/>
      <c r="V325" s="9"/>
      <c r="W325" s="9"/>
      <c r="X325" s="10"/>
      <c r="Y325" s="9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</row>
    <row r="326" spans="1:66" s="24" customFormat="1">
      <c r="A326" s="104"/>
      <c r="B326" s="105"/>
      <c r="C326" s="106"/>
      <c r="D326" s="106"/>
      <c r="E326" s="106"/>
      <c r="F326" s="106"/>
      <c r="G326" s="106"/>
      <c r="H326" s="107"/>
      <c r="I326" s="106"/>
      <c r="J326" s="106"/>
      <c r="K326" s="106"/>
      <c r="L326" s="106"/>
      <c r="N326" s="14"/>
      <c r="O326" s="15"/>
      <c r="P326" s="7"/>
      <c r="T326" s="8"/>
      <c r="U326" s="9"/>
      <c r="V326" s="9"/>
      <c r="W326" s="9"/>
      <c r="X326" s="10"/>
      <c r="Y326" s="9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</row>
    <row r="327" spans="1:66" s="24" customFormat="1">
      <c r="A327" s="104"/>
      <c r="B327" s="105"/>
      <c r="C327" s="106"/>
      <c r="D327" s="106"/>
      <c r="E327" s="106"/>
      <c r="F327" s="106"/>
      <c r="G327" s="106"/>
      <c r="H327" s="107"/>
      <c r="I327" s="106"/>
      <c r="J327" s="106"/>
      <c r="K327" s="106"/>
      <c r="L327" s="106"/>
      <c r="N327" s="14"/>
      <c r="O327" s="15"/>
      <c r="P327" s="7"/>
      <c r="T327" s="8"/>
      <c r="U327" s="9"/>
      <c r="V327" s="9"/>
      <c r="W327" s="9"/>
      <c r="X327" s="10"/>
      <c r="Y327" s="9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</row>
    <row r="328" spans="1:66" s="24" customFormat="1">
      <c r="A328" s="104"/>
      <c r="B328" s="105"/>
      <c r="C328" s="106"/>
      <c r="D328" s="106"/>
      <c r="E328" s="106"/>
      <c r="F328" s="106"/>
      <c r="G328" s="106"/>
      <c r="H328" s="107"/>
      <c r="I328" s="106"/>
      <c r="J328" s="106"/>
      <c r="K328" s="106"/>
      <c r="L328" s="106"/>
      <c r="N328" s="14"/>
      <c r="O328" s="15"/>
      <c r="P328" s="7"/>
      <c r="T328" s="8"/>
      <c r="U328" s="9"/>
      <c r="V328" s="9"/>
      <c r="W328" s="9"/>
      <c r="X328" s="10"/>
      <c r="Y328" s="9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</row>
    <row r="329" spans="1:66" s="24" customFormat="1">
      <c r="A329" s="104"/>
      <c r="B329" s="105"/>
      <c r="C329" s="106"/>
      <c r="D329" s="106"/>
      <c r="E329" s="106"/>
      <c r="F329" s="106"/>
      <c r="G329" s="106"/>
      <c r="H329" s="107"/>
      <c r="I329" s="106"/>
      <c r="J329" s="106"/>
      <c r="K329" s="106"/>
      <c r="L329" s="106"/>
      <c r="N329" s="14"/>
      <c r="O329" s="15"/>
      <c r="P329" s="7"/>
      <c r="T329" s="8"/>
      <c r="U329" s="9"/>
      <c r="V329" s="9"/>
      <c r="W329" s="9"/>
      <c r="X329" s="10"/>
      <c r="Y329" s="9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</row>
    <row r="330" spans="1:66" s="24" customFormat="1">
      <c r="A330" s="104"/>
      <c r="B330" s="105"/>
      <c r="C330" s="106"/>
      <c r="D330" s="106"/>
      <c r="E330" s="106"/>
      <c r="F330" s="106"/>
      <c r="G330" s="106"/>
      <c r="H330" s="107"/>
      <c r="I330" s="106"/>
      <c r="J330" s="106"/>
      <c r="K330" s="106"/>
      <c r="L330" s="106"/>
      <c r="N330" s="14"/>
      <c r="O330" s="15"/>
      <c r="P330" s="7"/>
      <c r="T330" s="8"/>
      <c r="U330" s="9"/>
      <c r="V330" s="9"/>
      <c r="W330" s="9"/>
      <c r="X330" s="10"/>
      <c r="Y330" s="9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</row>
    <row r="331" spans="1:66" s="24" customFormat="1">
      <c r="A331" s="104"/>
      <c r="B331" s="105"/>
      <c r="C331" s="106"/>
      <c r="D331" s="106"/>
      <c r="E331" s="106"/>
      <c r="F331" s="106"/>
      <c r="G331" s="106"/>
      <c r="H331" s="107"/>
      <c r="I331" s="106"/>
      <c r="J331" s="106"/>
      <c r="K331" s="106"/>
      <c r="L331" s="106"/>
      <c r="N331" s="14"/>
      <c r="O331" s="15"/>
      <c r="P331" s="7"/>
      <c r="T331" s="8"/>
      <c r="U331" s="9"/>
      <c r="V331" s="9"/>
      <c r="W331" s="9"/>
      <c r="X331" s="10"/>
      <c r="Y331" s="9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</row>
  </sheetData>
  <mergeCells count="24">
    <mergeCell ref="A25:B25"/>
    <mergeCell ref="A1:L1"/>
    <mergeCell ref="A2:L2"/>
    <mergeCell ref="A3:L3"/>
    <mergeCell ref="E8:L8"/>
    <mergeCell ref="E9:I9"/>
    <mergeCell ref="K9:L9"/>
    <mergeCell ref="A15:L15"/>
    <mergeCell ref="A16:L16"/>
    <mergeCell ref="I19:L19"/>
    <mergeCell ref="A20:H20"/>
    <mergeCell ref="A24:B24"/>
    <mergeCell ref="B291:K291"/>
    <mergeCell ref="A28:A29"/>
    <mergeCell ref="B28:B29"/>
    <mergeCell ref="C28:C29"/>
    <mergeCell ref="D28:D29"/>
    <mergeCell ref="E28:E29"/>
    <mergeCell ref="F28:F29"/>
    <mergeCell ref="G28:I28"/>
    <mergeCell ref="J28:L28"/>
    <mergeCell ref="A30:L30"/>
    <mergeCell ref="A226:L227"/>
    <mergeCell ref="A289:E289"/>
  </mergeCells>
  <printOptions horizontalCentered="1"/>
  <pageMargins left="0.31496062992125984" right="0.31496062992125984" top="0.9055118110236221" bottom="0.51181102362204722" header="0.31496062992125984" footer="0.31496062992125984"/>
  <pageSetup paperSize="9" scale="55" fitToHeight="0" orientation="landscape" r:id="rId1"/>
  <rowBreaks count="1" manualBreakCount="1">
    <brk id="54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L296"/>
  <sheetViews>
    <sheetView view="pageBreakPreview" topLeftCell="A106" zoomScale="80" zoomScaleNormal="85" zoomScaleSheetLayoutView="80" workbookViewId="0">
      <selection activeCell="G53" sqref="G53"/>
    </sheetView>
  </sheetViews>
  <sheetFormatPr defaultColWidth="11" defaultRowHeight="15.75"/>
  <cols>
    <col min="1" max="1" width="8.5703125" style="104" customWidth="1"/>
    <col min="2" max="2" width="88.42578125" style="105" customWidth="1"/>
    <col min="3" max="3" width="6" style="106" bestFit="1" customWidth="1"/>
    <col min="4" max="4" width="10.140625" style="106" bestFit="1" customWidth="1"/>
    <col min="5" max="5" width="12.5703125" style="23" bestFit="1" customWidth="1"/>
    <col min="6" max="6" width="17.5703125" style="23" bestFit="1" customWidth="1"/>
    <col min="7" max="7" width="15" style="107" bestFit="1" customWidth="1"/>
    <col min="8" max="8" width="19.28515625" style="23" customWidth="1"/>
    <col min="9" max="9" width="15" style="23" bestFit="1" customWidth="1"/>
    <col min="10" max="10" width="19.28515625" style="23" customWidth="1"/>
    <col min="11" max="11" width="15.5703125" style="24" bestFit="1" customWidth="1"/>
    <col min="12" max="12" width="11.28515625" style="14" bestFit="1" customWidth="1"/>
    <col min="13" max="13" width="10.42578125" style="15" customWidth="1"/>
    <col min="14" max="14" width="11.42578125" style="7" customWidth="1"/>
    <col min="15" max="15" width="18.7109375" style="24" bestFit="1" customWidth="1"/>
    <col min="16" max="16" width="19.85546875" style="24" bestFit="1" customWidth="1"/>
    <col min="17" max="17" width="7.42578125" style="24" customWidth="1"/>
    <col min="18" max="18" width="6" style="8" bestFit="1" customWidth="1"/>
    <col min="19" max="19" width="6.5703125" style="9" bestFit="1" customWidth="1"/>
    <col min="20" max="21" width="11" style="9"/>
    <col min="22" max="22" width="6" style="10" bestFit="1" customWidth="1"/>
    <col min="23" max="23" width="11" style="9"/>
    <col min="24" max="16384" width="11" style="12"/>
  </cols>
  <sheetData>
    <row r="1" spans="1:60" ht="60" hidden="1" customHeight="1">
      <c r="A1" s="249"/>
      <c r="B1" s="249"/>
      <c r="C1" s="249"/>
      <c r="D1" s="249"/>
      <c r="E1" s="249"/>
      <c r="F1" s="249"/>
      <c r="G1" s="249"/>
      <c r="H1" s="249"/>
      <c r="I1" s="249"/>
      <c r="J1" s="249"/>
      <c r="K1" s="4"/>
      <c r="L1" s="5"/>
      <c r="M1" s="6"/>
      <c r="O1" s="4"/>
      <c r="P1" s="4"/>
      <c r="Q1" s="4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</row>
    <row r="2" spans="1:60" ht="18.75" hidden="1" customHeight="1">
      <c r="A2" s="250"/>
      <c r="B2" s="250"/>
      <c r="C2" s="250"/>
      <c r="D2" s="250"/>
      <c r="E2" s="250"/>
      <c r="F2" s="250"/>
      <c r="G2" s="250"/>
      <c r="H2" s="250"/>
      <c r="I2" s="250"/>
      <c r="J2" s="250"/>
      <c r="K2" s="13"/>
      <c r="O2" s="13"/>
      <c r="P2" s="13"/>
      <c r="Q2" s="13"/>
      <c r="R2" s="16"/>
      <c r="V2" s="17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</row>
    <row r="3" spans="1:60" hidden="1">
      <c r="A3" s="251" t="s">
        <v>14</v>
      </c>
      <c r="B3" s="252" t="s">
        <v>26</v>
      </c>
      <c r="C3" s="252" t="s">
        <v>27</v>
      </c>
      <c r="D3" s="252" t="s">
        <v>28</v>
      </c>
      <c r="E3" s="252" t="s">
        <v>15</v>
      </c>
      <c r="F3" s="252"/>
      <c r="G3" s="252" t="s">
        <v>29</v>
      </c>
      <c r="H3" s="252" t="s">
        <v>30</v>
      </c>
      <c r="I3" s="252" t="s">
        <v>29</v>
      </c>
      <c r="J3" s="252" t="s">
        <v>30</v>
      </c>
      <c r="K3" s="13"/>
      <c r="O3" s="13"/>
      <c r="P3" s="13"/>
      <c r="Q3" s="13"/>
      <c r="R3" s="16"/>
      <c r="V3" s="17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</row>
    <row r="4" spans="1:60" ht="16.5" hidden="1" thickBot="1">
      <c r="A4" s="18"/>
      <c r="B4" s="19"/>
      <c r="C4" s="20"/>
      <c r="D4" s="20"/>
      <c r="E4" s="21"/>
      <c r="F4" s="21"/>
      <c r="G4" s="22"/>
      <c r="H4" s="2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</row>
    <row r="5" spans="1:60" ht="16.5" hidden="1" thickBot="1">
      <c r="A5" s="25"/>
      <c r="B5" s="19"/>
      <c r="C5" s="20"/>
      <c r="D5" s="20"/>
      <c r="E5" s="21"/>
      <c r="F5" s="21"/>
      <c r="G5" s="22"/>
      <c r="H5" s="21"/>
      <c r="I5" s="21"/>
      <c r="J5" s="2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</row>
    <row r="6" spans="1:60" ht="16.5" hidden="1" thickBot="1">
      <c r="A6" s="26"/>
      <c r="B6" s="27"/>
      <c r="C6" s="28"/>
      <c r="D6" s="21"/>
      <c r="E6" s="29"/>
      <c r="F6" s="29"/>
      <c r="G6" s="30"/>
      <c r="H6" s="29"/>
      <c r="I6" s="21"/>
      <c r="J6" s="21"/>
      <c r="K6" s="31"/>
      <c r="O6" s="32"/>
      <c r="P6" s="12"/>
      <c r="Q6" s="12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</row>
    <row r="7" spans="1:60" ht="16.5" hidden="1" thickBot="1">
      <c r="A7" s="26"/>
      <c r="B7" s="33"/>
      <c r="C7" s="34"/>
      <c r="D7" s="35"/>
      <c r="E7" s="36"/>
      <c r="F7" s="36"/>
      <c r="G7" s="37"/>
      <c r="H7" s="36"/>
      <c r="I7" s="21"/>
      <c r="J7" s="21"/>
      <c r="O7" s="12"/>
      <c r="P7" s="12"/>
      <c r="Q7" s="12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</row>
    <row r="8" spans="1:60" ht="16.5" hidden="1" thickBot="1">
      <c r="A8" s="38"/>
      <c r="B8" s="39"/>
      <c r="C8" s="29"/>
      <c r="D8" s="29"/>
      <c r="E8" s="253" t="s">
        <v>32</v>
      </c>
      <c r="F8" s="254"/>
      <c r="G8" s="254"/>
      <c r="H8" s="254"/>
      <c r="I8" s="254"/>
      <c r="J8" s="254"/>
      <c r="K8" s="13"/>
      <c r="O8" s="13"/>
      <c r="P8" s="13"/>
      <c r="Q8" s="13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</row>
    <row r="9" spans="1:60" hidden="1">
      <c r="A9" s="40"/>
      <c r="B9" s="41"/>
      <c r="C9" s="42"/>
      <c r="D9" s="42"/>
      <c r="E9" s="255" t="s">
        <v>31</v>
      </c>
      <c r="F9" s="256"/>
      <c r="G9" s="256"/>
      <c r="H9" s="256"/>
      <c r="I9" s="256"/>
      <c r="J9" s="256"/>
      <c r="K9" s="13"/>
      <c r="O9" s="13"/>
      <c r="P9" s="13"/>
      <c r="Q9" s="13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</row>
    <row r="10" spans="1:60">
      <c r="A10" s="43"/>
      <c r="B10" s="44"/>
      <c r="C10" s="45"/>
      <c r="D10" s="45"/>
      <c r="E10" s="46"/>
      <c r="F10" s="46"/>
      <c r="G10" s="46"/>
      <c r="H10" s="46"/>
      <c r="I10" s="46"/>
      <c r="J10" s="46"/>
      <c r="K10" s="13"/>
      <c r="O10" s="13"/>
      <c r="P10" s="13"/>
      <c r="Q10" s="13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</row>
    <row r="11" spans="1:60">
      <c r="A11" s="47"/>
      <c r="B11" s="44"/>
      <c r="C11" s="45"/>
      <c r="D11" s="45"/>
      <c r="E11" s="46"/>
      <c r="F11" s="46"/>
      <c r="G11" s="46"/>
      <c r="H11" s="46"/>
      <c r="K11" s="13"/>
      <c r="O11" s="13"/>
      <c r="P11" s="13"/>
      <c r="Q11" s="13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</row>
    <row r="12" spans="1:60">
      <c r="A12" s="43"/>
      <c r="B12" s="44"/>
      <c r="C12" s="45"/>
      <c r="D12" s="45"/>
      <c r="E12" s="46"/>
      <c r="F12" s="46"/>
      <c r="G12" s="46"/>
      <c r="H12" s="46"/>
      <c r="I12" s="46"/>
      <c r="J12" s="46"/>
      <c r="K12" s="13"/>
      <c r="O12" s="13"/>
      <c r="P12" s="13"/>
      <c r="Q12" s="13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</row>
    <row r="13" spans="1:60">
      <c r="A13" s="43"/>
      <c r="B13" s="44"/>
      <c r="C13" s="45"/>
      <c r="D13" s="45"/>
      <c r="E13" s="46"/>
      <c r="F13" s="46"/>
      <c r="G13" s="46"/>
      <c r="H13" s="46"/>
      <c r="K13" s="13"/>
      <c r="O13" s="13"/>
      <c r="P13" s="13"/>
      <c r="Q13" s="13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</row>
    <row r="14" spans="1:60">
      <c r="A14" s="43"/>
      <c r="B14" s="44"/>
      <c r="C14" s="45"/>
      <c r="D14" s="45"/>
      <c r="E14" s="46"/>
      <c r="F14" s="46"/>
      <c r="G14" s="46"/>
      <c r="H14" s="46"/>
      <c r="K14" s="13"/>
      <c r="O14" s="13"/>
      <c r="P14" s="13"/>
      <c r="Q14" s="13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</row>
    <row r="15" spans="1:60">
      <c r="A15" s="246" t="s">
        <v>425</v>
      </c>
      <c r="B15" s="246"/>
      <c r="C15" s="246"/>
      <c r="D15" s="246"/>
      <c r="E15" s="246"/>
      <c r="F15" s="246"/>
      <c r="G15" s="246"/>
      <c r="H15" s="246"/>
      <c r="I15" s="246"/>
      <c r="J15" s="246"/>
      <c r="K15" s="13"/>
      <c r="O15" s="13"/>
      <c r="P15" s="13"/>
      <c r="Q15" s="13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</row>
    <row r="16" spans="1:60">
      <c r="A16" s="246" t="s">
        <v>427</v>
      </c>
      <c r="B16" s="246"/>
      <c r="C16" s="246"/>
      <c r="D16" s="246"/>
      <c r="E16" s="246"/>
      <c r="F16" s="246"/>
      <c r="G16" s="246"/>
      <c r="H16" s="246"/>
      <c r="I16" s="246"/>
      <c r="J16" s="246"/>
      <c r="K16" s="13"/>
      <c r="O16" s="13"/>
      <c r="P16" s="13"/>
      <c r="Q16" s="13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</row>
    <row r="17" spans="1:60">
      <c r="A17" s="43"/>
      <c r="B17" s="44"/>
      <c r="C17" s="45"/>
      <c r="D17" s="45"/>
      <c r="E17" s="46"/>
      <c r="F17" s="46"/>
      <c r="G17" s="46"/>
      <c r="H17" s="46"/>
      <c r="K17" s="13"/>
      <c r="O17" s="13"/>
      <c r="P17" s="13"/>
      <c r="Q17" s="13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</row>
    <row r="18" spans="1:60" s="54" customFormat="1">
      <c r="A18" s="48"/>
      <c r="B18" s="49"/>
      <c r="C18" s="50"/>
      <c r="D18" s="51"/>
      <c r="E18" s="52"/>
      <c r="F18" s="52"/>
      <c r="G18" s="52"/>
      <c r="H18" s="52"/>
      <c r="I18" s="52"/>
      <c r="J18" s="53"/>
    </row>
    <row r="19" spans="1:60" s="54" customFormat="1" ht="18">
      <c r="A19" s="48"/>
      <c r="B19" s="48"/>
      <c r="C19" s="48"/>
      <c r="E19" s="48"/>
      <c r="F19" s="48"/>
      <c r="G19" s="48"/>
      <c r="H19" s="48"/>
      <c r="I19" s="261" t="s">
        <v>424</v>
      </c>
      <c r="J19" s="261"/>
    </row>
    <row r="20" spans="1:60" s="54" customFormat="1">
      <c r="A20" s="260"/>
      <c r="B20" s="260"/>
      <c r="C20" s="260"/>
      <c r="D20" s="260"/>
      <c r="E20" s="260"/>
      <c r="F20" s="260"/>
      <c r="G20" s="260"/>
      <c r="H20" s="55" t="s">
        <v>33</v>
      </c>
      <c r="I20" s="56"/>
      <c r="J20" s="57">
        <v>44704</v>
      </c>
    </row>
    <row r="21" spans="1:60" s="54" customFormat="1">
      <c r="A21" s="1"/>
      <c r="B21" s="53"/>
      <c r="C21" s="1"/>
      <c r="D21" s="1"/>
      <c r="E21" s="1"/>
      <c r="F21" s="1"/>
      <c r="G21" s="1"/>
      <c r="H21" s="55" t="s">
        <v>420</v>
      </c>
      <c r="I21" s="56"/>
      <c r="J21" s="2">
        <f>F254</f>
        <v>648279.26860000018</v>
      </c>
      <c r="K21" s="58">
        <v>719635.08</v>
      </c>
      <c r="L21" s="59">
        <v>719635.08</v>
      </c>
      <c r="M21" s="60">
        <v>0.23880000000000001</v>
      </c>
    </row>
    <row r="22" spans="1:60" s="54" customFormat="1">
      <c r="A22" s="1"/>
      <c r="B22" s="53"/>
      <c r="C22" s="1"/>
      <c r="D22" s="1"/>
      <c r="E22" s="1"/>
      <c r="F22" s="1"/>
      <c r="G22" s="1"/>
      <c r="H22" s="55" t="s">
        <v>34</v>
      </c>
      <c r="I22" s="56"/>
      <c r="J22" s="2">
        <f>J21-J24</f>
        <v>571398.81020000018</v>
      </c>
      <c r="K22" s="61" t="e">
        <f>SUM(J21+#REF!)</f>
        <v>#REF!</v>
      </c>
      <c r="L22" s="59">
        <f>SUM(L21*M21+L21)</f>
        <v>891483.93710400001</v>
      </c>
      <c r="M22" s="59"/>
    </row>
    <row r="23" spans="1:60" s="54" customFormat="1">
      <c r="C23" s="1"/>
      <c r="D23" s="1"/>
      <c r="E23" s="1"/>
      <c r="F23" s="1"/>
      <c r="G23" s="1"/>
      <c r="H23" s="55" t="s">
        <v>35</v>
      </c>
      <c r="I23" s="56"/>
      <c r="J23" s="2">
        <v>0</v>
      </c>
      <c r="K23" s="61"/>
      <c r="L23" s="62"/>
      <c r="M23" s="62"/>
    </row>
    <row r="24" spans="1:60" s="54" customFormat="1">
      <c r="A24" s="247" t="s">
        <v>428</v>
      </c>
      <c r="B24" s="247"/>
      <c r="C24" s="49"/>
      <c r="D24" s="50"/>
      <c r="E24" s="49"/>
      <c r="F24" s="49"/>
      <c r="G24" s="49"/>
      <c r="H24" s="63" t="s">
        <v>36</v>
      </c>
      <c r="I24" s="64"/>
      <c r="J24" s="3">
        <f>I254</f>
        <v>76880.458400000003</v>
      </c>
    </row>
    <row r="25" spans="1:60" s="54" customFormat="1">
      <c r="A25" s="247" t="s">
        <v>426</v>
      </c>
      <c r="B25" s="247"/>
      <c r="C25" s="49"/>
      <c r="D25" s="50"/>
      <c r="E25" s="49"/>
      <c r="F25" s="49"/>
      <c r="G25" s="49"/>
    </row>
    <row r="26" spans="1:60" s="54" customFormat="1">
      <c r="A26" s="48" t="s">
        <v>429</v>
      </c>
      <c r="B26" s="49"/>
      <c r="C26" s="50"/>
      <c r="D26" s="51"/>
      <c r="E26" s="52"/>
      <c r="F26" s="52"/>
      <c r="G26" s="52"/>
      <c r="AL26" s="54" t="str">
        <f>IF(AJ26=100%,"à medir","medido")</f>
        <v>medido</v>
      </c>
    </row>
    <row r="27" spans="1:60" s="54" customFormat="1" ht="16.5" thickBot="1">
      <c r="A27" s="48"/>
      <c r="B27" s="49"/>
      <c r="C27" s="50"/>
      <c r="D27" s="51"/>
      <c r="E27" s="52"/>
      <c r="F27" s="52"/>
      <c r="G27" s="52"/>
      <c r="H27" s="65"/>
      <c r="I27" s="66"/>
      <c r="J27" s="67"/>
    </row>
    <row r="28" spans="1:60" ht="50.25" customHeight="1" thickBot="1">
      <c r="A28" s="68" t="s">
        <v>14</v>
      </c>
      <c r="B28" s="69" t="s">
        <v>26</v>
      </c>
      <c r="C28" s="70" t="s">
        <v>27</v>
      </c>
      <c r="D28" s="70" t="s">
        <v>15</v>
      </c>
      <c r="E28" s="71" t="s">
        <v>28</v>
      </c>
      <c r="F28" s="71" t="s">
        <v>38</v>
      </c>
      <c r="G28" s="71" t="s">
        <v>37</v>
      </c>
      <c r="H28" s="71" t="s">
        <v>39</v>
      </c>
      <c r="I28" s="71" t="s">
        <v>37</v>
      </c>
      <c r="J28" s="71" t="s">
        <v>39</v>
      </c>
      <c r="K28" s="72"/>
      <c r="L28" s="73"/>
      <c r="M28" s="74"/>
      <c r="O28" s="73"/>
      <c r="P28" s="73"/>
      <c r="Q28" s="72"/>
      <c r="R28" s="16"/>
      <c r="V28" s="17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</row>
    <row r="29" spans="1:60" ht="12" customHeight="1">
      <c r="A29" s="75"/>
      <c r="B29" s="76" t="s">
        <v>40</v>
      </c>
      <c r="C29" s="77"/>
      <c r="D29" s="77"/>
      <c r="E29" s="78"/>
      <c r="F29" s="78"/>
      <c r="G29" s="78"/>
      <c r="H29" s="78"/>
      <c r="I29" s="78"/>
      <c r="J29" s="78"/>
      <c r="K29" s="72"/>
      <c r="L29" s="73"/>
      <c r="M29" s="74"/>
      <c r="O29" s="73"/>
      <c r="P29" s="73"/>
      <c r="Q29" s="72"/>
      <c r="R29" s="16"/>
      <c r="V29" s="17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</row>
    <row r="30" spans="1:60" s="87" customFormat="1">
      <c r="A30" s="148" t="s">
        <v>1</v>
      </c>
      <c r="B30" s="149" t="s">
        <v>0</v>
      </c>
      <c r="C30" s="150"/>
      <c r="D30" s="151"/>
      <c r="E30" s="150"/>
      <c r="F30" s="150">
        <f>SUM(F31:F39)</f>
        <v>16737.77</v>
      </c>
      <c r="G30" s="150"/>
      <c r="H30" s="150"/>
      <c r="I30" s="150">
        <f>SUM(I31:I39)</f>
        <v>7213.12</v>
      </c>
      <c r="J30" s="150">
        <f>SUM(J31:J39)</f>
        <v>7213.12</v>
      </c>
      <c r="K30" s="79"/>
      <c r="L30" s="80"/>
      <c r="M30" s="81"/>
      <c r="N30" s="7"/>
      <c r="O30" s="79"/>
      <c r="P30" s="79"/>
      <c r="Q30" s="79"/>
      <c r="R30" s="16"/>
      <c r="S30" s="82"/>
      <c r="T30" s="14"/>
      <c r="U30" s="83"/>
      <c r="V30" s="84"/>
      <c r="W30" s="83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</row>
    <row r="31" spans="1:60">
      <c r="A31" s="88"/>
      <c r="B31" s="89"/>
      <c r="C31" s="88"/>
      <c r="D31" s="90"/>
      <c r="E31" s="152"/>
      <c r="F31" s="152"/>
      <c r="G31" s="152"/>
      <c r="H31" s="152"/>
      <c r="I31" s="152"/>
      <c r="J31" s="152"/>
      <c r="K31" s="91"/>
      <c r="L31" s="80"/>
      <c r="M31" s="81"/>
      <c r="O31" s="80"/>
      <c r="P31" s="80"/>
      <c r="Q31" s="91"/>
      <c r="S31" s="82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</row>
    <row r="32" spans="1:60">
      <c r="A32" s="153" t="s">
        <v>41</v>
      </c>
      <c r="B32" s="154" t="s">
        <v>366</v>
      </c>
      <c r="C32" s="155" t="s">
        <v>16</v>
      </c>
      <c r="D32" s="156">
        <v>6</v>
      </c>
      <c r="E32" s="156">
        <v>297.62</v>
      </c>
      <c r="F32" s="156">
        <f>D32*E32</f>
        <v>1785.72</v>
      </c>
      <c r="G32" s="156">
        <f>D32</f>
        <v>6</v>
      </c>
      <c r="H32" s="156">
        <f>G32</f>
        <v>6</v>
      </c>
      <c r="I32" s="156">
        <f t="shared" ref="I32:I39" si="0">G32*E32</f>
        <v>1785.72</v>
      </c>
      <c r="J32" s="156">
        <f>I32</f>
        <v>1785.72</v>
      </c>
      <c r="K32" s="91"/>
      <c r="L32" s="92"/>
      <c r="M32" s="81"/>
      <c r="O32" s="92"/>
      <c r="P32" s="92"/>
      <c r="Q32" s="93"/>
      <c r="S32" s="82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</row>
    <row r="33" spans="1:60" ht="28.5">
      <c r="A33" s="153" t="s">
        <v>42</v>
      </c>
      <c r="B33" s="154" t="s">
        <v>305</v>
      </c>
      <c r="C33" s="155" t="s">
        <v>43</v>
      </c>
      <c r="D33" s="156">
        <v>140</v>
      </c>
      <c r="E33" s="156">
        <v>36.409999999999997</v>
      </c>
      <c r="F33" s="156">
        <f t="shared" ref="F33:F39" si="1">D33*E33</f>
        <v>5097.3999999999996</v>
      </c>
      <c r="G33" s="156">
        <f>D33</f>
        <v>140</v>
      </c>
      <c r="H33" s="156">
        <f t="shared" ref="H33:H35" si="2">G33</f>
        <v>140</v>
      </c>
      <c r="I33" s="156">
        <f t="shared" si="0"/>
        <v>5097.3999999999996</v>
      </c>
      <c r="J33" s="156">
        <f t="shared" ref="J33:J39" si="3">I33</f>
        <v>5097.3999999999996</v>
      </c>
      <c r="K33" s="91"/>
      <c r="L33" s="80"/>
      <c r="M33" s="81"/>
      <c r="O33" s="80"/>
      <c r="P33" s="80"/>
      <c r="Q33" s="91"/>
      <c r="S33" s="82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</row>
    <row r="34" spans="1:60" ht="42.75">
      <c r="A34" s="153" t="s">
        <v>44</v>
      </c>
      <c r="B34" s="154" t="s">
        <v>367</v>
      </c>
      <c r="C34" s="155" t="s">
        <v>16</v>
      </c>
      <c r="D34" s="156">
        <v>1500</v>
      </c>
      <c r="E34" s="156">
        <v>0.22</v>
      </c>
      <c r="F34" s="156">
        <f t="shared" si="1"/>
        <v>330</v>
      </c>
      <c r="G34" s="156">
        <f>D34</f>
        <v>1500</v>
      </c>
      <c r="H34" s="156">
        <f t="shared" si="2"/>
        <v>1500</v>
      </c>
      <c r="I34" s="156">
        <f t="shared" si="0"/>
        <v>330</v>
      </c>
      <c r="J34" s="156">
        <f t="shared" si="3"/>
        <v>330</v>
      </c>
      <c r="K34" s="91"/>
      <c r="L34" s="80"/>
      <c r="M34" s="81"/>
      <c r="O34" s="80"/>
      <c r="P34" s="80"/>
      <c r="Q34" s="91"/>
      <c r="S34" s="82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</row>
    <row r="35" spans="1:60" s="87" customFormat="1" ht="42.75">
      <c r="A35" s="153" t="s">
        <v>45</v>
      </c>
      <c r="B35" s="154" t="s">
        <v>368</v>
      </c>
      <c r="C35" s="155" t="s">
        <v>7</v>
      </c>
      <c r="D35" s="156">
        <v>1</v>
      </c>
      <c r="E35" s="156">
        <v>414.92</v>
      </c>
      <c r="F35" s="156">
        <f t="shared" si="1"/>
        <v>414.92</v>
      </c>
      <c r="G35" s="156">
        <v>0</v>
      </c>
      <c r="H35" s="156">
        <f t="shared" si="2"/>
        <v>0</v>
      </c>
      <c r="I35" s="156">
        <f t="shared" si="0"/>
        <v>0</v>
      </c>
      <c r="J35" s="156">
        <f t="shared" si="3"/>
        <v>0</v>
      </c>
      <c r="K35" s="79"/>
      <c r="L35" s="80"/>
      <c r="M35" s="81"/>
      <c r="N35" s="7"/>
      <c r="O35" s="79"/>
      <c r="P35" s="79"/>
      <c r="Q35" s="79"/>
      <c r="R35" s="16"/>
      <c r="S35" s="82"/>
      <c r="T35" s="14"/>
      <c r="U35" s="83"/>
      <c r="V35" s="84"/>
      <c r="W35" s="83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</row>
    <row r="36" spans="1:60" s="87" customFormat="1" ht="34.5" customHeight="1">
      <c r="A36" s="153" t="s">
        <v>46</v>
      </c>
      <c r="B36" s="157" t="s">
        <v>369</v>
      </c>
      <c r="C36" s="155" t="s">
        <v>7</v>
      </c>
      <c r="D36" s="156">
        <v>1</v>
      </c>
      <c r="E36" s="156">
        <v>1100.67</v>
      </c>
      <c r="F36" s="156">
        <f t="shared" si="1"/>
        <v>1100.67</v>
      </c>
      <c r="G36" s="156">
        <v>0</v>
      </c>
      <c r="H36" s="156"/>
      <c r="I36" s="156">
        <f t="shared" si="0"/>
        <v>0</v>
      </c>
      <c r="J36" s="156">
        <f t="shared" si="3"/>
        <v>0</v>
      </c>
      <c r="K36" s="79"/>
      <c r="L36" s="80"/>
      <c r="M36" s="81"/>
      <c r="N36" s="7"/>
      <c r="O36" s="79"/>
      <c r="P36" s="79"/>
      <c r="Q36" s="79"/>
      <c r="R36" s="16"/>
      <c r="S36" s="82"/>
      <c r="T36" s="14"/>
      <c r="U36" s="83"/>
      <c r="V36" s="84"/>
      <c r="W36" s="83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</row>
    <row r="37" spans="1:60" s="87" customFormat="1" ht="42.75">
      <c r="A37" s="153" t="s">
        <v>47</v>
      </c>
      <c r="B37" s="157" t="s">
        <v>370</v>
      </c>
      <c r="C37" s="155" t="s">
        <v>7</v>
      </c>
      <c r="D37" s="156">
        <v>1</v>
      </c>
      <c r="E37" s="156">
        <v>467.94</v>
      </c>
      <c r="F37" s="156">
        <f t="shared" si="1"/>
        <v>467.94</v>
      </c>
      <c r="G37" s="156">
        <v>0</v>
      </c>
      <c r="H37" s="156"/>
      <c r="I37" s="156">
        <f t="shared" si="0"/>
        <v>0</v>
      </c>
      <c r="J37" s="156">
        <f t="shared" si="3"/>
        <v>0</v>
      </c>
      <c r="K37" s="79"/>
      <c r="L37" s="80"/>
      <c r="M37" s="81"/>
      <c r="N37" s="7"/>
      <c r="O37" s="79"/>
      <c r="P37" s="79"/>
      <c r="Q37" s="79"/>
      <c r="R37" s="16"/>
      <c r="S37" s="82"/>
      <c r="T37" s="14"/>
      <c r="U37" s="83"/>
      <c r="V37" s="84"/>
      <c r="W37" s="83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</row>
    <row r="38" spans="1:60" s="87" customFormat="1">
      <c r="A38" s="153" t="s">
        <v>48</v>
      </c>
      <c r="B38" s="158" t="s">
        <v>371</v>
      </c>
      <c r="C38" s="155" t="s">
        <v>50</v>
      </c>
      <c r="D38" s="156">
        <v>8</v>
      </c>
      <c r="E38" s="156">
        <v>490.5</v>
      </c>
      <c r="F38" s="156">
        <f t="shared" si="1"/>
        <v>3924</v>
      </c>
      <c r="G38" s="156"/>
      <c r="H38" s="156"/>
      <c r="I38" s="156">
        <f t="shared" si="0"/>
        <v>0</v>
      </c>
      <c r="J38" s="156">
        <f t="shared" si="3"/>
        <v>0</v>
      </c>
      <c r="K38" s="79"/>
      <c r="L38" s="80"/>
      <c r="M38" s="81"/>
      <c r="N38" s="7"/>
      <c r="O38" s="79"/>
      <c r="P38" s="79"/>
      <c r="Q38" s="79"/>
      <c r="R38" s="16"/>
      <c r="S38" s="82"/>
      <c r="T38" s="14"/>
      <c r="U38" s="83"/>
      <c r="V38" s="84"/>
      <c r="W38" s="83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</row>
    <row r="39" spans="1:60" s="87" customFormat="1">
      <c r="A39" s="153" t="s">
        <v>49</v>
      </c>
      <c r="B39" s="158" t="s">
        <v>372</v>
      </c>
      <c r="C39" s="155" t="s">
        <v>50</v>
      </c>
      <c r="D39" s="156">
        <v>8</v>
      </c>
      <c r="E39" s="156">
        <v>452.14</v>
      </c>
      <c r="F39" s="156">
        <f t="shared" si="1"/>
        <v>3617.12</v>
      </c>
      <c r="G39" s="156"/>
      <c r="H39" s="156"/>
      <c r="I39" s="156">
        <f t="shared" si="0"/>
        <v>0</v>
      </c>
      <c r="J39" s="156">
        <f t="shared" si="3"/>
        <v>0</v>
      </c>
      <c r="K39" s="79"/>
      <c r="L39" s="80"/>
      <c r="M39" s="81"/>
      <c r="N39" s="7"/>
      <c r="O39" s="79"/>
      <c r="P39" s="79"/>
      <c r="Q39" s="79"/>
      <c r="R39" s="16"/>
      <c r="S39" s="82"/>
      <c r="T39" s="14"/>
      <c r="U39" s="83"/>
      <c r="V39" s="84"/>
      <c r="W39" s="83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</row>
    <row r="40" spans="1:60">
      <c r="A40" s="156"/>
      <c r="B40" s="159"/>
      <c r="C40" s="155"/>
      <c r="D40" s="156"/>
      <c r="E40" s="156"/>
      <c r="F40" s="156"/>
      <c r="G40" s="156"/>
      <c r="H40" s="156"/>
      <c r="I40" s="156"/>
      <c r="J40" s="156"/>
      <c r="K40" s="91"/>
      <c r="L40" s="80"/>
      <c r="M40" s="81"/>
      <c r="O40" s="80"/>
      <c r="P40" s="80"/>
      <c r="Q40" s="91"/>
      <c r="S40" s="82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</row>
    <row r="41" spans="1:60" s="87" customFormat="1">
      <c r="A41" s="160" t="s">
        <v>19</v>
      </c>
      <c r="B41" s="161" t="s">
        <v>12</v>
      </c>
      <c r="C41" s="162"/>
      <c r="D41" s="163"/>
      <c r="E41" s="162"/>
      <c r="F41" s="162">
        <f>SUM(F42:F46)</f>
        <v>7361.0879999999997</v>
      </c>
      <c r="G41" s="162"/>
      <c r="H41" s="162"/>
      <c r="I41" s="162">
        <f>SUM(I42:I45)</f>
        <v>5249.1596</v>
      </c>
      <c r="J41" s="162">
        <f>SUM(J42:J46)</f>
        <v>5249.1596</v>
      </c>
      <c r="K41" s="79"/>
      <c r="L41" s="80"/>
      <c r="M41" s="81"/>
      <c r="N41" s="7"/>
      <c r="O41" s="79"/>
      <c r="P41" s="79"/>
      <c r="Q41" s="79"/>
      <c r="R41" s="16"/>
      <c r="S41" s="82"/>
      <c r="T41" s="14"/>
      <c r="U41" s="83"/>
      <c r="V41" s="84"/>
      <c r="W41" s="83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</row>
    <row r="42" spans="1:60">
      <c r="A42" s="156"/>
      <c r="B42" s="159" t="s">
        <v>25</v>
      </c>
      <c r="C42" s="155"/>
      <c r="D42" s="156"/>
      <c r="E42" s="156"/>
      <c r="F42" s="156"/>
      <c r="G42" s="156"/>
      <c r="H42" s="156"/>
      <c r="I42" s="156"/>
      <c r="J42" s="156"/>
      <c r="K42" s="91"/>
      <c r="L42" s="80"/>
      <c r="M42" s="81"/>
      <c r="O42" s="80"/>
      <c r="P42" s="80"/>
      <c r="Q42" s="91"/>
      <c r="S42" s="82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</row>
    <row r="43" spans="1:60" ht="28.5">
      <c r="A43" s="156" t="s">
        <v>51</v>
      </c>
      <c r="B43" s="157" t="s">
        <v>52</v>
      </c>
      <c r="C43" s="155" t="s">
        <v>17</v>
      </c>
      <c r="D43" s="156">
        <v>122.16</v>
      </c>
      <c r="E43" s="156">
        <v>8.32</v>
      </c>
      <c r="F43" s="156">
        <f t="shared" ref="F43:F45" si="4">D43*E43</f>
        <v>1016.3712</v>
      </c>
      <c r="G43" s="156">
        <f>'MEMORIA BM 01'!L38</f>
        <v>83.940000000000012</v>
      </c>
      <c r="H43" s="156">
        <f>G43</f>
        <v>83.940000000000012</v>
      </c>
      <c r="I43" s="156">
        <f>G43*E43</f>
        <v>698.38080000000014</v>
      </c>
      <c r="J43" s="156">
        <f>I43</f>
        <v>698.38080000000014</v>
      </c>
      <c r="K43" s="80"/>
      <c r="L43" s="81"/>
      <c r="M43" s="7"/>
      <c r="N43" s="80"/>
      <c r="O43" s="80"/>
      <c r="P43" s="91"/>
      <c r="Q43" s="8"/>
      <c r="R43" s="82"/>
      <c r="U43" s="10"/>
      <c r="V43" s="9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</row>
    <row r="44" spans="1:60">
      <c r="A44" s="156" t="s">
        <v>53</v>
      </c>
      <c r="B44" s="157" t="s">
        <v>54</v>
      </c>
      <c r="C44" s="155" t="s">
        <v>17</v>
      </c>
      <c r="D44" s="156">
        <v>122.16</v>
      </c>
      <c r="E44" s="156">
        <v>17.899999999999999</v>
      </c>
      <c r="F44" s="156">
        <f t="shared" si="4"/>
        <v>2186.6639999999998</v>
      </c>
      <c r="G44" s="156">
        <f>'MEMORIA BM 01'!L46</f>
        <v>21.940000000000005</v>
      </c>
      <c r="H44" s="156">
        <f t="shared" ref="H44:H45" si="5">G44</f>
        <v>21.940000000000005</v>
      </c>
      <c r="I44" s="156">
        <f>G44*E44</f>
        <v>392.72600000000006</v>
      </c>
      <c r="J44" s="156">
        <f>I44</f>
        <v>392.72600000000006</v>
      </c>
      <c r="K44" s="80"/>
      <c r="L44" s="81"/>
      <c r="M44" s="7"/>
      <c r="N44" s="80"/>
      <c r="O44" s="80"/>
      <c r="P44" s="91"/>
      <c r="Q44" s="8"/>
      <c r="R44" s="82"/>
      <c r="U44" s="10"/>
      <c r="V44" s="9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</row>
    <row r="45" spans="1:60" ht="28.5">
      <c r="A45" s="156" t="s">
        <v>55</v>
      </c>
      <c r="B45" s="157" t="s">
        <v>56</v>
      </c>
      <c r="C45" s="155" t="s">
        <v>17</v>
      </c>
      <c r="D45" s="156">
        <v>142.01</v>
      </c>
      <c r="E45" s="156">
        <v>29.28</v>
      </c>
      <c r="F45" s="156">
        <f t="shared" si="4"/>
        <v>4158.0527999999995</v>
      </c>
      <c r="G45" s="156">
        <v>142.01</v>
      </c>
      <c r="H45" s="156">
        <f t="shared" si="5"/>
        <v>142.01</v>
      </c>
      <c r="I45" s="156">
        <f>G45*E45</f>
        <v>4158.0527999999995</v>
      </c>
      <c r="J45" s="156">
        <f>I45</f>
        <v>4158.0527999999995</v>
      </c>
      <c r="K45" s="80"/>
      <c r="L45" s="81"/>
      <c r="M45" s="7"/>
      <c r="N45" s="80"/>
      <c r="O45" s="80"/>
      <c r="P45" s="91"/>
      <c r="Q45" s="8"/>
      <c r="R45" s="82"/>
      <c r="U45" s="10"/>
      <c r="V45" s="9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</row>
    <row r="46" spans="1:60">
      <c r="A46" s="156"/>
      <c r="B46" s="154"/>
      <c r="C46" s="156"/>
      <c r="D46" s="156"/>
      <c r="E46" s="156"/>
      <c r="F46" s="156"/>
      <c r="G46" s="156"/>
      <c r="H46" s="156"/>
      <c r="I46" s="156"/>
      <c r="J46" s="156"/>
      <c r="K46" s="12"/>
      <c r="L46" s="80"/>
      <c r="M46" s="81"/>
      <c r="O46" s="80"/>
      <c r="P46" s="80"/>
      <c r="Q46" s="91"/>
      <c r="S46" s="82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</row>
    <row r="47" spans="1:60" s="87" customFormat="1">
      <c r="A47" s="160" t="s">
        <v>20</v>
      </c>
      <c r="B47" s="161" t="s">
        <v>57</v>
      </c>
      <c r="C47" s="162"/>
      <c r="D47" s="163"/>
      <c r="E47" s="162"/>
      <c r="F47" s="162">
        <f>SUM(F48:F53)</f>
        <v>72072.818199999994</v>
      </c>
      <c r="G47" s="162"/>
      <c r="H47" s="162"/>
      <c r="I47" s="162">
        <f>SUM(I48:I53)</f>
        <v>57065.177300000003</v>
      </c>
      <c r="J47" s="162">
        <f>SUM(J48:J53)</f>
        <v>57065.177300000003</v>
      </c>
      <c r="K47" s="79"/>
      <c r="L47" s="80"/>
      <c r="M47" s="81"/>
      <c r="N47" s="7"/>
      <c r="O47" s="79"/>
      <c r="P47" s="79"/>
      <c r="Q47" s="79"/>
      <c r="R47" s="16"/>
      <c r="S47" s="82"/>
      <c r="T47" s="14"/>
      <c r="U47" s="83"/>
      <c r="V47" s="84"/>
      <c r="W47" s="83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6"/>
      <c r="AK47" s="86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  <c r="AY47" s="86"/>
      <c r="AZ47" s="86"/>
      <c r="BA47" s="86"/>
      <c r="BB47" s="86"/>
      <c r="BC47" s="86"/>
      <c r="BD47" s="86"/>
      <c r="BE47" s="86"/>
      <c r="BF47" s="86"/>
      <c r="BG47" s="86"/>
      <c r="BH47" s="86"/>
    </row>
    <row r="48" spans="1:60">
      <c r="A48" s="156"/>
      <c r="B48" s="154"/>
      <c r="C48" s="156"/>
      <c r="D48" s="156"/>
      <c r="E48" s="156"/>
      <c r="F48" s="156"/>
      <c r="G48" s="156"/>
      <c r="H48" s="156"/>
      <c r="I48" s="156"/>
      <c r="J48" s="156"/>
      <c r="K48" s="80"/>
      <c r="L48" s="81"/>
      <c r="M48" s="7"/>
      <c r="N48" s="80"/>
      <c r="O48" s="80"/>
      <c r="P48" s="91"/>
      <c r="Q48" s="8"/>
      <c r="R48" s="82"/>
      <c r="S48" s="95"/>
      <c r="T48" s="95"/>
      <c r="U48" s="10"/>
      <c r="V48" s="9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</row>
    <row r="49" spans="1:60" ht="28.5">
      <c r="A49" s="156" t="s">
        <v>58</v>
      </c>
      <c r="B49" s="157" t="s">
        <v>59</v>
      </c>
      <c r="C49" s="156" t="s">
        <v>17</v>
      </c>
      <c r="D49" s="156">
        <v>84.24</v>
      </c>
      <c r="E49" s="156">
        <v>339.77</v>
      </c>
      <c r="F49" s="156">
        <f t="shared" ref="F49:F53" si="6">D49*E49</f>
        <v>28622.224799999996</v>
      </c>
      <c r="G49" s="156">
        <f>'MEMORIA BM 01'!L60</f>
        <v>40.07</v>
      </c>
      <c r="H49" s="156">
        <f>G49</f>
        <v>40.07</v>
      </c>
      <c r="I49" s="156">
        <f t="shared" ref="I49:I53" si="7">G49*E49</f>
        <v>13614.5839</v>
      </c>
      <c r="J49" s="156">
        <f>I49</f>
        <v>13614.5839</v>
      </c>
      <c r="K49" s="80"/>
      <c r="L49" s="81"/>
      <c r="M49" s="7"/>
      <c r="N49" s="80"/>
      <c r="O49" s="80"/>
      <c r="P49" s="91"/>
      <c r="Q49" s="8"/>
      <c r="R49" s="82"/>
      <c r="S49" s="95"/>
      <c r="T49" s="95"/>
      <c r="U49" s="10"/>
      <c r="V49" s="9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</row>
    <row r="50" spans="1:60" ht="63.75" customHeight="1">
      <c r="A50" s="156" t="s">
        <v>60</v>
      </c>
      <c r="B50" s="157" t="s">
        <v>61</v>
      </c>
      <c r="C50" s="156" t="s">
        <v>16</v>
      </c>
      <c r="D50" s="156">
        <v>28.19</v>
      </c>
      <c r="E50" s="156">
        <v>55.26</v>
      </c>
      <c r="F50" s="156">
        <f t="shared" si="6"/>
        <v>1557.7794000000001</v>
      </c>
      <c r="G50" s="156">
        <f>D50</f>
        <v>28.19</v>
      </c>
      <c r="H50" s="156">
        <f t="shared" ref="H50:H53" si="8">G50</f>
        <v>28.19</v>
      </c>
      <c r="I50" s="156">
        <f t="shared" si="7"/>
        <v>1557.7794000000001</v>
      </c>
      <c r="J50" s="156">
        <f>I50</f>
        <v>1557.7794000000001</v>
      </c>
      <c r="K50" s="96"/>
      <c r="L50" s="81"/>
      <c r="M50" s="7"/>
      <c r="N50" s="80"/>
      <c r="O50" s="80"/>
      <c r="P50" s="91"/>
      <c r="Q50" s="8"/>
      <c r="R50" s="82"/>
      <c r="S50" s="95"/>
      <c r="T50" s="95"/>
      <c r="U50" s="10"/>
      <c r="V50" s="9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</row>
    <row r="51" spans="1:60" ht="29.25" customHeight="1">
      <c r="A51" s="156" t="s">
        <v>62</v>
      </c>
      <c r="B51" s="157" t="s">
        <v>63</v>
      </c>
      <c r="C51" s="156" t="s">
        <v>17</v>
      </c>
      <c r="D51" s="156">
        <v>5</v>
      </c>
      <c r="E51" s="156">
        <v>394.47</v>
      </c>
      <c r="F51" s="156">
        <f t="shared" si="6"/>
        <v>1972.3500000000001</v>
      </c>
      <c r="G51" s="156">
        <f>D51</f>
        <v>5</v>
      </c>
      <c r="H51" s="156">
        <f t="shared" si="8"/>
        <v>5</v>
      </c>
      <c r="I51" s="156">
        <f t="shared" si="7"/>
        <v>1972.3500000000001</v>
      </c>
      <c r="J51" s="156">
        <f>I51</f>
        <v>1972.3500000000001</v>
      </c>
      <c r="K51" s="80"/>
      <c r="L51" s="81"/>
      <c r="M51" s="7"/>
      <c r="N51" s="80"/>
      <c r="O51" s="80"/>
      <c r="P51" s="91"/>
      <c r="Q51" s="8"/>
      <c r="R51" s="82"/>
      <c r="S51" s="95"/>
      <c r="T51" s="95"/>
      <c r="U51" s="10"/>
      <c r="V51" s="9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</row>
    <row r="52" spans="1:60" ht="36.75" customHeight="1">
      <c r="A52" s="156" t="s">
        <v>64</v>
      </c>
      <c r="B52" s="157" t="s">
        <v>65</v>
      </c>
      <c r="C52" s="156" t="s">
        <v>17</v>
      </c>
      <c r="D52" s="156">
        <v>15.01</v>
      </c>
      <c r="E52" s="156">
        <v>1613.6</v>
      </c>
      <c r="F52" s="156">
        <f t="shared" si="6"/>
        <v>24220.135999999999</v>
      </c>
      <c r="G52" s="156">
        <f>D52</f>
        <v>15.01</v>
      </c>
      <c r="H52" s="156">
        <f t="shared" si="8"/>
        <v>15.01</v>
      </c>
      <c r="I52" s="156">
        <f t="shared" si="7"/>
        <v>24220.135999999999</v>
      </c>
      <c r="J52" s="156">
        <f t="shared" ref="J52:J53" si="9">I52</f>
        <v>24220.135999999999</v>
      </c>
      <c r="K52" s="80"/>
      <c r="L52" s="81"/>
      <c r="M52" s="7"/>
      <c r="N52" s="80"/>
      <c r="O52" s="80"/>
      <c r="P52" s="91"/>
      <c r="Q52" s="8"/>
      <c r="R52" s="82"/>
      <c r="S52" s="95"/>
      <c r="T52" s="95"/>
      <c r="U52" s="10"/>
      <c r="V52" s="9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</row>
    <row r="53" spans="1:60" ht="28.5">
      <c r="A53" s="156" t="s">
        <v>66</v>
      </c>
      <c r="B53" s="157" t="s">
        <v>67</v>
      </c>
      <c r="C53" s="156" t="s">
        <v>17</v>
      </c>
      <c r="D53" s="156">
        <v>9.73</v>
      </c>
      <c r="E53" s="156">
        <v>1613.6</v>
      </c>
      <c r="F53" s="156">
        <f t="shared" si="6"/>
        <v>15700.328</v>
      </c>
      <c r="G53" s="156">
        <f>D53</f>
        <v>9.73</v>
      </c>
      <c r="H53" s="156">
        <f t="shared" si="8"/>
        <v>9.73</v>
      </c>
      <c r="I53" s="156">
        <f t="shared" si="7"/>
        <v>15700.328</v>
      </c>
      <c r="J53" s="156">
        <f t="shared" si="9"/>
        <v>15700.328</v>
      </c>
      <c r="K53" s="80"/>
      <c r="L53" s="81"/>
      <c r="M53" s="7"/>
      <c r="N53" s="80"/>
      <c r="O53" s="80"/>
      <c r="P53" s="91"/>
      <c r="Q53" s="8"/>
      <c r="R53" s="82"/>
      <c r="S53" s="95"/>
      <c r="T53" s="95"/>
      <c r="U53" s="10"/>
      <c r="V53" s="9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</row>
    <row r="54" spans="1:60">
      <c r="A54" s="156"/>
      <c r="B54" s="154"/>
      <c r="C54" s="156"/>
      <c r="D54" s="156"/>
      <c r="E54" s="156"/>
      <c r="F54" s="156"/>
      <c r="G54" s="156"/>
      <c r="H54" s="156"/>
      <c r="I54" s="156"/>
      <c r="J54" s="156"/>
      <c r="K54" s="91"/>
      <c r="L54" s="80"/>
      <c r="M54" s="81"/>
      <c r="O54" s="80"/>
      <c r="P54" s="80"/>
      <c r="Q54" s="91"/>
      <c r="S54" s="82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</row>
    <row r="55" spans="1:60" s="87" customFormat="1">
      <c r="A55" s="160" t="s">
        <v>21</v>
      </c>
      <c r="B55" s="161" t="s">
        <v>68</v>
      </c>
      <c r="C55" s="162"/>
      <c r="D55" s="163"/>
      <c r="E55" s="162"/>
      <c r="F55" s="162">
        <f>SUM(F56:F60)</f>
        <v>114480.3824</v>
      </c>
      <c r="G55" s="162"/>
      <c r="H55" s="162"/>
      <c r="I55" s="162">
        <f>SUM(I56:I60)</f>
        <v>5278.8989999999994</v>
      </c>
      <c r="J55" s="162">
        <f>SUM(J56:J60)</f>
        <v>5278.8989999999994</v>
      </c>
      <c r="K55" s="79"/>
      <c r="L55" s="80"/>
      <c r="M55" s="81"/>
      <c r="N55" s="7"/>
      <c r="O55" s="79"/>
      <c r="P55" s="79"/>
      <c r="Q55" s="79"/>
      <c r="R55" s="16"/>
      <c r="S55" s="82"/>
      <c r="T55" s="14"/>
      <c r="U55" s="83"/>
      <c r="V55" s="84"/>
      <c r="W55" s="83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6"/>
      <c r="AK55" s="86"/>
      <c r="AL55" s="86"/>
      <c r="AM55" s="86"/>
      <c r="AN55" s="86"/>
      <c r="AO55" s="86"/>
      <c r="AP55" s="86"/>
      <c r="AQ55" s="86"/>
      <c r="AR55" s="86"/>
      <c r="AS55" s="86"/>
      <c r="AT55" s="86"/>
      <c r="AU55" s="86"/>
      <c r="AV55" s="86"/>
      <c r="AW55" s="86"/>
      <c r="AX55" s="86"/>
      <c r="AY55" s="86"/>
      <c r="AZ55" s="86"/>
      <c r="BA55" s="86"/>
      <c r="BB55" s="86"/>
      <c r="BC55" s="86"/>
      <c r="BD55" s="86"/>
      <c r="BE55" s="86"/>
      <c r="BF55" s="86"/>
      <c r="BG55" s="86"/>
      <c r="BH55" s="86"/>
    </row>
    <row r="56" spans="1:60">
      <c r="A56" s="156"/>
      <c r="B56" s="154"/>
      <c r="C56" s="156"/>
      <c r="D56" s="156"/>
      <c r="E56" s="156"/>
      <c r="F56" s="156"/>
      <c r="G56" s="156"/>
      <c r="H56" s="156"/>
      <c r="I56" s="156"/>
      <c r="J56" s="156"/>
      <c r="K56" s="91"/>
      <c r="L56" s="80"/>
      <c r="M56" s="81"/>
      <c r="O56" s="80"/>
      <c r="P56" s="80"/>
      <c r="Q56" s="91"/>
      <c r="S56" s="82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</row>
    <row r="57" spans="1:60" ht="48" customHeight="1">
      <c r="A57" s="156" t="s">
        <v>69</v>
      </c>
      <c r="B57" s="157" t="s">
        <v>70</v>
      </c>
      <c r="C57" s="156" t="s">
        <v>16</v>
      </c>
      <c r="D57" s="156">
        <v>18.920000000000002</v>
      </c>
      <c r="E57" s="156">
        <v>1806.13</v>
      </c>
      <c r="F57" s="156">
        <f t="shared" ref="F57" si="10">D57*E57</f>
        <v>34171.979600000006</v>
      </c>
      <c r="G57" s="156"/>
      <c r="H57" s="156">
        <f>G57</f>
        <v>0</v>
      </c>
      <c r="I57" s="156">
        <f>G57*E57</f>
        <v>0</v>
      </c>
      <c r="J57" s="156">
        <f>I57</f>
        <v>0</v>
      </c>
      <c r="K57" s="80"/>
      <c r="L57" s="81"/>
      <c r="M57" s="7"/>
      <c r="N57" s="80"/>
      <c r="O57" s="80"/>
      <c r="P57" s="91"/>
      <c r="Q57" s="8"/>
      <c r="R57" s="82"/>
      <c r="U57" s="10"/>
      <c r="V57" s="9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</row>
    <row r="58" spans="1:60" ht="42.75">
      <c r="A58" s="156" t="s">
        <v>71</v>
      </c>
      <c r="B58" s="157" t="s">
        <v>72</v>
      </c>
      <c r="C58" s="156" t="s">
        <v>17</v>
      </c>
      <c r="D58" s="156">
        <v>14.4</v>
      </c>
      <c r="E58" s="156">
        <v>1820.31</v>
      </c>
      <c r="F58" s="156">
        <f>D58*E58</f>
        <v>26212.464</v>
      </c>
      <c r="G58" s="156">
        <v>2.9</v>
      </c>
      <c r="H58" s="156">
        <f>G58</f>
        <v>2.9</v>
      </c>
      <c r="I58" s="156">
        <f>G58*E58</f>
        <v>5278.8989999999994</v>
      </c>
      <c r="J58" s="156">
        <f>I58</f>
        <v>5278.8989999999994</v>
      </c>
      <c r="K58" s="80"/>
      <c r="L58" s="81"/>
      <c r="M58" s="7"/>
      <c r="N58" s="80"/>
      <c r="O58" s="80"/>
      <c r="P58" s="91"/>
      <c r="Q58" s="8"/>
      <c r="R58" s="82"/>
      <c r="U58" s="10"/>
      <c r="V58" s="9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</row>
    <row r="59" spans="1:60">
      <c r="A59" s="156" t="s">
        <v>73</v>
      </c>
      <c r="B59" s="158" t="s">
        <v>74</v>
      </c>
      <c r="C59" s="156" t="s">
        <v>16</v>
      </c>
      <c r="D59" s="156">
        <v>12.36</v>
      </c>
      <c r="E59" s="156">
        <v>313.83</v>
      </c>
      <c r="F59" s="156">
        <f>D59*E59</f>
        <v>3878.9387999999994</v>
      </c>
      <c r="G59" s="156"/>
      <c r="H59" s="156">
        <f>G59</f>
        <v>0</v>
      </c>
      <c r="I59" s="156">
        <f>G59*E59</f>
        <v>0</v>
      </c>
      <c r="J59" s="156">
        <f>I59</f>
        <v>0</v>
      </c>
      <c r="K59" s="80"/>
      <c r="L59" s="81"/>
      <c r="M59" s="7"/>
      <c r="N59" s="80"/>
      <c r="O59" s="80"/>
      <c r="P59" s="91"/>
      <c r="Q59" s="8"/>
      <c r="R59" s="82"/>
      <c r="U59" s="10"/>
      <c r="V59" s="9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</row>
    <row r="60" spans="1:60" ht="42.75">
      <c r="A60" s="156" t="s">
        <v>75</v>
      </c>
      <c r="B60" s="157" t="s">
        <v>76</v>
      </c>
      <c r="C60" s="156" t="s">
        <v>16</v>
      </c>
      <c r="D60" s="156">
        <v>475</v>
      </c>
      <c r="E60" s="156">
        <v>105.72</v>
      </c>
      <c r="F60" s="156">
        <f>D60*E60</f>
        <v>50217</v>
      </c>
      <c r="G60" s="156"/>
      <c r="H60" s="156">
        <f>G60</f>
        <v>0</v>
      </c>
      <c r="I60" s="156">
        <f>G60*E60</f>
        <v>0</v>
      </c>
      <c r="J60" s="156">
        <f>I60</f>
        <v>0</v>
      </c>
      <c r="K60" s="80"/>
      <c r="L60" s="81"/>
      <c r="M60" s="7"/>
      <c r="N60" s="80"/>
      <c r="O60" s="80"/>
      <c r="P60" s="91"/>
      <c r="Q60" s="8"/>
      <c r="R60" s="82"/>
      <c r="U60" s="10"/>
      <c r="V60" s="9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</row>
    <row r="61" spans="1:60">
      <c r="A61" s="156"/>
      <c r="B61" s="154"/>
      <c r="C61" s="156"/>
      <c r="D61" s="156"/>
      <c r="E61" s="156"/>
      <c r="F61" s="156"/>
      <c r="G61" s="156"/>
      <c r="H61" s="156"/>
      <c r="I61" s="156"/>
      <c r="J61" s="156"/>
      <c r="K61" s="80"/>
      <c r="L61" s="81"/>
      <c r="M61" s="7"/>
      <c r="N61" s="80"/>
      <c r="O61" s="80"/>
      <c r="P61" s="91"/>
      <c r="Q61" s="8"/>
      <c r="R61" s="82"/>
      <c r="U61" s="10"/>
      <c r="V61" s="9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</row>
    <row r="62" spans="1:60" s="87" customFormat="1">
      <c r="A62" s="160" t="s">
        <v>77</v>
      </c>
      <c r="B62" s="161" t="s">
        <v>78</v>
      </c>
      <c r="C62" s="162"/>
      <c r="D62" s="163"/>
      <c r="E62" s="162"/>
      <c r="F62" s="162">
        <f>SUM(F63:F66)</f>
        <v>86529.282800000001</v>
      </c>
      <c r="G62" s="162"/>
      <c r="H62" s="162"/>
      <c r="I62" s="162">
        <f>SUM(I63:I66)</f>
        <v>0</v>
      </c>
      <c r="J62" s="162">
        <f>SUM(J63:J66)</f>
        <v>0</v>
      </c>
      <c r="K62" s="79"/>
      <c r="L62" s="80"/>
      <c r="M62" s="81"/>
      <c r="N62" s="7"/>
      <c r="O62" s="79"/>
      <c r="P62" s="79"/>
      <c r="Q62" s="79"/>
      <c r="R62" s="16"/>
      <c r="S62" s="82"/>
      <c r="T62" s="14"/>
      <c r="U62" s="83"/>
      <c r="V62" s="84"/>
      <c r="W62" s="83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6"/>
      <c r="AK62" s="86"/>
      <c r="AL62" s="86"/>
      <c r="AM62" s="86"/>
      <c r="AN62" s="86"/>
      <c r="AO62" s="86"/>
      <c r="AP62" s="86"/>
      <c r="AQ62" s="86"/>
      <c r="AR62" s="86"/>
      <c r="AS62" s="86"/>
      <c r="AT62" s="86"/>
      <c r="AU62" s="86"/>
      <c r="AV62" s="86"/>
      <c r="AW62" s="86"/>
      <c r="AX62" s="86"/>
      <c r="AY62" s="86"/>
      <c r="AZ62" s="86"/>
      <c r="BA62" s="86"/>
      <c r="BB62" s="86"/>
      <c r="BC62" s="86"/>
      <c r="BD62" s="86"/>
      <c r="BE62" s="86"/>
      <c r="BF62" s="86"/>
      <c r="BG62" s="86"/>
      <c r="BH62" s="86"/>
    </row>
    <row r="63" spans="1:60">
      <c r="A63" s="156"/>
      <c r="B63" s="154"/>
      <c r="C63" s="156"/>
      <c r="D63" s="156"/>
      <c r="E63" s="156"/>
      <c r="F63" s="156"/>
      <c r="G63" s="156"/>
      <c r="H63" s="156"/>
      <c r="I63" s="156"/>
      <c r="J63" s="156"/>
      <c r="K63" s="80"/>
      <c r="L63" s="81"/>
      <c r="M63" s="7"/>
      <c r="N63" s="80"/>
      <c r="O63" s="80"/>
      <c r="P63" s="91"/>
      <c r="Q63" s="8"/>
      <c r="R63" s="82"/>
      <c r="U63" s="10"/>
      <c r="V63" s="9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</row>
    <row r="64" spans="1:60" ht="57">
      <c r="A64" s="156" t="s">
        <v>79</v>
      </c>
      <c r="B64" s="157" t="s">
        <v>80</v>
      </c>
      <c r="C64" s="156" t="s">
        <v>16</v>
      </c>
      <c r="D64" s="156">
        <v>784.04</v>
      </c>
      <c r="E64" s="156">
        <v>49.23</v>
      </c>
      <c r="F64" s="156">
        <f t="shared" ref="F64:F70" si="11">D64*E64</f>
        <v>38598.289199999999</v>
      </c>
      <c r="G64" s="156"/>
      <c r="H64" s="156">
        <f>G64</f>
        <v>0</v>
      </c>
      <c r="I64" s="156">
        <f t="shared" ref="I64:I66" si="12">G64*E64</f>
        <v>0</v>
      </c>
      <c r="J64" s="156">
        <f>I64</f>
        <v>0</v>
      </c>
      <c r="K64" s="80"/>
      <c r="L64" s="81"/>
      <c r="M64" s="7"/>
      <c r="N64" s="80"/>
      <c r="O64" s="80"/>
      <c r="P64" s="91"/>
      <c r="Q64" s="8"/>
      <c r="R64" s="82"/>
      <c r="U64" s="10"/>
      <c r="V64" s="9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</row>
    <row r="65" spans="1:59" ht="42.75">
      <c r="A65" s="156" t="s">
        <v>82</v>
      </c>
      <c r="B65" s="157" t="s">
        <v>83</v>
      </c>
      <c r="C65" s="156" t="s">
        <v>16</v>
      </c>
      <c r="D65" s="156">
        <v>35.76</v>
      </c>
      <c r="E65" s="156">
        <v>186.11</v>
      </c>
      <c r="F65" s="156">
        <f t="shared" si="11"/>
        <v>6655.2936</v>
      </c>
      <c r="G65" s="156"/>
      <c r="H65" s="156">
        <f t="shared" ref="H65:H66" si="13">G65</f>
        <v>0</v>
      </c>
      <c r="I65" s="156">
        <f t="shared" si="12"/>
        <v>0</v>
      </c>
      <c r="J65" s="156">
        <f t="shared" ref="J65:J70" si="14">I65</f>
        <v>0</v>
      </c>
      <c r="K65" s="80"/>
      <c r="L65" s="81"/>
      <c r="M65" s="7"/>
      <c r="N65" s="80"/>
      <c r="O65" s="80"/>
      <c r="P65" s="91"/>
      <c r="Q65" s="8"/>
      <c r="R65" s="82"/>
      <c r="U65" s="10"/>
      <c r="V65" s="9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</row>
    <row r="66" spans="1:59" ht="48.75" customHeight="1">
      <c r="A66" s="156" t="s">
        <v>84</v>
      </c>
      <c r="B66" s="157" t="s">
        <v>22</v>
      </c>
      <c r="C66" s="156" t="s">
        <v>16</v>
      </c>
      <c r="D66" s="156">
        <v>290</v>
      </c>
      <c r="E66" s="156">
        <v>142.33000000000001</v>
      </c>
      <c r="F66" s="156">
        <f t="shared" si="11"/>
        <v>41275.700000000004</v>
      </c>
      <c r="G66" s="156"/>
      <c r="H66" s="156">
        <f t="shared" si="13"/>
        <v>0</v>
      </c>
      <c r="I66" s="156">
        <f t="shared" si="12"/>
        <v>0</v>
      </c>
      <c r="J66" s="156">
        <f t="shared" si="14"/>
        <v>0</v>
      </c>
      <c r="K66" s="80"/>
      <c r="L66" s="81"/>
      <c r="M66" s="7"/>
      <c r="N66" s="80"/>
      <c r="O66" s="80"/>
      <c r="P66" s="91"/>
      <c r="Q66" s="8"/>
      <c r="R66" s="82"/>
      <c r="U66" s="10"/>
      <c r="V66" s="9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</row>
    <row r="67" spans="1:59">
      <c r="A67" s="156"/>
      <c r="B67" s="154"/>
      <c r="C67" s="156"/>
      <c r="D67" s="156"/>
      <c r="E67" s="156"/>
      <c r="F67" s="156"/>
      <c r="G67" s="156"/>
      <c r="H67" s="156"/>
      <c r="I67" s="156"/>
      <c r="J67" s="156"/>
      <c r="K67" s="80"/>
      <c r="L67" s="81"/>
      <c r="M67" s="7"/>
      <c r="N67" s="80"/>
      <c r="O67" s="80"/>
      <c r="P67" s="91"/>
      <c r="Q67" s="8"/>
      <c r="R67" s="82"/>
      <c r="U67" s="10"/>
      <c r="V67" s="9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</row>
    <row r="68" spans="1:59" s="87" customFormat="1">
      <c r="A68" s="164" t="s">
        <v>85</v>
      </c>
      <c r="B68" s="165" t="s">
        <v>86</v>
      </c>
      <c r="C68" s="166"/>
      <c r="D68" s="167"/>
      <c r="E68" s="166"/>
      <c r="F68" s="166">
        <f>SUM(F70:F80)</f>
        <v>72799.623299999992</v>
      </c>
      <c r="G68" s="166"/>
      <c r="H68" s="166"/>
      <c r="I68" s="166">
        <f>SUM(I70:I80)</f>
        <v>0</v>
      </c>
      <c r="J68" s="166">
        <f>SUM(J70:J80)</f>
        <v>0</v>
      </c>
      <c r="K68" s="97"/>
      <c r="L68" s="98"/>
      <c r="M68" s="7"/>
      <c r="N68" s="97"/>
      <c r="O68" s="97"/>
      <c r="P68" s="79"/>
      <c r="Q68" s="16"/>
      <c r="R68" s="82"/>
      <c r="S68" s="14"/>
      <c r="T68" s="14"/>
      <c r="U68" s="84"/>
      <c r="V68" s="83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6"/>
      <c r="AJ68" s="86"/>
      <c r="AK68" s="86"/>
      <c r="AL68" s="86"/>
      <c r="AM68" s="86"/>
      <c r="AN68" s="86"/>
      <c r="AO68" s="86"/>
      <c r="AP68" s="86"/>
      <c r="AQ68" s="86"/>
      <c r="AR68" s="86"/>
      <c r="AS68" s="86"/>
      <c r="AT68" s="86"/>
      <c r="AU68" s="86"/>
      <c r="AV68" s="86"/>
      <c r="AW68" s="86"/>
      <c r="AX68" s="86"/>
      <c r="AY68" s="86"/>
      <c r="AZ68" s="86"/>
      <c r="BA68" s="86"/>
      <c r="BB68" s="86"/>
      <c r="BC68" s="86"/>
      <c r="BD68" s="86"/>
      <c r="BE68" s="86"/>
      <c r="BF68" s="86"/>
      <c r="BG68" s="86"/>
    </row>
    <row r="69" spans="1:59" s="87" customFormat="1">
      <c r="A69" s="168"/>
      <c r="B69" s="169"/>
      <c r="C69" s="170"/>
      <c r="D69" s="171"/>
      <c r="E69" s="170"/>
      <c r="F69" s="170"/>
      <c r="G69" s="170"/>
      <c r="H69" s="170"/>
      <c r="I69" s="170"/>
      <c r="J69" s="170"/>
      <c r="K69" s="97"/>
      <c r="L69" s="98"/>
      <c r="M69" s="7"/>
      <c r="N69" s="97"/>
      <c r="O69" s="97"/>
      <c r="P69" s="79"/>
      <c r="Q69" s="16"/>
      <c r="R69" s="82"/>
      <c r="S69" s="14"/>
      <c r="T69" s="14"/>
      <c r="U69" s="84"/>
      <c r="V69" s="83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6"/>
      <c r="AJ69" s="86"/>
      <c r="AK69" s="86"/>
      <c r="AL69" s="86"/>
      <c r="AM69" s="86"/>
      <c r="AN69" s="86"/>
      <c r="AO69" s="86"/>
      <c r="AP69" s="86"/>
      <c r="AQ69" s="86"/>
      <c r="AR69" s="86"/>
      <c r="AS69" s="86"/>
      <c r="AT69" s="86"/>
      <c r="AU69" s="86"/>
      <c r="AV69" s="86"/>
      <c r="AW69" s="86"/>
      <c r="AX69" s="86"/>
      <c r="AY69" s="86"/>
      <c r="AZ69" s="86"/>
      <c r="BA69" s="86"/>
      <c r="BB69" s="86"/>
      <c r="BC69" s="86"/>
      <c r="BD69" s="86"/>
      <c r="BE69" s="86"/>
      <c r="BF69" s="86"/>
      <c r="BG69" s="86"/>
    </row>
    <row r="70" spans="1:59" ht="57">
      <c r="A70" s="156" t="s">
        <v>87</v>
      </c>
      <c r="B70" s="157" t="s">
        <v>88</v>
      </c>
      <c r="C70" s="156" t="s">
        <v>7</v>
      </c>
      <c r="D70" s="156">
        <v>9</v>
      </c>
      <c r="E70" s="156">
        <v>478.15</v>
      </c>
      <c r="F70" s="156">
        <f t="shared" si="11"/>
        <v>4303.3499999999995</v>
      </c>
      <c r="G70" s="156"/>
      <c r="H70" s="156">
        <f>G70</f>
        <v>0</v>
      </c>
      <c r="I70" s="156">
        <f>G70*E70</f>
        <v>0</v>
      </c>
      <c r="J70" s="156">
        <f t="shared" si="14"/>
        <v>0</v>
      </c>
      <c r="K70" s="80"/>
      <c r="L70" s="81"/>
      <c r="M70" s="7"/>
      <c r="N70" s="80"/>
      <c r="O70" s="80"/>
      <c r="P70" s="91"/>
      <c r="Q70" s="8"/>
      <c r="R70" s="82"/>
      <c r="U70" s="10"/>
      <c r="V70" s="12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</row>
    <row r="71" spans="1:59" ht="56.25" customHeight="1">
      <c r="A71" s="156" t="s">
        <v>89</v>
      </c>
      <c r="B71" s="157" t="s">
        <v>90</v>
      </c>
      <c r="C71" s="156" t="s">
        <v>7</v>
      </c>
      <c r="D71" s="156">
        <v>10</v>
      </c>
      <c r="E71" s="156">
        <v>546.86</v>
      </c>
      <c r="F71" s="156">
        <f t="shared" ref="F71:F80" si="15">D71*E71</f>
        <v>5468.6</v>
      </c>
      <c r="G71" s="156"/>
      <c r="H71" s="156">
        <f t="shared" ref="H71:H80" si="16">G71</f>
        <v>0</v>
      </c>
      <c r="I71" s="156">
        <f t="shared" ref="I71:I80" si="17">G71*E71</f>
        <v>0</v>
      </c>
      <c r="J71" s="156">
        <f t="shared" ref="J71:J80" si="18">I71</f>
        <v>0</v>
      </c>
      <c r="K71" s="80"/>
      <c r="L71" s="81"/>
      <c r="M71" s="7"/>
      <c r="N71" s="80"/>
      <c r="O71" s="80"/>
      <c r="P71" s="91"/>
      <c r="Q71" s="8"/>
      <c r="R71" s="82"/>
      <c r="U71" s="10"/>
      <c r="V71" s="12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</row>
    <row r="72" spans="1:59" ht="56.25" customHeight="1">
      <c r="A72" s="156" t="s">
        <v>91</v>
      </c>
      <c r="B72" s="157" t="s">
        <v>92</v>
      </c>
      <c r="C72" s="156" t="s">
        <v>7</v>
      </c>
      <c r="D72" s="156">
        <v>2</v>
      </c>
      <c r="E72" s="156">
        <v>546.86</v>
      </c>
      <c r="F72" s="156">
        <f t="shared" si="15"/>
        <v>1093.72</v>
      </c>
      <c r="G72" s="156"/>
      <c r="H72" s="156">
        <f t="shared" si="16"/>
        <v>0</v>
      </c>
      <c r="I72" s="156">
        <f t="shared" si="17"/>
        <v>0</v>
      </c>
      <c r="J72" s="156">
        <f t="shared" si="18"/>
        <v>0</v>
      </c>
      <c r="K72" s="80"/>
      <c r="L72" s="81"/>
      <c r="M72" s="7"/>
      <c r="N72" s="80"/>
      <c r="O72" s="80"/>
      <c r="P72" s="91"/>
      <c r="Q72" s="8"/>
      <c r="R72" s="82"/>
      <c r="U72" s="10"/>
      <c r="V72" s="12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</row>
    <row r="73" spans="1:59" ht="42.75">
      <c r="A73" s="156" t="s">
        <v>93</v>
      </c>
      <c r="B73" s="157" t="s">
        <v>94</v>
      </c>
      <c r="C73" s="156" t="s">
        <v>16</v>
      </c>
      <c r="D73" s="156">
        <v>60.17</v>
      </c>
      <c r="E73" s="156">
        <v>483.07</v>
      </c>
      <c r="F73" s="156">
        <f t="shared" si="15"/>
        <v>29066.321899999999</v>
      </c>
      <c r="G73" s="156"/>
      <c r="H73" s="156">
        <f t="shared" si="16"/>
        <v>0</v>
      </c>
      <c r="I73" s="156">
        <f t="shared" si="17"/>
        <v>0</v>
      </c>
      <c r="J73" s="156">
        <f t="shared" si="18"/>
        <v>0</v>
      </c>
      <c r="K73" s="80"/>
      <c r="L73" s="81"/>
      <c r="M73" s="7"/>
      <c r="N73" s="80"/>
      <c r="O73" s="80"/>
      <c r="P73" s="91"/>
      <c r="Q73" s="8"/>
      <c r="R73" s="82"/>
      <c r="U73" s="10"/>
      <c r="V73" s="12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</row>
    <row r="74" spans="1:59" ht="28.5">
      <c r="A74" s="156" t="s">
        <v>95</v>
      </c>
      <c r="B74" s="157" t="s">
        <v>96</v>
      </c>
      <c r="C74" s="156" t="s">
        <v>16</v>
      </c>
      <c r="D74" s="156">
        <v>3</v>
      </c>
      <c r="E74" s="156">
        <v>348.93</v>
      </c>
      <c r="F74" s="156">
        <f t="shared" si="15"/>
        <v>1046.79</v>
      </c>
      <c r="G74" s="156"/>
      <c r="H74" s="156">
        <f t="shared" si="16"/>
        <v>0</v>
      </c>
      <c r="I74" s="156">
        <f t="shared" si="17"/>
        <v>0</v>
      </c>
      <c r="J74" s="156">
        <f t="shared" si="18"/>
        <v>0</v>
      </c>
      <c r="K74" s="80"/>
      <c r="L74" s="81"/>
      <c r="M74" s="7"/>
      <c r="N74" s="80"/>
      <c r="O74" s="80"/>
      <c r="P74" s="91"/>
      <c r="Q74" s="8"/>
      <c r="R74" s="82"/>
      <c r="U74" s="10"/>
      <c r="V74" s="12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</row>
    <row r="75" spans="1:59">
      <c r="A75" s="156" t="s">
        <v>97</v>
      </c>
      <c r="B75" s="157" t="s">
        <v>98</v>
      </c>
      <c r="C75" s="156" t="s">
        <v>16</v>
      </c>
      <c r="D75" s="156">
        <v>67.010000000000005</v>
      </c>
      <c r="E75" s="156">
        <v>348.93</v>
      </c>
      <c r="F75" s="156">
        <f t="shared" si="15"/>
        <v>23381.799300000002</v>
      </c>
      <c r="G75" s="156"/>
      <c r="H75" s="156">
        <f t="shared" si="16"/>
        <v>0</v>
      </c>
      <c r="I75" s="156">
        <f t="shared" si="17"/>
        <v>0</v>
      </c>
      <c r="J75" s="156">
        <f t="shared" si="18"/>
        <v>0</v>
      </c>
      <c r="K75" s="80"/>
      <c r="L75" s="81"/>
      <c r="M75" s="7"/>
      <c r="N75" s="80"/>
      <c r="O75" s="80"/>
      <c r="P75" s="91"/>
      <c r="Q75" s="8"/>
      <c r="R75" s="82"/>
      <c r="U75" s="10"/>
      <c r="V75" s="12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</row>
    <row r="76" spans="1:59" ht="28.5">
      <c r="A76" s="156" t="s">
        <v>99</v>
      </c>
      <c r="B76" s="157" t="s">
        <v>96</v>
      </c>
      <c r="C76" s="156" t="s">
        <v>16</v>
      </c>
      <c r="D76" s="156">
        <v>1.57</v>
      </c>
      <c r="E76" s="156">
        <v>687.84</v>
      </c>
      <c r="F76" s="156">
        <f t="shared" si="15"/>
        <v>1079.9088000000002</v>
      </c>
      <c r="G76" s="156"/>
      <c r="H76" s="156">
        <f t="shared" si="16"/>
        <v>0</v>
      </c>
      <c r="I76" s="156">
        <f t="shared" si="17"/>
        <v>0</v>
      </c>
      <c r="J76" s="156">
        <f t="shared" si="18"/>
        <v>0</v>
      </c>
      <c r="K76" s="80"/>
      <c r="L76" s="81"/>
      <c r="M76" s="7"/>
      <c r="N76" s="80"/>
      <c r="O76" s="80"/>
      <c r="P76" s="91"/>
      <c r="Q76" s="8"/>
      <c r="R76" s="82"/>
      <c r="U76" s="10"/>
      <c r="V76" s="12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</row>
    <row r="77" spans="1:59">
      <c r="A77" s="156" t="s">
        <v>101</v>
      </c>
      <c r="B77" s="157" t="s">
        <v>100</v>
      </c>
      <c r="C77" s="156" t="s">
        <v>7</v>
      </c>
      <c r="D77" s="156">
        <v>4</v>
      </c>
      <c r="E77" s="156">
        <v>266.2</v>
      </c>
      <c r="F77" s="156">
        <f t="shared" si="15"/>
        <v>1064.8</v>
      </c>
      <c r="G77" s="156"/>
      <c r="H77" s="156">
        <f t="shared" si="16"/>
        <v>0</v>
      </c>
      <c r="I77" s="156">
        <f t="shared" si="17"/>
        <v>0</v>
      </c>
      <c r="J77" s="156">
        <f t="shared" si="18"/>
        <v>0</v>
      </c>
      <c r="K77" s="80"/>
      <c r="L77" s="81"/>
      <c r="M77" s="7"/>
      <c r="N77" s="80"/>
      <c r="O77" s="80"/>
      <c r="P77" s="91"/>
      <c r="Q77" s="8"/>
      <c r="R77" s="82"/>
      <c r="U77" s="10"/>
      <c r="V77" s="12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</row>
    <row r="78" spans="1:59">
      <c r="A78" s="156" t="s">
        <v>102</v>
      </c>
      <c r="B78" s="157" t="s">
        <v>103</v>
      </c>
      <c r="C78" s="156" t="s">
        <v>81</v>
      </c>
      <c r="D78" s="156">
        <v>41.59</v>
      </c>
      <c r="E78" s="156">
        <v>101.87</v>
      </c>
      <c r="F78" s="156">
        <f t="shared" si="15"/>
        <v>4236.7733000000007</v>
      </c>
      <c r="G78" s="156"/>
      <c r="H78" s="156">
        <f t="shared" si="16"/>
        <v>0</v>
      </c>
      <c r="I78" s="156">
        <f t="shared" si="17"/>
        <v>0</v>
      </c>
      <c r="J78" s="156">
        <f t="shared" si="18"/>
        <v>0</v>
      </c>
      <c r="K78" s="80"/>
      <c r="L78" s="81"/>
      <c r="M78" s="7"/>
      <c r="N78" s="80"/>
      <c r="O78" s="80"/>
      <c r="P78" s="91"/>
      <c r="Q78" s="8"/>
      <c r="R78" s="82"/>
      <c r="U78" s="10"/>
      <c r="V78" s="12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</row>
    <row r="79" spans="1:59" ht="42.75">
      <c r="A79" s="156" t="s">
        <v>104</v>
      </c>
      <c r="B79" s="157" t="s">
        <v>105</v>
      </c>
      <c r="C79" s="156" t="s">
        <v>7</v>
      </c>
      <c r="D79" s="156">
        <v>20</v>
      </c>
      <c r="E79" s="156">
        <v>96.95</v>
      </c>
      <c r="F79" s="156">
        <f t="shared" si="15"/>
        <v>1939</v>
      </c>
      <c r="G79" s="156"/>
      <c r="H79" s="156">
        <f t="shared" si="16"/>
        <v>0</v>
      </c>
      <c r="I79" s="156">
        <f t="shared" si="17"/>
        <v>0</v>
      </c>
      <c r="J79" s="156">
        <f t="shared" si="18"/>
        <v>0</v>
      </c>
      <c r="K79" s="80"/>
      <c r="L79" s="81"/>
      <c r="M79" s="7"/>
      <c r="N79" s="80"/>
      <c r="O79" s="80"/>
      <c r="P79" s="91"/>
      <c r="Q79" s="8"/>
      <c r="R79" s="82"/>
      <c r="U79" s="10"/>
      <c r="V79" s="12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</row>
    <row r="80" spans="1:59" ht="42.75">
      <c r="A80" s="156" t="s">
        <v>106</v>
      </c>
      <c r="B80" s="157" t="s">
        <v>107</v>
      </c>
      <c r="C80" s="156" t="s">
        <v>7</v>
      </c>
      <c r="D80" s="156">
        <v>2</v>
      </c>
      <c r="E80" s="156">
        <v>59.28</v>
      </c>
      <c r="F80" s="156">
        <f t="shared" si="15"/>
        <v>118.56</v>
      </c>
      <c r="G80" s="156"/>
      <c r="H80" s="156">
        <f t="shared" si="16"/>
        <v>0</v>
      </c>
      <c r="I80" s="156">
        <f t="shared" si="17"/>
        <v>0</v>
      </c>
      <c r="J80" s="156">
        <f t="shared" si="18"/>
        <v>0</v>
      </c>
      <c r="K80" s="80"/>
      <c r="L80" s="81"/>
      <c r="M80" s="7"/>
      <c r="N80" s="80"/>
      <c r="O80" s="80"/>
      <c r="P80" s="91"/>
      <c r="Q80" s="8"/>
      <c r="R80" s="82"/>
      <c r="U80" s="10"/>
      <c r="V80" s="12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</row>
    <row r="81" spans="1:59">
      <c r="A81" s="156"/>
      <c r="B81" s="154"/>
      <c r="C81" s="156"/>
      <c r="D81" s="156"/>
      <c r="E81" s="156"/>
      <c r="F81" s="156"/>
      <c r="G81" s="156"/>
      <c r="H81" s="156"/>
      <c r="I81" s="156"/>
      <c r="J81" s="156"/>
      <c r="K81" s="80"/>
      <c r="L81" s="81"/>
      <c r="M81" s="7"/>
      <c r="N81" s="80"/>
      <c r="O81" s="80"/>
      <c r="P81" s="91"/>
      <c r="Q81" s="8"/>
      <c r="R81" s="82"/>
      <c r="U81" s="10"/>
      <c r="V81" s="12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</row>
    <row r="82" spans="1:59" s="87" customFormat="1">
      <c r="A82" s="164" t="s">
        <v>108</v>
      </c>
      <c r="B82" s="165" t="s">
        <v>3</v>
      </c>
      <c r="C82" s="166"/>
      <c r="D82" s="167"/>
      <c r="E82" s="166"/>
      <c r="F82" s="166">
        <f>SUM(F84:F91)</f>
        <v>50835.063999999998</v>
      </c>
      <c r="G82" s="166"/>
      <c r="H82" s="166"/>
      <c r="I82" s="166">
        <f>SUM(I84:I91)</f>
        <v>0</v>
      </c>
      <c r="J82" s="166">
        <f>SUM(J84:J91)</f>
        <v>0</v>
      </c>
      <c r="K82" s="97"/>
      <c r="L82" s="98"/>
      <c r="M82" s="7"/>
      <c r="N82" s="97"/>
      <c r="O82" s="97"/>
      <c r="P82" s="79"/>
      <c r="Q82" s="16"/>
      <c r="R82" s="82"/>
      <c r="S82" s="14"/>
      <c r="T82" s="14"/>
      <c r="U82" s="84"/>
      <c r="V82" s="83"/>
      <c r="W82" s="85"/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86"/>
      <c r="AJ82" s="86"/>
      <c r="AK82" s="86"/>
      <c r="AL82" s="86"/>
      <c r="AM82" s="86"/>
      <c r="AN82" s="86"/>
      <c r="AO82" s="86"/>
      <c r="AP82" s="86"/>
      <c r="AQ82" s="86"/>
      <c r="AR82" s="86"/>
      <c r="AS82" s="86"/>
      <c r="AT82" s="86"/>
      <c r="AU82" s="86"/>
      <c r="AV82" s="86"/>
      <c r="AW82" s="86"/>
      <c r="AX82" s="86"/>
      <c r="AY82" s="86"/>
      <c r="AZ82" s="86"/>
      <c r="BA82" s="86"/>
      <c r="BB82" s="86"/>
      <c r="BC82" s="86"/>
      <c r="BD82" s="86"/>
      <c r="BE82" s="86"/>
      <c r="BF82" s="86"/>
      <c r="BG82" s="86"/>
    </row>
    <row r="83" spans="1:59">
      <c r="A83" s="156"/>
      <c r="B83" s="154"/>
      <c r="C83" s="156"/>
      <c r="D83" s="156"/>
      <c r="E83" s="156"/>
      <c r="F83" s="156"/>
      <c r="G83" s="156"/>
      <c r="H83" s="156"/>
      <c r="I83" s="156"/>
      <c r="J83" s="156"/>
      <c r="K83" s="80"/>
      <c r="L83" s="81"/>
      <c r="M83" s="7"/>
      <c r="N83" s="80"/>
      <c r="O83" s="80"/>
      <c r="P83" s="91"/>
      <c r="Q83" s="8"/>
      <c r="R83" s="82"/>
      <c r="U83" s="10"/>
      <c r="V83" s="12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</row>
    <row r="84" spans="1:59" ht="42.75">
      <c r="A84" s="156" t="s">
        <v>109</v>
      </c>
      <c r="B84" s="157" t="s">
        <v>110</v>
      </c>
      <c r="C84" s="156" t="s">
        <v>16</v>
      </c>
      <c r="D84" s="156">
        <v>453.35</v>
      </c>
      <c r="E84" s="156">
        <v>22.8</v>
      </c>
      <c r="F84" s="156">
        <f t="shared" ref="F84:F91" si="19">D84*E84</f>
        <v>10336.380000000001</v>
      </c>
      <c r="G84" s="156"/>
      <c r="H84" s="156">
        <f>G84</f>
        <v>0</v>
      </c>
      <c r="I84" s="156">
        <f t="shared" ref="I84:I91" si="20">G84*E84</f>
        <v>0</v>
      </c>
      <c r="J84" s="156">
        <f t="shared" ref="J84:J91" si="21">I84</f>
        <v>0</v>
      </c>
      <c r="K84" s="80"/>
      <c r="L84" s="81"/>
      <c r="M84" s="7"/>
      <c r="N84" s="80"/>
      <c r="O84" s="80"/>
      <c r="P84" s="91"/>
      <c r="Q84" s="8"/>
      <c r="R84" s="82"/>
      <c r="U84" s="10"/>
      <c r="V84" s="12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</row>
    <row r="85" spans="1:59" ht="42.75">
      <c r="A85" s="156" t="s">
        <v>111</v>
      </c>
      <c r="B85" s="157" t="s">
        <v>112</v>
      </c>
      <c r="C85" s="156" t="s">
        <v>16</v>
      </c>
      <c r="D85" s="156">
        <v>57.8</v>
      </c>
      <c r="E85" s="156">
        <v>48.73</v>
      </c>
      <c r="F85" s="156">
        <f t="shared" si="19"/>
        <v>2816.5939999999996</v>
      </c>
      <c r="G85" s="156"/>
      <c r="H85" s="156">
        <f t="shared" ref="H85:H91" si="22">G85</f>
        <v>0</v>
      </c>
      <c r="I85" s="156">
        <f t="shared" si="20"/>
        <v>0</v>
      </c>
      <c r="J85" s="156">
        <f t="shared" si="21"/>
        <v>0</v>
      </c>
      <c r="K85" s="80"/>
      <c r="L85" s="81"/>
      <c r="M85" s="7"/>
      <c r="N85" s="80"/>
      <c r="O85" s="80"/>
      <c r="P85" s="91"/>
      <c r="Q85" s="8"/>
      <c r="R85" s="82"/>
      <c r="U85" s="10"/>
      <c r="V85" s="9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</row>
    <row r="86" spans="1:59" ht="28.5">
      <c r="A86" s="156" t="s">
        <v>113</v>
      </c>
      <c r="B86" s="157" t="s">
        <v>114</v>
      </c>
      <c r="C86" s="156" t="s">
        <v>16</v>
      </c>
      <c r="D86" s="156">
        <v>511.15</v>
      </c>
      <c r="E86" s="156">
        <v>25.93</v>
      </c>
      <c r="F86" s="156">
        <f t="shared" si="19"/>
        <v>13254.119499999999</v>
      </c>
      <c r="G86" s="156"/>
      <c r="H86" s="156">
        <f t="shared" si="22"/>
        <v>0</v>
      </c>
      <c r="I86" s="156">
        <f t="shared" si="20"/>
        <v>0</v>
      </c>
      <c r="J86" s="156">
        <f t="shared" si="21"/>
        <v>0</v>
      </c>
      <c r="K86" s="80"/>
      <c r="L86" s="81"/>
      <c r="M86" s="7"/>
      <c r="N86" s="80"/>
      <c r="O86" s="80"/>
      <c r="P86" s="91"/>
      <c r="Q86" s="8"/>
      <c r="R86" s="82"/>
      <c r="U86" s="10"/>
      <c r="V86" s="9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</row>
    <row r="87" spans="1:59" ht="42" customHeight="1">
      <c r="A87" s="156" t="s">
        <v>115</v>
      </c>
      <c r="B87" s="157" t="s">
        <v>116</v>
      </c>
      <c r="C87" s="156" t="s">
        <v>6</v>
      </c>
      <c r="D87" s="156">
        <v>70.63</v>
      </c>
      <c r="E87" s="156">
        <v>14.2</v>
      </c>
      <c r="F87" s="156">
        <f t="shared" si="19"/>
        <v>1002.9459999999999</v>
      </c>
      <c r="G87" s="156"/>
      <c r="H87" s="156">
        <f t="shared" si="22"/>
        <v>0</v>
      </c>
      <c r="I87" s="156">
        <f t="shared" si="20"/>
        <v>0</v>
      </c>
      <c r="J87" s="156">
        <f t="shared" si="21"/>
        <v>0</v>
      </c>
      <c r="K87" s="80"/>
      <c r="L87" s="81"/>
      <c r="M87" s="7"/>
      <c r="N87" s="80"/>
      <c r="O87" s="80"/>
      <c r="P87" s="91"/>
      <c r="Q87" s="8"/>
      <c r="R87" s="82"/>
      <c r="U87" s="10"/>
      <c r="V87" s="9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</row>
    <row r="88" spans="1:59" ht="28.5">
      <c r="A88" s="156" t="s">
        <v>117</v>
      </c>
      <c r="B88" s="157" t="s">
        <v>118</v>
      </c>
      <c r="C88" s="156" t="s">
        <v>5</v>
      </c>
      <c r="D88" s="156">
        <v>41.57</v>
      </c>
      <c r="E88" s="156">
        <v>26.11</v>
      </c>
      <c r="F88" s="156">
        <f t="shared" si="19"/>
        <v>1085.3926999999999</v>
      </c>
      <c r="G88" s="156"/>
      <c r="H88" s="156">
        <f t="shared" si="22"/>
        <v>0</v>
      </c>
      <c r="I88" s="156">
        <f t="shared" si="20"/>
        <v>0</v>
      </c>
      <c r="J88" s="156">
        <f t="shared" si="21"/>
        <v>0</v>
      </c>
      <c r="K88" s="80"/>
      <c r="L88" s="81"/>
      <c r="M88" s="7"/>
      <c r="N88" s="80"/>
      <c r="O88" s="80"/>
      <c r="P88" s="91"/>
      <c r="Q88" s="8"/>
      <c r="R88" s="82"/>
      <c r="U88" s="10"/>
      <c r="V88" s="9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</row>
    <row r="89" spans="1:59" ht="28.5">
      <c r="A89" s="156" t="s">
        <v>119</v>
      </c>
      <c r="B89" s="157" t="s">
        <v>120</v>
      </c>
      <c r="C89" s="156" t="s">
        <v>5</v>
      </c>
      <c r="D89" s="156">
        <v>8.7799999999999994</v>
      </c>
      <c r="E89" s="156">
        <v>15.87</v>
      </c>
      <c r="F89" s="156">
        <f t="shared" si="19"/>
        <v>139.33859999999999</v>
      </c>
      <c r="G89" s="156"/>
      <c r="H89" s="156">
        <f t="shared" si="22"/>
        <v>0</v>
      </c>
      <c r="I89" s="156">
        <f t="shared" si="20"/>
        <v>0</v>
      </c>
      <c r="J89" s="156">
        <f t="shared" si="21"/>
        <v>0</v>
      </c>
      <c r="K89" s="80"/>
      <c r="L89" s="81"/>
      <c r="M89" s="7"/>
      <c r="N89" s="80"/>
      <c r="O89" s="80"/>
      <c r="P89" s="91"/>
      <c r="Q89" s="8"/>
      <c r="R89" s="82"/>
      <c r="U89" s="10"/>
      <c r="V89" s="9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</row>
    <row r="90" spans="1:59">
      <c r="A90" s="156" t="s">
        <v>121</v>
      </c>
      <c r="B90" s="157" t="s">
        <v>122</v>
      </c>
      <c r="C90" s="172" t="s">
        <v>16</v>
      </c>
      <c r="D90" s="156">
        <v>8.31</v>
      </c>
      <c r="E90" s="156">
        <v>26.72</v>
      </c>
      <c r="F90" s="156">
        <f t="shared" si="19"/>
        <v>222.04320000000001</v>
      </c>
      <c r="G90" s="156"/>
      <c r="H90" s="156">
        <f t="shared" si="22"/>
        <v>0</v>
      </c>
      <c r="I90" s="156">
        <f t="shared" si="20"/>
        <v>0</v>
      </c>
      <c r="J90" s="156">
        <f t="shared" si="21"/>
        <v>0</v>
      </c>
      <c r="K90" s="80"/>
      <c r="L90" s="81"/>
      <c r="M90" s="7"/>
      <c r="N90" s="80"/>
      <c r="O90" s="80"/>
      <c r="P90" s="91"/>
      <c r="Q90" s="8"/>
      <c r="R90" s="82"/>
      <c r="U90" s="10"/>
      <c r="V90" s="9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</row>
    <row r="91" spans="1:59" s="87" customFormat="1" ht="30.75" customHeight="1">
      <c r="A91" s="156" t="s">
        <v>123</v>
      </c>
      <c r="B91" s="157" t="s">
        <v>124</v>
      </c>
      <c r="C91" s="172" t="s">
        <v>16</v>
      </c>
      <c r="D91" s="155">
        <v>475</v>
      </c>
      <c r="E91" s="155">
        <v>46.27</v>
      </c>
      <c r="F91" s="156">
        <f t="shared" si="19"/>
        <v>21978.25</v>
      </c>
      <c r="G91" s="156"/>
      <c r="H91" s="156">
        <f t="shared" si="22"/>
        <v>0</v>
      </c>
      <c r="I91" s="156">
        <f t="shared" si="20"/>
        <v>0</v>
      </c>
      <c r="J91" s="156">
        <f t="shared" si="21"/>
        <v>0</v>
      </c>
      <c r="K91" s="80"/>
      <c r="L91" s="81"/>
      <c r="M91" s="7"/>
      <c r="N91" s="79"/>
      <c r="O91" s="79"/>
      <c r="P91" s="79"/>
      <c r="Q91" s="16"/>
      <c r="R91" s="82"/>
      <c r="S91" s="14"/>
      <c r="T91" s="14"/>
      <c r="U91" s="84"/>
      <c r="V91" s="83"/>
      <c r="W91" s="85"/>
      <c r="X91" s="85"/>
      <c r="Y91" s="85"/>
      <c r="Z91" s="85"/>
      <c r="AA91" s="85"/>
      <c r="AB91" s="85"/>
      <c r="AC91" s="86"/>
      <c r="AD91" s="86"/>
      <c r="AE91" s="86"/>
      <c r="AF91" s="86"/>
      <c r="AG91" s="86"/>
      <c r="AH91" s="86"/>
      <c r="AI91" s="86"/>
      <c r="AJ91" s="86"/>
      <c r="AK91" s="86"/>
      <c r="AL91" s="86"/>
      <c r="AM91" s="86"/>
      <c r="AN91" s="86"/>
      <c r="AO91" s="86"/>
      <c r="AP91" s="86"/>
      <c r="AQ91" s="86"/>
      <c r="AR91" s="86"/>
      <c r="AS91" s="86"/>
      <c r="AT91" s="86"/>
      <c r="AU91" s="86"/>
      <c r="AV91" s="86"/>
      <c r="AW91" s="86"/>
      <c r="AX91" s="86"/>
      <c r="AY91" s="86"/>
      <c r="AZ91" s="86"/>
      <c r="BA91" s="86"/>
      <c r="BB91" s="86"/>
      <c r="BC91" s="86"/>
      <c r="BD91" s="86"/>
      <c r="BE91" s="86"/>
      <c r="BF91" s="86"/>
      <c r="BG91" s="86"/>
    </row>
    <row r="92" spans="1:59">
      <c r="A92" s="156"/>
      <c r="B92" s="154"/>
      <c r="C92" s="156"/>
      <c r="D92" s="156"/>
      <c r="E92" s="156"/>
      <c r="F92" s="156"/>
      <c r="G92" s="156"/>
      <c r="H92" s="156"/>
      <c r="I92" s="156"/>
      <c r="J92" s="156"/>
      <c r="K92" s="80"/>
      <c r="L92" s="81"/>
      <c r="M92" s="7"/>
      <c r="N92" s="80"/>
      <c r="O92" s="80"/>
      <c r="P92" s="91"/>
      <c r="Q92" s="8"/>
      <c r="R92" s="82"/>
      <c r="U92" s="10"/>
      <c r="V92" s="9"/>
      <c r="W92" s="99"/>
      <c r="X92" s="100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</row>
    <row r="93" spans="1:59" s="87" customFormat="1">
      <c r="A93" s="164" t="s">
        <v>125</v>
      </c>
      <c r="B93" s="165" t="s">
        <v>126</v>
      </c>
      <c r="C93" s="166"/>
      <c r="D93" s="167"/>
      <c r="E93" s="166"/>
      <c r="F93" s="166">
        <f>SUM(F95:F98)</f>
        <v>66961.275599999994</v>
      </c>
      <c r="G93" s="166"/>
      <c r="H93" s="166"/>
      <c r="I93" s="166">
        <f>SUM(I95:I98)</f>
        <v>0</v>
      </c>
      <c r="J93" s="166">
        <f>SUM(J95:J98)</f>
        <v>0</v>
      </c>
      <c r="K93" s="97"/>
      <c r="L93" s="98"/>
      <c r="M93" s="7"/>
      <c r="N93" s="97"/>
      <c r="O93" s="97"/>
      <c r="P93" s="79"/>
      <c r="Q93" s="16"/>
      <c r="R93" s="82"/>
      <c r="S93" s="14"/>
      <c r="T93" s="14"/>
      <c r="U93" s="84"/>
      <c r="V93" s="83"/>
      <c r="W93" s="85"/>
      <c r="X93" s="85"/>
      <c r="Y93" s="85"/>
      <c r="Z93" s="85"/>
      <c r="AA93" s="85"/>
      <c r="AB93" s="85"/>
      <c r="AC93" s="85"/>
      <c r="AD93" s="85"/>
      <c r="AE93" s="85"/>
      <c r="AF93" s="85"/>
      <c r="AG93" s="85"/>
      <c r="AH93" s="85"/>
      <c r="AI93" s="86"/>
      <c r="AJ93" s="86"/>
      <c r="AK93" s="86"/>
      <c r="AL93" s="86"/>
      <c r="AM93" s="86"/>
      <c r="AN93" s="86"/>
      <c r="AO93" s="86"/>
      <c r="AP93" s="86"/>
      <c r="AQ93" s="86"/>
      <c r="AR93" s="86"/>
      <c r="AS93" s="86"/>
      <c r="AT93" s="86"/>
      <c r="AU93" s="86"/>
      <c r="AV93" s="86"/>
      <c r="AW93" s="86"/>
      <c r="AX93" s="86"/>
      <c r="AY93" s="86"/>
      <c r="AZ93" s="86"/>
      <c r="BA93" s="86"/>
      <c r="BB93" s="86"/>
      <c r="BC93" s="86"/>
      <c r="BD93" s="86"/>
      <c r="BE93" s="86"/>
      <c r="BF93" s="86"/>
      <c r="BG93" s="86"/>
    </row>
    <row r="94" spans="1:59" s="87" customFormat="1">
      <c r="A94" s="156"/>
      <c r="B94" s="154"/>
      <c r="C94" s="156"/>
      <c r="D94" s="156"/>
      <c r="E94" s="156"/>
      <c r="F94" s="156"/>
      <c r="G94" s="156"/>
      <c r="H94" s="156"/>
      <c r="I94" s="156"/>
      <c r="J94" s="156"/>
      <c r="K94" s="80"/>
      <c r="L94" s="81"/>
      <c r="M94" s="7"/>
      <c r="N94" s="79"/>
      <c r="O94" s="79"/>
      <c r="P94" s="79"/>
      <c r="Q94" s="16"/>
      <c r="R94" s="82"/>
      <c r="S94" s="14"/>
      <c r="T94" s="14"/>
      <c r="U94" s="84"/>
      <c r="V94" s="83"/>
      <c r="W94" s="85"/>
      <c r="X94" s="85"/>
      <c r="Y94" s="85"/>
      <c r="Z94" s="85"/>
      <c r="AA94" s="85"/>
      <c r="AB94" s="85"/>
      <c r="AC94" s="85"/>
      <c r="AD94" s="85"/>
      <c r="AE94" s="85"/>
      <c r="AF94" s="85"/>
      <c r="AG94" s="85"/>
      <c r="AH94" s="85"/>
      <c r="AI94" s="86"/>
      <c r="AJ94" s="86"/>
      <c r="AK94" s="86"/>
      <c r="AL94" s="86"/>
      <c r="AM94" s="86"/>
      <c r="AN94" s="86"/>
      <c r="AO94" s="86"/>
      <c r="AP94" s="86"/>
      <c r="AQ94" s="86"/>
      <c r="AR94" s="86"/>
      <c r="AS94" s="86"/>
      <c r="AT94" s="86"/>
      <c r="AU94" s="86"/>
      <c r="AV94" s="86"/>
      <c r="AW94" s="86"/>
      <c r="AX94" s="86"/>
      <c r="AY94" s="86"/>
      <c r="AZ94" s="86"/>
      <c r="BA94" s="86"/>
      <c r="BB94" s="86"/>
      <c r="BC94" s="86"/>
      <c r="BD94" s="86"/>
      <c r="BE94" s="86"/>
      <c r="BF94" s="86"/>
      <c r="BG94" s="86"/>
    </row>
    <row r="95" spans="1:59" ht="42.75">
      <c r="A95" s="156" t="s">
        <v>127</v>
      </c>
      <c r="B95" s="157" t="s">
        <v>128</v>
      </c>
      <c r="C95" s="156" t="s">
        <v>16</v>
      </c>
      <c r="D95" s="156">
        <v>1663.44</v>
      </c>
      <c r="E95" s="156">
        <v>2.92</v>
      </c>
      <c r="F95" s="156">
        <f t="shared" ref="F95:F98" si="23">D95*E95</f>
        <v>4857.2448000000004</v>
      </c>
      <c r="G95" s="156"/>
      <c r="H95" s="156">
        <f t="shared" ref="H95:H98" si="24">G95</f>
        <v>0</v>
      </c>
      <c r="I95" s="156">
        <f t="shared" ref="I95:I98" si="25">G95*E95</f>
        <v>0</v>
      </c>
      <c r="J95" s="156">
        <f t="shared" ref="J95:J98" si="26">I95</f>
        <v>0</v>
      </c>
      <c r="K95" s="80"/>
      <c r="L95" s="81"/>
      <c r="M95" s="7"/>
      <c r="N95" s="80"/>
      <c r="O95" s="80"/>
      <c r="P95" s="91"/>
      <c r="Q95" s="8"/>
      <c r="R95" s="82"/>
      <c r="U95" s="10"/>
      <c r="V95" s="9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</row>
    <row r="96" spans="1:59" ht="57.75" customHeight="1">
      <c r="A96" s="156" t="s">
        <v>129</v>
      </c>
      <c r="B96" s="157" t="s">
        <v>130</v>
      </c>
      <c r="C96" s="156" t="s">
        <v>16</v>
      </c>
      <c r="D96" s="156">
        <v>1146.79</v>
      </c>
      <c r="E96" s="156">
        <v>21.42</v>
      </c>
      <c r="F96" s="156">
        <f t="shared" si="23"/>
        <v>24564.2418</v>
      </c>
      <c r="G96" s="156"/>
      <c r="H96" s="156">
        <f t="shared" si="24"/>
        <v>0</v>
      </c>
      <c r="I96" s="156">
        <f t="shared" si="25"/>
        <v>0</v>
      </c>
      <c r="J96" s="156">
        <f t="shared" si="26"/>
        <v>0</v>
      </c>
      <c r="K96" s="80"/>
      <c r="L96" s="81"/>
      <c r="M96" s="7"/>
      <c r="N96" s="80"/>
      <c r="O96" s="80"/>
      <c r="P96" s="91"/>
      <c r="Q96" s="8"/>
      <c r="R96" s="82"/>
      <c r="U96" s="10"/>
      <c r="V96" s="9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</row>
    <row r="97" spans="1:64" ht="57">
      <c r="A97" s="156" t="s">
        <v>131</v>
      </c>
      <c r="B97" s="157" t="s">
        <v>132</v>
      </c>
      <c r="C97" s="156" t="s">
        <v>16</v>
      </c>
      <c r="D97" s="156">
        <v>516.65</v>
      </c>
      <c r="E97" s="156">
        <v>21.4</v>
      </c>
      <c r="F97" s="156">
        <f t="shared" si="23"/>
        <v>11056.31</v>
      </c>
      <c r="G97" s="156"/>
      <c r="H97" s="156">
        <f t="shared" si="24"/>
        <v>0</v>
      </c>
      <c r="I97" s="156">
        <f t="shared" si="25"/>
        <v>0</v>
      </c>
      <c r="J97" s="156">
        <f t="shared" si="26"/>
        <v>0</v>
      </c>
      <c r="K97" s="80"/>
      <c r="L97" s="81"/>
      <c r="M97" s="7"/>
      <c r="N97" s="80"/>
      <c r="O97" s="80"/>
      <c r="P97" s="91"/>
      <c r="Q97" s="8"/>
      <c r="R97" s="82"/>
      <c r="U97" s="10"/>
      <c r="V97" s="9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</row>
    <row r="98" spans="1:64" ht="42.75">
      <c r="A98" s="156" t="s">
        <v>133</v>
      </c>
      <c r="B98" s="157" t="s">
        <v>134</v>
      </c>
      <c r="C98" s="156" t="s">
        <v>16</v>
      </c>
      <c r="D98" s="156">
        <v>516.65</v>
      </c>
      <c r="E98" s="156">
        <v>51.26</v>
      </c>
      <c r="F98" s="156">
        <f t="shared" si="23"/>
        <v>26483.478999999999</v>
      </c>
      <c r="G98" s="156"/>
      <c r="H98" s="156">
        <f t="shared" si="24"/>
        <v>0</v>
      </c>
      <c r="I98" s="156">
        <f t="shared" si="25"/>
        <v>0</v>
      </c>
      <c r="J98" s="156">
        <f t="shared" si="26"/>
        <v>0</v>
      </c>
      <c r="K98" s="80"/>
      <c r="L98" s="81"/>
      <c r="M98" s="7"/>
      <c r="N98" s="80"/>
      <c r="O98" s="80"/>
      <c r="P98" s="91"/>
      <c r="Q98" s="8"/>
      <c r="R98" s="82"/>
      <c r="U98" s="10"/>
      <c r="V98" s="9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</row>
    <row r="99" spans="1:64">
      <c r="A99" s="156"/>
      <c r="B99" s="154"/>
      <c r="C99" s="156"/>
      <c r="D99" s="156"/>
      <c r="E99" s="156"/>
      <c r="F99" s="156"/>
      <c r="G99" s="156"/>
      <c r="H99" s="156"/>
      <c r="I99" s="156"/>
      <c r="J99" s="156"/>
      <c r="K99" s="80"/>
      <c r="L99" s="81"/>
      <c r="M99" s="7"/>
      <c r="N99" s="80"/>
      <c r="O99" s="80"/>
      <c r="P99" s="91"/>
      <c r="Q99" s="8"/>
      <c r="R99" s="82"/>
      <c r="U99" s="10"/>
      <c r="V99" s="9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</row>
    <row r="100" spans="1:64" s="87" customFormat="1">
      <c r="A100" s="164" t="s">
        <v>135</v>
      </c>
      <c r="B100" s="165" t="s">
        <v>8</v>
      </c>
      <c r="C100" s="166"/>
      <c r="D100" s="167"/>
      <c r="E100" s="166"/>
      <c r="F100" s="166">
        <f>SUM(F102:F109)</f>
        <v>38162.8027</v>
      </c>
      <c r="G100" s="166"/>
      <c r="H100" s="166"/>
      <c r="I100" s="166">
        <f>SUM(I102:I109)</f>
        <v>0</v>
      </c>
      <c r="J100" s="166">
        <f>SUM(J102:J109)</f>
        <v>0</v>
      </c>
      <c r="K100" s="97"/>
      <c r="L100" s="98"/>
      <c r="M100" s="7"/>
      <c r="N100" s="97"/>
      <c r="O100" s="97"/>
      <c r="P100" s="79"/>
      <c r="Q100" s="16"/>
      <c r="R100" s="82"/>
      <c r="S100" s="14"/>
      <c r="T100" s="14"/>
      <c r="U100" s="84"/>
      <c r="V100" s="83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6"/>
      <c r="AJ100" s="86"/>
      <c r="AK100" s="86"/>
      <c r="AL100" s="86"/>
      <c r="AM100" s="86"/>
      <c r="AN100" s="86"/>
      <c r="AO100" s="86"/>
      <c r="AP100" s="86"/>
      <c r="AQ100" s="86"/>
      <c r="AR100" s="86"/>
      <c r="AS100" s="86"/>
      <c r="AT100" s="86"/>
      <c r="AU100" s="86"/>
      <c r="AV100" s="86"/>
      <c r="AW100" s="86"/>
      <c r="AX100" s="86"/>
      <c r="AY100" s="86"/>
      <c r="AZ100" s="86"/>
      <c r="BA100" s="86"/>
      <c r="BB100" s="86"/>
      <c r="BC100" s="86"/>
      <c r="BD100" s="86"/>
      <c r="BE100" s="86"/>
      <c r="BF100" s="86"/>
      <c r="BG100" s="86"/>
    </row>
    <row r="101" spans="1:64" s="87" customFormat="1">
      <c r="A101" s="156"/>
      <c r="B101" s="154"/>
      <c r="C101" s="156"/>
      <c r="D101" s="155"/>
      <c r="E101" s="155"/>
      <c r="F101" s="155"/>
      <c r="G101" s="155"/>
      <c r="H101" s="155"/>
      <c r="I101" s="155"/>
      <c r="J101" s="155"/>
      <c r="K101" s="80"/>
      <c r="L101" s="81"/>
      <c r="M101" s="7"/>
      <c r="N101" s="79"/>
      <c r="O101" s="79"/>
      <c r="P101" s="79"/>
      <c r="Q101" s="16"/>
      <c r="R101" s="82"/>
      <c r="S101" s="14"/>
      <c r="T101" s="14"/>
      <c r="U101" s="84"/>
      <c r="V101" s="83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6"/>
      <c r="AH101" s="86"/>
      <c r="AI101" s="86"/>
      <c r="AJ101" s="86"/>
      <c r="AK101" s="86"/>
      <c r="AL101" s="86"/>
      <c r="AM101" s="86"/>
      <c r="AN101" s="86"/>
      <c r="AO101" s="86"/>
      <c r="AP101" s="86"/>
      <c r="AQ101" s="86"/>
      <c r="AR101" s="86"/>
      <c r="AS101" s="86"/>
      <c r="AT101" s="86"/>
      <c r="AU101" s="86"/>
      <c r="AV101" s="86"/>
      <c r="AW101" s="86"/>
      <c r="AX101" s="86"/>
      <c r="AY101" s="86"/>
      <c r="AZ101" s="86"/>
      <c r="BA101" s="86"/>
      <c r="BB101" s="86"/>
      <c r="BC101" s="86"/>
      <c r="BD101" s="86"/>
      <c r="BE101" s="86"/>
      <c r="BF101" s="86"/>
      <c r="BG101" s="86"/>
    </row>
    <row r="102" spans="1:64">
      <c r="A102" s="156" t="s">
        <v>136</v>
      </c>
      <c r="B102" s="157" t="s">
        <v>137</v>
      </c>
      <c r="C102" s="156" t="s">
        <v>16</v>
      </c>
      <c r="D102" s="156">
        <v>1146.79</v>
      </c>
      <c r="E102" s="156">
        <v>1.79</v>
      </c>
      <c r="F102" s="156">
        <f t="shared" ref="F102:F109" si="27">D102*E102</f>
        <v>2052.7541000000001</v>
      </c>
      <c r="G102" s="156"/>
      <c r="H102" s="156">
        <f t="shared" ref="H102:H109" si="28">G102</f>
        <v>0</v>
      </c>
      <c r="I102" s="156">
        <f t="shared" ref="I102:I109" si="29">G102*E102</f>
        <v>0</v>
      </c>
      <c r="J102" s="156">
        <f t="shared" ref="J102:J109" si="30">I102</f>
        <v>0</v>
      </c>
      <c r="K102" s="80"/>
      <c r="L102" s="81"/>
      <c r="M102" s="7"/>
      <c r="N102" s="80"/>
      <c r="O102" s="80"/>
      <c r="P102" s="91"/>
      <c r="Q102" s="8"/>
      <c r="R102" s="82"/>
      <c r="U102" s="10"/>
      <c r="V102" s="9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</row>
    <row r="103" spans="1:64" s="87" customFormat="1" ht="28.5">
      <c r="A103" s="156" t="s">
        <v>138</v>
      </c>
      <c r="B103" s="157" t="s">
        <v>139</v>
      </c>
      <c r="C103" s="156" t="s">
        <v>16</v>
      </c>
      <c r="D103" s="156">
        <v>1146.79</v>
      </c>
      <c r="E103" s="156">
        <v>9.23</v>
      </c>
      <c r="F103" s="156">
        <f t="shared" si="27"/>
        <v>10584.8717</v>
      </c>
      <c r="G103" s="156"/>
      <c r="H103" s="156">
        <f t="shared" si="28"/>
        <v>0</v>
      </c>
      <c r="I103" s="156">
        <f t="shared" si="29"/>
        <v>0</v>
      </c>
      <c r="J103" s="156">
        <f t="shared" si="30"/>
        <v>0</v>
      </c>
      <c r="K103" s="80"/>
      <c r="L103" s="81"/>
      <c r="M103" s="7"/>
      <c r="N103" s="80"/>
      <c r="O103" s="80"/>
      <c r="P103" s="79"/>
      <c r="Q103" s="16"/>
      <c r="R103" s="82"/>
      <c r="S103" s="14"/>
      <c r="T103" s="14"/>
      <c r="U103" s="84"/>
      <c r="V103" s="83"/>
      <c r="W103" s="85"/>
      <c r="X103" s="85"/>
      <c r="Y103" s="85"/>
      <c r="Z103" s="85"/>
      <c r="AA103" s="85"/>
      <c r="AB103" s="85"/>
      <c r="AC103" s="85"/>
      <c r="AD103" s="85"/>
      <c r="AE103" s="85"/>
      <c r="AF103" s="85"/>
      <c r="AG103" s="86"/>
      <c r="AH103" s="86"/>
      <c r="AI103" s="86"/>
      <c r="AJ103" s="86"/>
      <c r="AK103" s="86"/>
      <c r="AL103" s="86"/>
      <c r="AM103" s="86"/>
      <c r="AN103" s="86"/>
      <c r="AO103" s="86"/>
      <c r="AP103" s="86"/>
      <c r="AQ103" s="86"/>
      <c r="AR103" s="86"/>
      <c r="AS103" s="86"/>
      <c r="AT103" s="86"/>
      <c r="AU103" s="86"/>
      <c r="AV103" s="86"/>
      <c r="AW103" s="86"/>
      <c r="AX103" s="86"/>
      <c r="AY103" s="86"/>
      <c r="AZ103" s="86"/>
      <c r="BA103" s="86"/>
      <c r="BB103" s="86"/>
      <c r="BC103" s="86"/>
      <c r="BD103" s="86"/>
      <c r="BE103" s="86"/>
      <c r="BF103" s="86"/>
      <c r="BG103" s="86"/>
    </row>
    <row r="104" spans="1:64" s="87" customFormat="1" ht="28.5">
      <c r="A104" s="156" t="s">
        <v>140</v>
      </c>
      <c r="B104" s="157" t="s">
        <v>141</v>
      </c>
      <c r="C104" s="156" t="s">
        <v>16</v>
      </c>
      <c r="D104" s="156">
        <v>358.74</v>
      </c>
      <c r="E104" s="156">
        <v>11.88</v>
      </c>
      <c r="F104" s="156">
        <f t="shared" si="27"/>
        <v>4261.8312000000005</v>
      </c>
      <c r="G104" s="155"/>
      <c r="H104" s="156">
        <f t="shared" si="28"/>
        <v>0</v>
      </c>
      <c r="I104" s="156">
        <f t="shared" si="29"/>
        <v>0</v>
      </c>
      <c r="J104" s="156">
        <f t="shared" si="30"/>
        <v>0</v>
      </c>
      <c r="K104" s="80"/>
      <c r="L104" s="81"/>
      <c r="M104" s="7"/>
      <c r="N104" s="80"/>
      <c r="O104" s="80"/>
      <c r="P104" s="79"/>
      <c r="Q104" s="16"/>
      <c r="R104" s="82"/>
      <c r="S104" s="14"/>
      <c r="T104" s="14"/>
      <c r="U104" s="84"/>
      <c r="V104" s="83"/>
      <c r="W104" s="85"/>
      <c r="X104" s="85"/>
      <c r="Y104" s="85"/>
      <c r="Z104" s="85"/>
      <c r="AA104" s="85"/>
      <c r="AB104" s="85"/>
      <c r="AC104" s="85"/>
      <c r="AD104" s="85"/>
      <c r="AE104" s="85"/>
      <c r="AF104" s="85"/>
      <c r="AG104" s="86"/>
      <c r="AH104" s="86"/>
      <c r="AI104" s="86"/>
      <c r="AJ104" s="86"/>
      <c r="AK104" s="86"/>
      <c r="AL104" s="86"/>
      <c r="AM104" s="86"/>
      <c r="AN104" s="86"/>
      <c r="AO104" s="86"/>
      <c r="AP104" s="86"/>
      <c r="AQ104" s="86"/>
      <c r="AR104" s="86"/>
      <c r="AS104" s="86"/>
      <c r="AT104" s="86"/>
      <c r="AU104" s="86"/>
      <c r="AV104" s="86"/>
      <c r="AW104" s="86"/>
      <c r="AX104" s="86"/>
      <c r="AY104" s="86"/>
      <c r="AZ104" s="86"/>
      <c r="BA104" s="86"/>
      <c r="BB104" s="86"/>
      <c r="BC104" s="86"/>
      <c r="BD104" s="86"/>
      <c r="BE104" s="86"/>
      <c r="BF104" s="86"/>
      <c r="BG104" s="86"/>
    </row>
    <row r="105" spans="1:64" s="87" customFormat="1" ht="28.5">
      <c r="A105" s="156" t="s">
        <v>142</v>
      </c>
      <c r="B105" s="157" t="s">
        <v>143</v>
      </c>
      <c r="C105" s="156" t="s">
        <v>16</v>
      </c>
      <c r="D105" s="156">
        <v>358.74</v>
      </c>
      <c r="E105" s="156">
        <v>10.61</v>
      </c>
      <c r="F105" s="156">
        <f t="shared" si="27"/>
        <v>3806.2313999999997</v>
      </c>
      <c r="G105" s="155"/>
      <c r="H105" s="156">
        <f t="shared" si="28"/>
        <v>0</v>
      </c>
      <c r="I105" s="156">
        <f t="shared" si="29"/>
        <v>0</v>
      </c>
      <c r="J105" s="156">
        <f t="shared" si="30"/>
        <v>0</v>
      </c>
      <c r="K105" s="80"/>
      <c r="L105" s="81"/>
      <c r="M105" s="7"/>
      <c r="N105" s="80"/>
      <c r="O105" s="80"/>
      <c r="P105" s="79"/>
      <c r="Q105" s="16"/>
      <c r="R105" s="82"/>
      <c r="S105" s="14"/>
      <c r="T105" s="14"/>
      <c r="U105" s="84"/>
      <c r="V105" s="83"/>
      <c r="W105" s="85"/>
      <c r="X105" s="85"/>
      <c r="Y105" s="85"/>
      <c r="Z105" s="85"/>
      <c r="AA105" s="85"/>
      <c r="AB105" s="85"/>
      <c r="AC105" s="85"/>
      <c r="AD105" s="85"/>
      <c r="AE105" s="85"/>
      <c r="AF105" s="85"/>
      <c r="AG105" s="86"/>
      <c r="AH105" s="86"/>
      <c r="AI105" s="86"/>
      <c r="AJ105" s="86"/>
      <c r="AK105" s="86"/>
      <c r="AL105" s="86"/>
      <c r="AM105" s="86"/>
      <c r="AN105" s="86"/>
      <c r="AO105" s="86"/>
      <c r="AP105" s="86"/>
      <c r="AQ105" s="86"/>
      <c r="AR105" s="86"/>
      <c r="AS105" s="86"/>
      <c r="AT105" s="86"/>
      <c r="AU105" s="86"/>
      <c r="AV105" s="86"/>
      <c r="AW105" s="86"/>
      <c r="AX105" s="86"/>
      <c r="AY105" s="86"/>
      <c r="AZ105" s="86"/>
      <c r="BA105" s="86"/>
      <c r="BB105" s="86"/>
      <c r="BC105" s="86"/>
      <c r="BD105" s="86"/>
      <c r="BE105" s="86"/>
      <c r="BF105" s="86"/>
      <c r="BG105" s="86"/>
    </row>
    <row r="106" spans="1:64" s="87" customFormat="1" ht="28.5">
      <c r="A106" s="156" t="s">
        <v>144</v>
      </c>
      <c r="B106" s="157" t="s">
        <v>145</v>
      </c>
      <c r="C106" s="156" t="s">
        <v>16</v>
      </c>
      <c r="D106" s="156">
        <v>81.38</v>
      </c>
      <c r="E106" s="156">
        <v>13.51</v>
      </c>
      <c r="F106" s="156">
        <f t="shared" si="27"/>
        <v>1099.4438</v>
      </c>
      <c r="G106" s="155"/>
      <c r="H106" s="156">
        <f t="shared" si="28"/>
        <v>0</v>
      </c>
      <c r="I106" s="156">
        <f t="shared" si="29"/>
        <v>0</v>
      </c>
      <c r="J106" s="156">
        <f t="shared" si="30"/>
        <v>0</v>
      </c>
      <c r="K106" s="80"/>
      <c r="L106" s="81"/>
      <c r="M106" s="7"/>
      <c r="N106" s="80"/>
      <c r="O106" s="80"/>
      <c r="P106" s="79"/>
      <c r="Q106" s="16"/>
      <c r="R106" s="82"/>
      <c r="S106" s="14"/>
      <c r="T106" s="14"/>
      <c r="U106" s="84"/>
      <c r="V106" s="83"/>
      <c r="W106" s="85"/>
      <c r="X106" s="85"/>
      <c r="Y106" s="85"/>
      <c r="Z106" s="85"/>
      <c r="AA106" s="85"/>
      <c r="AB106" s="85"/>
      <c r="AC106" s="85"/>
      <c r="AD106" s="85"/>
      <c r="AE106" s="85"/>
      <c r="AF106" s="85"/>
      <c r="AG106" s="86"/>
      <c r="AH106" s="86"/>
      <c r="AI106" s="86"/>
      <c r="AJ106" s="86"/>
      <c r="AK106" s="86"/>
      <c r="AL106" s="86"/>
      <c r="AM106" s="86"/>
      <c r="AN106" s="86"/>
      <c r="AO106" s="86"/>
      <c r="AP106" s="86"/>
      <c r="AQ106" s="86"/>
      <c r="AR106" s="86"/>
      <c r="AS106" s="86"/>
      <c r="AT106" s="86"/>
      <c r="AU106" s="86"/>
      <c r="AV106" s="86"/>
      <c r="AW106" s="86"/>
      <c r="AX106" s="86"/>
      <c r="AY106" s="86"/>
      <c r="AZ106" s="86"/>
      <c r="BA106" s="86"/>
      <c r="BB106" s="86"/>
      <c r="BC106" s="86"/>
      <c r="BD106" s="86"/>
      <c r="BE106" s="86"/>
      <c r="BF106" s="86"/>
      <c r="BG106" s="86"/>
    </row>
    <row r="107" spans="1:64" s="87" customFormat="1" ht="42.75">
      <c r="A107" s="156" t="s">
        <v>146</v>
      </c>
      <c r="B107" s="157" t="s">
        <v>147</v>
      </c>
      <c r="C107" s="156" t="s">
        <v>16</v>
      </c>
      <c r="D107" s="156">
        <v>83.17</v>
      </c>
      <c r="E107" s="156">
        <v>15.22</v>
      </c>
      <c r="F107" s="156">
        <f t="shared" si="27"/>
        <v>1265.8474000000001</v>
      </c>
      <c r="G107" s="155"/>
      <c r="H107" s="156">
        <f t="shared" si="28"/>
        <v>0</v>
      </c>
      <c r="I107" s="156">
        <f t="shared" si="29"/>
        <v>0</v>
      </c>
      <c r="J107" s="156">
        <f t="shared" si="30"/>
        <v>0</v>
      </c>
      <c r="K107" s="80"/>
      <c r="L107" s="81"/>
      <c r="M107" s="7"/>
      <c r="N107" s="79"/>
      <c r="O107" s="79"/>
      <c r="P107" s="79"/>
      <c r="Q107" s="16"/>
      <c r="R107" s="82"/>
      <c r="S107" s="14"/>
      <c r="T107" s="14"/>
      <c r="U107" s="84"/>
      <c r="V107" s="83"/>
      <c r="W107" s="85"/>
      <c r="X107" s="85"/>
      <c r="Y107" s="85"/>
      <c r="Z107" s="85"/>
      <c r="AA107" s="85"/>
      <c r="AB107" s="85"/>
      <c r="AC107" s="85"/>
      <c r="AD107" s="85"/>
      <c r="AE107" s="85"/>
      <c r="AF107" s="85"/>
      <c r="AG107" s="85"/>
      <c r="AH107" s="85"/>
      <c r="AI107" s="85"/>
      <c r="AJ107" s="85"/>
      <c r="AK107" s="85"/>
      <c r="AL107" s="85"/>
      <c r="AM107" s="85"/>
      <c r="AN107" s="85"/>
      <c r="AO107" s="85"/>
      <c r="AP107" s="85"/>
      <c r="AQ107" s="85"/>
      <c r="AR107" s="85"/>
      <c r="AS107" s="85"/>
      <c r="AT107" s="85"/>
      <c r="AU107" s="85"/>
      <c r="AV107" s="85"/>
      <c r="AW107" s="85"/>
      <c r="AX107" s="85"/>
      <c r="AY107" s="85"/>
      <c r="AZ107" s="85"/>
      <c r="BA107" s="85"/>
      <c r="BB107" s="85"/>
      <c r="BC107" s="85"/>
      <c r="BD107" s="85"/>
      <c r="BE107" s="85"/>
      <c r="BF107" s="85"/>
      <c r="BG107" s="85"/>
      <c r="BH107" s="101"/>
      <c r="BI107" s="101"/>
      <c r="BJ107" s="101"/>
      <c r="BK107" s="101"/>
      <c r="BL107" s="101"/>
    </row>
    <row r="108" spans="1:64" s="87" customFormat="1" ht="28.5">
      <c r="A108" s="156" t="s">
        <v>148</v>
      </c>
      <c r="B108" s="157" t="s">
        <v>149</v>
      </c>
      <c r="C108" s="156" t="s">
        <v>16</v>
      </c>
      <c r="D108" s="156">
        <v>1146.79</v>
      </c>
      <c r="E108" s="156">
        <v>8.5</v>
      </c>
      <c r="F108" s="156">
        <f t="shared" si="27"/>
        <v>9747.7150000000001</v>
      </c>
      <c r="G108" s="155"/>
      <c r="H108" s="156">
        <f t="shared" si="28"/>
        <v>0</v>
      </c>
      <c r="I108" s="156">
        <f t="shared" si="29"/>
        <v>0</v>
      </c>
      <c r="J108" s="156">
        <f t="shared" si="30"/>
        <v>0</v>
      </c>
      <c r="K108" s="80"/>
      <c r="L108" s="81"/>
      <c r="M108" s="7"/>
      <c r="N108" s="79"/>
      <c r="O108" s="79"/>
      <c r="P108" s="79"/>
      <c r="Q108" s="16"/>
      <c r="R108" s="82"/>
      <c r="S108" s="14"/>
      <c r="T108" s="14"/>
      <c r="U108" s="84"/>
      <c r="V108" s="83"/>
      <c r="W108" s="85"/>
      <c r="X108" s="85"/>
      <c r="Y108" s="85"/>
      <c r="Z108" s="85"/>
      <c r="AA108" s="85"/>
      <c r="AB108" s="85"/>
      <c r="AC108" s="85"/>
      <c r="AD108" s="85"/>
      <c r="AE108" s="85"/>
      <c r="AF108" s="85"/>
      <c r="AG108" s="85"/>
      <c r="AH108" s="85"/>
      <c r="AI108" s="85"/>
      <c r="AJ108" s="85"/>
      <c r="AK108" s="85"/>
      <c r="AL108" s="85"/>
      <c r="AM108" s="85"/>
      <c r="AN108" s="85"/>
      <c r="AO108" s="85"/>
      <c r="AP108" s="85"/>
      <c r="AQ108" s="85"/>
      <c r="AR108" s="85"/>
      <c r="AS108" s="85"/>
      <c r="AT108" s="85"/>
      <c r="AU108" s="85"/>
      <c r="AV108" s="85"/>
      <c r="AW108" s="85"/>
      <c r="AX108" s="85"/>
      <c r="AY108" s="85"/>
      <c r="AZ108" s="85"/>
      <c r="BA108" s="85"/>
      <c r="BB108" s="85"/>
      <c r="BC108" s="85"/>
      <c r="BD108" s="85"/>
      <c r="BE108" s="85"/>
      <c r="BF108" s="85"/>
      <c r="BG108" s="85"/>
      <c r="BH108" s="101"/>
      <c r="BI108" s="101"/>
      <c r="BJ108" s="101"/>
      <c r="BK108" s="101"/>
      <c r="BL108" s="101"/>
    </row>
    <row r="109" spans="1:64" s="87" customFormat="1">
      <c r="A109" s="156" t="s">
        <v>150</v>
      </c>
      <c r="B109" s="158" t="s">
        <v>151</v>
      </c>
      <c r="C109" s="156" t="s">
        <v>16</v>
      </c>
      <c r="D109" s="156">
        <v>766.73</v>
      </c>
      <c r="E109" s="156">
        <v>6.97</v>
      </c>
      <c r="F109" s="156">
        <f t="shared" si="27"/>
        <v>5344.1081000000004</v>
      </c>
      <c r="G109" s="155"/>
      <c r="H109" s="156">
        <f t="shared" si="28"/>
        <v>0</v>
      </c>
      <c r="I109" s="156">
        <f t="shared" si="29"/>
        <v>0</v>
      </c>
      <c r="J109" s="156">
        <f t="shared" si="30"/>
        <v>0</v>
      </c>
      <c r="K109" s="80"/>
      <c r="L109" s="81"/>
      <c r="M109" s="7"/>
      <c r="N109" s="79"/>
      <c r="O109" s="79"/>
      <c r="P109" s="79"/>
      <c r="Q109" s="16"/>
      <c r="R109" s="82"/>
      <c r="S109" s="14"/>
      <c r="T109" s="14"/>
      <c r="U109" s="84"/>
      <c r="V109" s="83"/>
      <c r="W109" s="85"/>
      <c r="X109" s="85"/>
      <c r="Y109" s="85"/>
      <c r="Z109" s="85"/>
      <c r="AA109" s="85"/>
      <c r="AB109" s="85"/>
      <c r="AC109" s="85"/>
      <c r="AD109" s="85"/>
      <c r="AE109" s="85"/>
      <c r="AF109" s="85"/>
      <c r="AG109" s="85"/>
      <c r="AH109" s="85"/>
      <c r="AI109" s="85"/>
      <c r="AJ109" s="85"/>
      <c r="AK109" s="85"/>
      <c r="AL109" s="85"/>
      <c r="AM109" s="85"/>
      <c r="AN109" s="85"/>
      <c r="AO109" s="85"/>
      <c r="AP109" s="85"/>
      <c r="AQ109" s="85"/>
      <c r="AR109" s="85"/>
      <c r="AS109" s="85"/>
      <c r="AT109" s="85"/>
      <c r="AU109" s="85"/>
      <c r="AV109" s="85"/>
      <c r="AW109" s="85"/>
      <c r="AX109" s="85"/>
      <c r="AY109" s="85"/>
      <c r="AZ109" s="85"/>
      <c r="BA109" s="85"/>
      <c r="BB109" s="85"/>
      <c r="BC109" s="85"/>
      <c r="BD109" s="85"/>
      <c r="BE109" s="85"/>
      <c r="BF109" s="85"/>
      <c r="BG109" s="85"/>
      <c r="BH109" s="101"/>
      <c r="BI109" s="101"/>
      <c r="BJ109" s="101"/>
      <c r="BK109" s="101"/>
      <c r="BL109" s="101"/>
    </row>
    <row r="110" spans="1:64" s="87" customFormat="1">
      <c r="A110" s="156"/>
      <c r="B110" s="154"/>
      <c r="C110" s="156"/>
      <c r="D110" s="156"/>
      <c r="E110" s="156"/>
      <c r="F110" s="156"/>
      <c r="G110" s="155"/>
      <c r="H110" s="156"/>
      <c r="I110" s="156"/>
      <c r="J110" s="156"/>
      <c r="K110" s="80"/>
      <c r="L110" s="81"/>
      <c r="M110" s="7"/>
      <c r="N110" s="79"/>
      <c r="O110" s="79"/>
      <c r="P110" s="79"/>
      <c r="Q110" s="16"/>
      <c r="R110" s="82"/>
      <c r="S110" s="14"/>
      <c r="T110" s="14"/>
      <c r="U110" s="84"/>
      <c r="V110" s="83"/>
      <c r="W110" s="85"/>
      <c r="X110" s="85"/>
      <c r="Y110" s="85"/>
      <c r="Z110" s="85"/>
      <c r="AA110" s="85"/>
      <c r="AB110" s="85"/>
      <c r="AC110" s="85"/>
      <c r="AD110" s="85"/>
      <c r="AE110" s="85"/>
      <c r="AF110" s="85"/>
      <c r="AG110" s="85"/>
      <c r="AH110" s="85"/>
      <c r="AI110" s="85"/>
      <c r="AJ110" s="85"/>
      <c r="AK110" s="85"/>
      <c r="AL110" s="85"/>
      <c r="AM110" s="85"/>
      <c r="AN110" s="85"/>
      <c r="AO110" s="85"/>
      <c r="AP110" s="85"/>
      <c r="AQ110" s="85"/>
      <c r="AR110" s="85"/>
      <c r="AS110" s="85"/>
      <c r="AT110" s="85"/>
      <c r="AU110" s="85"/>
      <c r="AV110" s="85"/>
      <c r="AW110" s="85"/>
      <c r="AX110" s="85"/>
      <c r="AY110" s="85"/>
      <c r="AZ110" s="85"/>
      <c r="BA110" s="85"/>
      <c r="BB110" s="85"/>
      <c r="BC110" s="85"/>
      <c r="BD110" s="85"/>
      <c r="BE110" s="85"/>
      <c r="BF110" s="85"/>
      <c r="BG110" s="85"/>
      <c r="BH110" s="101"/>
      <c r="BI110" s="101"/>
      <c r="BJ110" s="101"/>
      <c r="BK110" s="101"/>
      <c r="BL110" s="101"/>
    </row>
    <row r="111" spans="1:64" s="87" customFormat="1">
      <c r="A111" s="164" t="s">
        <v>152</v>
      </c>
      <c r="B111" s="165" t="s">
        <v>4</v>
      </c>
      <c r="C111" s="166"/>
      <c r="D111" s="167"/>
      <c r="E111" s="166"/>
      <c r="F111" s="166">
        <f>SUM(F113:F120)</f>
        <v>38334.375400000004</v>
      </c>
      <c r="G111" s="166"/>
      <c r="H111" s="166"/>
      <c r="I111" s="166">
        <f>SUM(I113:I120)</f>
        <v>2074.1025</v>
      </c>
      <c r="J111" s="166">
        <f>SUM(J113:J120)</f>
        <v>2074.1025</v>
      </c>
      <c r="K111" s="97"/>
      <c r="L111" s="98"/>
      <c r="M111" s="7"/>
      <c r="N111" s="97"/>
      <c r="O111" s="97"/>
      <c r="P111" s="79"/>
      <c r="Q111" s="16"/>
      <c r="R111" s="82"/>
      <c r="S111" s="14"/>
      <c r="T111" s="14"/>
      <c r="U111" s="84"/>
      <c r="V111" s="83"/>
      <c r="W111" s="85"/>
      <c r="X111" s="85"/>
      <c r="Y111" s="85"/>
      <c r="Z111" s="85"/>
      <c r="AA111" s="85"/>
      <c r="AB111" s="85"/>
      <c r="AC111" s="85"/>
      <c r="AD111" s="85"/>
      <c r="AE111" s="85"/>
      <c r="AF111" s="85"/>
      <c r="AG111" s="85"/>
      <c r="AH111" s="85"/>
      <c r="AI111" s="86"/>
      <c r="AJ111" s="86"/>
      <c r="AK111" s="86"/>
      <c r="AL111" s="86"/>
      <c r="AM111" s="86"/>
      <c r="AN111" s="86"/>
      <c r="AO111" s="86"/>
      <c r="AP111" s="86"/>
      <c r="AQ111" s="86"/>
      <c r="AR111" s="86"/>
      <c r="AS111" s="86"/>
      <c r="AT111" s="86"/>
      <c r="AU111" s="86"/>
      <c r="AV111" s="86"/>
      <c r="AW111" s="86"/>
      <c r="AX111" s="86"/>
      <c r="AY111" s="86"/>
      <c r="AZ111" s="86"/>
      <c r="BA111" s="86"/>
      <c r="BB111" s="86"/>
      <c r="BC111" s="86"/>
      <c r="BD111" s="86"/>
      <c r="BE111" s="86"/>
      <c r="BF111" s="86"/>
      <c r="BG111" s="86"/>
    </row>
    <row r="112" spans="1:64" s="87" customFormat="1">
      <c r="A112" s="173"/>
      <c r="B112" s="154"/>
      <c r="C112" s="156"/>
      <c r="D112" s="155"/>
      <c r="E112" s="155"/>
      <c r="F112" s="155"/>
      <c r="G112" s="155"/>
      <c r="H112" s="155"/>
      <c r="I112" s="155"/>
      <c r="J112" s="155"/>
      <c r="K112" s="80"/>
      <c r="L112" s="81"/>
      <c r="M112" s="7"/>
      <c r="N112" s="79"/>
      <c r="O112" s="79"/>
      <c r="P112" s="79"/>
      <c r="Q112" s="16"/>
      <c r="R112" s="82"/>
      <c r="S112" s="14"/>
      <c r="T112" s="14"/>
      <c r="U112" s="84"/>
      <c r="V112" s="83"/>
      <c r="W112" s="85"/>
      <c r="X112" s="85"/>
      <c r="Y112" s="85"/>
      <c r="Z112" s="85"/>
      <c r="AA112" s="85"/>
      <c r="AB112" s="85"/>
      <c r="AC112" s="85"/>
      <c r="AD112" s="85"/>
      <c r="AE112" s="85"/>
      <c r="AF112" s="85"/>
      <c r="AG112" s="85"/>
      <c r="AH112" s="85"/>
      <c r="AI112" s="85"/>
      <c r="AJ112" s="85"/>
      <c r="AK112" s="85"/>
      <c r="AL112" s="85"/>
      <c r="AM112" s="85"/>
      <c r="AN112" s="85"/>
      <c r="AO112" s="85"/>
      <c r="AP112" s="85"/>
      <c r="AQ112" s="85"/>
      <c r="AR112" s="85"/>
      <c r="AS112" s="85"/>
      <c r="AT112" s="85"/>
      <c r="AU112" s="85"/>
      <c r="AV112" s="85"/>
      <c r="AW112" s="85"/>
      <c r="AX112" s="85"/>
      <c r="AY112" s="85"/>
      <c r="AZ112" s="85"/>
      <c r="BA112" s="85"/>
      <c r="BB112" s="85"/>
      <c r="BC112" s="85"/>
      <c r="BD112" s="85"/>
      <c r="BE112" s="85"/>
      <c r="BF112" s="85"/>
      <c r="BG112" s="85"/>
      <c r="BH112" s="101"/>
      <c r="BI112" s="101"/>
      <c r="BJ112" s="101"/>
      <c r="BK112" s="101"/>
      <c r="BL112" s="101"/>
    </row>
    <row r="113" spans="1:64" s="87" customFormat="1" ht="28.5">
      <c r="A113" s="156" t="s">
        <v>153</v>
      </c>
      <c r="B113" s="157" t="s">
        <v>154</v>
      </c>
      <c r="C113" s="156" t="s">
        <v>16</v>
      </c>
      <c r="D113" s="156">
        <v>427.65</v>
      </c>
      <c r="E113" s="156">
        <v>19.399999999999999</v>
      </c>
      <c r="F113" s="156">
        <f t="shared" ref="F113:F120" si="31">D113*E113</f>
        <v>8296.41</v>
      </c>
      <c r="G113" s="155">
        <f>D113/4</f>
        <v>106.91249999999999</v>
      </c>
      <c r="H113" s="156">
        <f t="shared" ref="H113:H120" si="32">G113</f>
        <v>106.91249999999999</v>
      </c>
      <c r="I113" s="156">
        <f t="shared" ref="I113:I120" si="33">G113*E113</f>
        <v>2074.1025</v>
      </c>
      <c r="J113" s="156">
        <f t="shared" ref="J113:J120" si="34">I113</f>
        <v>2074.1025</v>
      </c>
      <c r="K113" s="80"/>
      <c r="L113" s="81"/>
      <c r="M113" s="7"/>
      <c r="N113" s="79"/>
      <c r="O113" s="79"/>
      <c r="P113" s="79"/>
      <c r="Q113" s="16"/>
      <c r="R113" s="82"/>
      <c r="S113" s="14"/>
      <c r="T113" s="14"/>
      <c r="U113" s="84"/>
      <c r="V113" s="83"/>
      <c r="W113" s="85"/>
      <c r="X113" s="85"/>
      <c r="Y113" s="85"/>
      <c r="Z113" s="85"/>
      <c r="AA113" s="85"/>
      <c r="AB113" s="85"/>
      <c r="AC113" s="85"/>
      <c r="AD113" s="85"/>
      <c r="AE113" s="85"/>
      <c r="AF113" s="85"/>
      <c r="AG113" s="85"/>
      <c r="AH113" s="85"/>
      <c r="AI113" s="85"/>
      <c r="AJ113" s="85"/>
      <c r="AK113" s="85"/>
      <c r="AL113" s="85"/>
      <c r="AM113" s="85"/>
      <c r="AN113" s="85"/>
      <c r="AO113" s="85"/>
      <c r="AP113" s="85"/>
      <c r="AQ113" s="85"/>
      <c r="AR113" s="85"/>
      <c r="AS113" s="85"/>
      <c r="AT113" s="85"/>
      <c r="AU113" s="85"/>
      <c r="AV113" s="85"/>
      <c r="AW113" s="85"/>
      <c r="AX113" s="85"/>
      <c r="AY113" s="85"/>
      <c r="AZ113" s="85"/>
      <c r="BA113" s="85"/>
      <c r="BB113" s="85"/>
      <c r="BC113" s="85"/>
      <c r="BD113" s="85"/>
      <c r="BE113" s="85"/>
      <c r="BF113" s="85"/>
      <c r="BG113" s="85"/>
      <c r="BH113" s="101"/>
      <c r="BI113" s="101"/>
      <c r="BJ113" s="101"/>
      <c r="BK113" s="101"/>
      <c r="BL113" s="101"/>
    </row>
    <row r="114" spans="1:64" s="87" customFormat="1">
      <c r="A114" s="156" t="s">
        <v>155</v>
      </c>
      <c r="B114" s="157" t="s">
        <v>156</v>
      </c>
      <c r="C114" s="156" t="s">
        <v>16</v>
      </c>
      <c r="D114" s="156">
        <v>427.65</v>
      </c>
      <c r="E114" s="156">
        <v>18.36</v>
      </c>
      <c r="F114" s="156">
        <f t="shared" si="31"/>
        <v>7851.6539999999995</v>
      </c>
      <c r="G114" s="155"/>
      <c r="H114" s="156">
        <f t="shared" si="32"/>
        <v>0</v>
      </c>
      <c r="I114" s="156">
        <f t="shared" si="33"/>
        <v>0</v>
      </c>
      <c r="J114" s="156">
        <f t="shared" si="34"/>
        <v>0</v>
      </c>
      <c r="K114" s="80"/>
      <c r="L114" s="81"/>
      <c r="M114" s="7"/>
      <c r="N114" s="79"/>
      <c r="O114" s="79"/>
      <c r="P114" s="79"/>
      <c r="Q114" s="16"/>
      <c r="R114" s="82"/>
      <c r="S114" s="14"/>
      <c r="T114" s="14"/>
      <c r="U114" s="84"/>
      <c r="V114" s="83"/>
      <c r="W114" s="85"/>
      <c r="X114" s="85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85"/>
      <c r="AL114" s="85"/>
      <c r="AM114" s="85"/>
      <c r="AN114" s="85"/>
      <c r="AO114" s="85"/>
      <c r="AP114" s="85"/>
      <c r="AQ114" s="85"/>
      <c r="AR114" s="85"/>
      <c r="AS114" s="85"/>
      <c r="AT114" s="85"/>
      <c r="AU114" s="85"/>
      <c r="AV114" s="85"/>
      <c r="AW114" s="85"/>
      <c r="AX114" s="85"/>
      <c r="AY114" s="85"/>
      <c r="AZ114" s="85"/>
      <c r="BA114" s="85"/>
      <c r="BB114" s="85"/>
      <c r="BC114" s="85"/>
      <c r="BD114" s="85"/>
      <c r="BE114" s="85"/>
      <c r="BF114" s="85"/>
      <c r="BG114" s="85"/>
      <c r="BH114" s="101"/>
      <c r="BI114" s="101"/>
      <c r="BJ114" s="101"/>
      <c r="BK114" s="101"/>
      <c r="BL114" s="101"/>
    </row>
    <row r="115" spans="1:64" s="87" customFormat="1" ht="42.75">
      <c r="A115" s="156" t="s">
        <v>157</v>
      </c>
      <c r="B115" s="157" t="s">
        <v>158</v>
      </c>
      <c r="C115" s="156" t="s">
        <v>16</v>
      </c>
      <c r="D115" s="156">
        <v>45.74</v>
      </c>
      <c r="E115" s="156">
        <v>46.2</v>
      </c>
      <c r="F115" s="156">
        <f t="shared" si="31"/>
        <v>2113.1880000000001</v>
      </c>
      <c r="G115" s="155"/>
      <c r="H115" s="156">
        <f t="shared" si="32"/>
        <v>0</v>
      </c>
      <c r="I115" s="156">
        <f t="shared" si="33"/>
        <v>0</v>
      </c>
      <c r="J115" s="156">
        <f t="shared" si="34"/>
        <v>0</v>
      </c>
      <c r="K115" s="80"/>
      <c r="L115" s="81"/>
      <c r="M115" s="7"/>
      <c r="N115" s="79"/>
      <c r="O115" s="79"/>
      <c r="P115" s="79"/>
      <c r="Q115" s="16"/>
      <c r="R115" s="82"/>
      <c r="S115" s="14"/>
      <c r="T115" s="14"/>
      <c r="U115" s="84"/>
      <c r="V115" s="83"/>
      <c r="W115" s="85"/>
      <c r="X115" s="85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  <c r="AJ115" s="85"/>
      <c r="AK115" s="85"/>
      <c r="AL115" s="85"/>
      <c r="AM115" s="85"/>
      <c r="AN115" s="85"/>
      <c r="AO115" s="85"/>
      <c r="AP115" s="85"/>
      <c r="AQ115" s="85"/>
      <c r="AR115" s="85"/>
      <c r="AS115" s="85"/>
      <c r="AT115" s="85"/>
      <c r="AU115" s="85"/>
      <c r="AV115" s="85"/>
      <c r="AW115" s="85"/>
      <c r="AX115" s="85"/>
      <c r="AY115" s="85"/>
      <c r="AZ115" s="85"/>
      <c r="BA115" s="85"/>
      <c r="BB115" s="85"/>
      <c r="BC115" s="85"/>
      <c r="BD115" s="85"/>
      <c r="BE115" s="85"/>
      <c r="BF115" s="85"/>
      <c r="BG115" s="85"/>
      <c r="BH115" s="101"/>
      <c r="BI115" s="101"/>
      <c r="BJ115" s="101"/>
      <c r="BK115" s="101"/>
      <c r="BL115" s="101"/>
    </row>
    <row r="116" spans="1:64" s="87" customFormat="1" ht="28.5">
      <c r="A116" s="156" t="s">
        <v>159</v>
      </c>
      <c r="B116" s="157" t="s">
        <v>160</v>
      </c>
      <c r="C116" s="156" t="s">
        <v>16</v>
      </c>
      <c r="D116" s="156">
        <v>381.91</v>
      </c>
      <c r="E116" s="156">
        <v>24.63</v>
      </c>
      <c r="F116" s="156">
        <f t="shared" si="31"/>
        <v>9406.4433000000008</v>
      </c>
      <c r="G116" s="155"/>
      <c r="H116" s="156">
        <f t="shared" si="32"/>
        <v>0</v>
      </c>
      <c r="I116" s="156">
        <f t="shared" si="33"/>
        <v>0</v>
      </c>
      <c r="J116" s="156">
        <f t="shared" si="34"/>
        <v>0</v>
      </c>
      <c r="K116" s="80"/>
      <c r="L116" s="81"/>
      <c r="M116" s="7"/>
      <c r="N116" s="79"/>
      <c r="O116" s="79"/>
      <c r="P116" s="79"/>
      <c r="Q116" s="16"/>
      <c r="R116" s="82"/>
      <c r="S116" s="14"/>
      <c r="T116" s="14"/>
      <c r="U116" s="84"/>
      <c r="V116" s="83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85"/>
      <c r="AQ116" s="85"/>
      <c r="AR116" s="85"/>
      <c r="AS116" s="85"/>
      <c r="AT116" s="85"/>
      <c r="AU116" s="85"/>
      <c r="AV116" s="85"/>
      <c r="AW116" s="85"/>
      <c r="AX116" s="85"/>
      <c r="AY116" s="85"/>
      <c r="AZ116" s="85"/>
      <c r="BA116" s="85"/>
      <c r="BB116" s="85"/>
      <c r="BC116" s="85"/>
      <c r="BD116" s="85"/>
      <c r="BE116" s="85"/>
      <c r="BF116" s="85"/>
      <c r="BG116" s="85"/>
      <c r="BH116" s="101"/>
      <c r="BI116" s="101"/>
      <c r="BJ116" s="101"/>
      <c r="BK116" s="101"/>
      <c r="BL116" s="101"/>
    </row>
    <row r="117" spans="1:64" s="87" customFormat="1" ht="42" customHeight="1">
      <c r="A117" s="156" t="s">
        <v>161</v>
      </c>
      <c r="B117" s="157" t="s">
        <v>162</v>
      </c>
      <c r="C117" s="156" t="s">
        <v>16</v>
      </c>
      <c r="D117" s="156">
        <v>99.37</v>
      </c>
      <c r="E117" s="156">
        <v>59.23</v>
      </c>
      <c r="F117" s="156">
        <f t="shared" si="31"/>
        <v>5885.6850999999997</v>
      </c>
      <c r="G117" s="155"/>
      <c r="H117" s="156">
        <f t="shared" si="32"/>
        <v>0</v>
      </c>
      <c r="I117" s="156">
        <f t="shared" si="33"/>
        <v>0</v>
      </c>
      <c r="J117" s="156">
        <f t="shared" si="34"/>
        <v>0</v>
      </c>
      <c r="K117" s="80"/>
      <c r="L117" s="81"/>
      <c r="M117" s="7"/>
      <c r="N117" s="79"/>
      <c r="O117" s="79"/>
      <c r="P117" s="79"/>
      <c r="Q117" s="16"/>
      <c r="R117" s="82"/>
      <c r="S117" s="14"/>
      <c r="T117" s="14"/>
      <c r="U117" s="84"/>
      <c r="V117" s="83"/>
      <c r="W117" s="85"/>
      <c r="X117" s="85"/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85"/>
      <c r="AJ117" s="85"/>
      <c r="AK117" s="85"/>
      <c r="AL117" s="85"/>
      <c r="AM117" s="85"/>
      <c r="AN117" s="85"/>
      <c r="AO117" s="85"/>
      <c r="AP117" s="85"/>
      <c r="AQ117" s="85"/>
      <c r="AR117" s="85"/>
      <c r="AS117" s="85"/>
      <c r="AT117" s="85"/>
      <c r="AU117" s="85"/>
      <c r="AV117" s="85"/>
      <c r="AW117" s="85"/>
      <c r="AX117" s="85"/>
      <c r="AY117" s="85"/>
      <c r="AZ117" s="85"/>
      <c r="BA117" s="85"/>
      <c r="BB117" s="85"/>
      <c r="BC117" s="85"/>
      <c r="BD117" s="85"/>
      <c r="BE117" s="85"/>
      <c r="BF117" s="85"/>
      <c r="BG117" s="85"/>
      <c r="BH117" s="101"/>
      <c r="BI117" s="101"/>
      <c r="BJ117" s="101"/>
      <c r="BK117" s="101"/>
      <c r="BL117" s="101"/>
    </row>
    <row r="118" spans="1:64" s="87" customFormat="1" ht="42.75">
      <c r="A118" s="156" t="s">
        <v>163</v>
      </c>
      <c r="B118" s="157" t="s">
        <v>162</v>
      </c>
      <c r="C118" s="156" t="s">
        <v>16</v>
      </c>
      <c r="D118" s="156">
        <v>6.5</v>
      </c>
      <c r="E118" s="156">
        <v>59.23</v>
      </c>
      <c r="F118" s="156">
        <f t="shared" si="31"/>
        <v>384.995</v>
      </c>
      <c r="G118" s="155"/>
      <c r="H118" s="156">
        <f t="shared" si="32"/>
        <v>0</v>
      </c>
      <c r="I118" s="156">
        <f t="shared" si="33"/>
        <v>0</v>
      </c>
      <c r="J118" s="156">
        <f t="shared" si="34"/>
        <v>0</v>
      </c>
      <c r="K118" s="80"/>
      <c r="L118" s="81"/>
      <c r="M118" s="7"/>
      <c r="N118" s="79"/>
      <c r="O118" s="79"/>
      <c r="P118" s="79"/>
      <c r="Q118" s="16"/>
      <c r="R118" s="82"/>
      <c r="S118" s="14"/>
      <c r="T118" s="14"/>
      <c r="U118" s="84"/>
      <c r="V118" s="83"/>
      <c r="W118" s="85"/>
      <c r="X118" s="85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5"/>
      <c r="AJ118" s="85"/>
      <c r="AK118" s="85"/>
      <c r="AL118" s="85"/>
      <c r="AM118" s="85"/>
      <c r="AN118" s="85"/>
      <c r="AO118" s="85"/>
      <c r="AP118" s="85"/>
      <c r="AQ118" s="85"/>
      <c r="AR118" s="85"/>
      <c r="AS118" s="85"/>
      <c r="AT118" s="85"/>
      <c r="AU118" s="85"/>
      <c r="AV118" s="85"/>
      <c r="AW118" s="85"/>
      <c r="AX118" s="85"/>
      <c r="AY118" s="85"/>
      <c r="AZ118" s="85"/>
      <c r="BA118" s="85"/>
      <c r="BB118" s="85"/>
      <c r="BC118" s="85"/>
      <c r="BD118" s="85"/>
      <c r="BE118" s="85"/>
      <c r="BF118" s="85"/>
      <c r="BG118" s="85"/>
      <c r="BH118" s="101"/>
      <c r="BI118" s="101"/>
      <c r="BJ118" s="101"/>
      <c r="BK118" s="101"/>
      <c r="BL118" s="101"/>
    </row>
    <row r="119" spans="1:64" s="87" customFormat="1" ht="28.5">
      <c r="A119" s="156" t="s">
        <v>164</v>
      </c>
      <c r="B119" s="157" t="s">
        <v>165</v>
      </c>
      <c r="C119" s="156" t="s">
        <v>16</v>
      </c>
      <c r="D119" s="156">
        <v>101</v>
      </c>
      <c r="E119" s="156">
        <v>40.619999999999997</v>
      </c>
      <c r="F119" s="156">
        <f t="shared" si="31"/>
        <v>4102.62</v>
      </c>
      <c r="G119" s="155"/>
      <c r="H119" s="156">
        <f t="shared" si="32"/>
        <v>0</v>
      </c>
      <c r="I119" s="156">
        <f t="shared" si="33"/>
        <v>0</v>
      </c>
      <c r="J119" s="156">
        <f t="shared" si="34"/>
        <v>0</v>
      </c>
      <c r="K119" s="80"/>
      <c r="L119" s="81"/>
      <c r="M119" s="7"/>
      <c r="N119" s="79"/>
      <c r="O119" s="79"/>
      <c r="P119" s="79"/>
      <c r="Q119" s="16"/>
      <c r="R119" s="82"/>
      <c r="S119" s="14"/>
      <c r="T119" s="14"/>
      <c r="U119" s="84"/>
      <c r="V119" s="83"/>
      <c r="W119" s="85"/>
      <c r="X119" s="85"/>
      <c r="Y119" s="85"/>
      <c r="Z119" s="85"/>
      <c r="AA119" s="85"/>
      <c r="AB119" s="85"/>
      <c r="AC119" s="85"/>
      <c r="AD119" s="85"/>
      <c r="AE119" s="85"/>
      <c r="AF119" s="85"/>
      <c r="AG119" s="85"/>
      <c r="AH119" s="85"/>
      <c r="AI119" s="85"/>
      <c r="AJ119" s="85"/>
      <c r="AK119" s="85"/>
      <c r="AL119" s="85"/>
      <c r="AM119" s="85"/>
      <c r="AN119" s="85"/>
      <c r="AO119" s="85"/>
      <c r="AP119" s="85"/>
      <c r="AQ119" s="85"/>
      <c r="AR119" s="85"/>
      <c r="AS119" s="85"/>
      <c r="AT119" s="85"/>
      <c r="AU119" s="85"/>
      <c r="AV119" s="85"/>
      <c r="AW119" s="85"/>
      <c r="AX119" s="85"/>
      <c r="AY119" s="85"/>
      <c r="AZ119" s="85"/>
      <c r="BA119" s="85"/>
      <c r="BB119" s="85"/>
      <c r="BC119" s="85"/>
      <c r="BD119" s="85"/>
      <c r="BE119" s="85"/>
      <c r="BF119" s="85"/>
      <c r="BG119" s="85"/>
      <c r="BH119" s="101"/>
      <c r="BI119" s="101"/>
      <c r="BJ119" s="101"/>
      <c r="BK119" s="101"/>
      <c r="BL119" s="101"/>
    </row>
    <row r="120" spans="1:64" s="87" customFormat="1" ht="57">
      <c r="A120" s="156" t="s">
        <v>166</v>
      </c>
      <c r="B120" s="157" t="s">
        <v>167</v>
      </c>
      <c r="C120" s="156" t="s">
        <v>7</v>
      </c>
      <c r="D120" s="156">
        <v>1</v>
      </c>
      <c r="E120" s="156">
        <v>293.38</v>
      </c>
      <c r="F120" s="156">
        <f t="shared" si="31"/>
        <v>293.38</v>
      </c>
      <c r="G120" s="155"/>
      <c r="H120" s="156">
        <f t="shared" si="32"/>
        <v>0</v>
      </c>
      <c r="I120" s="156">
        <f t="shared" si="33"/>
        <v>0</v>
      </c>
      <c r="J120" s="156">
        <f t="shared" si="34"/>
        <v>0</v>
      </c>
      <c r="K120" s="80"/>
      <c r="L120" s="81"/>
      <c r="M120" s="7"/>
      <c r="N120" s="79"/>
      <c r="O120" s="79"/>
      <c r="P120" s="79"/>
      <c r="Q120" s="16"/>
      <c r="R120" s="82"/>
      <c r="S120" s="14"/>
      <c r="T120" s="14"/>
      <c r="U120" s="84"/>
      <c r="V120" s="83"/>
      <c r="W120" s="85"/>
      <c r="X120" s="85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5"/>
      <c r="AJ120" s="85"/>
      <c r="AK120" s="85"/>
      <c r="AL120" s="85"/>
      <c r="AM120" s="85"/>
      <c r="AN120" s="85"/>
      <c r="AO120" s="85"/>
      <c r="AP120" s="85"/>
      <c r="AQ120" s="85"/>
      <c r="AR120" s="85"/>
      <c r="AS120" s="85"/>
      <c r="AT120" s="85"/>
      <c r="AU120" s="85"/>
      <c r="AV120" s="85"/>
      <c r="AW120" s="85"/>
      <c r="AX120" s="85"/>
      <c r="AY120" s="85"/>
      <c r="AZ120" s="85"/>
      <c r="BA120" s="85"/>
      <c r="BB120" s="85"/>
      <c r="BC120" s="85"/>
      <c r="BD120" s="85"/>
      <c r="BE120" s="85"/>
      <c r="BF120" s="85"/>
      <c r="BG120" s="85"/>
      <c r="BH120" s="101"/>
      <c r="BI120" s="101"/>
      <c r="BJ120" s="101"/>
      <c r="BK120" s="101"/>
      <c r="BL120" s="101"/>
    </row>
    <row r="121" spans="1:64" s="87" customFormat="1">
      <c r="A121" s="156"/>
      <c r="B121" s="154"/>
      <c r="C121" s="156"/>
      <c r="D121" s="156"/>
      <c r="E121" s="156"/>
      <c r="F121" s="156"/>
      <c r="G121" s="155"/>
      <c r="H121" s="156"/>
      <c r="I121" s="156"/>
      <c r="J121" s="156"/>
      <c r="K121" s="80"/>
      <c r="L121" s="81"/>
      <c r="M121" s="7"/>
      <c r="N121" s="79"/>
      <c r="O121" s="79"/>
      <c r="P121" s="79"/>
      <c r="Q121" s="16"/>
      <c r="R121" s="82"/>
      <c r="S121" s="14"/>
      <c r="T121" s="14"/>
      <c r="U121" s="84"/>
      <c r="V121" s="83"/>
      <c r="W121" s="85"/>
      <c r="X121" s="85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  <c r="AJ121" s="85"/>
      <c r="AK121" s="85"/>
      <c r="AL121" s="85"/>
      <c r="AM121" s="85"/>
      <c r="AN121" s="85"/>
      <c r="AO121" s="85"/>
      <c r="AP121" s="85"/>
      <c r="AQ121" s="85"/>
      <c r="AR121" s="85"/>
      <c r="AS121" s="85"/>
      <c r="AT121" s="85"/>
      <c r="AU121" s="85"/>
      <c r="AV121" s="85"/>
      <c r="AW121" s="85"/>
      <c r="AX121" s="85"/>
      <c r="AY121" s="85"/>
      <c r="AZ121" s="85"/>
      <c r="BA121" s="85"/>
      <c r="BB121" s="85"/>
      <c r="BC121" s="85"/>
      <c r="BD121" s="85"/>
      <c r="BE121" s="85"/>
      <c r="BF121" s="85"/>
      <c r="BG121" s="85"/>
      <c r="BH121" s="101"/>
      <c r="BI121" s="101"/>
      <c r="BJ121" s="101"/>
      <c r="BK121" s="101"/>
      <c r="BL121" s="101"/>
    </row>
    <row r="122" spans="1:64" s="87" customFormat="1">
      <c r="A122" s="164" t="s">
        <v>168</v>
      </c>
      <c r="B122" s="165" t="s">
        <v>169</v>
      </c>
      <c r="C122" s="166"/>
      <c r="D122" s="167"/>
      <c r="E122" s="166"/>
      <c r="F122" s="166">
        <f>SUM(F124:F147)</f>
        <v>20524.554999999993</v>
      </c>
      <c r="G122" s="166"/>
      <c r="H122" s="166"/>
      <c r="I122" s="166">
        <f>SUM(I124:I147)</f>
        <v>0</v>
      </c>
      <c r="J122" s="166">
        <f>SUM(J124:J147)</f>
        <v>0</v>
      </c>
      <c r="K122" s="97"/>
      <c r="L122" s="98"/>
      <c r="M122" s="7"/>
      <c r="N122" s="97"/>
      <c r="O122" s="97"/>
      <c r="P122" s="79"/>
      <c r="Q122" s="16"/>
      <c r="R122" s="82"/>
      <c r="S122" s="14"/>
      <c r="T122" s="14"/>
      <c r="U122" s="84"/>
      <c r="V122" s="83"/>
      <c r="W122" s="85"/>
      <c r="X122" s="85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6"/>
      <c r="AJ122" s="86"/>
      <c r="AK122" s="86"/>
      <c r="AL122" s="86"/>
      <c r="AM122" s="86"/>
      <c r="AN122" s="86"/>
      <c r="AO122" s="86"/>
      <c r="AP122" s="86"/>
      <c r="AQ122" s="86"/>
      <c r="AR122" s="86"/>
      <c r="AS122" s="86"/>
      <c r="AT122" s="86"/>
      <c r="AU122" s="86"/>
      <c r="AV122" s="86"/>
      <c r="AW122" s="86"/>
      <c r="AX122" s="86"/>
      <c r="AY122" s="86"/>
      <c r="AZ122" s="86"/>
      <c r="BA122" s="86"/>
      <c r="BB122" s="86"/>
      <c r="BC122" s="86"/>
      <c r="BD122" s="86"/>
      <c r="BE122" s="86"/>
      <c r="BF122" s="86"/>
      <c r="BG122" s="86"/>
    </row>
    <row r="123" spans="1:64" ht="12" customHeight="1">
      <c r="A123" s="156"/>
      <c r="B123" s="154"/>
      <c r="C123" s="156"/>
      <c r="D123" s="156"/>
      <c r="E123" s="156"/>
      <c r="F123" s="156"/>
      <c r="G123" s="156"/>
      <c r="H123" s="156"/>
      <c r="I123" s="156"/>
      <c r="J123" s="156"/>
      <c r="K123" s="80"/>
      <c r="L123" s="81"/>
      <c r="M123" s="7"/>
      <c r="N123" s="80"/>
      <c r="O123" s="80"/>
      <c r="P123" s="91"/>
      <c r="Q123" s="8"/>
      <c r="R123" s="82"/>
      <c r="U123" s="10"/>
      <c r="V123" s="9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</row>
    <row r="124" spans="1:64" s="87" customFormat="1" ht="57">
      <c r="A124" s="156" t="s">
        <v>170</v>
      </c>
      <c r="B124" s="157" t="s">
        <v>167</v>
      </c>
      <c r="C124" s="156" t="s">
        <v>7</v>
      </c>
      <c r="D124" s="155">
        <v>3</v>
      </c>
      <c r="E124" s="156">
        <v>339.22</v>
      </c>
      <c r="F124" s="156">
        <f t="shared" ref="F124:F147" si="35">D124*E124</f>
        <v>1017.6600000000001</v>
      </c>
      <c r="G124" s="156"/>
      <c r="H124" s="156">
        <f t="shared" ref="H124" si="36">G124</f>
        <v>0</v>
      </c>
      <c r="I124" s="156">
        <f>G124*E124</f>
        <v>0</v>
      </c>
      <c r="J124" s="156">
        <f t="shared" ref="J124" si="37">I124</f>
        <v>0</v>
      </c>
      <c r="K124" s="80"/>
      <c r="L124" s="81"/>
      <c r="M124" s="7"/>
      <c r="N124" s="79"/>
      <c r="O124" s="79"/>
      <c r="P124" s="79"/>
      <c r="Q124" s="16"/>
      <c r="R124" s="82"/>
      <c r="S124" s="14"/>
      <c r="T124" s="14"/>
      <c r="U124" s="84"/>
      <c r="V124" s="83"/>
      <c r="W124" s="85"/>
      <c r="X124" s="85"/>
      <c r="Y124" s="85"/>
      <c r="Z124" s="85"/>
      <c r="AA124" s="85"/>
      <c r="AB124" s="85"/>
      <c r="AC124" s="85"/>
      <c r="AD124" s="85"/>
      <c r="AE124" s="85"/>
      <c r="AF124" s="86"/>
      <c r="AG124" s="86"/>
      <c r="AH124" s="86"/>
      <c r="AI124" s="86"/>
      <c r="AJ124" s="86"/>
      <c r="AK124" s="86"/>
      <c r="AL124" s="86"/>
      <c r="AM124" s="86"/>
      <c r="AN124" s="86"/>
      <c r="AO124" s="86"/>
      <c r="AP124" s="86"/>
      <c r="AQ124" s="86"/>
      <c r="AR124" s="86"/>
      <c r="AS124" s="86"/>
      <c r="AT124" s="86"/>
      <c r="AU124" s="86"/>
      <c r="AV124" s="86"/>
      <c r="AW124" s="86"/>
      <c r="AX124" s="86"/>
      <c r="AY124" s="86"/>
      <c r="AZ124" s="86"/>
      <c r="BA124" s="86"/>
      <c r="BB124" s="86"/>
      <c r="BC124" s="86"/>
      <c r="BD124" s="86"/>
      <c r="BE124" s="86"/>
      <c r="BF124" s="86"/>
      <c r="BG124" s="86"/>
    </row>
    <row r="125" spans="1:64" s="87" customFormat="1" ht="42.75">
      <c r="A125" s="156" t="s">
        <v>171</v>
      </c>
      <c r="B125" s="157" t="s">
        <v>172</v>
      </c>
      <c r="C125" s="156" t="s">
        <v>7</v>
      </c>
      <c r="D125" s="155">
        <v>2</v>
      </c>
      <c r="E125" s="156">
        <v>595.92999999999995</v>
      </c>
      <c r="F125" s="156">
        <f t="shared" si="35"/>
        <v>1191.8599999999999</v>
      </c>
      <c r="G125" s="156"/>
      <c r="H125" s="156">
        <f t="shared" ref="H125:H133" si="38">G125</f>
        <v>0</v>
      </c>
      <c r="I125" s="156">
        <f t="shared" ref="I125:I147" si="39">G125*E125</f>
        <v>0</v>
      </c>
      <c r="J125" s="156">
        <f t="shared" ref="J125:J147" si="40">I125</f>
        <v>0</v>
      </c>
      <c r="K125" s="80"/>
      <c r="L125" s="81"/>
      <c r="M125" s="7"/>
      <c r="N125" s="79"/>
      <c r="O125" s="79"/>
      <c r="P125" s="79"/>
      <c r="Q125" s="16"/>
      <c r="R125" s="82"/>
      <c r="S125" s="14"/>
      <c r="T125" s="14"/>
      <c r="U125" s="84"/>
      <c r="V125" s="83"/>
      <c r="W125" s="85"/>
      <c r="X125" s="85"/>
      <c r="Y125" s="85"/>
      <c r="Z125" s="85"/>
      <c r="AA125" s="85"/>
      <c r="AB125" s="85"/>
      <c r="AC125" s="85"/>
      <c r="AD125" s="85"/>
      <c r="AE125" s="85"/>
      <c r="AF125" s="86"/>
      <c r="AG125" s="86"/>
      <c r="AH125" s="86"/>
      <c r="AI125" s="86"/>
      <c r="AJ125" s="86"/>
      <c r="AK125" s="86"/>
      <c r="AL125" s="86"/>
      <c r="AM125" s="86"/>
      <c r="AN125" s="86"/>
      <c r="AO125" s="86"/>
      <c r="AP125" s="86"/>
      <c r="AQ125" s="86"/>
      <c r="AR125" s="86"/>
      <c r="AS125" s="86"/>
      <c r="AT125" s="86"/>
      <c r="AU125" s="86"/>
      <c r="AV125" s="86"/>
      <c r="AW125" s="86"/>
      <c r="AX125" s="86"/>
      <c r="AY125" s="86"/>
      <c r="AZ125" s="86"/>
      <c r="BA125" s="86"/>
      <c r="BB125" s="86"/>
      <c r="BC125" s="86"/>
      <c r="BD125" s="86"/>
      <c r="BE125" s="86"/>
      <c r="BF125" s="86"/>
      <c r="BG125" s="86"/>
    </row>
    <row r="126" spans="1:64" s="87" customFormat="1" ht="28.5">
      <c r="A126" s="156" t="s">
        <v>173</v>
      </c>
      <c r="B126" s="157" t="s">
        <v>174</v>
      </c>
      <c r="C126" s="156" t="s">
        <v>7</v>
      </c>
      <c r="D126" s="155">
        <v>5</v>
      </c>
      <c r="E126" s="156">
        <v>347.61</v>
      </c>
      <c r="F126" s="156">
        <f t="shared" si="35"/>
        <v>1738.0500000000002</v>
      </c>
      <c r="G126" s="156"/>
      <c r="H126" s="156">
        <f t="shared" si="38"/>
        <v>0</v>
      </c>
      <c r="I126" s="156">
        <f t="shared" si="39"/>
        <v>0</v>
      </c>
      <c r="J126" s="156">
        <f t="shared" si="40"/>
        <v>0</v>
      </c>
      <c r="K126" s="80"/>
      <c r="L126" s="81"/>
      <c r="M126" s="7"/>
      <c r="N126" s="79"/>
      <c r="O126" s="79"/>
      <c r="P126" s="79"/>
      <c r="Q126" s="16"/>
      <c r="R126" s="82"/>
      <c r="S126" s="14"/>
      <c r="T126" s="14"/>
      <c r="U126" s="84"/>
      <c r="V126" s="83"/>
      <c r="W126" s="85"/>
      <c r="X126" s="85"/>
      <c r="Y126" s="85"/>
      <c r="Z126" s="85"/>
      <c r="AA126" s="85"/>
      <c r="AB126" s="85"/>
      <c r="AC126" s="85"/>
      <c r="AD126" s="85"/>
      <c r="AE126" s="85"/>
      <c r="AF126" s="86"/>
      <c r="AG126" s="86"/>
      <c r="AH126" s="86"/>
      <c r="AI126" s="86"/>
      <c r="AJ126" s="86"/>
      <c r="AK126" s="86"/>
      <c r="AL126" s="86"/>
      <c r="AM126" s="86"/>
      <c r="AN126" s="86"/>
      <c r="AO126" s="86"/>
      <c r="AP126" s="86"/>
      <c r="AQ126" s="86"/>
      <c r="AR126" s="86"/>
      <c r="AS126" s="86"/>
      <c r="AT126" s="86"/>
      <c r="AU126" s="86"/>
      <c r="AV126" s="86"/>
      <c r="AW126" s="86"/>
      <c r="AX126" s="86"/>
      <c r="AY126" s="86"/>
      <c r="AZ126" s="86"/>
      <c r="BA126" s="86"/>
      <c r="BB126" s="86"/>
      <c r="BC126" s="86"/>
      <c r="BD126" s="86"/>
      <c r="BE126" s="86"/>
      <c r="BF126" s="86"/>
      <c r="BG126" s="86"/>
    </row>
    <row r="127" spans="1:64" s="87" customFormat="1" ht="28.5">
      <c r="A127" s="156" t="s">
        <v>175</v>
      </c>
      <c r="B127" s="157" t="s">
        <v>176</v>
      </c>
      <c r="C127" s="156" t="s">
        <v>7</v>
      </c>
      <c r="D127" s="155">
        <v>1</v>
      </c>
      <c r="E127" s="156">
        <v>166.76</v>
      </c>
      <c r="F127" s="156">
        <f t="shared" si="35"/>
        <v>166.76</v>
      </c>
      <c r="G127" s="156"/>
      <c r="H127" s="156">
        <f t="shared" si="38"/>
        <v>0</v>
      </c>
      <c r="I127" s="156">
        <f t="shared" si="39"/>
        <v>0</v>
      </c>
      <c r="J127" s="156">
        <f t="shared" si="40"/>
        <v>0</v>
      </c>
      <c r="K127" s="80"/>
      <c r="L127" s="81"/>
      <c r="M127" s="7"/>
      <c r="N127" s="79"/>
      <c r="O127" s="79"/>
      <c r="P127" s="79"/>
      <c r="Q127" s="16"/>
      <c r="R127" s="82"/>
      <c r="S127" s="14"/>
      <c r="T127" s="14"/>
      <c r="U127" s="84"/>
      <c r="V127" s="83"/>
      <c r="W127" s="85"/>
      <c r="X127" s="85"/>
      <c r="Y127" s="85"/>
      <c r="Z127" s="85"/>
      <c r="AA127" s="85"/>
      <c r="AB127" s="85"/>
      <c r="AC127" s="85"/>
      <c r="AD127" s="85"/>
      <c r="AE127" s="85"/>
      <c r="AF127" s="86"/>
      <c r="AG127" s="86"/>
      <c r="AH127" s="86"/>
      <c r="AI127" s="86"/>
      <c r="AJ127" s="86"/>
      <c r="AK127" s="86"/>
      <c r="AL127" s="86"/>
      <c r="AM127" s="86"/>
      <c r="AN127" s="86"/>
      <c r="AO127" s="86"/>
      <c r="AP127" s="86"/>
      <c r="AQ127" s="86"/>
      <c r="AR127" s="86"/>
      <c r="AS127" s="86"/>
      <c r="AT127" s="86"/>
      <c r="AU127" s="86"/>
      <c r="AV127" s="86"/>
      <c r="AW127" s="86"/>
      <c r="AX127" s="86"/>
      <c r="AY127" s="86"/>
      <c r="AZ127" s="86"/>
      <c r="BA127" s="86"/>
      <c r="BB127" s="86"/>
      <c r="BC127" s="86"/>
      <c r="BD127" s="86"/>
      <c r="BE127" s="86"/>
      <c r="BF127" s="86"/>
      <c r="BG127" s="86"/>
    </row>
    <row r="128" spans="1:64" s="87" customFormat="1" ht="57">
      <c r="A128" s="156" t="s">
        <v>177</v>
      </c>
      <c r="B128" s="157" t="s">
        <v>178</v>
      </c>
      <c r="C128" s="156" t="s">
        <v>7</v>
      </c>
      <c r="D128" s="155">
        <v>7</v>
      </c>
      <c r="E128" s="156">
        <v>130.03</v>
      </c>
      <c r="F128" s="156">
        <f t="shared" si="35"/>
        <v>910.21</v>
      </c>
      <c r="G128" s="156"/>
      <c r="H128" s="156">
        <f t="shared" si="38"/>
        <v>0</v>
      </c>
      <c r="I128" s="156">
        <f t="shared" si="39"/>
        <v>0</v>
      </c>
      <c r="J128" s="156">
        <f t="shared" si="40"/>
        <v>0</v>
      </c>
      <c r="K128" s="80"/>
      <c r="L128" s="81"/>
      <c r="M128" s="7"/>
      <c r="N128" s="79"/>
      <c r="O128" s="79"/>
      <c r="P128" s="79"/>
      <c r="Q128" s="16"/>
      <c r="R128" s="82"/>
      <c r="S128" s="14"/>
      <c r="T128" s="14"/>
      <c r="U128" s="84"/>
      <c r="V128" s="83"/>
      <c r="W128" s="85"/>
      <c r="X128" s="85"/>
      <c r="Y128" s="85"/>
      <c r="Z128" s="85"/>
      <c r="AA128" s="85"/>
      <c r="AB128" s="85"/>
      <c r="AC128" s="85"/>
      <c r="AD128" s="85"/>
      <c r="AE128" s="85"/>
      <c r="AF128" s="86"/>
      <c r="AG128" s="86"/>
      <c r="AH128" s="86"/>
      <c r="AI128" s="86"/>
      <c r="AJ128" s="86"/>
      <c r="AK128" s="86"/>
      <c r="AL128" s="86"/>
      <c r="AM128" s="86"/>
      <c r="AN128" s="86"/>
      <c r="AO128" s="86"/>
      <c r="AP128" s="86"/>
      <c r="AQ128" s="86"/>
      <c r="AR128" s="86"/>
      <c r="AS128" s="86"/>
      <c r="AT128" s="86"/>
      <c r="AU128" s="86"/>
      <c r="AV128" s="86"/>
      <c r="AW128" s="86"/>
      <c r="AX128" s="86"/>
      <c r="AY128" s="86"/>
      <c r="AZ128" s="86"/>
      <c r="BA128" s="86"/>
      <c r="BB128" s="86"/>
      <c r="BC128" s="86"/>
      <c r="BD128" s="86"/>
      <c r="BE128" s="86"/>
      <c r="BF128" s="86"/>
      <c r="BG128" s="86"/>
    </row>
    <row r="129" spans="1:59" s="87" customFormat="1" ht="28.5">
      <c r="A129" s="156" t="s">
        <v>179</v>
      </c>
      <c r="B129" s="157" t="s">
        <v>180</v>
      </c>
      <c r="C129" s="156" t="s">
        <v>7</v>
      </c>
      <c r="D129" s="155">
        <v>5</v>
      </c>
      <c r="E129" s="156">
        <v>64.959999999999994</v>
      </c>
      <c r="F129" s="156">
        <f t="shared" si="35"/>
        <v>324.79999999999995</v>
      </c>
      <c r="G129" s="156"/>
      <c r="H129" s="156">
        <f t="shared" si="38"/>
        <v>0</v>
      </c>
      <c r="I129" s="156">
        <f t="shared" si="39"/>
        <v>0</v>
      </c>
      <c r="J129" s="156">
        <f t="shared" si="40"/>
        <v>0</v>
      </c>
      <c r="K129" s="80"/>
      <c r="L129" s="81"/>
      <c r="M129" s="7"/>
      <c r="N129" s="79"/>
      <c r="O129" s="79"/>
      <c r="P129" s="79"/>
      <c r="Q129" s="16"/>
      <c r="R129" s="82"/>
      <c r="S129" s="14"/>
      <c r="T129" s="14"/>
      <c r="U129" s="84"/>
      <c r="V129" s="83"/>
      <c r="W129" s="85"/>
      <c r="X129" s="85"/>
      <c r="Y129" s="85"/>
      <c r="Z129" s="85"/>
      <c r="AA129" s="85"/>
      <c r="AB129" s="85"/>
      <c r="AC129" s="85"/>
      <c r="AD129" s="85"/>
      <c r="AE129" s="85"/>
      <c r="AF129" s="86"/>
      <c r="AG129" s="86"/>
      <c r="AH129" s="86"/>
      <c r="AI129" s="86"/>
      <c r="AJ129" s="86"/>
      <c r="AK129" s="86"/>
      <c r="AL129" s="86"/>
      <c r="AM129" s="86"/>
      <c r="AN129" s="86"/>
      <c r="AO129" s="86"/>
      <c r="AP129" s="86"/>
      <c r="AQ129" s="86"/>
      <c r="AR129" s="86"/>
      <c r="AS129" s="86"/>
      <c r="AT129" s="86"/>
      <c r="AU129" s="86"/>
      <c r="AV129" s="86"/>
      <c r="AW129" s="86"/>
      <c r="AX129" s="86"/>
      <c r="AY129" s="86"/>
      <c r="AZ129" s="86"/>
      <c r="BA129" s="86"/>
      <c r="BB129" s="86"/>
      <c r="BC129" s="86"/>
      <c r="BD129" s="86"/>
      <c r="BE129" s="86"/>
      <c r="BF129" s="86"/>
      <c r="BG129" s="86"/>
    </row>
    <row r="130" spans="1:59" s="87" customFormat="1" ht="28.5">
      <c r="A130" s="156" t="s">
        <v>181</v>
      </c>
      <c r="B130" s="157" t="s">
        <v>182</v>
      </c>
      <c r="C130" s="156" t="s">
        <v>7</v>
      </c>
      <c r="D130" s="155">
        <v>2</v>
      </c>
      <c r="E130" s="156">
        <v>93.12</v>
      </c>
      <c r="F130" s="156">
        <f t="shared" si="35"/>
        <v>186.24</v>
      </c>
      <c r="G130" s="156"/>
      <c r="H130" s="156">
        <f t="shared" si="38"/>
        <v>0</v>
      </c>
      <c r="I130" s="156">
        <f t="shared" si="39"/>
        <v>0</v>
      </c>
      <c r="J130" s="156">
        <f t="shared" si="40"/>
        <v>0</v>
      </c>
      <c r="K130" s="80"/>
      <c r="L130" s="81"/>
      <c r="M130" s="7"/>
      <c r="N130" s="79"/>
      <c r="O130" s="79"/>
      <c r="P130" s="79"/>
      <c r="Q130" s="16"/>
      <c r="R130" s="82"/>
      <c r="S130" s="14"/>
      <c r="T130" s="14"/>
      <c r="U130" s="84"/>
      <c r="V130" s="83"/>
      <c r="W130" s="85"/>
      <c r="X130" s="85"/>
      <c r="Y130" s="85"/>
      <c r="Z130" s="85"/>
      <c r="AA130" s="85"/>
      <c r="AB130" s="85"/>
      <c r="AC130" s="85"/>
      <c r="AD130" s="85"/>
      <c r="AE130" s="85"/>
      <c r="AF130" s="86"/>
      <c r="AG130" s="86"/>
      <c r="AH130" s="86"/>
      <c r="AI130" s="86"/>
      <c r="AJ130" s="86"/>
      <c r="AK130" s="86"/>
      <c r="AL130" s="86"/>
      <c r="AM130" s="86"/>
      <c r="AN130" s="86"/>
      <c r="AO130" s="86"/>
      <c r="AP130" s="86"/>
      <c r="AQ130" s="86"/>
      <c r="AR130" s="86"/>
      <c r="AS130" s="86"/>
      <c r="AT130" s="86"/>
      <c r="AU130" s="86"/>
      <c r="AV130" s="86"/>
      <c r="AW130" s="86"/>
      <c r="AX130" s="86"/>
      <c r="AY130" s="86"/>
      <c r="AZ130" s="86"/>
      <c r="BA130" s="86"/>
      <c r="BB130" s="86"/>
      <c r="BC130" s="86"/>
      <c r="BD130" s="86"/>
      <c r="BE130" s="86"/>
      <c r="BF130" s="86"/>
      <c r="BG130" s="86"/>
    </row>
    <row r="131" spans="1:59" s="87" customFormat="1" ht="28.5">
      <c r="A131" s="156" t="s">
        <v>183</v>
      </c>
      <c r="B131" s="157" t="s">
        <v>184</v>
      </c>
      <c r="C131" s="156" t="s">
        <v>7</v>
      </c>
      <c r="D131" s="155">
        <v>5</v>
      </c>
      <c r="E131" s="156">
        <v>83.07</v>
      </c>
      <c r="F131" s="156">
        <f t="shared" si="35"/>
        <v>415.34999999999997</v>
      </c>
      <c r="G131" s="156"/>
      <c r="H131" s="156">
        <f t="shared" si="38"/>
        <v>0</v>
      </c>
      <c r="I131" s="156">
        <f t="shared" si="39"/>
        <v>0</v>
      </c>
      <c r="J131" s="156">
        <f t="shared" si="40"/>
        <v>0</v>
      </c>
      <c r="K131" s="80"/>
      <c r="L131" s="81"/>
      <c r="M131" s="7"/>
      <c r="N131" s="79"/>
      <c r="O131" s="79"/>
      <c r="P131" s="79"/>
      <c r="Q131" s="16"/>
      <c r="R131" s="82"/>
      <c r="S131" s="14"/>
      <c r="T131" s="14"/>
      <c r="U131" s="84"/>
      <c r="V131" s="83"/>
      <c r="W131" s="85"/>
      <c r="X131" s="85"/>
      <c r="Y131" s="85"/>
      <c r="Z131" s="85"/>
      <c r="AA131" s="85"/>
      <c r="AB131" s="85"/>
      <c r="AC131" s="85"/>
      <c r="AD131" s="85"/>
      <c r="AE131" s="85"/>
      <c r="AF131" s="86"/>
      <c r="AG131" s="86"/>
      <c r="AH131" s="86"/>
      <c r="AI131" s="86"/>
      <c r="AJ131" s="86"/>
      <c r="AK131" s="86"/>
      <c r="AL131" s="86"/>
      <c r="AM131" s="86"/>
      <c r="AN131" s="86"/>
      <c r="AO131" s="86"/>
      <c r="AP131" s="86"/>
      <c r="AQ131" s="86"/>
      <c r="AR131" s="86"/>
      <c r="AS131" s="86"/>
      <c r="AT131" s="86"/>
      <c r="AU131" s="86"/>
      <c r="AV131" s="86"/>
      <c r="AW131" s="86"/>
      <c r="AX131" s="86"/>
      <c r="AY131" s="86"/>
      <c r="AZ131" s="86"/>
      <c r="BA131" s="86"/>
      <c r="BB131" s="86"/>
      <c r="BC131" s="86"/>
      <c r="BD131" s="86"/>
      <c r="BE131" s="86"/>
      <c r="BF131" s="86"/>
      <c r="BG131" s="86"/>
    </row>
    <row r="132" spans="1:59" s="87" customFormat="1" ht="28.5">
      <c r="A132" s="156" t="s">
        <v>185</v>
      </c>
      <c r="B132" s="157" t="s">
        <v>186</v>
      </c>
      <c r="C132" s="156" t="s">
        <v>7</v>
      </c>
      <c r="D132" s="155">
        <v>2</v>
      </c>
      <c r="E132" s="156">
        <v>37.409999999999997</v>
      </c>
      <c r="F132" s="156">
        <f t="shared" si="35"/>
        <v>74.819999999999993</v>
      </c>
      <c r="G132" s="156"/>
      <c r="H132" s="156">
        <f t="shared" si="38"/>
        <v>0</v>
      </c>
      <c r="I132" s="156">
        <f t="shared" si="39"/>
        <v>0</v>
      </c>
      <c r="J132" s="156">
        <f t="shared" si="40"/>
        <v>0</v>
      </c>
      <c r="K132" s="80"/>
      <c r="L132" s="81"/>
      <c r="M132" s="7"/>
      <c r="N132" s="79"/>
      <c r="O132" s="79"/>
      <c r="P132" s="79"/>
      <c r="Q132" s="16"/>
      <c r="R132" s="82"/>
      <c r="S132" s="14"/>
      <c r="T132" s="14"/>
      <c r="U132" s="84"/>
      <c r="V132" s="83"/>
      <c r="W132" s="85"/>
      <c r="X132" s="85"/>
      <c r="Y132" s="85"/>
      <c r="Z132" s="85"/>
      <c r="AA132" s="85"/>
      <c r="AB132" s="85"/>
      <c r="AC132" s="85"/>
      <c r="AD132" s="85"/>
      <c r="AE132" s="85"/>
      <c r="AF132" s="86"/>
      <c r="AG132" s="86"/>
      <c r="AH132" s="86"/>
      <c r="AI132" s="86"/>
      <c r="AJ132" s="86"/>
      <c r="AK132" s="86"/>
      <c r="AL132" s="86"/>
      <c r="AM132" s="86"/>
      <c r="AN132" s="86"/>
      <c r="AO132" s="86"/>
      <c r="AP132" s="86"/>
      <c r="AQ132" s="86"/>
      <c r="AR132" s="86"/>
      <c r="AS132" s="86"/>
      <c r="AT132" s="86"/>
      <c r="AU132" s="86"/>
      <c r="AV132" s="86"/>
      <c r="AW132" s="86"/>
      <c r="AX132" s="86"/>
      <c r="AY132" s="86"/>
      <c r="AZ132" s="86"/>
      <c r="BA132" s="86"/>
      <c r="BB132" s="86"/>
      <c r="BC132" s="86"/>
      <c r="BD132" s="86"/>
      <c r="BE132" s="86"/>
      <c r="BF132" s="86"/>
      <c r="BG132" s="86"/>
    </row>
    <row r="133" spans="1:59" s="87" customFormat="1">
      <c r="A133" s="156" t="s">
        <v>187</v>
      </c>
      <c r="B133" s="158" t="s">
        <v>188</v>
      </c>
      <c r="C133" s="156" t="s">
        <v>7</v>
      </c>
      <c r="D133" s="155">
        <v>3</v>
      </c>
      <c r="E133" s="156">
        <v>25.29</v>
      </c>
      <c r="F133" s="156">
        <f t="shared" si="35"/>
        <v>75.87</v>
      </c>
      <c r="G133" s="156"/>
      <c r="H133" s="156">
        <f t="shared" si="38"/>
        <v>0</v>
      </c>
      <c r="I133" s="156">
        <f t="shared" si="39"/>
        <v>0</v>
      </c>
      <c r="J133" s="156">
        <f t="shared" si="40"/>
        <v>0</v>
      </c>
      <c r="K133" s="80"/>
      <c r="L133" s="81"/>
      <c r="M133" s="7"/>
      <c r="N133" s="79"/>
      <c r="O133" s="79"/>
      <c r="P133" s="79"/>
      <c r="Q133" s="16"/>
      <c r="R133" s="82"/>
      <c r="S133" s="14"/>
      <c r="T133" s="14"/>
      <c r="U133" s="84"/>
      <c r="V133" s="83"/>
      <c r="W133" s="85"/>
      <c r="X133" s="85"/>
      <c r="Y133" s="85"/>
      <c r="Z133" s="85"/>
      <c r="AA133" s="85"/>
      <c r="AB133" s="85"/>
      <c r="AC133" s="85"/>
      <c r="AD133" s="85"/>
      <c r="AE133" s="85"/>
      <c r="AF133" s="86"/>
      <c r="AG133" s="86"/>
      <c r="AH133" s="86"/>
      <c r="AI133" s="86"/>
      <c r="AJ133" s="86"/>
      <c r="AK133" s="86"/>
      <c r="AL133" s="86"/>
      <c r="AM133" s="86"/>
      <c r="AN133" s="86"/>
      <c r="AO133" s="86"/>
      <c r="AP133" s="86"/>
      <c r="AQ133" s="86"/>
      <c r="AR133" s="86"/>
      <c r="AS133" s="86"/>
      <c r="AT133" s="86"/>
      <c r="AU133" s="86"/>
      <c r="AV133" s="86"/>
      <c r="AW133" s="86"/>
      <c r="AX133" s="86"/>
      <c r="AY133" s="86"/>
      <c r="AZ133" s="86"/>
      <c r="BA133" s="86"/>
      <c r="BB133" s="86"/>
      <c r="BC133" s="86"/>
      <c r="BD133" s="86"/>
      <c r="BE133" s="86"/>
      <c r="BF133" s="86"/>
      <c r="BG133" s="86"/>
    </row>
    <row r="134" spans="1:59" s="87" customFormat="1">
      <c r="A134" s="156" t="s">
        <v>189</v>
      </c>
      <c r="B134" s="158" t="s">
        <v>190</v>
      </c>
      <c r="C134" s="156" t="s">
        <v>7</v>
      </c>
      <c r="D134" s="155">
        <v>1</v>
      </c>
      <c r="E134" s="156">
        <v>16.079999999999998</v>
      </c>
      <c r="F134" s="156">
        <f t="shared" si="35"/>
        <v>16.079999999999998</v>
      </c>
      <c r="G134" s="156"/>
      <c r="H134" s="156"/>
      <c r="I134" s="156">
        <f t="shared" si="39"/>
        <v>0</v>
      </c>
      <c r="J134" s="156">
        <f t="shared" si="40"/>
        <v>0</v>
      </c>
      <c r="K134" s="80"/>
      <c r="L134" s="81"/>
      <c r="M134" s="7"/>
      <c r="N134" s="79"/>
      <c r="O134" s="79"/>
      <c r="P134" s="79"/>
      <c r="Q134" s="16"/>
      <c r="R134" s="82"/>
      <c r="S134" s="14"/>
      <c r="T134" s="14"/>
      <c r="U134" s="84"/>
      <c r="V134" s="83"/>
      <c r="W134" s="85"/>
      <c r="X134" s="85"/>
      <c r="Y134" s="85"/>
      <c r="Z134" s="85"/>
      <c r="AA134" s="85"/>
      <c r="AB134" s="85"/>
      <c r="AC134" s="85"/>
      <c r="AD134" s="85"/>
      <c r="AE134" s="85"/>
      <c r="AF134" s="86"/>
      <c r="AG134" s="86"/>
      <c r="AH134" s="86"/>
      <c r="AI134" s="86"/>
      <c r="AJ134" s="86"/>
      <c r="AK134" s="86"/>
      <c r="AL134" s="86"/>
      <c r="AM134" s="86"/>
      <c r="AN134" s="86"/>
      <c r="AO134" s="86"/>
      <c r="AP134" s="86"/>
      <c r="AQ134" s="86"/>
      <c r="AR134" s="86"/>
      <c r="AS134" s="86"/>
      <c r="AT134" s="86"/>
      <c r="AU134" s="86"/>
      <c r="AV134" s="86"/>
      <c r="AW134" s="86"/>
      <c r="AX134" s="86"/>
      <c r="AY134" s="86"/>
      <c r="AZ134" s="86"/>
      <c r="BA134" s="86"/>
      <c r="BB134" s="86"/>
      <c r="BC134" s="86"/>
      <c r="BD134" s="86"/>
      <c r="BE134" s="86"/>
      <c r="BF134" s="86"/>
      <c r="BG134" s="86"/>
    </row>
    <row r="135" spans="1:59" s="87" customFormat="1" ht="28.5">
      <c r="A135" s="156" t="s">
        <v>191</v>
      </c>
      <c r="B135" s="157" t="s">
        <v>192</v>
      </c>
      <c r="C135" s="156" t="s">
        <v>7</v>
      </c>
      <c r="D135" s="155">
        <v>5</v>
      </c>
      <c r="E135" s="156">
        <v>62.9</v>
      </c>
      <c r="F135" s="156">
        <f t="shared" si="35"/>
        <v>314.5</v>
      </c>
      <c r="G135" s="156"/>
      <c r="H135" s="156"/>
      <c r="I135" s="156">
        <f t="shared" si="39"/>
        <v>0</v>
      </c>
      <c r="J135" s="156">
        <f t="shared" si="40"/>
        <v>0</v>
      </c>
      <c r="K135" s="80"/>
      <c r="L135" s="81"/>
      <c r="M135" s="7"/>
      <c r="N135" s="79"/>
      <c r="O135" s="79"/>
      <c r="P135" s="79"/>
      <c r="Q135" s="16"/>
      <c r="R135" s="82"/>
      <c r="S135" s="14"/>
      <c r="T135" s="14"/>
      <c r="U135" s="84"/>
      <c r="V135" s="83"/>
      <c r="W135" s="85"/>
      <c r="X135" s="85"/>
      <c r="Y135" s="85"/>
      <c r="Z135" s="85"/>
      <c r="AA135" s="85"/>
      <c r="AB135" s="85"/>
      <c r="AC135" s="85"/>
      <c r="AD135" s="85"/>
      <c r="AE135" s="85"/>
      <c r="AF135" s="86"/>
      <c r="AG135" s="86"/>
      <c r="AH135" s="86"/>
      <c r="AI135" s="86"/>
      <c r="AJ135" s="86"/>
      <c r="AK135" s="86"/>
      <c r="AL135" s="86"/>
      <c r="AM135" s="86"/>
      <c r="AN135" s="86"/>
      <c r="AO135" s="86"/>
      <c r="AP135" s="86"/>
      <c r="AQ135" s="86"/>
      <c r="AR135" s="86"/>
      <c r="AS135" s="86"/>
      <c r="AT135" s="86"/>
      <c r="AU135" s="86"/>
      <c r="AV135" s="86"/>
      <c r="AW135" s="86"/>
      <c r="AX135" s="86"/>
      <c r="AY135" s="86"/>
      <c r="AZ135" s="86"/>
      <c r="BA135" s="86"/>
      <c r="BB135" s="86"/>
      <c r="BC135" s="86"/>
      <c r="BD135" s="86"/>
      <c r="BE135" s="86"/>
      <c r="BF135" s="86"/>
      <c r="BG135" s="86"/>
    </row>
    <row r="136" spans="1:59" s="87" customFormat="1">
      <c r="A136" s="156" t="s">
        <v>193</v>
      </c>
      <c r="B136" s="158" t="s">
        <v>194</v>
      </c>
      <c r="C136" s="156" t="s">
        <v>7</v>
      </c>
      <c r="D136" s="155">
        <v>5</v>
      </c>
      <c r="E136" s="156">
        <v>40.880000000000003</v>
      </c>
      <c r="F136" s="156">
        <f t="shared" si="35"/>
        <v>204.4</v>
      </c>
      <c r="G136" s="156"/>
      <c r="H136" s="156"/>
      <c r="I136" s="156">
        <f t="shared" si="39"/>
        <v>0</v>
      </c>
      <c r="J136" s="156">
        <f t="shared" si="40"/>
        <v>0</v>
      </c>
      <c r="K136" s="80"/>
      <c r="L136" s="81"/>
      <c r="M136" s="7"/>
      <c r="N136" s="79"/>
      <c r="O136" s="79"/>
      <c r="P136" s="79"/>
      <c r="Q136" s="16"/>
      <c r="R136" s="82"/>
      <c r="S136" s="14"/>
      <c r="T136" s="14"/>
      <c r="U136" s="84"/>
      <c r="V136" s="83"/>
      <c r="W136" s="85"/>
      <c r="X136" s="85"/>
      <c r="Y136" s="85"/>
      <c r="Z136" s="85"/>
      <c r="AA136" s="85"/>
      <c r="AB136" s="85"/>
      <c r="AC136" s="85"/>
      <c r="AD136" s="85"/>
      <c r="AE136" s="85"/>
      <c r="AF136" s="86"/>
      <c r="AG136" s="86"/>
      <c r="AH136" s="86"/>
      <c r="AI136" s="86"/>
      <c r="AJ136" s="86"/>
      <c r="AK136" s="86"/>
      <c r="AL136" s="86"/>
      <c r="AM136" s="86"/>
      <c r="AN136" s="86"/>
      <c r="AO136" s="86"/>
      <c r="AP136" s="86"/>
      <c r="AQ136" s="86"/>
      <c r="AR136" s="86"/>
      <c r="AS136" s="86"/>
      <c r="AT136" s="86"/>
      <c r="AU136" s="86"/>
      <c r="AV136" s="86"/>
      <c r="AW136" s="86"/>
      <c r="AX136" s="86"/>
      <c r="AY136" s="86"/>
      <c r="AZ136" s="86"/>
      <c r="BA136" s="86"/>
      <c r="BB136" s="86"/>
      <c r="BC136" s="86"/>
      <c r="BD136" s="86"/>
      <c r="BE136" s="86"/>
      <c r="BF136" s="86"/>
      <c r="BG136" s="86"/>
    </row>
    <row r="137" spans="1:59" s="87" customFormat="1">
      <c r="A137" s="156" t="s">
        <v>195</v>
      </c>
      <c r="B137" s="158" t="s">
        <v>196</v>
      </c>
      <c r="C137" s="156" t="s">
        <v>7</v>
      </c>
      <c r="D137" s="155">
        <v>5</v>
      </c>
      <c r="E137" s="156">
        <v>52.81</v>
      </c>
      <c r="F137" s="156">
        <f t="shared" si="35"/>
        <v>264.05</v>
      </c>
      <c r="G137" s="156"/>
      <c r="H137" s="156"/>
      <c r="I137" s="156">
        <f t="shared" si="39"/>
        <v>0</v>
      </c>
      <c r="J137" s="156">
        <f t="shared" si="40"/>
        <v>0</v>
      </c>
      <c r="K137" s="80"/>
      <c r="L137" s="81"/>
      <c r="M137" s="7"/>
      <c r="N137" s="79"/>
      <c r="O137" s="79"/>
      <c r="P137" s="79"/>
      <c r="Q137" s="16"/>
      <c r="R137" s="82"/>
      <c r="S137" s="14"/>
      <c r="T137" s="14"/>
      <c r="U137" s="84"/>
      <c r="V137" s="83"/>
      <c r="W137" s="85"/>
      <c r="X137" s="85"/>
      <c r="Y137" s="85"/>
      <c r="Z137" s="85"/>
      <c r="AA137" s="85"/>
      <c r="AB137" s="85"/>
      <c r="AC137" s="85"/>
      <c r="AD137" s="85"/>
      <c r="AE137" s="85"/>
      <c r="AF137" s="86"/>
      <c r="AG137" s="86"/>
      <c r="AH137" s="86"/>
      <c r="AI137" s="86"/>
      <c r="AJ137" s="86"/>
      <c r="AK137" s="86"/>
      <c r="AL137" s="86"/>
      <c r="AM137" s="86"/>
      <c r="AN137" s="86"/>
      <c r="AO137" s="86"/>
      <c r="AP137" s="86"/>
      <c r="AQ137" s="86"/>
      <c r="AR137" s="86"/>
      <c r="AS137" s="86"/>
      <c r="AT137" s="86"/>
      <c r="AU137" s="86"/>
      <c r="AV137" s="86"/>
      <c r="AW137" s="86"/>
      <c r="AX137" s="86"/>
      <c r="AY137" s="86"/>
      <c r="AZ137" s="86"/>
      <c r="BA137" s="86"/>
      <c r="BB137" s="86"/>
      <c r="BC137" s="86"/>
      <c r="BD137" s="86"/>
      <c r="BE137" s="86"/>
      <c r="BF137" s="86"/>
      <c r="BG137" s="86"/>
    </row>
    <row r="138" spans="1:59" s="87" customFormat="1" ht="42.75">
      <c r="A138" s="156" t="s">
        <v>197</v>
      </c>
      <c r="B138" s="157" t="s">
        <v>198</v>
      </c>
      <c r="C138" s="156" t="s">
        <v>7</v>
      </c>
      <c r="D138" s="155">
        <v>7</v>
      </c>
      <c r="E138" s="156">
        <v>7</v>
      </c>
      <c r="F138" s="156">
        <f t="shared" si="35"/>
        <v>49</v>
      </c>
      <c r="G138" s="156"/>
      <c r="H138" s="156"/>
      <c r="I138" s="156">
        <f t="shared" si="39"/>
        <v>0</v>
      </c>
      <c r="J138" s="156">
        <f t="shared" si="40"/>
        <v>0</v>
      </c>
      <c r="K138" s="80"/>
      <c r="L138" s="81"/>
      <c r="M138" s="7"/>
      <c r="N138" s="79"/>
      <c r="O138" s="79"/>
      <c r="P138" s="79"/>
      <c r="Q138" s="16"/>
      <c r="R138" s="82"/>
      <c r="S138" s="14"/>
      <c r="T138" s="14"/>
      <c r="U138" s="84"/>
      <c r="V138" s="83"/>
      <c r="W138" s="85"/>
      <c r="X138" s="85"/>
      <c r="Y138" s="85"/>
      <c r="Z138" s="85"/>
      <c r="AA138" s="85"/>
      <c r="AB138" s="85"/>
      <c r="AC138" s="85"/>
      <c r="AD138" s="85"/>
      <c r="AE138" s="85"/>
      <c r="AF138" s="86"/>
      <c r="AG138" s="86"/>
      <c r="AH138" s="86"/>
      <c r="AI138" s="86"/>
      <c r="AJ138" s="86"/>
      <c r="AK138" s="86"/>
      <c r="AL138" s="86"/>
      <c r="AM138" s="86"/>
      <c r="AN138" s="86"/>
      <c r="AO138" s="86"/>
      <c r="AP138" s="86"/>
      <c r="AQ138" s="86"/>
      <c r="AR138" s="86"/>
      <c r="AS138" s="86"/>
      <c r="AT138" s="86"/>
      <c r="AU138" s="86"/>
      <c r="AV138" s="86"/>
      <c r="AW138" s="86"/>
      <c r="AX138" s="86"/>
      <c r="AY138" s="86"/>
      <c r="AZ138" s="86"/>
      <c r="BA138" s="86"/>
      <c r="BB138" s="86"/>
      <c r="BC138" s="86"/>
      <c r="BD138" s="86"/>
      <c r="BE138" s="86"/>
      <c r="BF138" s="86"/>
      <c r="BG138" s="86"/>
    </row>
    <row r="139" spans="1:59" s="87" customFormat="1" ht="28.5">
      <c r="A139" s="156" t="s">
        <v>199</v>
      </c>
      <c r="B139" s="157" t="s">
        <v>200</v>
      </c>
      <c r="C139" s="156" t="s">
        <v>7</v>
      </c>
      <c r="D139" s="155">
        <v>2</v>
      </c>
      <c r="E139" s="156">
        <v>144.46</v>
      </c>
      <c r="F139" s="156">
        <f t="shared" si="35"/>
        <v>288.92</v>
      </c>
      <c r="G139" s="156"/>
      <c r="H139" s="156"/>
      <c r="I139" s="156">
        <f t="shared" si="39"/>
        <v>0</v>
      </c>
      <c r="J139" s="156">
        <f t="shared" si="40"/>
        <v>0</v>
      </c>
      <c r="K139" s="80"/>
      <c r="L139" s="81"/>
      <c r="M139" s="7"/>
      <c r="N139" s="79"/>
      <c r="O139" s="79"/>
      <c r="P139" s="79"/>
      <c r="Q139" s="16"/>
      <c r="R139" s="82"/>
      <c r="S139" s="14"/>
      <c r="T139" s="14"/>
      <c r="U139" s="84"/>
      <c r="V139" s="83"/>
      <c r="W139" s="85"/>
      <c r="X139" s="85"/>
      <c r="Y139" s="85"/>
      <c r="Z139" s="85"/>
      <c r="AA139" s="85"/>
      <c r="AB139" s="85"/>
      <c r="AC139" s="85"/>
      <c r="AD139" s="85"/>
      <c r="AE139" s="85"/>
      <c r="AF139" s="86"/>
      <c r="AG139" s="86"/>
      <c r="AH139" s="86"/>
      <c r="AI139" s="86"/>
      <c r="AJ139" s="86"/>
      <c r="AK139" s="86"/>
      <c r="AL139" s="86"/>
      <c r="AM139" s="86"/>
      <c r="AN139" s="86"/>
      <c r="AO139" s="86"/>
      <c r="AP139" s="86"/>
      <c r="AQ139" s="86"/>
      <c r="AR139" s="86"/>
      <c r="AS139" s="86"/>
      <c r="AT139" s="86"/>
      <c r="AU139" s="86"/>
      <c r="AV139" s="86"/>
      <c r="AW139" s="86"/>
      <c r="AX139" s="86"/>
      <c r="AY139" s="86"/>
      <c r="AZ139" s="86"/>
      <c r="BA139" s="86"/>
      <c r="BB139" s="86"/>
      <c r="BC139" s="86"/>
      <c r="BD139" s="86"/>
      <c r="BE139" s="86"/>
      <c r="BF139" s="86"/>
      <c r="BG139" s="86"/>
    </row>
    <row r="140" spans="1:59" s="87" customFormat="1" ht="28.5">
      <c r="A140" s="156" t="s">
        <v>201</v>
      </c>
      <c r="B140" s="157" t="s">
        <v>202</v>
      </c>
      <c r="C140" s="156" t="s">
        <v>7</v>
      </c>
      <c r="D140" s="155">
        <v>1</v>
      </c>
      <c r="E140" s="156">
        <v>159.54</v>
      </c>
      <c r="F140" s="156">
        <f t="shared" si="35"/>
        <v>159.54</v>
      </c>
      <c r="G140" s="156"/>
      <c r="H140" s="156"/>
      <c r="I140" s="156">
        <f t="shared" si="39"/>
        <v>0</v>
      </c>
      <c r="J140" s="156">
        <f t="shared" si="40"/>
        <v>0</v>
      </c>
      <c r="K140" s="80"/>
      <c r="L140" s="81"/>
      <c r="M140" s="7"/>
      <c r="N140" s="79"/>
      <c r="O140" s="79"/>
      <c r="P140" s="79"/>
      <c r="Q140" s="16"/>
      <c r="R140" s="82"/>
      <c r="S140" s="14"/>
      <c r="T140" s="14"/>
      <c r="U140" s="84"/>
      <c r="V140" s="83"/>
      <c r="W140" s="85"/>
      <c r="X140" s="85"/>
      <c r="Y140" s="85"/>
      <c r="Z140" s="85"/>
      <c r="AA140" s="85"/>
      <c r="AB140" s="85"/>
      <c r="AC140" s="85"/>
      <c r="AD140" s="85"/>
      <c r="AE140" s="85"/>
      <c r="AF140" s="86"/>
      <c r="AG140" s="86"/>
      <c r="AH140" s="86"/>
      <c r="AI140" s="86"/>
      <c r="AJ140" s="86"/>
      <c r="AK140" s="86"/>
      <c r="AL140" s="86"/>
      <c r="AM140" s="86"/>
      <c r="AN140" s="86"/>
      <c r="AO140" s="86"/>
      <c r="AP140" s="86"/>
      <c r="AQ140" s="86"/>
      <c r="AR140" s="86"/>
      <c r="AS140" s="86"/>
      <c r="AT140" s="86"/>
      <c r="AU140" s="86"/>
      <c r="AV140" s="86"/>
      <c r="AW140" s="86"/>
      <c r="AX140" s="86"/>
      <c r="AY140" s="86"/>
      <c r="AZ140" s="86"/>
      <c r="BA140" s="86"/>
      <c r="BB140" s="86"/>
      <c r="BC140" s="86"/>
      <c r="BD140" s="86"/>
      <c r="BE140" s="86"/>
      <c r="BF140" s="86"/>
      <c r="BG140" s="86"/>
    </row>
    <row r="141" spans="1:59" s="87" customFormat="1">
      <c r="A141" s="156" t="s">
        <v>203</v>
      </c>
      <c r="B141" s="158" t="s">
        <v>204</v>
      </c>
      <c r="C141" s="156" t="s">
        <v>16</v>
      </c>
      <c r="D141" s="155">
        <v>3.2</v>
      </c>
      <c r="E141" s="156">
        <v>350.43</v>
      </c>
      <c r="F141" s="156">
        <f t="shared" si="35"/>
        <v>1121.376</v>
      </c>
      <c r="G141" s="156"/>
      <c r="H141" s="156"/>
      <c r="I141" s="156">
        <f t="shared" si="39"/>
        <v>0</v>
      </c>
      <c r="J141" s="156">
        <f t="shared" si="40"/>
        <v>0</v>
      </c>
      <c r="K141" s="80"/>
      <c r="L141" s="81"/>
      <c r="M141" s="7"/>
      <c r="N141" s="79"/>
      <c r="O141" s="79"/>
      <c r="P141" s="79"/>
      <c r="Q141" s="16"/>
      <c r="R141" s="82"/>
      <c r="S141" s="14"/>
      <c r="T141" s="14"/>
      <c r="U141" s="84"/>
      <c r="V141" s="83"/>
      <c r="W141" s="85"/>
      <c r="X141" s="85"/>
      <c r="Y141" s="85"/>
      <c r="Z141" s="85"/>
      <c r="AA141" s="85"/>
      <c r="AB141" s="85"/>
      <c r="AC141" s="85"/>
      <c r="AD141" s="85"/>
      <c r="AE141" s="85"/>
      <c r="AF141" s="86"/>
      <c r="AG141" s="86"/>
      <c r="AH141" s="86"/>
      <c r="AI141" s="86"/>
      <c r="AJ141" s="86"/>
      <c r="AK141" s="86"/>
      <c r="AL141" s="86"/>
      <c r="AM141" s="86"/>
      <c r="AN141" s="86"/>
      <c r="AO141" s="86"/>
      <c r="AP141" s="86"/>
      <c r="AQ141" s="86"/>
      <c r="AR141" s="86"/>
      <c r="AS141" s="86"/>
      <c r="AT141" s="86"/>
      <c r="AU141" s="86"/>
      <c r="AV141" s="86"/>
      <c r="AW141" s="86"/>
      <c r="AX141" s="86"/>
      <c r="AY141" s="86"/>
      <c r="AZ141" s="86"/>
      <c r="BA141" s="86"/>
      <c r="BB141" s="86"/>
      <c r="BC141" s="86"/>
      <c r="BD141" s="86"/>
      <c r="BE141" s="86"/>
      <c r="BF141" s="86"/>
      <c r="BG141" s="86"/>
    </row>
    <row r="142" spans="1:59" s="87" customFormat="1" ht="28.5">
      <c r="A142" s="156" t="s">
        <v>205</v>
      </c>
      <c r="B142" s="157" t="s">
        <v>206</v>
      </c>
      <c r="C142" s="156" t="s">
        <v>7</v>
      </c>
      <c r="D142" s="155">
        <v>2</v>
      </c>
      <c r="E142" s="156">
        <v>707.44</v>
      </c>
      <c r="F142" s="156">
        <f t="shared" si="35"/>
        <v>1414.88</v>
      </c>
      <c r="G142" s="156"/>
      <c r="H142" s="156"/>
      <c r="I142" s="156">
        <f t="shared" si="39"/>
        <v>0</v>
      </c>
      <c r="J142" s="156">
        <f t="shared" si="40"/>
        <v>0</v>
      </c>
      <c r="K142" s="80"/>
      <c r="L142" s="81"/>
      <c r="M142" s="7"/>
      <c r="N142" s="79"/>
      <c r="O142" s="79"/>
      <c r="P142" s="79"/>
      <c r="Q142" s="16"/>
      <c r="R142" s="82"/>
      <c r="S142" s="14"/>
      <c r="T142" s="14"/>
      <c r="U142" s="84"/>
      <c r="V142" s="83"/>
      <c r="W142" s="85"/>
      <c r="X142" s="85"/>
      <c r="Y142" s="85"/>
      <c r="Z142" s="85"/>
      <c r="AA142" s="85"/>
      <c r="AB142" s="85"/>
      <c r="AC142" s="85"/>
      <c r="AD142" s="85"/>
      <c r="AE142" s="85"/>
      <c r="AF142" s="86"/>
      <c r="AG142" s="86"/>
      <c r="AH142" s="86"/>
      <c r="AI142" s="86"/>
      <c r="AJ142" s="86"/>
      <c r="AK142" s="86"/>
      <c r="AL142" s="86"/>
      <c r="AM142" s="86"/>
      <c r="AN142" s="86"/>
      <c r="AO142" s="86"/>
      <c r="AP142" s="86"/>
      <c r="AQ142" s="86"/>
      <c r="AR142" s="86"/>
      <c r="AS142" s="86"/>
      <c r="AT142" s="86"/>
      <c r="AU142" s="86"/>
      <c r="AV142" s="86"/>
      <c r="AW142" s="86"/>
      <c r="AX142" s="86"/>
      <c r="AY142" s="86"/>
      <c r="AZ142" s="86"/>
      <c r="BA142" s="86"/>
      <c r="BB142" s="86"/>
      <c r="BC142" s="86"/>
      <c r="BD142" s="86"/>
      <c r="BE142" s="86"/>
      <c r="BF142" s="86"/>
      <c r="BG142" s="86"/>
    </row>
    <row r="143" spans="1:59" s="87" customFormat="1">
      <c r="A143" s="156" t="s">
        <v>207</v>
      </c>
      <c r="B143" s="158" t="s">
        <v>23</v>
      </c>
      <c r="C143" s="156" t="s">
        <v>16</v>
      </c>
      <c r="D143" s="155">
        <v>8.31</v>
      </c>
      <c r="E143" s="156">
        <v>250.9</v>
      </c>
      <c r="F143" s="156">
        <f t="shared" si="35"/>
        <v>2084.9790000000003</v>
      </c>
      <c r="G143" s="156"/>
      <c r="H143" s="156"/>
      <c r="I143" s="156">
        <f t="shared" si="39"/>
        <v>0</v>
      </c>
      <c r="J143" s="156">
        <f t="shared" si="40"/>
        <v>0</v>
      </c>
      <c r="K143" s="80"/>
      <c r="L143" s="81"/>
      <c r="M143" s="7"/>
      <c r="N143" s="79"/>
      <c r="O143" s="79"/>
      <c r="P143" s="79"/>
      <c r="Q143" s="16"/>
      <c r="R143" s="82"/>
      <c r="S143" s="14"/>
      <c r="T143" s="14"/>
      <c r="U143" s="84"/>
      <c r="V143" s="83"/>
      <c r="W143" s="85"/>
      <c r="X143" s="85"/>
      <c r="Y143" s="85"/>
      <c r="Z143" s="85"/>
      <c r="AA143" s="85"/>
      <c r="AB143" s="85"/>
      <c r="AC143" s="85"/>
      <c r="AD143" s="85"/>
      <c r="AE143" s="85"/>
      <c r="AF143" s="86"/>
      <c r="AG143" s="86"/>
      <c r="AH143" s="86"/>
      <c r="AI143" s="86"/>
      <c r="AJ143" s="86"/>
      <c r="AK143" s="86"/>
      <c r="AL143" s="86"/>
      <c r="AM143" s="86"/>
      <c r="AN143" s="86"/>
      <c r="AO143" s="86"/>
      <c r="AP143" s="86"/>
      <c r="AQ143" s="86"/>
      <c r="AR143" s="86"/>
      <c r="AS143" s="86"/>
      <c r="AT143" s="86"/>
      <c r="AU143" s="86"/>
      <c r="AV143" s="86"/>
      <c r="AW143" s="86"/>
      <c r="AX143" s="86"/>
      <c r="AY143" s="86"/>
      <c r="AZ143" s="86"/>
      <c r="BA143" s="86"/>
      <c r="BB143" s="86"/>
      <c r="BC143" s="86"/>
      <c r="BD143" s="86"/>
      <c r="BE143" s="86"/>
      <c r="BF143" s="86"/>
      <c r="BG143" s="86"/>
    </row>
    <row r="144" spans="1:59" s="87" customFormat="1" ht="45.75" customHeight="1">
      <c r="A144" s="156" t="s">
        <v>208</v>
      </c>
      <c r="B144" s="157" t="s">
        <v>209</v>
      </c>
      <c r="C144" s="156" t="s">
        <v>7</v>
      </c>
      <c r="D144" s="155">
        <v>14</v>
      </c>
      <c r="E144" s="156">
        <v>85.09</v>
      </c>
      <c r="F144" s="156">
        <f t="shared" si="35"/>
        <v>1191.26</v>
      </c>
      <c r="G144" s="156"/>
      <c r="H144" s="156"/>
      <c r="I144" s="156">
        <f t="shared" si="39"/>
        <v>0</v>
      </c>
      <c r="J144" s="156">
        <f t="shared" si="40"/>
        <v>0</v>
      </c>
      <c r="K144" s="80"/>
      <c r="L144" s="81"/>
      <c r="M144" s="7"/>
      <c r="N144" s="79"/>
      <c r="O144" s="79"/>
      <c r="P144" s="79"/>
      <c r="Q144" s="16"/>
      <c r="R144" s="82"/>
      <c r="S144" s="14"/>
      <c r="T144" s="14"/>
      <c r="U144" s="84"/>
      <c r="V144" s="83"/>
      <c r="W144" s="85"/>
      <c r="X144" s="85"/>
      <c r="Y144" s="85"/>
      <c r="Z144" s="85"/>
      <c r="AA144" s="85"/>
      <c r="AB144" s="85"/>
      <c r="AC144" s="85"/>
      <c r="AD144" s="85"/>
      <c r="AE144" s="85"/>
      <c r="AF144" s="86"/>
      <c r="AG144" s="86"/>
      <c r="AH144" s="86"/>
      <c r="AI144" s="86"/>
      <c r="AJ144" s="86"/>
      <c r="AK144" s="86"/>
      <c r="AL144" s="86"/>
      <c r="AM144" s="86"/>
      <c r="AN144" s="86"/>
      <c r="AO144" s="86"/>
      <c r="AP144" s="86"/>
      <c r="AQ144" s="86"/>
      <c r="AR144" s="86"/>
      <c r="AS144" s="86"/>
      <c r="AT144" s="86"/>
      <c r="AU144" s="86"/>
      <c r="AV144" s="86"/>
      <c r="AW144" s="86"/>
      <c r="AX144" s="86"/>
      <c r="AY144" s="86"/>
      <c r="AZ144" s="86"/>
      <c r="BA144" s="86"/>
      <c r="BB144" s="86"/>
      <c r="BC144" s="86"/>
      <c r="BD144" s="86"/>
      <c r="BE144" s="86"/>
      <c r="BF144" s="86"/>
      <c r="BG144" s="86"/>
    </row>
    <row r="145" spans="1:64" s="87" customFormat="1" ht="42.75">
      <c r="A145" s="156" t="s">
        <v>210</v>
      </c>
      <c r="B145" s="157" t="s">
        <v>211</v>
      </c>
      <c r="C145" s="156" t="s">
        <v>7</v>
      </c>
      <c r="D145" s="155">
        <v>3</v>
      </c>
      <c r="E145" s="156">
        <v>205.43</v>
      </c>
      <c r="F145" s="156">
        <f t="shared" si="35"/>
        <v>616.29</v>
      </c>
      <c r="G145" s="156"/>
      <c r="H145" s="156"/>
      <c r="I145" s="156">
        <f t="shared" si="39"/>
        <v>0</v>
      </c>
      <c r="J145" s="156">
        <f t="shared" si="40"/>
        <v>0</v>
      </c>
      <c r="K145" s="80"/>
      <c r="L145" s="81"/>
      <c r="M145" s="7"/>
      <c r="N145" s="79"/>
      <c r="O145" s="79"/>
      <c r="P145" s="79"/>
      <c r="Q145" s="16"/>
      <c r="R145" s="82"/>
      <c r="S145" s="14"/>
      <c r="T145" s="14"/>
      <c r="U145" s="84"/>
      <c r="V145" s="83"/>
      <c r="W145" s="85"/>
      <c r="X145" s="85"/>
      <c r="Y145" s="85"/>
      <c r="Z145" s="85"/>
      <c r="AA145" s="85"/>
      <c r="AB145" s="85"/>
      <c r="AC145" s="85"/>
      <c r="AD145" s="85"/>
      <c r="AE145" s="85"/>
      <c r="AF145" s="86"/>
      <c r="AG145" s="86"/>
      <c r="AH145" s="86"/>
      <c r="AI145" s="86"/>
      <c r="AJ145" s="86"/>
      <c r="AK145" s="86"/>
      <c r="AL145" s="86"/>
      <c r="AM145" s="86"/>
      <c r="AN145" s="86"/>
      <c r="AO145" s="86"/>
      <c r="AP145" s="86"/>
      <c r="AQ145" s="86"/>
      <c r="AR145" s="86"/>
      <c r="AS145" s="86"/>
      <c r="AT145" s="86"/>
      <c r="AU145" s="86"/>
      <c r="AV145" s="86"/>
      <c r="AW145" s="86"/>
      <c r="AX145" s="86"/>
      <c r="AY145" s="86"/>
      <c r="AZ145" s="86"/>
      <c r="BA145" s="86"/>
      <c r="BB145" s="86"/>
      <c r="BC145" s="86"/>
      <c r="BD145" s="86"/>
      <c r="BE145" s="86"/>
      <c r="BF145" s="86"/>
      <c r="BG145" s="86"/>
    </row>
    <row r="146" spans="1:64" s="87" customFormat="1" ht="99.75">
      <c r="A146" s="156" t="s">
        <v>212</v>
      </c>
      <c r="B146" s="157" t="s">
        <v>213</v>
      </c>
      <c r="C146" s="156" t="s">
        <v>7</v>
      </c>
      <c r="D146" s="155">
        <v>1</v>
      </c>
      <c r="E146" s="156">
        <v>2718.67</v>
      </c>
      <c r="F146" s="156">
        <f t="shared" si="35"/>
        <v>2718.67</v>
      </c>
      <c r="G146" s="156"/>
      <c r="H146" s="156"/>
      <c r="I146" s="156">
        <f t="shared" si="39"/>
        <v>0</v>
      </c>
      <c r="J146" s="156">
        <f t="shared" si="40"/>
        <v>0</v>
      </c>
      <c r="K146" s="80"/>
      <c r="L146" s="81"/>
      <c r="M146" s="7"/>
      <c r="N146" s="79"/>
      <c r="O146" s="79"/>
      <c r="P146" s="79"/>
      <c r="Q146" s="16"/>
      <c r="R146" s="82"/>
      <c r="S146" s="14"/>
      <c r="T146" s="14"/>
      <c r="U146" s="84"/>
      <c r="V146" s="83"/>
      <c r="W146" s="85"/>
      <c r="X146" s="85"/>
      <c r="Y146" s="85"/>
      <c r="Z146" s="85"/>
      <c r="AA146" s="85"/>
      <c r="AB146" s="85"/>
      <c r="AC146" s="85"/>
      <c r="AD146" s="85"/>
      <c r="AE146" s="85"/>
      <c r="AF146" s="86"/>
      <c r="AG146" s="86"/>
      <c r="AH146" s="86"/>
      <c r="AI146" s="86"/>
      <c r="AJ146" s="86"/>
      <c r="AK146" s="86"/>
      <c r="AL146" s="86"/>
      <c r="AM146" s="86"/>
      <c r="AN146" s="86"/>
      <c r="AO146" s="86"/>
      <c r="AP146" s="86"/>
      <c r="AQ146" s="86"/>
      <c r="AR146" s="86"/>
      <c r="AS146" s="86"/>
      <c r="AT146" s="86"/>
      <c r="AU146" s="86"/>
      <c r="AV146" s="86"/>
      <c r="AW146" s="86"/>
      <c r="AX146" s="86"/>
      <c r="AY146" s="86"/>
      <c r="AZ146" s="86"/>
      <c r="BA146" s="86"/>
      <c r="BB146" s="86"/>
      <c r="BC146" s="86"/>
      <c r="BD146" s="86"/>
      <c r="BE146" s="86"/>
      <c r="BF146" s="86"/>
      <c r="BG146" s="86"/>
    </row>
    <row r="147" spans="1:64" s="87" customFormat="1">
      <c r="A147" s="156" t="s">
        <v>214</v>
      </c>
      <c r="B147" s="157" t="s">
        <v>215</v>
      </c>
      <c r="C147" s="156" t="s">
        <v>7</v>
      </c>
      <c r="D147" s="155">
        <v>1</v>
      </c>
      <c r="E147" s="156">
        <v>3978.99</v>
      </c>
      <c r="F147" s="156">
        <f t="shared" si="35"/>
        <v>3978.99</v>
      </c>
      <c r="G147" s="156"/>
      <c r="H147" s="156"/>
      <c r="I147" s="156">
        <f t="shared" si="39"/>
        <v>0</v>
      </c>
      <c r="J147" s="156">
        <f t="shared" si="40"/>
        <v>0</v>
      </c>
      <c r="K147" s="80"/>
      <c r="L147" s="81"/>
      <c r="M147" s="7"/>
      <c r="N147" s="79"/>
      <c r="O147" s="79"/>
      <c r="P147" s="79"/>
      <c r="Q147" s="16"/>
      <c r="R147" s="82"/>
      <c r="S147" s="14"/>
      <c r="T147" s="14"/>
      <c r="U147" s="84"/>
      <c r="V147" s="83"/>
      <c r="W147" s="85"/>
      <c r="X147" s="85"/>
      <c r="Y147" s="85"/>
      <c r="Z147" s="85"/>
      <c r="AA147" s="85"/>
      <c r="AB147" s="85"/>
      <c r="AC147" s="85"/>
      <c r="AD147" s="85"/>
      <c r="AE147" s="85"/>
      <c r="AF147" s="86"/>
      <c r="AG147" s="86"/>
      <c r="AH147" s="86"/>
      <c r="AI147" s="86"/>
      <c r="AJ147" s="86"/>
      <c r="AK147" s="86"/>
      <c r="AL147" s="86"/>
      <c r="AM147" s="86"/>
      <c r="AN147" s="86"/>
      <c r="AO147" s="86"/>
      <c r="AP147" s="86"/>
      <c r="AQ147" s="86"/>
      <c r="AR147" s="86"/>
      <c r="AS147" s="86"/>
      <c r="AT147" s="86"/>
      <c r="AU147" s="86"/>
      <c r="AV147" s="86"/>
      <c r="AW147" s="86"/>
      <c r="AX147" s="86"/>
      <c r="AY147" s="86"/>
      <c r="AZ147" s="86"/>
      <c r="BA147" s="86"/>
      <c r="BB147" s="86"/>
      <c r="BC147" s="86"/>
      <c r="BD147" s="86"/>
      <c r="BE147" s="86"/>
      <c r="BF147" s="86"/>
      <c r="BG147" s="86"/>
    </row>
    <row r="148" spans="1:64" s="87" customFormat="1">
      <c r="A148" s="156"/>
      <c r="B148" s="154"/>
      <c r="C148" s="156"/>
      <c r="D148" s="156"/>
      <c r="E148" s="156"/>
      <c r="F148" s="156"/>
      <c r="G148" s="156"/>
      <c r="H148" s="156"/>
      <c r="I148" s="156"/>
      <c r="J148" s="156"/>
      <c r="K148" s="80"/>
      <c r="L148" s="81"/>
      <c r="M148" s="7"/>
      <c r="N148" s="79"/>
      <c r="O148" s="79"/>
      <c r="P148" s="79"/>
      <c r="Q148" s="16"/>
      <c r="R148" s="82"/>
      <c r="S148" s="14"/>
      <c r="T148" s="14"/>
      <c r="U148" s="84"/>
      <c r="V148" s="83"/>
      <c r="W148" s="85"/>
      <c r="X148" s="85"/>
      <c r="Y148" s="85"/>
      <c r="Z148" s="85"/>
      <c r="AA148" s="85"/>
      <c r="AB148" s="85"/>
      <c r="AC148" s="85"/>
      <c r="AD148" s="85"/>
      <c r="AE148" s="85"/>
      <c r="AF148" s="85"/>
      <c r="AG148" s="85"/>
      <c r="AH148" s="85"/>
      <c r="AI148" s="85"/>
      <c r="AJ148" s="85"/>
      <c r="AK148" s="85"/>
      <c r="AL148" s="85"/>
      <c r="AM148" s="85"/>
      <c r="AN148" s="85"/>
      <c r="AO148" s="85"/>
      <c r="AP148" s="85"/>
      <c r="AQ148" s="85"/>
      <c r="AR148" s="85"/>
      <c r="AS148" s="85"/>
      <c r="AT148" s="85"/>
      <c r="AU148" s="85"/>
      <c r="AV148" s="85"/>
      <c r="AW148" s="85"/>
      <c r="AX148" s="85"/>
      <c r="AY148" s="85"/>
      <c r="AZ148" s="85"/>
      <c r="BA148" s="85"/>
      <c r="BB148" s="85"/>
      <c r="BC148" s="85"/>
      <c r="BD148" s="85"/>
      <c r="BE148" s="85"/>
      <c r="BF148" s="85"/>
      <c r="BG148" s="85"/>
      <c r="BH148" s="101"/>
      <c r="BI148" s="101"/>
      <c r="BJ148" s="101"/>
      <c r="BK148" s="101"/>
      <c r="BL148" s="101"/>
    </row>
    <row r="149" spans="1:64" s="87" customFormat="1">
      <c r="A149" s="164" t="s">
        <v>216</v>
      </c>
      <c r="B149" s="165" t="s">
        <v>217</v>
      </c>
      <c r="C149" s="166"/>
      <c r="D149" s="167"/>
      <c r="E149" s="166"/>
      <c r="F149" s="166">
        <f>SUM(F151:F158)</f>
        <v>4922.579999999999</v>
      </c>
      <c r="G149" s="166"/>
      <c r="H149" s="166"/>
      <c r="I149" s="166">
        <f>SUM(I151:I158)</f>
        <v>0</v>
      </c>
      <c r="J149" s="166">
        <f>SUM(J151:J158)</f>
        <v>0</v>
      </c>
      <c r="K149" s="97"/>
      <c r="L149" s="98"/>
      <c r="M149" s="7"/>
      <c r="N149" s="97"/>
      <c r="O149" s="97"/>
      <c r="P149" s="79"/>
      <c r="Q149" s="16"/>
      <c r="R149" s="82"/>
      <c r="S149" s="14"/>
      <c r="T149" s="14"/>
      <c r="U149" s="84"/>
      <c r="V149" s="83"/>
      <c r="W149" s="85"/>
      <c r="X149" s="85"/>
      <c r="Y149" s="85"/>
      <c r="Z149" s="85"/>
      <c r="AA149" s="85"/>
      <c r="AB149" s="85"/>
      <c r="AC149" s="85"/>
      <c r="AD149" s="85"/>
      <c r="AE149" s="85"/>
      <c r="AF149" s="85"/>
      <c r="AG149" s="85"/>
      <c r="AH149" s="85"/>
      <c r="AI149" s="86"/>
      <c r="AJ149" s="86"/>
      <c r="AK149" s="86"/>
      <c r="AL149" s="86"/>
      <c r="AM149" s="86"/>
      <c r="AN149" s="86"/>
      <c r="AO149" s="86"/>
      <c r="AP149" s="86"/>
      <c r="AQ149" s="86"/>
      <c r="AR149" s="86"/>
      <c r="AS149" s="86"/>
      <c r="AT149" s="86"/>
      <c r="AU149" s="86"/>
      <c r="AV149" s="86"/>
      <c r="AW149" s="86"/>
      <c r="AX149" s="86"/>
      <c r="AY149" s="86"/>
      <c r="AZ149" s="86"/>
      <c r="BA149" s="86"/>
      <c r="BB149" s="86"/>
      <c r="BC149" s="86"/>
      <c r="BD149" s="86"/>
      <c r="BE149" s="86"/>
      <c r="BF149" s="86"/>
      <c r="BG149" s="86"/>
    </row>
    <row r="150" spans="1:64" s="87" customFormat="1">
      <c r="A150" s="156"/>
      <c r="B150" s="154"/>
      <c r="C150" s="156"/>
      <c r="D150" s="156"/>
      <c r="E150" s="156"/>
      <c r="F150" s="156"/>
      <c r="G150" s="156"/>
      <c r="H150" s="156"/>
      <c r="I150" s="156"/>
      <c r="J150" s="156"/>
      <c r="K150" s="80"/>
      <c r="L150" s="81"/>
      <c r="M150" s="7"/>
      <c r="N150" s="79"/>
      <c r="O150" s="79"/>
      <c r="P150" s="79"/>
      <c r="Q150" s="16"/>
      <c r="R150" s="82"/>
      <c r="S150" s="14"/>
      <c r="T150" s="14"/>
      <c r="U150" s="84"/>
      <c r="V150" s="83"/>
      <c r="W150" s="85"/>
      <c r="X150" s="85"/>
      <c r="Y150" s="85"/>
      <c r="Z150" s="85"/>
      <c r="AA150" s="85"/>
      <c r="AB150" s="85"/>
      <c r="AC150" s="85"/>
      <c r="AD150" s="85"/>
      <c r="AE150" s="85"/>
      <c r="AF150" s="85"/>
      <c r="AG150" s="85"/>
      <c r="AH150" s="85"/>
      <c r="AI150" s="85"/>
      <c r="AJ150" s="85"/>
      <c r="AK150" s="85"/>
      <c r="AL150" s="85"/>
      <c r="AM150" s="85"/>
      <c r="AN150" s="85"/>
      <c r="AO150" s="85"/>
      <c r="AP150" s="85"/>
      <c r="AQ150" s="85"/>
      <c r="AR150" s="85"/>
      <c r="AS150" s="85"/>
      <c r="AT150" s="85"/>
      <c r="AU150" s="85"/>
      <c r="AV150" s="85"/>
      <c r="AW150" s="85"/>
      <c r="AX150" s="85"/>
      <c r="AY150" s="85"/>
      <c r="AZ150" s="85"/>
      <c r="BA150" s="85"/>
      <c r="BB150" s="85"/>
      <c r="BC150" s="85"/>
      <c r="BD150" s="85"/>
      <c r="BE150" s="85"/>
      <c r="BF150" s="85"/>
      <c r="BG150" s="85"/>
      <c r="BH150" s="101"/>
      <c r="BI150" s="101"/>
      <c r="BJ150" s="101"/>
      <c r="BK150" s="101"/>
      <c r="BL150" s="101"/>
    </row>
    <row r="151" spans="1:64" s="87" customFormat="1" ht="42.75">
      <c r="A151" s="156" t="s">
        <v>218</v>
      </c>
      <c r="B151" s="157" t="s">
        <v>198</v>
      </c>
      <c r="C151" s="156" t="s">
        <v>7</v>
      </c>
      <c r="D151" s="156">
        <v>7</v>
      </c>
      <c r="E151" s="156">
        <v>7</v>
      </c>
      <c r="F151" s="156">
        <f t="shared" ref="F151:F158" si="41">D151*E151</f>
        <v>49</v>
      </c>
      <c r="G151" s="156"/>
      <c r="H151" s="156">
        <f t="shared" ref="H151:H158" si="42">G151</f>
        <v>0</v>
      </c>
      <c r="I151" s="156">
        <f t="shared" ref="I151:I158" si="43">G151*E151</f>
        <v>0</v>
      </c>
      <c r="J151" s="156">
        <f t="shared" ref="J151:J158" si="44">I151</f>
        <v>0</v>
      </c>
      <c r="K151" s="80"/>
      <c r="L151" s="81"/>
      <c r="M151" s="7"/>
      <c r="N151" s="79"/>
      <c r="O151" s="79"/>
      <c r="P151" s="79"/>
      <c r="Q151" s="16"/>
      <c r="R151" s="82"/>
      <c r="S151" s="14"/>
      <c r="T151" s="14"/>
      <c r="U151" s="84"/>
      <c r="V151" s="83"/>
      <c r="W151" s="85"/>
      <c r="X151" s="85"/>
      <c r="Y151" s="85"/>
      <c r="Z151" s="85"/>
      <c r="AA151" s="85"/>
      <c r="AB151" s="85"/>
      <c r="AC151" s="85"/>
      <c r="AD151" s="85"/>
      <c r="AE151" s="85"/>
      <c r="AF151" s="85"/>
      <c r="AG151" s="85"/>
      <c r="AH151" s="85"/>
      <c r="AI151" s="85"/>
      <c r="AJ151" s="85"/>
      <c r="AK151" s="85"/>
      <c r="AL151" s="85"/>
      <c r="AM151" s="85"/>
      <c r="AN151" s="85"/>
      <c r="AO151" s="85"/>
      <c r="AP151" s="85"/>
      <c r="AQ151" s="85"/>
      <c r="AR151" s="85"/>
      <c r="AS151" s="85"/>
      <c r="AT151" s="85"/>
      <c r="AU151" s="85"/>
      <c r="AV151" s="85"/>
      <c r="AW151" s="85"/>
      <c r="AX151" s="85"/>
      <c r="AY151" s="85"/>
      <c r="AZ151" s="85"/>
      <c r="BA151" s="85"/>
      <c r="BB151" s="85"/>
      <c r="BC151" s="85"/>
      <c r="BD151" s="85"/>
      <c r="BE151" s="85"/>
      <c r="BF151" s="85"/>
      <c r="BG151" s="85"/>
      <c r="BH151" s="101"/>
      <c r="BI151" s="101"/>
      <c r="BJ151" s="101"/>
      <c r="BK151" s="101"/>
      <c r="BL151" s="101"/>
    </row>
    <row r="152" spans="1:64" s="87" customFormat="1" ht="57">
      <c r="A152" s="156" t="s">
        <v>219</v>
      </c>
      <c r="B152" s="157" t="s">
        <v>220</v>
      </c>
      <c r="C152" s="156" t="s">
        <v>5</v>
      </c>
      <c r="D152" s="156">
        <v>40</v>
      </c>
      <c r="E152" s="156">
        <v>45.13</v>
      </c>
      <c r="F152" s="156">
        <f t="shared" si="41"/>
        <v>1805.2</v>
      </c>
      <c r="G152" s="156"/>
      <c r="H152" s="156">
        <f t="shared" si="42"/>
        <v>0</v>
      </c>
      <c r="I152" s="156">
        <f t="shared" si="43"/>
        <v>0</v>
      </c>
      <c r="J152" s="156">
        <f t="shared" si="44"/>
        <v>0</v>
      </c>
      <c r="K152" s="80"/>
      <c r="L152" s="81"/>
      <c r="M152" s="7"/>
      <c r="N152" s="80"/>
      <c r="O152" s="80"/>
      <c r="P152" s="91"/>
      <c r="Q152" s="8"/>
      <c r="R152" s="82"/>
      <c r="S152" s="9"/>
      <c r="T152" s="9"/>
      <c r="U152" s="10"/>
      <c r="V152" s="9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2"/>
      <c r="BI152" s="12"/>
      <c r="BJ152" s="12"/>
      <c r="BK152" s="12"/>
      <c r="BL152" s="12"/>
    </row>
    <row r="153" spans="1:64">
      <c r="A153" s="156" t="s">
        <v>221</v>
      </c>
      <c r="B153" s="158" t="s">
        <v>222</v>
      </c>
      <c r="C153" s="156" t="s">
        <v>7</v>
      </c>
      <c r="D153" s="156">
        <v>2</v>
      </c>
      <c r="E153" s="156">
        <v>443.39</v>
      </c>
      <c r="F153" s="156">
        <f t="shared" si="41"/>
        <v>886.78</v>
      </c>
      <c r="G153" s="156"/>
      <c r="H153" s="156">
        <f t="shared" si="42"/>
        <v>0</v>
      </c>
      <c r="I153" s="156">
        <f t="shared" si="43"/>
        <v>0</v>
      </c>
      <c r="J153" s="156">
        <f t="shared" si="44"/>
        <v>0</v>
      </c>
      <c r="K153" s="80"/>
      <c r="L153" s="81"/>
      <c r="M153" s="7"/>
      <c r="N153" s="80"/>
      <c r="O153" s="80"/>
      <c r="P153" s="91"/>
      <c r="Q153" s="8"/>
      <c r="R153" s="82"/>
      <c r="U153" s="10"/>
      <c r="V153" s="9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</row>
    <row r="154" spans="1:64">
      <c r="A154" s="156" t="s">
        <v>223</v>
      </c>
      <c r="B154" s="158" t="s">
        <v>224</v>
      </c>
      <c r="C154" s="156" t="s">
        <v>7</v>
      </c>
      <c r="D154" s="156">
        <v>1</v>
      </c>
      <c r="E154" s="156">
        <v>107.54</v>
      </c>
      <c r="F154" s="156">
        <f t="shared" si="41"/>
        <v>107.54</v>
      </c>
      <c r="G154" s="156"/>
      <c r="H154" s="156">
        <f t="shared" si="42"/>
        <v>0</v>
      </c>
      <c r="I154" s="156">
        <f t="shared" si="43"/>
        <v>0</v>
      </c>
      <c r="J154" s="156">
        <f t="shared" si="44"/>
        <v>0</v>
      </c>
      <c r="K154" s="80"/>
      <c r="L154" s="81"/>
      <c r="M154" s="7"/>
      <c r="N154" s="80"/>
      <c r="O154" s="80"/>
      <c r="P154" s="91"/>
      <c r="Q154" s="8"/>
      <c r="R154" s="82"/>
      <c r="U154" s="10"/>
      <c r="V154" s="9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</row>
    <row r="155" spans="1:64" ht="28.5">
      <c r="A155" s="156" t="s">
        <v>225</v>
      </c>
      <c r="B155" s="157" t="s">
        <v>226</v>
      </c>
      <c r="C155" s="156" t="s">
        <v>7</v>
      </c>
      <c r="D155" s="156">
        <v>4</v>
      </c>
      <c r="E155" s="156">
        <v>223.9</v>
      </c>
      <c r="F155" s="156">
        <f t="shared" si="41"/>
        <v>895.6</v>
      </c>
      <c r="G155" s="156"/>
      <c r="H155" s="156">
        <f t="shared" si="42"/>
        <v>0</v>
      </c>
      <c r="I155" s="156">
        <f t="shared" si="43"/>
        <v>0</v>
      </c>
      <c r="J155" s="156">
        <f t="shared" si="44"/>
        <v>0</v>
      </c>
      <c r="K155" s="80"/>
      <c r="L155" s="81"/>
      <c r="M155" s="7"/>
      <c r="N155" s="80"/>
      <c r="O155" s="80"/>
      <c r="P155" s="91"/>
      <c r="Q155" s="8"/>
      <c r="R155" s="82"/>
      <c r="U155" s="10"/>
      <c r="V155" s="9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</row>
    <row r="156" spans="1:64" ht="28.5">
      <c r="A156" s="156" t="s">
        <v>227</v>
      </c>
      <c r="B156" s="157" t="s">
        <v>228</v>
      </c>
      <c r="C156" s="156" t="s">
        <v>7</v>
      </c>
      <c r="D156" s="156">
        <v>10</v>
      </c>
      <c r="E156" s="156">
        <v>56.74</v>
      </c>
      <c r="F156" s="156">
        <f t="shared" si="41"/>
        <v>567.4</v>
      </c>
      <c r="G156" s="156"/>
      <c r="H156" s="156">
        <f t="shared" si="42"/>
        <v>0</v>
      </c>
      <c r="I156" s="156">
        <f t="shared" si="43"/>
        <v>0</v>
      </c>
      <c r="J156" s="156">
        <f t="shared" si="44"/>
        <v>0</v>
      </c>
      <c r="K156" s="80"/>
      <c r="L156" s="81"/>
      <c r="M156" s="7"/>
      <c r="N156" s="80"/>
      <c r="O156" s="80"/>
      <c r="P156" s="91"/>
      <c r="Q156" s="8"/>
      <c r="R156" s="82"/>
      <c r="U156" s="10"/>
      <c r="V156" s="9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</row>
    <row r="157" spans="1:64" ht="28.5">
      <c r="A157" s="156" t="s">
        <v>229</v>
      </c>
      <c r="B157" s="157" t="s">
        <v>230</v>
      </c>
      <c r="C157" s="156" t="s">
        <v>7</v>
      </c>
      <c r="D157" s="156">
        <v>2</v>
      </c>
      <c r="E157" s="156">
        <v>85.83</v>
      </c>
      <c r="F157" s="156">
        <f t="shared" si="41"/>
        <v>171.66</v>
      </c>
      <c r="G157" s="156"/>
      <c r="H157" s="156">
        <f t="shared" si="42"/>
        <v>0</v>
      </c>
      <c r="I157" s="156">
        <f t="shared" si="43"/>
        <v>0</v>
      </c>
      <c r="J157" s="156">
        <f t="shared" si="44"/>
        <v>0</v>
      </c>
      <c r="K157" s="80"/>
      <c r="L157" s="81"/>
      <c r="M157" s="7"/>
      <c r="N157" s="80"/>
      <c r="O157" s="80"/>
      <c r="P157" s="91"/>
      <c r="Q157" s="8"/>
      <c r="R157" s="82"/>
      <c r="U157" s="10"/>
      <c r="V157" s="9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</row>
    <row r="158" spans="1:64">
      <c r="A158" s="156" t="s">
        <v>233</v>
      </c>
      <c r="B158" s="157" t="s">
        <v>231</v>
      </c>
      <c r="C158" s="156" t="s">
        <v>232</v>
      </c>
      <c r="D158" s="156">
        <v>5</v>
      </c>
      <c r="E158" s="156">
        <v>87.88</v>
      </c>
      <c r="F158" s="156">
        <f t="shared" si="41"/>
        <v>439.4</v>
      </c>
      <c r="G158" s="156"/>
      <c r="H158" s="156">
        <f t="shared" si="42"/>
        <v>0</v>
      </c>
      <c r="I158" s="156">
        <f t="shared" si="43"/>
        <v>0</v>
      </c>
      <c r="J158" s="156">
        <f t="shared" si="44"/>
        <v>0</v>
      </c>
      <c r="K158" s="80"/>
      <c r="L158" s="81"/>
      <c r="M158" s="7"/>
      <c r="N158" s="80"/>
      <c r="O158" s="80"/>
      <c r="P158" s="91"/>
      <c r="Q158" s="8"/>
      <c r="R158" s="82"/>
      <c r="U158" s="10"/>
      <c r="V158" s="9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</row>
    <row r="159" spans="1:64">
      <c r="A159" s="156"/>
      <c r="B159" s="154"/>
      <c r="C159" s="156"/>
      <c r="D159" s="156"/>
      <c r="E159" s="156"/>
      <c r="F159" s="156"/>
      <c r="G159" s="156"/>
      <c r="H159" s="156"/>
      <c r="I159" s="156"/>
      <c r="J159" s="156"/>
      <c r="K159" s="80"/>
      <c r="L159" s="81"/>
      <c r="M159" s="7"/>
      <c r="N159" s="79"/>
      <c r="O159" s="79"/>
      <c r="P159" s="79"/>
      <c r="Q159" s="16"/>
      <c r="R159" s="82"/>
      <c r="S159" s="14"/>
      <c r="T159" s="14"/>
      <c r="U159" s="84"/>
      <c r="V159" s="83"/>
      <c r="W159" s="85"/>
      <c r="X159" s="85"/>
      <c r="Y159" s="85"/>
      <c r="Z159" s="85"/>
      <c r="AA159" s="85"/>
      <c r="AB159" s="85"/>
      <c r="AC159" s="85"/>
      <c r="AD159" s="85"/>
      <c r="AE159" s="85"/>
      <c r="AF159" s="85"/>
      <c r="AG159" s="85"/>
      <c r="AH159" s="85"/>
      <c r="AI159" s="85"/>
      <c r="AJ159" s="85"/>
      <c r="AK159" s="85"/>
      <c r="AL159" s="85"/>
      <c r="AM159" s="85"/>
      <c r="AN159" s="85"/>
      <c r="AO159" s="85"/>
      <c r="AP159" s="85"/>
      <c r="AQ159" s="85"/>
      <c r="AR159" s="85"/>
      <c r="AS159" s="85"/>
      <c r="AT159" s="85"/>
      <c r="AU159" s="85"/>
      <c r="AV159" s="85"/>
      <c r="AW159" s="85"/>
      <c r="AX159" s="85"/>
      <c r="AY159" s="85"/>
      <c r="AZ159" s="85"/>
      <c r="BA159" s="85"/>
      <c r="BB159" s="85"/>
      <c r="BC159" s="85"/>
      <c r="BD159" s="85"/>
      <c r="BE159" s="85"/>
      <c r="BF159" s="85"/>
      <c r="BG159" s="85"/>
      <c r="BH159" s="101"/>
      <c r="BI159" s="101"/>
      <c r="BJ159" s="101"/>
      <c r="BK159" s="101"/>
      <c r="BL159" s="101"/>
    </row>
    <row r="160" spans="1:64" s="87" customFormat="1">
      <c r="A160" s="164" t="s">
        <v>234</v>
      </c>
      <c r="B160" s="165" t="s">
        <v>235</v>
      </c>
      <c r="C160" s="166"/>
      <c r="D160" s="167"/>
      <c r="E160" s="166"/>
      <c r="F160" s="166">
        <f>SUM(F162:F185)</f>
        <v>27356.5</v>
      </c>
      <c r="G160" s="166"/>
      <c r="H160" s="166"/>
      <c r="I160" s="166">
        <f>SUM(I162:I185)</f>
        <v>0</v>
      </c>
      <c r="J160" s="166">
        <f>SUM(J162:J185)</f>
        <v>0</v>
      </c>
      <c r="K160" s="97"/>
      <c r="L160" s="98"/>
      <c r="M160" s="7"/>
      <c r="N160" s="97"/>
      <c r="O160" s="97"/>
      <c r="P160" s="79"/>
      <c r="Q160" s="16"/>
      <c r="R160" s="82"/>
      <c r="S160" s="14"/>
      <c r="T160" s="14"/>
      <c r="U160" s="84"/>
      <c r="V160" s="83"/>
      <c r="W160" s="85"/>
      <c r="X160" s="85"/>
      <c r="Y160" s="85"/>
      <c r="Z160" s="85"/>
      <c r="AA160" s="85"/>
      <c r="AB160" s="85"/>
      <c r="AC160" s="85"/>
      <c r="AD160" s="85"/>
      <c r="AE160" s="85"/>
      <c r="AF160" s="85"/>
      <c r="AG160" s="85"/>
      <c r="AH160" s="85"/>
      <c r="AI160" s="86"/>
      <c r="AJ160" s="86"/>
      <c r="AK160" s="86"/>
      <c r="AL160" s="86"/>
      <c r="AM160" s="86"/>
      <c r="AN160" s="86"/>
      <c r="AO160" s="86"/>
      <c r="AP160" s="86"/>
      <c r="AQ160" s="86"/>
      <c r="AR160" s="86"/>
      <c r="AS160" s="86"/>
      <c r="AT160" s="86"/>
      <c r="AU160" s="86"/>
      <c r="AV160" s="86"/>
      <c r="AW160" s="86"/>
      <c r="AX160" s="86"/>
      <c r="AY160" s="86"/>
      <c r="AZ160" s="86"/>
      <c r="BA160" s="86"/>
      <c r="BB160" s="86"/>
      <c r="BC160" s="86"/>
      <c r="BD160" s="86"/>
      <c r="BE160" s="86"/>
      <c r="BF160" s="86"/>
      <c r="BG160" s="86"/>
    </row>
    <row r="161" spans="1:59">
      <c r="A161" s="156"/>
      <c r="B161" s="154"/>
      <c r="C161" s="156"/>
      <c r="D161" s="156"/>
      <c r="E161" s="156"/>
      <c r="F161" s="156"/>
      <c r="G161" s="156"/>
      <c r="H161" s="156"/>
      <c r="I161" s="156"/>
      <c r="J161" s="156"/>
      <c r="K161" s="80"/>
      <c r="L161" s="81"/>
      <c r="M161" s="7"/>
      <c r="N161" s="80"/>
      <c r="O161" s="80"/>
      <c r="P161" s="91"/>
      <c r="Q161" s="8"/>
      <c r="R161" s="82"/>
      <c r="U161" s="10"/>
      <c r="V161" s="9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</row>
    <row r="162" spans="1:59" ht="28.5">
      <c r="A162" s="156" t="s">
        <v>236</v>
      </c>
      <c r="B162" s="157" t="s">
        <v>226</v>
      </c>
      <c r="C162" s="156" t="s">
        <v>7</v>
      </c>
      <c r="D162" s="156">
        <v>4</v>
      </c>
      <c r="E162" s="156">
        <v>220.04</v>
      </c>
      <c r="F162" s="156">
        <f t="shared" ref="F162:F185" si="45">D162*E162</f>
        <v>880.16</v>
      </c>
      <c r="G162" s="156"/>
      <c r="H162" s="156">
        <f t="shared" ref="H162:H185" si="46">G162</f>
        <v>0</v>
      </c>
      <c r="I162" s="156">
        <f t="shared" ref="I162:I185" si="47">G162*E162</f>
        <v>0</v>
      </c>
      <c r="J162" s="156">
        <f t="shared" ref="J162:J185" si="48">I162</f>
        <v>0</v>
      </c>
      <c r="K162" s="80"/>
      <c r="L162" s="81"/>
      <c r="M162" s="7"/>
      <c r="N162" s="80"/>
      <c r="O162" s="80"/>
      <c r="P162" s="91"/>
      <c r="Q162" s="8"/>
      <c r="R162" s="82"/>
      <c r="U162" s="10"/>
      <c r="V162" s="9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</row>
    <row r="163" spans="1:59" ht="28.5">
      <c r="A163" s="156" t="s">
        <v>237</v>
      </c>
      <c r="B163" s="157" t="s">
        <v>238</v>
      </c>
      <c r="C163" s="156" t="s">
        <v>7</v>
      </c>
      <c r="D163" s="156">
        <v>1</v>
      </c>
      <c r="E163" s="156">
        <v>302.55</v>
      </c>
      <c r="F163" s="156">
        <f t="shared" si="45"/>
        <v>302.55</v>
      </c>
      <c r="G163" s="156"/>
      <c r="H163" s="156">
        <f t="shared" si="46"/>
        <v>0</v>
      </c>
      <c r="I163" s="156">
        <f t="shared" si="47"/>
        <v>0</v>
      </c>
      <c r="J163" s="156">
        <f t="shared" si="48"/>
        <v>0</v>
      </c>
      <c r="K163" s="80"/>
      <c r="L163" s="81"/>
      <c r="M163" s="7"/>
      <c r="N163" s="80"/>
      <c r="O163" s="80"/>
      <c r="P163" s="91"/>
      <c r="Q163" s="8"/>
      <c r="R163" s="82"/>
      <c r="U163" s="10"/>
      <c r="V163" s="9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</row>
    <row r="164" spans="1:59" ht="28.5">
      <c r="A164" s="156" t="s">
        <v>239</v>
      </c>
      <c r="B164" s="157" t="s">
        <v>240</v>
      </c>
      <c r="C164" s="156" t="s">
        <v>7</v>
      </c>
      <c r="D164" s="156">
        <v>7</v>
      </c>
      <c r="E164" s="156">
        <v>41.88</v>
      </c>
      <c r="F164" s="156">
        <f t="shared" si="45"/>
        <v>293.16000000000003</v>
      </c>
      <c r="G164" s="156"/>
      <c r="H164" s="156">
        <f t="shared" si="46"/>
        <v>0</v>
      </c>
      <c r="I164" s="156">
        <f t="shared" si="47"/>
        <v>0</v>
      </c>
      <c r="J164" s="156">
        <f t="shared" si="48"/>
        <v>0</v>
      </c>
      <c r="K164" s="80"/>
      <c r="L164" s="81"/>
      <c r="M164" s="7"/>
      <c r="N164" s="80"/>
      <c r="O164" s="80"/>
      <c r="P164" s="91"/>
      <c r="Q164" s="8"/>
      <c r="R164" s="82"/>
      <c r="U164" s="10"/>
      <c r="V164" s="9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</row>
    <row r="165" spans="1:59" ht="28.5">
      <c r="A165" s="156" t="s">
        <v>241</v>
      </c>
      <c r="B165" s="157" t="s">
        <v>242</v>
      </c>
      <c r="C165" s="156" t="s">
        <v>7</v>
      </c>
      <c r="D165" s="156">
        <v>10</v>
      </c>
      <c r="E165" s="156">
        <v>45.02</v>
      </c>
      <c r="F165" s="156">
        <f t="shared" si="45"/>
        <v>450.20000000000005</v>
      </c>
      <c r="G165" s="156"/>
      <c r="H165" s="156">
        <f t="shared" si="46"/>
        <v>0</v>
      </c>
      <c r="I165" s="156">
        <f t="shared" si="47"/>
        <v>0</v>
      </c>
      <c r="J165" s="156">
        <f t="shared" si="48"/>
        <v>0</v>
      </c>
      <c r="K165" s="80"/>
      <c r="L165" s="81"/>
      <c r="M165" s="7"/>
      <c r="N165" s="80"/>
      <c r="O165" s="80"/>
      <c r="P165" s="91"/>
      <c r="Q165" s="8"/>
      <c r="R165" s="82"/>
      <c r="U165" s="10"/>
      <c r="V165" s="9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</row>
    <row r="166" spans="1:59" ht="28.5">
      <c r="A166" s="156" t="s">
        <v>243</v>
      </c>
      <c r="B166" s="157" t="s">
        <v>244</v>
      </c>
      <c r="C166" s="156" t="s">
        <v>7</v>
      </c>
      <c r="D166" s="156">
        <v>3</v>
      </c>
      <c r="E166" s="156">
        <v>39.47</v>
      </c>
      <c r="F166" s="156">
        <f t="shared" si="45"/>
        <v>118.41</v>
      </c>
      <c r="G166" s="156"/>
      <c r="H166" s="156">
        <f t="shared" si="46"/>
        <v>0</v>
      </c>
      <c r="I166" s="156">
        <f t="shared" si="47"/>
        <v>0</v>
      </c>
      <c r="J166" s="156">
        <f t="shared" si="48"/>
        <v>0</v>
      </c>
      <c r="K166" s="80"/>
      <c r="L166" s="81"/>
      <c r="M166" s="7"/>
      <c r="N166" s="80"/>
      <c r="O166" s="80"/>
      <c r="P166" s="91"/>
      <c r="Q166" s="8"/>
      <c r="R166" s="82"/>
      <c r="U166" s="10"/>
      <c r="V166" s="9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</row>
    <row r="167" spans="1:59" ht="28.5">
      <c r="A167" s="156" t="s">
        <v>245</v>
      </c>
      <c r="B167" s="157" t="s">
        <v>246</v>
      </c>
      <c r="C167" s="156" t="s">
        <v>7</v>
      </c>
      <c r="D167" s="156">
        <v>1</v>
      </c>
      <c r="E167" s="156">
        <v>42.9</v>
      </c>
      <c r="F167" s="156">
        <f t="shared" si="45"/>
        <v>42.9</v>
      </c>
      <c r="G167" s="156"/>
      <c r="H167" s="156">
        <f t="shared" si="46"/>
        <v>0</v>
      </c>
      <c r="I167" s="156">
        <f t="shared" si="47"/>
        <v>0</v>
      </c>
      <c r="J167" s="156">
        <f t="shared" si="48"/>
        <v>0</v>
      </c>
      <c r="K167" s="80"/>
      <c r="L167" s="81"/>
      <c r="M167" s="7"/>
      <c r="N167" s="80"/>
      <c r="O167" s="80"/>
      <c r="P167" s="91"/>
      <c r="Q167" s="8"/>
      <c r="R167" s="82"/>
      <c r="U167" s="10"/>
      <c r="V167" s="9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</row>
    <row r="168" spans="1:59" ht="28.5">
      <c r="A168" s="156" t="s">
        <v>247</v>
      </c>
      <c r="B168" s="157" t="s">
        <v>248</v>
      </c>
      <c r="C168" s="156" t="s">
        <v>7</v>
      </c>
      <c r="D168" s="156">
        <v>3</v>
      </c>
      <c r="E168" s="156">
        <v>53.64</v>
      </c>
      <c r="F168" s="156">
        <f t="shared" si="45"/>
        <v>160.92000000000002</v>
      </c>
      <c r="G168" s="156"/>
      <c r="H168" s="156">
        <f t="shared" si="46"/>
        <v>0</v>
      </c>
      <c r="I168" s="156">
        <f t="shared" si="47"/>
        <v>0</v>
      </c>
      <c r="J168" s="156">
        <f t="shared" si="48"/>
        <v>0</v>
      </c>
      <c r="K168" s="80"/>
      <c r="L168" s="81"/>
      <c r="M168" s="7"/>
      <c r="N168" s="80"/>
      <c r="O168" s="80"/>
      <c r="P168" s="91"/>
      <c r="Q168" s="8"/>
      <c r="R168" s="82"/>
      <c r="U168" s="10"/>
      <c r="V168" s="9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</row>
    <row r="169" spans="1:59" ht="28.5">
      <c r="A169" s="156" t="s">
        <v>249</v>
      </c>
      <c r="B169" s="157" t="s">
        <v>250</v>
      </c>
      <c r="C169" s="156" t="s">
        <v>7</v>
      </c>
      <c r="D169" s="156">
        <v>17</v>
      </c>
      <c r="E169" s="156">
        <v>15.83</v>
      </c>
      <c r="F169" s="156">
        <f t="shared" si="45"/>
        <v>269.11</v>
      </c>
      <c r="G169" s="156"/>
      <c r="H169" s="156">
        <f t="shared" si="46"/>
        <v>0</v>
      </c>
      <c r="I169" s="156">
        <f t="shared" si="47"/>
        <v>0</v>
      </c>
      <c r="J169" s="156">
        <f t="shared" si="48"/>
        <v>0</v>
      </c>
      <c r="K169" s="80"/>
      <c r="L169" s="81"/>
      <c r="M169" s="7"/>
      <c r="N169" s="80"/>
      <c r="O169" s="80"/>
      <c r="P169" s="91"/>
      <c r="Q169" s="8"/>
      <c r="R169" s="82"/>
      <c r="U169" s="10"/>
      <c r="V169" s="9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</row>
    <row r="170" spans="1:59" ht="28.5">
      <c r="A170" s="156" t="s">
        <v>251</v>
      </c>
      <c r="B170" s="157" t="s">
        <v>252</v>
      </c>
      <c r="C170" s="156" t="s">
        <v>7</v>
      </c>
      <c r="D170" s="156">
        <v>6</v>
      </c>
      <c r="E170" s="156">
        <v>25.08</v>
      </c>
      <c r="F170" s="156">
        <f t="shared" si="45"/>
        <v>150.47999999999999</v>
      </c>
      <c r="G170" s="156"/>
      <c r="H170" s="156">
        <f t="shared" si="46"/>
        <v>0</v>
      </c>
      <c r="I170" s="156">
        <f t="shared" si="47"/>
        <v>0</v>
      </c>
      <c r="J170" s="156">
        <f t="shared" si="48"/>
        <v>0</v>
      </c>
      <c r="K170" s="80"/>
      <c r="L170" s="81"/>
      <c r="M170" s="7"/>
      <c r="N170" s="80"/>
      <c r="O170" s="80"/>
      <c r="P170" s="91"/>
      <c r="Q170" s="8"/>
      <c r="R170" s="82"/>
      <c r="U170" s="10"/>
      <c r="V170" s="9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</row>
    <row r="171" spans="1:59" ht="42.75">
      <c r="A171" s="156" t="s">
        <v>253</v>
      </c>
      <c r="B171" s="157" t="s">
        <v>254</v>
      </c>
      <c r="C171" s="156" t="s">
        <v>7</v>
      </c>
      <c r="D171" s="156">
        <v>24</v>
      </c>
      <c r="E171" s="156">
        <v>62.36</v>
      </c>
      <c r="F171" s="156">
        <f t="shared" si="45"/>
        <v>1496.6399999999999</v>
      </c>
      <c r="G171" s="156"/>
      <c r="H171" s="156">
        <f t="shared" si="46"/>
        <v>0</v>
      </c>
      <c r="I171" s="156">
        <f t="shared" si="47"/>
        <v>0</v>
      </c>
      <c r="J171" s="156">
        <f t="shared" si="48"/>
        <v>0</v>
      </c>
      <c r="K171" s="80"/>
      <c r="L171" s="81"/>
      <c r="M171" s="7"/>
      <c r="N171" s="80"/>
      <c r="O171" s="80"/>
      <c r="P171" s="91"/>
      <c r="Q171" s="8"/>
      <c r="R171" s="82"/>
      <c r="U171" s="10"/>
      <c r="V171" s="9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</row>
    <row r="172" spans="1:59" ht="42.75">
      <c r="A172" s="156" t="s">
        <v>255</v>
      </c>
      <c r="B172" s="157" t="s">
        <v>256</v>
      </c>
      <c r="C172" s="156" t="s">
        <v>7</v>
      </c>
      <c r="D172" s="156">
        <v>53</v>
      </c>
      <c r="E172" s="156">
        <v>84.66</v>
      </c>
      <c r="F172" s="156">
        <f t="shared" si="45"/>
        <v>4486.9799999999996</v>
      </c>
      <c r="G172" s="156"/>
      <c r="H172" s="156">
        <f t="shared" si="46"/>
        <v>0</v>
      </c>
      <c r="I172" s="156">
        <f t="shared" si="47"/>
        <v>0</v>
      </c>
      <c r="J172" s="156">
        <f t="shared" si="48"/>
        <v>0</v>
      </c>
      <c r="K172" s="80"/>
      <c r="L172" s="81"/>
      <c r="M172" s="7"/>
      <c r="N172" s="80"/>
      <c r="O172" s="80"/>
      <c r="P172" s="91"/>
      <c r="Q172" s="8"/>
      <c r="R172" s="82"/>
      <c r="U172" s="10"/>
      <c r="V172" s="9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</row>
    <row r="173" spans="1:59" ht="28.5">
      <c r="A173" s="156" t="s">
        <v>257</v>
      </c>
      <c r="B173" s="157" t="s">
        <v>258</v>
      </c>
      <c r="C173" s="156" t="s">
        <v>7</v>
      </c>
      <c r="D173" s="156">
        <v>8</v>
      </c>
      <c r="E173" s="156">
        <v>23.26</v>
      </c>
      <c r="F173" s="156">
        <f t="shared" si="45"/>
        <v>186.08</v>
      </c>
      <c r="G173" s="156"/>
      <c r="H173" s="156">
        <f t="shared" si="46"/>
        <v>0</v>
      </c>
      <c r="I173" s="156">
        <f t="shared" si="47"/>
        <v>0</v>
      </c>
      <c r="J173" s="156">
        <f t="shared" si="48"/>
        <v>0</v>
      </c>
      <c r="K173" s="80"/>
      <c r="L173" s="81"/>
      <c r="M173" s="7"/>
      <c r="N173" s="80"/>
      <c r="O173" s="80"/>
      <c r="P173" s="91"/>
      <c r="Q173" s="8"/>
      <c r="R173" s="82"/>
      <c r="U173" s="10"/>
      <c r="V173" s="9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</row>
    <row r="174" spans="1:59" ht="42.75">
      <c r="A174" s="156" t="s">
        <v>259</v>
      </c>
      <c r="B174" s="157" t="s">
        <v>260</v>
      </c>
      <c r="C174" s="156" t="s">
        <v>7</v>
      </c>
      <c r="D174" s="156">
        <v>91</v>
      </c>
      <c r="E174" s="156">
        <v>90.03</v>
      </c>
      <c r="F174" s="156">
        <f t="shared" si="45"/>
        <v>8192.73</v>
      </c>
      <c r="G174" s="156"/>
      <c r="H174" s="156">
        <f t="shared" si="46"/>
        <v>0</v>
      </c>
      <c r="I174" s="156">
        <f t="shared" si="47"/>
        <v>0</v>
      </c>
      <c r="J174" s="156">
        <f t="shared" si="48"/>
        <v>0</v>
      </c>
      <c r="K174" s="80"/>
      <c r="L174" s="81"/>
      <c r="M174" s="7"/>
      <c r="N174" s="80"/>
      <c r="O174" s="80"/>
      <c r="P174" s="91"/>
      <c r="Q174" s="8"/>
      <c r="R174" s="82"/>
      <c r="U174" s="10"/>
      <c r="V174" s="9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</row>
    <row r="175" spans="1:59" ht="28.5">
      <c r="A175" s="156" t="s">
        <v>261</v>
      </c>
      <c r="B175" s="157" t="s">
        <v>262</v>
      </c>
      <c r="C175" s="156" t="s">
        <v>7</v>
      </c>
      <c r="D175" s="156">
        <v>18</v>
      </c>
      <c r="E175" s="156">
        <v>110.51</v>
      </c>
      <c r="F175" s="156">
        <f t="shared" si="45"/>
        <v>1989.18</v>
      </c>
      <c r="G175" s="156"/>
      <c r="H175" s="156">
        <f t="shared" si="46"/>
        <v>0</v>
      </c>
      <c r="I175" s="156">
        <f t="shared" si="47"/>
        <v>0</v>
      </c>
      <c r="J175" s="156">
        <f t="shared" si="48"/>
        <v>0</v>
      </c>
      <c r="K175" s="80"/>
      <c r="L175" s="81"/>
      <c r="M175" s="7"/>
      <c r="N175" s="80"/>
      <c r="O175" s="80"/>
      <c r="P175" s="91"/>
      <c r="Q175" s="8"/>
      <c r="R175" s="82"/>
      <c r="U175" s="10"/>
      <c r="V175" s="9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</row>
    <row r="176" spans="1:59" ht="28.5">
      <c r="A176" s="156" t="s">
        <v>263</v>
      </c>
      <c r="B176" s="157" t="s">
        <v>264</v>
      </c>
      <c r="C176" s="156" t="s">
        <v>7</v>
      </c>
      <c r="D176" s="156">
        <v>12</v>
      </c>
      <c r="E176" s="156">
        <v>117.49</v>
      </c>
      <c r="F176" s="156">
        <f t="shared" si="45"/>
        <v>1409.8799999999999</v>
      </c>
      <c r="G176" s="156"/>
      <c r="H176" s="156">
        <f t="shared" si="46"/>
        <v>0</v>
      </c>
      <c r="I176" s="156">
        <f t="shared" si="47"/>
        <v>0</v>
      </c>
      <c r="J176" s="156">
        <f t="shared" si="48"/>
        <v>0</v>
      </c>
      <c r="K176" s="80"/>
      <c r="L176" s="81"/>
      <c r="M176" s="7"/>
      <c r="N176" s="80"/>
      <c r="O176" s="80"/>
      <c r="P176" s="91"/>
      <c r="Q176" s="8"/>
      <c r="R176" s="82"/>
      <c r="U176" s="10"/>
      <c r="V176" s="9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</row>
    <row r="177" spans="1:59" ht="42.75">
      <c r="A177" s="156" t="s">
        <v>265</v>
      </c>
      <c r="B177" s="157" t="s">
        <v>266</v>
      </c>
      <c r="C177" s="156" t="s">
        <v>7</v>
      </c>
      <c r="D177" s="156">
        <v>7</v>
      </c>
      <c r="E177" s="156">
        <v>167.48</v>
      </c>
      <c r="F177" s="156">
        <f t="shared" si="45"/>
        <v>1172.3599999999999</v>
      </c>
      <c r="G177" s="156"/>
      <c r="H177" s="156">
        <f t="shared" si="46"/>
        <v>0</v>
      </c>
      <c r="I177" s="156">
        <f t="shared" si="47"/>
        <v>0</v>
      </c>
      <c r="J177" s="156">
        <f t="shared" si="48"/>
        <v>0</v>
      </c>
      <c r="K177" s="80"/>
      <c r="L177" s="81"/>
      <c r="M177" s="7"/>
      <c r="N177" s="80"/>
      <c r="O177" s="80"/>
      <c r="P177" s="91"/>
      <c r="Q177" s="8"/>
      <c r="R177" s="82"/>
      <c r="U177" s="10"/>
      <c r="V177" s="9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</row>
    <row r="178" spans="1:59" ht="42.75">
      <c r="A178" s="156" t="s">
        <v>267</v>
      </c>
      <c r="B178" s="157" t="s">
        <v>266</v>
      </c>
      <c r="C178" s="156" t="s">
        <v>7</v>
      </c>
      <c r="D178" s="156">
        <v>11</v>
      </c>
      <c r="E178" s="156">
        <v>167.48</v>
      </c>
      <c r="F178" s="156">
        <f t="shared" si="45"/>
        <v>1842.28</v>
      </c>
      <c r="G178" s="156"/>
      <c r="H178" s="156">
        <f t="shared" si="46"/>
        <v>0</v>
      </c>
      <c r="I178" s="156">
        <f t="shared" si="47"/>
        <v>0</v>
      </c>
      <c r="J178" s="156">
        <f t="shared" si="48"/>
        <v>0</v>
      </c>
      <c r="K178" s="80"/>
      <c r="L178" s="81"/>
      <c r="M178" s="7"/>
      <c r="N178" s="80"/>
      <c r="O178" s="80"/>
      <c r="P178" s="91"/>
      <c r="Q178" s="8"/>
      <c r="R178" s="82"/>
      <c r="U178" s="10"/>
      <c r="V178" s="9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</row>
    <row r="179" spans="1:59" ht="42.75">
      <c r="A179" s="156" t="s">
        <v>268</v>
      </c>
      <c r="B179" s="157" t="s">
        <v>269</v>
      </c>
      <c r="C179" s="156" t="s">
        <v>7</v>
      </c>
      <c r="D179" s="156">
        <v>1</v>
      </c>
      <c r="E179" s="156">
        <v>424.3</v>
      </c>
      <c r="F179" s="156">
        <f t="shared" si="45"/>
        <v>424.3</v>
      </c>
      <c r="G179" s="156"/>
      <c r="H179" s="156">
        <f t="shared" si="46"/>
        <v>0</v>
      </c>
      <c r="I179" s="156">
        <f t="shared" si="47"/>
        <v>0</v>
      </c>
      <c r="J179" s="156">
        <f t="shared" si="48"/>
        <v>0</v>
      </c>
      <c r="K179" s="80"/>
      <c r="L179" s="81"/>
      <c r="M179" s="7"/>
      <c r="N179" s="80"/>
      <c r="O179" s="80"/>
      <c r="P179" s="91"/>
      <c r="Q179" s="8"/>
      <c r="R179" s="82"/>
      <c r="U179" s="10"/>
      <c r="V179" s="9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</row>
    <row r="180" spans="1:59" ht="42.75">
      <c r="A180" s="156" t="s">
        <v>270</v>
      </c>
      <c r="B180" s="157" t="s">
        <v>271</v>
      </c>
      <c r="C180" s="156" t="s">
        <v>7</v>
      </c>
      <c r="D180" s="156">
        <v>1</v>
      </c>
      <c r="E180" s="156">
        <v>292.16000000000003</v>
      </c>
      <c r="F180" s="156">
        <f t="shared" si="45"/>
        <v>292.16000000000003</v>
      </c>
      <c r="G180" s="156"/>
      <c r="H180" s="156">
        <f t="shared" si="46"/>
        <v>0</v>
      </c>
      <c r="I180" s="156">
        <f t="shared" si="47"/>
        <v>0</v>
      </c>
      <c r="J180" s="156">
        <f t="shared" si="48"/>
        <v>0</v>
      </c>
      <c r="K180" s="80"/>
      <c r="L180" s="81"/>
      <c r="M180" s="7"/>
      <c r="N180" s="80"/>
      <c r="O180" s="80"/>
      <c r="P180" s="91"/>
      <c r="Q180" s="8"/>
      <c r="R180" s="82"/>
      <c r="U180" s="10"/>
      <c r="V180" s="9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</row>
    <row r="181" spans="1:59" ht="18" customHeight="1">
      <c r="A181" s="156" t="s">
        <v>272</v>
      </c>
      <c r="B181" s="157" t="s">
        <v>273</v>
      </c>
      <c r="C181" s="156" t="s">
        <v>7</v>
      </c>
      <c r="D181" s="156">
        <v>3</v>
      </c>
      <c r="E181" s="156">
        <v>120.03</v>
      </c>
      <c r="F181" s="156">
        <f t="shared" si="45"/>
        <v>360.09000000000003</v>
      </c>
      <c r="G181" s="156"/>
      <c r="H181" s="156">
        <f t="shared" si="46"/>
        <v>0</v>
      </c>
      <c r="I181" s="156">
        <f t="shared" si="47"/>
        <v>0</v>
      </c>
      <c r="J181" s="156">
        <f t="shared" si="48"/>
        <v>0</v>
      </c>
      <c r="K181" s="80"/>
      <c r="L181" s="81"/>
      <c r="M181" s="7"/>
      <c r="N181" s="80"/>
      <c r="O181" s="80"/>
      <c r="P181" s="91"/>
      <c r="Q181" s="8"/>
      <c r="R181" s="82"/>
      <c r="U181" s="10"/>
      <c r="V181" s="9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</row>
    <row r="182" spans="1:59" ht="28.5">
      <c r="A182" s="156" t="s">
        <v>274</v>
      </c>
      <c r="B182" s="157" t="s">
        <v>275</v>
      </c>
      <c r="C182" s="156" t="s">
        <v>232</v>
      </c>
      <c r="D182" s="156">
        <v>1</v>
      </c>
      <c r="E182" s="156">
        <v>239.87</v>
      </c>
      <c r="F182" s="156">
        <f t="shared" si="45"/>
        <v>239.87</v>
      </c>
      <c r="G182" s="156"/>
      <c r="H182" s="156">
        <f t="shared" si="46"/>
        <v>0</v>
      </c>
      <c r="I182" s="156">
        <f t="shared" si="47"/>
        <v>0</v>
      </c>
      <c r="J182" s="156">
        <f t="shared" si="48"/>
        <v>0</v>
      </c>
      <c r="K182" s="80"/>
      <c r="L182" s="81"/>
      <c r="M182" s="7"/>
      <c r="N182" s="80"/>
      <c r="O182" s="80"/>
      <c r="P182" s="91"/>
      <c r="Q182" s="8"/>
      <c r="R182" s="82"/>
      <c r="U182" s="10"/>
      <c r="V182" s="9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</row>
    <row r="183" spans="1:59" ht="42.75">
      <c r="A183" s="156" t="s">
        <v>276</v>
      </c>
      <c r="B183" s="157" t="s">
        <v>277</v>
      </c>
      <c r="C183" s="156" t="s">
        <v>7</v>
      </c>
      <c r="D183" s="156">
        <v>1</v>
      </c>
      <c r="E183" s="156">
        <v>1383.09</v>
      </c>
      <c r="F183" s="156">
        <f t="shared" si="45"/>
        <v>1383.09</v>
      </c>
      <c r="G183" s="156"/>
      <c r="H183" s="156">
        <f t="shared" si="46"/>
        <v>0</v>
      </c>
      <c r="I183" s="156">
        <f t="shared" si="47"/>
        <v>0</v>
      </c>
      <c r="J183" s="156">
        <f t="shared" si="48"/>
        <v>0</v>
      </c>
      <c r="K183" s="80"/>
      <c r="L183" s="81"/>
      <c r="M183" s="7"/>
      <c r="N183" s="80"/>
      <c r="O183" s="80"/>
      <c r="P183" s="91"/>
      <c r="Q183" s="8"/>
      <c r="R183" s="82"/>
      <c r="U183" s="10"/>
      <c r="V183" s="9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</row>
    <row r="184" spans="1:59" ht="28.5">
      <c r="A184" s="156" t="s">
        <v>278</v>
      </c>
      <c r="B184" s="157" t="s">
        <v>279</v>
      </c>
      <c r="C184" s="156" t="s">
        <v>7</v>
      </c>
      <c r="D184" s="156">
        <v>1</v>
      </c>
      <c r="E184" s="156">
        <v>15.07</v>
      </c>
      <c r="F184" s="156">
        <f t="shared" si="45"/>
        <v>15.07</v>
      </c>
      <c r="G184" s="156"/>
      <c r="H184" s="156">
        <f t="shared" si="46"/>
        <v>0</v>
      </c>
      <c r="I184" s="156">
        <f t="shared" si="47"/>
        <v>0</v>
      </c>
      <c r="J184" s="156">
        <f t="shared" si="48"/>
        <v>0</v>
      </c>
      <c r="K184" s="80"/>
      <c r="L184" s="81"/>
      <c r="M184" s="7"/>
      <c r="N184" s="80"/>
      <c r="O184" s="80"/>
      <c r="P184" s="91"/>
      <c r="Q184" s="8"/>
      <c r="R184" s="82"/>
      <c r="U184" s="10"/>
      <c r="V184" s="9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</row>
    <row r="185" spans="1:59" ht="42.75">
      <c r="A185" s="156" t="s">
        <v>280</v>
      </c>
      <c r="B185" s="157" t="s">
        <v>281</v>
      </c>
      <c r="C185" s="156" t="s">
        <v>7</v>
      </c>
      <c r="D185" s="156">
        <v>1</v>
      </c>
      <c r="E185" s="156">
        <v>1197.9000000000001</v>
      </c>
      <c r="F185" s="156">
        <f t="shared" si="45"/>
        <v>1197.9000000000001</v>
      </c>
      <c r="G185" s="156"/>
      <c r="H185" s="156">
        <f t="shared" si="46"/>
        <v>0</v>
      </c>
      <c r="I185" s="156">
        <f t="shared" si="47"/>
        <v>0</v>
      </c>
      <c r="J185" s="156">
        <f t="shared" si="48"/>
        <v>0</v>
      </c>
      <c r="K185" s="80"/>
      <c r="L185" s="81"/>
      <c r="M185" s="7"/>
      <c r="N185" s="80"/>
      <c r="O185" s="80"/>
      <c r="P185" s="91"/>
      <c r="Q185" s="8"/>
      <c r="R185" s="82"/>
      <c r="U185" s="10"/>
      <c r="V185" s="9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</row>
    <row r="186" spans="1:59">
      <c r="A186" s="156"/>
      <c r="B186" s="154"/>
      <c r="C186" s="156"/>
      <c r="D186" s="156"/>
      <c r="E186" s="156"/>
      <c r="F186" s="156"/>
      <c r="G186" s="156"/>
      <c r="H186" s="156"/>
      <c r="I186" s="156"/>
      <c r="J186" s="156"/>
      <c r="K186" s="80"/>
      <c r="L186" s="81"/>
      <c r="M186" s="7"/>
      <c r="N186" s="80"/>
      <c r="O186" s="80"/>
      <c r="P186" s="91"/>
      <c r="Q186" s="8"/>
      <c r="R186" s="82"/>
      <c r="U186" s="10"/>
      <c r="V186" s="9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</row>
    <row r="187" spans="1:59" s="87" customFormat="1">
      <c r="A187" s="164" t="s">
        <v>282</v>
      </c>
      <c r="B187" s="165" t="s">
        <v>283</v>
      </c>
      <c r="C187" s="166"/>
      <c r="D187" s="167"/>
      <c r="E187" s="166"/>
      <c r="F187" s="166">
        <f>SUM(F189:F195)</f>
        <v>7637.2927999999993</v>
      </c>
      <c r="G187" s="166"/>
      <c r="H187" s="166"/>
      <c r="I187" s="166">
        <f>SUM(I189:I195)</f>
        <v>0</v>
      </c>
      <c r="J187" s="166">
        <f>SUM(J189:J195)</f>
        <v>0</v>
      </c>
      <c r="K187" s="97"/>
      <c r="L187" s="98"/>
      <c r="M187" s="7"/>
      <c r="N187" s="97"/>
      <c r="O187" s="97"/>
      <c r="P187" s="79"/>
      <c r="Q187" s="16"/>
      <c r="R187" s="82"/>
      <c r="S187" s="14"/>
      <c r="T187" s="14"/>
      <c r="U187" s="84"/>
      <c r="V187" s="83"/>
      <c r="W187" s="85"/>
      <c r="X187" s="85"/>
      <c r="Y187" s="85"/>
      <c r="Z187" s="85"/>
      <c r="AA187" s="85"/>
      <c r="AB187" s="85"/>
      <c r="AC187" s="85"/>
      <c r="AD187" s="85"/>
      <c r="AE187" s="85"/>
      <c r="AF187" s="85"/>
      <c r="AG187" s="85"/>
      <c r="AH187" s="85"/>
      <c r="AI187" s="86"/>
      <c r="AJ187" s="86"/>
      <c r="AK187" s="86"/>
      <c r="AL187" s="86"/>
      <c r="AM187" s="86"/>
      <c r="AN187" s="86"/>
      <c r="AO187" s="86"/>
      <c r="AP187" s="86"/>
      <c r="AQ187" s="86"/>
      <c r="AR187" s="86"/>
      <c r="AS187" s="86"/>
      <c r="AT187" s="86"/>
      <c r="AU187" s="86"/>
      <c r="AV187" s="86"/>
      <c r="AW187" s="86"/>
      <c r="AX187" s="86"/>
      <c r="AY187" s="86"/>
      <c r="AZ187" s="86"/>
      <c r="BA187" s="86"/>
      <c r="BB187" s="86"/>
      <c r="BC187" s="86"/>
      <c r="BD187" s="86"/>
      <c r="BE187" s="86"/>
      <c r="BF187" s="86"/>
      <c r="BG187" s="86"/>
    </row>
    <row r="188" spans="1:59">
      <c r="A188" s="156"/>
      <c r="B188" s="154"/>
      <c r="C188" s="156"/>
      <c r="D188" s="156"/>
      <c r="E188" s="156"/>
      <c r="F188" s="156"/>
      <c r="G188" s="156"/>
      <c r="H188" s="156"/>
      <c r="I188" s="156"/>
      <c r="J188" s="156"/>
      <c r="K188" s="80"/>
      <c r="L188" s="81"/>
      <c r="M188" s="7"/>
      <c r="N188" s="80"/>
      <c r="O188" s="80"/>
      <c r="P188" s="91"/>
      <c r="Q188" s="8"/>
      <c r="R188" s="82"/>
      <c r="U188" s="10"/>
      <c r="V188" s="9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</row>
    <row r="189" spans="1:59" ht="42.75">
      <c r="A189" s="156" t="s">
        <v>284</v>
      </c>
      <c r="B189" s="157" t="s">
        <v>285</v>
      </c>
      <c r="C189" s="156" t="s">
        <v>7</v>
      </c>
      <c r="D189" s="156">
        <v>30</v>
      </c>
      <c r="E189" s="156">
        <v>12.84</v>
      </c>
      <c r="F189" s="156">
        <f t="shared" ref="F189:F195" si="49">D189*E189</f>
        <v>385.2</v>
      </c>
      <c r="G189" s="156"/>
      <c r="H189" s="156">
        <f t="shared" ref="H189:H195" si="50">G189</f>
        <v>0</v>
      </c>
      <c r="I189" s="156">
        <f t="shared" ref="I189:I195" si="51">G189*E189</f>
        <v>0</v>
      </c>
      <c r="J189" s="156">
        <f t="shared" ref="J189:J195" si="52">I189</f>
        <v>0</v>
      </c>
      <c r="K189" s="80"/>
      <c r="L189" s="81"/>
      <c r="M189" s="7"/>
      <c r="N189" s="80"/>
      <c r="O189" s="80"/>
      <c r="P189" s="91"/>
      <c r="Q189" s="8"/>
      <c r="R189" s="82"/>
      <c r="U189" s="10"/>
      <c r="V189" s="9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</row>
    <row r="190" spans="1:59">
      <c r="A190" s="156" t="s">
        <v>286</v>
      </c>
      <c r="B190" s="157" t="s">
        <v>287</v>
      </c>
      <c r="C190" s="156" t="s">
        <v>7</v>
      </c>
      <c r="D190" s="156">
        <v>1</v>
      </c>
      <c r="E190" s="156">
        <v>1146.02</v>
      </c>
      <c r="F190" s="156">
        <f t="shared" si="49"/>
        <v>1146.02</v>
      </c>
      <c r="G190" s="156"/>
      <c r="H190" s="156">
        <f t="shared" si="50"/>
        <v>0</v>
      </c>
      <c r="I190" s="156">
        <f t="shared" si="51"/>
        <v>0</v>
      </c>
      <c r="J190" s="156">
        <f t="shared" si="52"/>
        <v>0</v>
      </c>
      <c r="K190" s="80"/>
      <c r="L190" s="81"/>
      <c r="M190" s="7"/>
      <c r="N190" s="80"/>
      <c r="O190" s="80"/>
      <c r="P190" s="91"/>
      <c r="Q190" s="8"/>
      <c r="R190" s="82"/>
      <c r="U190" s="10"/>
      <c r="V190" s="9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</row>
    <row r="191" spans="1:59">
      <c r="A191" s="156" t="s">
        <v>288</v>
      </c>
      <c r="B191" s="157" t="s">
        <v>289</v>
      </c>
      <c r="C191" s="156" t="s">
        <v>7</v>
      </c>
      <c r="D191" s="156">
        <v>2</v>
      </c>
      <c r="E191" s="156">
        <v>410.9</v>
      </c>
      <c r="F191" s="156">
        <f t="shared" si="49"/>
        <v>821.8</v>
      </c>
      <c r="G191" s="156"/>
      <c r="H191" s="156">
        <f t="shared" si="50"/>
        <v>0</v>
      </c>
      <c r="I191" s="156">
        <f t="shared" si="51"/>
        <v>0</v>
      </c>
      <c r="J191" s="156">
        <f t="shared" si="52"/>
        <v>0</v>
      </c>
      <c r="K191" s="96"/>
      <c r="L191" s="81"/>
      <c r="M191" s="7"/>
      <c r="N191" s="80"/>
      <c r="O191" s="80"/>
      <c r="P191" s="91"/>
      <c r="Q191" s="8"/>
      <c r="R191" s="82"/>
      <c r="U191" s="10"/>
      <c r="V191" s="9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</row>
    <row r="192" spans="1:59">
      <c r="A192" s="156" t="s">
        <v>290</v>
      </c>
      <c r="B192" s="157" t="s">
        <v>289</v>
      </c>
      <c r="C192" s="156" t="s">
        <v>7</v>
      </c>
      <c r="D192" s="156">
        <v>1</v>
      </c>
      <c r="E192" s="156">
        <v>410.9</v>
      </c>
      <c r="F192" s="156">
        <f t="shared" si="49"/>
        <v>410.9</v>
      </c>
      <c r="G192" s="156"/>
      <c r="H192" s="156">
        <f t="shared" si="50"/>
        <v>0</v>
      </c>
      <c r="I192" s="156">
        <f t="shared" si="51"/>
        <v>0</v>
      </c>
      <c r="J192" s="156">
        <f t="shared" si="52"/>
        <v>0</v>
      </c>
      <c r="K192" s="80"/>
      <c r="L192" s="81"/>
      <c r="M192" s="7"/>
      <c r="N192" s="80"/>
      <c r="O192" s="80"/>
      <c r="P192" s="91"/>
      <c r="Q192" s="8"/>
      <c r="R192" s="82"/>
      <c r="U192" s="10"/>
      <c r="V192" s="9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</row>
    <row r="193" spans="1:59">
      <c r="A193" s="156" t="s">
        <v>291</v>
      </c>
      <c r="B193" s="158" t="s">
        <v>292</v>
      </c>
      <c r="C193" s="156" t="s">
        <v>16</v>
      </c>
      <c r="D193" s="156">
        <v>15.36</v>
      </c>
      <c r="E193" s="156">
        <v>284.23</v>
      </c>
      <c r="F193" s="156">
        <f t="shared" si="49"/>
        <v>4365.7727999999997</v>
      </c>
      <c r="G193" s="156"/>
      <c r="H193" s="156">
        <f t="shared" si="50"/>
        <v>0</v>
      </c>
      <c r="I193" s="156">
        <f t="shared" si="51"/>
        <v>0</v>
      </c>
      <c r="J193" s="156">
        <f t="shared" si="52"/>
        <v>0</v>
      </c>
      <c r="K193" s="80"/>
      <c r="L193" s="81"/>
      <c r="M193" s="7"/>
      <c r="N193" s="80"/>
      <c r="O193" s="80"/>
      <c r="P193" s="91"/>
      <c r="Q193" s="8"/>
      <c r="R193" s="82"/>
      <c r="U193" s="10"/>
      <c r="V193" s="9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</row>
    <row r="194" spans="1:59" ht="28.5">
      <c r="A194" s="156" t="s">
        <v>293</v>
      </c>
      <c r="B194" s="157" t="s">
        <v>294</v>
      </c>
      <c r="C194" s="156" t="s">
        <v>7</v>
      </c>
      <c r="D194" s="156">
        <v>1</v>
      </c>
      <c r="E194" s="156">
        <v>171.9</v>
      </c>
      <c r="F194" s="156">
        <f t="shared" si="49"/>
        <v>171.9</v>
      </c>
      <c r="G194" s="156"/>
      <c r="H194" s="156">
        <f t="shared" si="50"/>
        <v>0</v>
      </c>
      <c r="I194" s="156">
        <f t="shared" si="51"/>
        <v>0</v>
      </c>
      <c r="J194" s="156">
        <f t="shared" si="52"/>
        <v>0</v>
      </c>
      <c r="K194" s="80"/>
      <c r="L194" s="81"/>
      <c r="M194" s="7"/>
      <c r="N194" s="80"/>
      <c r="O194" s="80"/>
      <c r="P194" s="91"/>
      <c r="Q194" s="8"/>
      <c r="R194" s="82"/>
      <c r="U194" s="10"/>
      <c r="V194" s="9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</row>
    <row r="195" spans="1:59" ht="28.5">
      <c r="A195" s="156" t="s">
        <v>295</v>
      </c>
      <c r="B195" s="157" t="s">
        <v>296</v>
      </c>
      <c r="C195" s="156" t="s">
        <v>7</v>
      </c>
      <c r="D195" s="156">
        <v>2</v>
      </c>
      <c r="E195" s="156">
        <v>167.85</v>
      </c>
      <c r="F195" s="156">
        <f t="shared" si="49"/>
        <v>335.7</v>
      </c>
      <c r="G195" s="156"/>
      <c r="H195" s="156">
        <f t="shared" si="50"/>
        <v>0</v>
      </c>
      <c r="I195" s="156">
        <f t="shared" si="51"/>
        <v>0</v>
      </c>
      <c r="J195" s="156">
        <f t="shared" si="52"/>
        <v>0</v>
      </c>
      <c r="K195" s="80"/>
      <c r="L195" s="81"/>
      <c r="M195" s="7"/>
      <c r="N195" s="80"/>
      <c r="O195" s="80"/>
      <c r="P195" s="91"/>
      <c r="Q195" s="8"/>
      <c r="R195" s="82"/>
      <c r="U195" s="10"/>
      <c r="V195" s="9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</row>
    <row r="196" spans="1:59">
      <c r="A196" s="156"/>
      <c r="B196" s="154"/>
      <c r="C196" s="156"/>
      <c r="D196" s="156"/>
      <c r="E196" s="156"/>
      <c r="F196" s="156"/>
      <c r="G196" s="156"/>
      <c r="H196" s="156"/>
      <c r="I196" s="156"/>
      <c r="J196" s="156"/>
      <c r="K196" s="80"/>
      <c r="L196" s="81"/>
      <c r="M196" s="7"/>
      <c r="N196" s="80"/>
      <c r="O196" s="80"/>
      <c r="P196" s="91"/>
      <c r="Q196" s="8"/>
      <c r="R196" s="82"/>
      <c r="U196" s="10"/>
      <c r="V196" s="9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</row>
    <row r="197" spans="1:59" s="87" customFormat="1">
      <c r="A197" s="164" t="s">
        <v>297</v>
      </c>
      <c r="B197" s="165" t="s">
        <v>298</v>
      </c>
      <c r="C197" s="166"/>
      <c r="D197" s="167"/>
      <c r="E197" s="166"/>
      <c r="F197" s="166">
        <f>SUM(F199:F200)</f>
        <v>2055.0042000000003</v>
      </c>
      <c r="G197" s="166"/>
      <c r="H197" s="166"/>
      <c r="I197" s="166">
        <f>SUM(I199:I200)</f>
        <v>0</v>
      </c>
      <c r="J197" s="166">
        <f>SUM(J199:J200)</f>
        <v>0</v>
      </c>
      <c r="K197" s="97"/>
      <c r="L197" s="98"/>
      <c r="M197" s="7"/>
      <c r="N197" s="97"/>
      <c r="O197" s="97"/>
      <c r="P197" s="79"/>
      <c r="Q197" s="16"/>
      <c r="R197" s="82"/>
      <c r="S197" s="14"/>
      <c r="T197" s="14"/>
      <c r="U197" s="84"/>
      <c r="V197" s="83"/>
      <c r="W197" s="85"/>
      <c r="X197" s="85"/>
      <c r="Y197" s="85"/>
      <c r="Z197" s="85"/>
      <c r="AA197" s="85"/>
      <c r="AB197" s="85"/>
      <c r="AC197" s="85"/>
      <c r="AD197" s="85"/>
      <c r="AE197" s="85"/>
      <c r="AF197" s="85"/>
      <c r="AG197" s="85"/>
      <c r="AH197" s="85"/>
      <c r="AI197" s="86"/>
      <c r="AJ197" s="86"/>
      <c r="AK197" s="86"/>
      <c r="AL197" s="86"/>
      <c r="AM197" s="86"/>
      <c r="AN197" s="86"/>
      <c r="AO197" s="86"/>
      <c r="AP197" s="86"/>
      <c r="AQ197" s="86"/>
      <c r="AR197" s="86"/>
      <c r="AS197" s="86"/>
      <c r="AT197" s="86"/>
      <c r="AU197" s="86"/>
      <c r="AV197" s="86"/>
      <c r="AW197" s="86"/>
      <c r="AX197" s="86"/>
      <c r="AY197" s="86"/>
      <c r="AZ197" s="86"/>
      <c r="BA197" s="86"/>
      <c r="BB197" s="86"/>
      <c r="BC197" s="86"/>
      <c r="BD197" s="86"/>
      <c r="BE197" s="86"/>
      <c r="BF197" s="86"/>
      <c r="BG197" s="86"/>
    </row>
    <row r="198" spans="1:59">
      <c r="A198" s="156"/>
      <c r="B198" s="154"/>
      <c r="C198" s="156"/>
      <c r="D198" s="156"/>
      <c r="E198" s="156"/>
      <c r="F198" s="156"/>
      <c r="G198" s="156"/>
      <c r="H198" s="156"/>
      <c r="I198" s="156"/>
      <c r="J198" s="156"/>
      <c r="K198" s="80"/>
      <c r="L198" s="81"/>
      <c r="M198" s="7"/>
      <c r="N198" s="80"/>
      <c r="O198" s="80"/>
      <c r="P198" s="91"/>
      <c r="Q198" s="8"/>
      <c r="R198" s="82"/>
      <c r="U198" s="10"/>
      <c r="V198" s="9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</row>
    <row r="199" spans="1:59">
      <c r="A199" s="156" t="s">
        <v>299</v>
      </c>
      <c r="B199" s="158" t="s">
        <v>300</v>
      </c>
      <c r="C199" s="156" t="s">
        <v>16</v>
      </c>
      <c r="D199" s="156">
        <v>604</v>
      </c>
      <c r="E199" s="156">
        <v>1.73</v>
      </c>
      <c r="F199" s="156">
        <f t="shared" ref="F199:F200" si="53">D199*E199</f>
        <v>1044.92</v>
      </c>
      <c r="G199" s="156"/>
      <c r="H199" s="156">
        <f t="shared" ref="H199:H200" si="54">G199</f>
        <v>0</v>
      </c>
      <c r="I199" s="156">
        <f t="shared" ref="I199:I200" si="55">G199*E199</f>
        <v>0</v>
      </c>
      <c r="J199" s="156">
        <f t="shared" ref="J199:J200" si="56">I199</f>
        <v>0</v>
      </c>
      <c r="K199" s="80"/>
      <c r="L199" s="81"/>
      <c r="M199" s="7"/>
      <c r="N199" s="80"/>
      <c r="O199" s="80"/>
      <c r="P199" s="91"/>
      <c r="Q199" s="8"/>
      <c r="R199" s="82"/>
      <c r="U199" s="10"/>
      <c r="V199" s="9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</row>
    <row r="200" spans="1:59" ht="28.5">
      <c r="A200" s="156" t="s">
        <v>301</v>
      </c>
      <c r="B200" s="157" t="s">
        <v>302</v>
      </c>
      <c r="C200" s="156" t="s">
        <v>17</v>
      </c>
      <c r="D200" s="156">
        <v>81.59</v>
      </c>
      <c r="E200" s="156">
        <v>12.38</v>
      </c>
      <c r="F200" s="156">
        <f t="shared" si="53"/>
        <v>1010.0842000000001</v>
      </c>
      <c r="G200" s="156"/>
      <c r="H200" s="156">
        <f t="shared" si="54"/>
        <v>0</v>
      </c>
      <c r="I200" s="156">
        <f t="shared" si="55"/>
        <v>0</v>
      </c>
      <c r="J200" s="156">
        <f t="shared" si="56"/>
        <v>0</v>
      </c>
      <c r="K200" s="80"/>
      <c r="L200" s="81"/>
      <c r="M200" s="7"/>
      <c r="N200" s="80"/>
      <c r="O200" s="80"/>
      <c r="P200" s="91"/>
      <c r="Q200" s="8"/>
      <c r="R200" s="82"/>
      <c r="U200" s="10"/>
      <c r="V200" s="9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1:59" ht="14.25" customHeight="1">
      <c r="A201" s="156"/>
      <c r="B201" s="154"/>
      <c r="C201" s="156"/>
      <c r="D201" s="156"/>
      <c r="E201" s="156"/>
      <c r="F201" s="156"/>
      <c r="G201" s="156"/>
      <c r="H201" s="156"/>
      <c r="I201" s="156"/>
      <c r="J201" s="156"/>
      <c r="K201" s="80"/>
      <c r="L201" s="81"/>
      <c r="M201" s="7"/>
      <c r="N201" s="80"/>
      <c r="O201" s="80"/>
      <c r="P201" s="91"/>
      <c r="Q201" s="8"/>
      <c r="R201" s="82"/>
      <c r="U201" s="10"/>
      <c r="V201" s="9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</row>
    <row r="202" spans="1:59" ht="14.25" customHeight="1">
      <c r="A202" s="262" t="s">
        <v>303</v>
      </c>
      <c r="B202" s="262"/>
      <c r="C202" s="262"/>
      <c r="D202" s="262"/>
      <c r="E202" s="262"/>
      <c r="F202" s="262"/>
      <c r="G202" s="262"/>
      <c r="H202" s="262"/>
      <c r="I202" s="262"/>
      <c r="J202" s="262"/>
      <c r="K202" s="80"/>
      <c r="L202" s="81"/>
      <c r="M202" s="7"/>
      <c r="N202" s="80"/>
      <c r="O202" s="80"/>
      <c r="P202" s="91"/>
      <c r="Q202" s="8"/>
      <c r="R202" s="82"/>
      <c r="U202" s="10"/>
      <c r="V202" s="9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</row>
    <row r="203" spans="1:59" ht="14.25" customHeight="1">
      <c r="A203" s="262"/>
      <c r="B203" s="262"/>
      <c r="C203" s="262"/>
      <c r="D203" s="262"/>
      <c r="E203" s="262"/>
      <c r="F203" s="262"/>
      <c r="G203" s="262"/>
      <c r="H203" s="262"/>
      <c r="I203" s="262"/>
      <c r="J203" s="262"/>
      <c r="K203" s="80"/>
      <c r="L203" s="81"/>
      <c r="M203" s="7"/>
      <c r="N203" s="80"/>
      <c r="O203" s="80"/>
      <c r="P203" s="91"/>
      <c r="Q203" s="8"/>
      <c r="R203" s="82"/>
      <c r="U203" s="10"/>
      <c r="V203" s="9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</row>
    <row r="204" spans="1:59" s="87" customFormat="1">
      <c r="A204" s="164" t="s">
        <v>11</v>
      </c>
      <c r="B204" s="165" t="s">
        <v>0</v>
      </c>
      <c r="C204" s="166"/>
      <c r="D204" s="167"/>
      <c r="E204" s="166"/>
      <c r="F204" s="166">
        <f>F206</f>
        <v>1165.1199999999999</v>
      </c>
      <c r="G204" s="166"/>
      <c r="H204" s="166"/>
      <c r="I204" s="166">
        <f>I206</f>
        <v>0</v>
      </c>
      <c r="J204" s="166">
        <f>J206</f>
        <v>0</v>
      </c>
      <c r="K204" s="97"/>
      <c r="L204" s="98"/>
      <c r="M204" s="7"/>
      <c r="N204" s="97"/>
      <c r="O204" s="97"/>
      <c r="P204" s="79"/>
      <c r="Q204" s="16"/>
      <c r="R204" s="82"/>
      <c r="S204" s="14"/>
      <c r="T204" s="14"/>
      <c r="U204" s="84"/>
      <c r="V204" s="83"/>
      <c r="W204" s="85"/>
      <c r="X204" s="85"/>
      <c r="Y204" s="85"/>
      <c r="Z204" s="85"/>
      <c r="AA204" s="85"/>
      <c r="AB204" s="85"/>
      <c r="AC204" s="85"/>
      <c r="AD204" s="85"/>
      <c r="AE204" s="85"/>
      <c r="AF204" s="85"/>
      <c r="AG204" s="85"/>
      <c r="AH204" s="85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</row>
    <row r="205" spans="1:59" ht="14.25" customHeight="1">
      <c r="A205" s="156"/>
      <c r="B205" s="154"/>
      <c r="C205" s="156"/>
      <c r="D205" s="156"/>
      <c r="E205" s="156"/>
      <c r="F205" s="156"/>
      <c r="G205" s="156"/>
      <c r="H205" s="156"/>
      <c r="I205" s="156"/>
      <c r="J205" s="156"/>
      <c r="K205" s="80"/>
      <c r="L205" s="81"/>
      <c r="M205" s="7"/>
      <c r="N205" s="80"/>
      <c r="O205" s="80"/>
      <c r="P205" s="91"/>
      <c r="Q205" s="8"/>
      <c r="R205" s="82"/>
      <c r="U205" s="10"/>
      <c r="V205" s="9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</row>
    <row r="206" spans="1:59" ht="28.5">
      <c r="A206" s="156" t="s">
        <v>304</v>
      </c>
      <c r="B206" s="157" t="s">
        <v>305</v>
      </c>
      <c r="C206" s="156" t="s">
        <v>5</v>
      </c>
      <c r="D206" s="156">
        <v>32</v>
      </c>
      <c r="E206" s="156">
        <v>36.409999999999997</v>
      </c>
      <c r="F206" s="156">
        <f t="shared" ref="F206" si="57">D206*E206</f>
        <v>1165.1199999999999</v>
      </c>
      <c r="G206" s="156"/>
      <c r="H206" s="156">
        <f t="shared" ref="H206" si="58">G206</f>
        <v>0</v>
      </c>
      <c r="I206" s="156">
        <f>G206*E206</f>
        <v>0</v>
      </c>
      <c r="J206" s="156">
        <f t="shared" ref="J206" si="59">I206</f>
        <v>0</v>
      </c>
      <c r="K206" s="80"/>
      <c r="L206" s="81"/>
      <c r="M206" s="7"/>
      <c r="N206" s="80"/>
      <c r="O206" s="80"/>
      <c r="P206" s="91"/>
      <c r="Q206" s="8"/>
      <c r="R206" s="82"/>
      <c r="U206" s="10"/>
      <c r="V206" s="9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</row>
    <row r="207" spans="1:59" ht="14.25" customHeight="1">
      <c r="A207" s="156"/>
      <c r="B207" s="154"/>
      <c r="C207" s="156"/>
      <c r="D207" s="156"/>
      <c r="E207" s="156"/>
      <c r="F207" s="156"/>
      <c r="G207" s="156"/>
      <c r="H207" s="156"/>
      <c r="I207" s="156"/>
      <c r="J207" s="156"/>
      <c r="K207" s="80"/>
      <c r="L207" s="81"/>
      <c r="M207" s="7"/>
      <c r="N207" s="80"/>
      <c r="O207" s="80"/>
      <c r="P207" s="91"/>
      <c r="Q207" s="8"/>
      <c r="R207" s="82"/>
      <c r="U207" s="10"/>
      <c r="V207" s="9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</row>
    <row r="208" spans="1:59" ht="14.25" customHeight="1">
      <c r="A208" s="164" t="s">
        <v>13</v>
      </c>
      <c r="B208" s="165" t="s">
        <v>12</v>
      </c>
      <c r="C208" s="166"/>
      <c r="D208" s="167"/>
      <c r="E208" s="166"/>
      <c r="F208" s="166">
        <f>SUM(F210:F211)</f>
        <v>1010.024</v>
      </c>
      <c r="G208" s="166"/>
      <c r="H208" s="166"/>
      <c r="I208" s="166">
        <f>SUM(I210:I211)</f>
        <v>0</v>
      </c>
      <c r="J208" s="166">
        <f>SUM(J210:J211)</f>
        <v>0</v>
      </c>
      <c r="K208" s="80"/>
      <c r="L208" s="81"/>
      <c r="M208" s="7"/>
      <c r="N208" s="80"/>
      <c r="O208" s="80"/>
      <c r="P208" s="91"/>
      <c r="Q208" s="8"/>
      <c r="R208" s="82"/>
      <c r="U208" s="10"/>
      <c r="V208" s="9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</row>
    <row r="209" spans="1:59" ht="14.25" customHeight="1">
      <c r="A209" s="156"/>
      <c r="B209" s="154"/>
      <c r="C209" s="156"/>
      <c r="D209" s="156"/>
      <c r="E209" s="156"/>
      <c r="F209" s="156"/>
      <c r="G209" s="156"/>
      <c r="H209" s="156"/>
      <c r="I209" s="156"/>
      <c r="J209" s="156"/>
      <c r="K209" s="80"/>
      <c r="L209" s="81"/>
      <c r="M209" s="7"/>
      <c r="N209" s="80"/>
      <c r="O209" s="80"/>
      <c r="P209" s="91"/>
      <c r="Q209" s="8"/>
      <c r="R209" s="82"/>
      <c r="U209" s="10"/>
      <c r="V209" s="9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</row>
    <row r="210" spans="1:59" ht="28.5">
      <c r="A210" s="156" t="s">
        <v>306</v>
      </c>
      <c r="B210" s="157" t="s">
        <v>52</v>
      </c>
      <c r="C210" s="156" t="s">
        <v>17</v>
      </c>
      <c r="D210" s="156">
        <v>18.2</v>
      </c>
      <c r="E210" s="156">
        <v>8.32</v>
      </c>
      <c r="F210" s="156">
        <f t="shared" ref="F210:F211" si="60">D210*E210</f>
        <v>151.42400000000001</v>
      </c>
      <c r="G210" s="156"/>
      <c r="H210" s="156">
        <f t="shared" ref="H210" si="61">G210</f>
        <v>0</v>
      </c>
      <c r="I210" s="156">
        <f>G210*E210</f>
        <v>0</v>
      </c>
      <c r="J210" s="156">
        <f t="shared" ref="J210" si="62">I210</f>
        <v>0</v>
      </c>
      <c r="K210" s="80"/>
      <c r="L210" s="81"/>
      <c r="M210" s="7"/>
      <c r="N210" s="80"/>
      <c r="O210" s="80"/>
      <c r="P210" s="91"/>
      <c r="Q210" s="8"/>
      <c r="R210" s="82"/>
      <c r="U210" s="10"/>
      <c r="V210" s="9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</row>
    <row r="211" spans="1:59" ht="28.5">
      <c r="A211" s="156" t="s">
        <v>307</v>
      </c>
      <c r="B211" s="157" t="s">
        <v>59</v>
      </c>
      <c r="C211" s="156" t="s">
        <v>17</v>
      </c>
      <c r="D211" s="156">
        <v>2.5</v>
      </c>
      <c r="E211" s="156">
        <v>343.44</v>
      </c>
      <c r="F211" s="156">
        <f t="shared" si="60"/>
        <v>858.6</v>
      </c>
      <c r="G211" s="156"/>
      <c r="H211" s="156">
        <f t="shared" ref="H211" si="63">G211</f>
        <v>0</v>
      </c>
      <c r="I211" s="156">
        <f t="shared" ref="I211" si="64">G211*E211</f>
        <v>0</v>
      </c>
      <c r="J211" s="156">
        <f t="shared" ref="J211" si="65">I211</f>
        <v>0</v>
      </c>
      <c r="K211" s="80"/>
      <c r="L211" s="81"/>
      <c r="M211" s="7"/>
      <c r="N211" s="80"/>
      <c r="O211" s="80"/>
      <c r="P211" s="91"/>
      <c r="Q211" s="8"/>
      <c r="R211" s="82"/>
      <c r="U211" s="10"/>
      <c r="V211" s="9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</row>
    <row r="212" spans="1:59">
      <c r="A212" s="156"/>
      <c r="B212" s="157"/>
      <c r="C212" s="156"/>
      <c r="D212" s="156"/>
      <c r="E212" s="156"/>
      <c r="F212" s="156"/>
      <c r="G212" s="156"/>
      <c r="H212" s="156"/>
      <c r="I212" s="156"/>
      <c r="J212" s="156"/>
      <c r="K212" s="80"/>
      <c r="L212" s="81"/>
      <c r="M212" s="7"/>
      <c r="N212" s="80"/>
      <c r="O212" s="80"/>
      <c r="P212" s="91"/>
      <c r="Q212" s="8"/>
      <c r="R212" s="82"/>
      <c r="U212" s="10"/>
      <c r="V212" s="9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</row>
    <row r="213" spans="1:59" ht="14.25" customHeight="1">
      <c r="A213" s="164" t="s">
        <v>24</v>
      </c>
      <c r="B213" s="165" t="s">
        <v>18</v>
      </c>
      <c r="C213" s="166"/>
      <c r="D213" s="167"/>
      <c r="E213" s="166"/>
      <c r="F213" s="166">
        <f>SUM(F214:F217)</f>
        <v>3841.8999999999996</v>
      </c>
      <c r="G213" s="166"/>
      <c r="H213" s="166"/>
      <c r="I213" s="166">
        <f>SUM(I214:I217)</f>
        <v>0</v>
      </c>
      <c r="J213" s="166">
        <f>SUM(J214:J217)</f>
        <v>0</v>
      </c>
      <c r="K213" s="80"/>
      <c r="L213" s="81"/>
      <c r="M213" s="7"/>
      <c r="N213" s="80"/>
      <c r="O213" s="80"/>
      <c r="P213" s="91"/>
      <c r="Q213" s="8"/>
      <c r="R213" s="82"/>
      <c r="U213" s="10"/>
      <c r="V213" s="9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</row>
    <row r="214" spans="1:59">
      <c r="A214" s="156"/>
      <c r="B214" s="157"/>
      <c r="C214" s="156"/>
      <c r="D214" s="156"/>
      <c r="E214" s="156"/>
      <c r="F214" s="156"/>
      <c r="G214" s="156"/>
      <c r="H214" s="156"/>
      <c r="I214" s="156"/>
      <c r="J214" s="156"/>
      <c r="K214" s="80"/>
      <c r="L214" s="81"/>
      <c r="M214" s="7"/>
      <c r="N214" s="80"/>
      <c r="O214" s="80"/>
      <c r="P214" s="91"/>
      <c r="Q214" s="8"/>
      <c r="R214" s="82"/>
      <c r="U214" s="10"/>
      <c r="V214" s="9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</row>
    <row r="215" spans="1:59">
      <c r="A215" s="156" t="s">
        <v>309</v>
      </c>
      <c r="B215" s="158" t="s">
        <v>63</v>
      </c>
      <c r="C215" s="156" t="s">
        <v>17</v>
      </c>
      <c r="D215" s="156">
        <v>0.7</v>
      </c>
      <c r="E215" s="156">
        <v>402.72</v>
      </c>
      <c r="F215" s="156">
        <f t="shared" ref="F215:F216" si="66">D215*E215</f>
        <v>281.904</v>
      </c>
      <c r="G215" s="156"/>
      <c r="H215" s="156">
        <f t="shared" ref="H215:H216" si="67">G215</f>
        <v>0</v>
      </c>
      <c r="I215" s="156">
        <f t="shared" ref="I215:I216" si="68">G215*E215</f>
        <v>0</v>
      </c>
      <c r="J215" s="156">
        <f t="shared" ref="J215:J216" si="69">I215</f>
        <v>0</v>
      </c>
      <c r="K215" s="80"/>
      <c r="L215" s="81"/>
      <c r="M215" s="7"/>
      <c r="N215" s="80"/>
      <c r="O215" s="80"/>
      <c r="P215" s="91"/>
      <c r="Q215" s="8"/>
      <c r="R215" s="82"/>
      <c r="U215" s="10"/>
      <c r="V215" s="9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</row>
    <row r="216" spans="1:59" ht="28.5">
      <c r="A216" s="156" t="s">
        <v>310</v>
      </c>
      <c r="B216" s="157" t="s">
        <v>308</v>
      </c>
      <c r="C216" s="156" t="s">
        <v>17</v>
      </c>
      <c r="D216" s="156">
        <v>1.5</v>
      </c>
      <c r="E216" s="156">
        <v>1618.18</v>
      </c>
      <c r="F216" s="156">
        <f t="shared" si="66"/>
        <v>2427.27</v>
      </c>
      <c r="G216" s="156"/>
      <c r="H216" s="156">
        <f t="shared" si="67"/>
        <v>0</v>
      </c>
      <c r="I216" s="156">
        <f t="shared" si="68"/>
        <v>0</v>
      </c>
      <c r="J216" s="156">
        <f t="shared" si="69"/>
        <v>0</v>
      </c>
      <c r="K216" s="80"/>
      <c r="L216" s="81"/>
      <c r="M216" s="7"/>
      <c r="N216" s="80"/>
      <c r="O216" s="80"/>
      <c r="P216" s="91"/>
      <c r="Q216" s="8"/>
      <c r="R216" s="82"/>
      <c r="U216" s="10"/>
      <c r="V216" s="9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</row>
    <row r="217" spans="1:59" ht="42.75">
      <c r="A217" s="156" t="s">
        <v>311</v>
      </c>
      <c r="B217" s="157" t="s">
        <v>312</v>
      </c>
      <c r="C217" s="156" t="s">
        <v>17</v>
      </c>
      <c r="D217" s="156">
        <v>0.7</v>
      </c>
      <c r="E217" s="156">
        <v>1618.18</v>
      </c>
      <c r="F217" s="156">
        <f t="shared" ref="F217" si="70">D217*E217</f>
        <v>1132.7259999999999</v>
      </c>
      <c r="G217" s="156"/>
      <c r="H217" s="156">
        <f t="shared" ref="H217" si="71">G217</f>
        <v>0</v>
      </c>
      <c r="I217" s="156">
        <f t="shared" ref="I217" si="72">G217*E217</f>
        <v>0</v>
      </c>
      <c r="J217" s="156">
        <f t="shared" ref="J217" si="73">I217</f>
        <v>0</v>
      </c>
      <c r="K217" s="80"/>
      <c r="L217" s="81"/>
      <c r="M217" s="7"/>
      <c r="N217" s="80"/>
      <c r="O217" s="80"/>
      <c r="P217" s="91"/>
      <c r="Q217" s="8"/>
      <c r="R217" s="82"/>
      <c r="U217" s="10"/>
      <c r="V217" s="9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</row>
    <row r="218" spans="1:59">
      <c r="A218" s="156"/>
      <c r="B218" s="157"/>
      <c r="C218" s="156"/>
      <c r="D218" s="156"/>
      <c r="E218" s="156"/>
      <c r="F218" s="156"/>
      <c r="G218" s="156"/>
      <c r="H218" s="156"/>
      <c r="I218" s="156"/>
      <c r="J218" s="156"/>
      <c r="K218" s="80"/>
      <c r="L218" s="81"/>
      <c r="M218" s="7"/>
      <c r="N218" s="80"/>
      <c r="O218" s="80"/>
      <c r="P218" s="91"/>
      <c r="Q218" s="8"/>
      <c r="R218" s="82"/>
      <c r="U218" s="10"/>
      <c r="V218" s="9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</row>
    <row r="219" spans="1:59" ht="14.25" customHeight="1">
      <c r="A219" s="164" t="s">
        <v>313</v>
      </c>
      <c r="B219" s="165" t="s">
        <v>2</v>
      </c>
      <c r="C219" s="166"/>
      <c r="D219" s="167"/>
      <c r="E219" s="166"/>
      <c r="F219" s="166">
        <f>SUM(F220:F221)</f>
        <v>1278.0739999999998</v>
      </c>
      <c r="G219" s="166"/>
      <c r="H219" s="166"/>
      <c r="I219" s="166">
        <f>SUM(I220:I221)</f>
        <v>0</v>
      </c>
      <c r="J219" s="166">
        <f>SUM(J220:J221)</f>
        <v>0</v>
      </c>
      <c r="K219" s="80"/>
      <c r="L219" s="81"/>
      <c r="M219" s="7"/>
      <c r="N219" s="80"/>
      <c r="O219" s="80"/>
      <c r="P219" s="91"/>
      <c r="Q219" s="8"/>
      <c r="R219" s="82"/>
      <c r="U219" s="10"/>
      <c r="V219" s="9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</row>
    <row r="220" spans="1:59">
      <c r="A220" s="156"/>
      <c r="B220" s="157"/>
      <c r="C220" s="156"/>
      <c r="D220" s="156"/>
      <c r="E220" s="156"/>
      <c r="F220" s="156"/>
      <c r="G220" s="156"/>
      <c r="H220" s="156"/>
      <c r="I220" s="156"/>
      <c r="J220" s="156"/>
      <c r="K220" s="80"/>
      <c r="L220" s="81"/>
      <c r="M220" s="7"/>
      <c r="N220" s="80"/>
      <c r="O220" s="80"/>
      <c r="P220" s="91"/>
      <c r="Q220" s="8"/>
      <c r="R220" s="82"/>
      <c r="U220" s="10"/>
      <c r="V220" s="9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</row>
    <row r="221" spans="1:59" ht="42.75">
      <c r="A221" s="156" t="s">
        <v>314</v>
      </c>
      <c r="B221" s="157" t="s">
        <v>315</v>
      </c>
      <c r="C221" s="156" t="s">
        <v>17</v>
      </c>
      <c r="D221" s="156">
        <v>0.7</v>
      </c>
      <c r="E221" s="156">
        <v>1825.82</v>
      </c>
      <c r="F221" s="156">
        <f t="shared" ref="F221" si="74">D221*E221</f>
        <v>1278.0739999999998</v>
      </c>
      <c r="G221" s="156"/>
      <c r="H221" s="156">
        <f t="shared" ref="H221" si="75">G221</f>
        <v>0</v>
      </c>
      <c r="I221" s="156">
        <f t="shared" ref="I221" si="76">G221*E221</f>
        <v>0</v>
      </c>
      <c r="J221" s="156">
        <f t="shared" ref="J221" si="77">I221</f>
        <v>0</v>
      </c>
      <c r="K221" s="80"/>
      <c r="L221" s="81"/>
      <c r="M221" s="7"/>
      <c r="N221" s="80"/>
      <c r="O221" s="80"/>
      <c r="P221" s="91"/>
      <c r="Q221" s="8"/>
      <c r="R221" s="82"/>
      <c r="U221" s="10"/>
      <c r="V221" s="9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</row>
    <row r="222" spans="1:59">
      <c r="A222" s="156"/>
      <c r="B222" s="157"/>
      <c r="C222" s="156"/>
      <c r="D222" s="156"/>
      <c r="E222" s="156"/>
      <c r="F222" s="156"/>
      <c r="G222" s="156"/>
      <c r="H222" s="156"/>
      <c r="I222" s="156"/>
      <c r="J222" s="156"/>
      <c r="K222" s="80"/>
      <c r="L222" s="81"/>
      <c r="M222" s="7"/>
      <c r="N222" s="80"/>
      <c r="O222" s="80"/>
      <c r="P222" s="91"/>
      <c r="Q222" s="8"/>
      <c r="R222" s="82"/>
      <c r="U222" s="10"/>
      <c r="V222" s="9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</row>
    <row r="223" spans="1:59" ht="14.25" customHeight="1">
      <c r="A223" s="164" t="s">
        <v>316</v>
      </c>
      <c r="B223" s="165" t="s">
        <v>317</v>
      </c>
      <c r="C223" s="166"/>
      <c r="D223" s="167"/>
      <c r="E223" s="166"/>
      <c r="F223" s="166">
        <f>SUM(F224:F225)</f>
        <v>255.65</v>
      </c>
      <c r="G223" s="166"/>
      <c r="H223" s="166"/>
      <c r="I223" s="166">
        <f>SUM(I224:I225)</f>
        <v>0</v>
      </c>
      <c r="J223" s="166">
        <f>SUM(J224:J225)</f>
        <v>0</v>
      </c>
      <c r="K223" s="80"/>
      <c r="L223" s="81"/>
      <c r="M223" s="7"/>
      <c r="N223" s="80"/>
      <c r="O223" s="80"/>
      <c r="P223" s="91"/>
      <c r="Q223" s="8"/>
      <c r="R223" s="82"/>
      <c r="U223" s="10"/>
      <c r="V223" s="9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</row>
    <row r="224" spans="1:59">
      <c r="A224" s="156"/>
      <c r="B224" s="157"/>
      <c r="C224" s="156"/>
      <c r="D224" s="156"/>
      <c r="E224" s="156"/>
      <c r="F224" s="156"/>
      <c r="G224" s="156"/>
      <c r="H224" s="156"/>
      <c r="I224" s="156"/>
      <c r="J224" s="156"/>
      <c r="K224" s="80"/>
      <c r="L224" s="81"/>
      <c r="M224" s="7"/>
      <c r="N224" s="80"/>
      <c r="O224" s="80"/>
      <c r="P224" s="91"/>
      <c r="Q224" s="8"/>
      <c r="R224" s="82"/>
      <c r="U224" s="10"/>
      <c r="V224" s="9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</row>
    <row r="225" spans="1:59" ht="57">
      <c r="A225" s="156" t="s">
        <v>318</v>
      </c>
      <c r="B225" s="157" t="s">
        <v>80</v>
      </c>
      <c r="C225" s="156" t="s">
        <v>16</v>
      </c>
      <c r="D225" s="156">
        <v>5</v>
      </c>
      <c r="E225" s="156">
        <v>51.13</v>
      </c>
      <c r="F225" s="156">
        <f t="shared" ref="F225" si="78">D225*E225</f>
        <v>255.65</v>
      </c>
      <c r="G225" s="156"/>
      <c r="H225" s="156">
        <f t="shared" ref="H225" si="79">G225</f>
        <v>0</v>
      </c>
      <c r="I225" s="156">
        <f t="shared" ref="I225" si="80">G225*E225</f>
        <v>0</v>
      </c>
      <c r="J225" s="156">
        <f t="shared" ref="J225" si="81">I225</f>
        <v>0</v>
      </c>
      <c r="K225" s="80"/>
      <c r="L225" s="81"/>
      <c r="M225" s="7"/>
      <c r="N225" s="80"/>
      <c r="O225" s="80"/>
      <c r="P225" s="91"/>
      <c r="Q225" s="8"/>
      <c r="R225" s="82"/>
      <c r="U225" s="10"/>
      <c r="V225" s="9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</row>
    <row r="226" spans="1:59">
      <c r="A226" s="156"/>
      <c r="B226" s="157"/>
      <c r="C226" s="156"/>
      <c r="D226" s="156"/>
      <c r="E226" s="156"/>
      <c r="F226" s="156"/>
      <c r="G226" s="156"/>
      <c r="H226" s="156"/>
      <c r="I226" s="156"/>
      <c r="J226" s="156"/>
      <c r="K226" s="80"/>
      <c r="L226" s="81"/>
      <c r="M226" s="7"/>
      <c r="N226" s="80"/>
      <c r="O226" s="80"/>
      <c r="P226" s="91"/>
      <c r="Q226" s="8"/>
      <c r="R226" s="82"/>
      <c r="U226" s="10"/>
      <c r="V226" s="9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</row>
    <row r="227" spans="1:59" ht="14.25" customHeight="1">
      <c r="A227" s="164" t="s">
        <v>319</v>
      </c>
      <c r="B227" s="165" t="s">
        <v>320</v>
      </c>
      <c r="C227" s="166"/>
      <c r="D227" s="167"/>
      <c r="E227" s="166"/>
      <c r="F227" s="166">
        <f>SUM(F228:F232)</f>
        <v>3504.9420000000005</v>
      </c>
      <c r="G227" s="166"/>
      <c r="H227" s="166"/>
      <c r="I227" s="166">
        <f>SUM(I228:I232)</f>
        <v>0</v>
      </c>
      <c r="J227" s="166">
        <f>SUM(J228:J232)</f>
        <v>0</v>
      </c>
      <c r="K227" s="80"/>
      <c r="L227" s="81"/>
      <c r="M227" s="7"/>
      <c r="N227" s="80"/>
      <c r="O227" s="80"/>
      <c r="P227" s="91"/>
      <c r="Q227" s="8"/>
      <c r="R227" s="82"/>
      <c r="U227" s="10"/>
      <c r="V227" s="9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</row>
    <row r="228" spans="1:59">
      <c r="A228" s="156"/>
      <c r="B228" s="157"/>
      <c r="C228" s="156"/>
      <c r="D228" s="156"/>
      <c r="E228" s="156"/>
      <c r="F228" s="156"/>
      <c r="G228" s="156"/>
      <c r="H228" s="156"/>
      <c r="I228" s="156"/>
      <c r="J228" s="156"/>
      <c r="K228" s="80"/>
      <c r="L228" s="81"/>
      <c r="M228" s="7"/>
      <c r="N228" s="80"/>
      <c r="O228" s="80"/>
      <c r="P228" s="91"/>
      <c r="Q228" s="8"/>
      <c r="R228" s="82"/>
      <c r="U228" s="10"/>
      <c r="V228" s="9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</row>
    <row r="229" spans="1:59" ht="42.75">
      <c r="A229" s="156" t="s">
        <v>321</v>
      </c>
      <c r="B229" s="157" t="s">
        <v>110</v>
      </c>
      <c r="C229" s="156" t="s">
        <v>16</v>
      </c>
      <c r="D229" s="156">
        <v>43</v>
      </c>
      <c r="E229" s="156">
        <v>22.8</v>
      </c>
      <c r="F229" s="156">
        <f t="shared" ref="F229:F232" si="82">D229*E229</f>
        <v>980.4</v>
      </c>
      <c r="G229" s="156"/>
      <c r="H229" s="156">
        <f t="shared" ref="H229:H231" si="83">G229</f>
        <v>0</v>
      </c>
      <c r="I229" s="156">
        <f t="shared" ref="I229:I231" si="84">G229*E229</f>
        <v>0</v>
      </c>
      <c r="J229" s="156">
        <f t="shared" ref="J229:J231" si="85">I229</f>
        <v>0</v>
      </c>
      <c r="K229" s="80"/>
      <c r="L229" s="81"/>
      <c r="M229" s="7"/>
      <c r="N229" s="80"/>
      <c r="O229" s="80"/>
      <c r="P229" s="91"/>
      <c r="Q229" s="8"/>
      <c r="R229" s="82"/>
      <c r="U229" s="10"/>
      <c r="V229" s="9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</row>
    <row r="230" spans="1:59" ht="42.75">
      <c r="A230" s="156" t="s">
        <v>322</v>
      </c>
      <c r="B230" s="157" t="s">
        <v>323</v>
      </c>
      <c r="C230" s="156" t="s">
        <v>7</v>
      </c>
      <c r="D230" s="156">
        <v>4</v>
      </c>
      <c r="E230" s="156">
        <v>319.25</v>
      </c>
      <c r="F230" s="156">
        <f t="shared" si="82"/>
        <v>1277</v>
      </c>
      <c r="G230" s="156"/>
      <c r="H230" s="156">
        <f t="shared" si="83"/>
        <v>0</v>
      </c>
      <c r="I230" s="156">
        <f t="shared" si="84"/>
        <v>0</v>
      </c>
      <c r="J230" s="156">
        <f t="shared" si="85"/>
        <v>0</v>
      </c>
      <c r="K230" s="80"/>
      <c r="L230" s="81"/>
      <c r="M230" s="7"/>
      <c r="N230" s="80"/>
      <c r="O230" s="80"/>
      <c r="P230" s="91"/>
      <c r="Q230" s="8"/>
      <c r="R230" s="82"/>
      <c r="U230" s="10"/>
      <c r="V230" s="9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</row>
    <row r="231" spans="1:59" ht="28.5">
      <c r="A231" s="156" t="s">
        <v>324</v>
      </c>
      <c r="B231" s="157" t="s">
        <v>114</v>
      </c>
      <c r="C231" s="156" t="s">
        <v>16</v>
      </c>
      <c r="D231" s="156">
        <v>43</v>
      </c>
      <c r="E231" s="156">
        <v>25.93</v>
      </c>
      <c r="F231" s="156">
        <f t="shared" si="82"/>
        <v>1114.99</v>
      </c>
      <c r="G231" s="156"/>
      <c r="H231" s="156">
        <f t="shared" si="83"/>
        <v>0</v>
      </c>
      <c r="I231" s="156">
        <f t="shared" si="84"/>
        <v>0</v>
      </c>
      <c r="J231" s="156">
        <f t="shared" si="85"/>
        <v>0</v>
      </c>
      <c r="K231" s="80"/>
      <c r="L231" s="81"/>
      <c r="M231" s="7"/>
      <c r="N231" s="80"/>
      <c r="O231" s="80"/>
      <c r="P231" s="91"/>
      <c r="Q231" s="8"/>
      <c r="R231" s="82"/>
      <c r="U231" s="10"/>
      <c r="V231" s="9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</row>
    <row r="232" spans="1:59" ht="43.5" customHeight="1">
      <c r="A232" s="156" t="s">
        <v>325</v>
      </c>
      <c r="B232" s="157" t="s">
        <v>116</v>
      </c>
      <c r="C232" s="156" t="s">
        <v>6</v>
      </c>
      <c r="D232" s="156">
        <v>12.6</v>
      </c>
      <c r="E232" s="156">
        <v>10.52</v>
      </c>
      <c r="F232" s="156">
        <f t="shared" si="82"/>
        <v>132.55199999999999</v>
      </c>
      <c r="G232" s="156"/>
      <c r="H232" s="156">
        <f t="shared" ref="H232" si="86">G232</f>
        <v>0</v>
      </c>
      <c r="I232" s="156">
        <f t="shared" ref="I232" si="87">G232*E232</f>
        <v>0</v>
      </c>
      <c r="J232" s="156">
        <f t="shared" ref="J232" si="88">I232</f>
        <v>0</v>
      </c>
      <c r="K232" s="80"/>
      <c r="L232" s="81"/>
      <c r="M232" s="7"/>
      <c r="N232" s="80"/>
      <c r="O232" s="80"/>
      <c r="P232" s="91"/>
      <c r="Q232" s="8"/>
      <c r="R232" s="82"/>
      <c r="U232" s="10"/>
      <c r="V232" s="9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</row>
    <row r="233" spans="1:59">
      <c r="A233" s="156"/>
      <c r="B233" s="157"/>
      <c r="C233" s="156"/>
      <c r="D233" s="156"/>
      <c r="E233" s="156"/>
      <c r="F233" s="156"/>
      <c r="G233" s="156"/>
      <c r="H233" s="156"/>
      <c r="I233" s="156"/>
      <c r="J233" s="156"/>
      <c r="K233" s="80"/>
      <c r="L233" s="81"/>
      <c r="M233" s="7"/>
      <c r="N233" s="80"/>
      <c r="O233" s="80"/>
      <c r="P233" s="91"/>
      <c r="Q233" s="8"/>
      <c r="R233" s="82"/>
      <c r="U233" s="10"/>
      <c r="V233" s="9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</row>
    <row r="234" spans="1:59" ht="14.25" customHeight="1">
      <c r="A234" s="164" t="s">
        <v>326</v>
      </c>
      <c r="B234" s="165" t="s">
        <v>327</v>
      </c>
      <c r="C234" s="166"/>
      <c r="D234" s="167"/>
      <c r="E234" s="166"/>
      <c r="F234" s="166">
        <f>SUM(F235:F238)</f>
        <v>4838.8566000000001</v>
      </c>
      <c r="G234" s="166"/>
      <c r="H234" s="166"/>
      <c r="I234" s="166">
        <f>SUM(I235:I238)</f>
        <v>0</v>
      </c>
      <c r="J234" s="166">
        <f>SUM(J235:J238)</f>
        <v>0</v>
      </c>
      <c r="K234" s="80"/>
      <c r="L234" s="81"/>
      <c r="M234" s="7"/>
      <c r="N234" s="80"/>
      <c r="O234" s="80"/>
      <c r="P234" s="91"/>
      <c r="Q234" s="8"/>
      <c r="R234" s="82"/>
      <c r="U234" s="10"/>
      <c r="V234" s="9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</row>
    <row r="235" spans="1:59">
      <c r="A235" s="156"/>
      <c r="B235" s="157"/>
      <c r="C235" s="156"/>
      <c r="D235" s="156"/>
      <c r="E235" s="156"/>
      <c r="F235" s="156"/>
      <c r="G235" s="156"/>
      <c r="H235" s="156"/>
      <c r="I235" s="156"/>
      <c r="J235" s="156"/>
      <c r="K235" s="80"/>
      <c r="L235" s="81"/>
      <c r="M235" s="7"/>
      <c r="N235" s="80"/>
      <c r="O235" s="80"/>
      <c r="P235" s="91"/>
      <c r="Q235" s="8"/>
      <c r="R235" s="82"/>
      <c r="U235" s="10"/>
      <c r="V235" s="9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</row>
    <row r="236" spans="1:59" ht="42.75">
      <c r="A236" s="156" t="s">
        <v>328</v>
      </c>
      <c r="B236" s="157" t="s">
        <v>128</v>
      </c>
      <c r="C236" s="156" t="s">
        <v>16</v>
      </c>
      <c r="D236" s="156">
        <v>106.23</v>
      </c>
      <c r="E236" s="156">
        <v>2.92</v>
      </c>
      <c r="F236" s="156">
        <f t="shared" ref="F236:F238" si="89">D236*E236</f>
        <v>310.19159999999999</v>
      </c>
      <c r="G236" s="156"/>
      <c r="H236" s="156">
        <f t="shared" ref="H236:H238" si="90">G236</f>
        <v>0</v>
      </c>
      <c r="I236" s="156">
        <f t="shared" ref="I236:I238" si="91">G236*E236</f>
        <v>0</v>
      </c>
      <c r="J236" s="156">
        <f t="shared" ref="J236:J238" si="92">I236</f>
        <v>0</v>
      </c>
      <c r="K236" s="80"/>
      <c r="L236" s="81"/>
      <c r="M236" s="7"/>
      <c r="N236" s="80"/>
      <c r="O236" s="80"/>
      <c r="P236" s="91"/>
      <c r="Q236" s="8"/>
      <c r="R236" s="82"/>
      <c r="U236" s="10"/>
      <c r="V236" s="9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</row>
    <row r="237" spans="1:59" ht="60" customHeight="1">
      <c r="A237" s="156" t="s">
        <v>329</v>
      </c>
      <c r="B237" s="157" t="s">
        <v>130</v>
      </c>
      <c r="C237" s="156" t="s">
        <v>16</v>
      </c>
      <c r="D237" s="156">
        <v>30.72</v>
      </c>
      <c r="E237" s="156">
        <v>21.42</v>
      </c>
      <c r="F237" s="156">
        <f t="shared" si="89"/>
        <v>658.02240000000006</v>
      </c>
      <c r="G237" s="156"/>
      <c r="H237" s="156">
        <f t="shared" si="90"/>
        <v>0</v>
      </c>
      <c r="I237" s="156">
        <f t="shared" si="91"/>
        <v>0</v>
      </c>
      <c r="J237" s="156">
        <f t="shared" si="92"/>
        <v>0</v>
      </c>
      <c r="K237" s="80"/>
      <c r="L237" s="81"/>
      <c r="M237" s="7"/>
      <c r="N237" s="80"/>
      <c r="O237" s="80"/>
      <c r="P237" s="91"/>
      <c r="Q237" s="8"/>
      <c r="R237" s="82"/>
      <c r="U237" s="10"/>
      <c r="V237" s="9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</row>
    <row r="238" spans="1:59" ht="42.75">
      <c r="A238" s="156" t="s">
        <v>330</v>
      </c>
      <c r="B238" s="157" t="s">
        <v>134</v>
      </c>
      <c r="C238" s="156" t="s">
        <v>16</v>
      </c>
      <c r="D238" s="156">
        <v>75.510000000000005</v>
      </c>
      <c r="E238" s="156">
        <v>51.26</v>
      </c>
      <c r="F238" s="156">
        <f t="shared" si="89"/>
        <v>3870.6426000000001</v>
      </c>
      <c r="G238" s="156"/>
      <c r="H238" s="156">
        <f t="shared" si="90"/>
        <v>0</v>
      </c>
      <c r="I238" s="156">
        <f t="shared" si="91"/>
        <v>0</v>
      </c>
      <c r="J238" s="156">
        <f t="shared" si="92"/>
        <v>0</v>
      </c>
      <c r="K238" s="80"/>
      <c r="L238" s="81"/>
      <c r="M238" s="7"/>
      <c r="N238" s="80"/>
      <c r="O238" s="80"/>
      <c r="P238" s="91"/>
      <c r="Q238" s="8"/>
      <c r="R238" s="82"/>
      <c r="U238" s="10"/>
      <c r="V238" s="9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</row>
    <row r="239" spans="1:59">
      <c r="A239" s="156"/>
      <c r="B239" s="157"/>
      <c r="C239" s="156"/>
      <c r="D239" s="156"/>
      <c r="E239" s="156"/>
      <c r="F239" s="156"/>
      <c r="G239" s="156"/>
      <c r="H239" s="156"/>
      <c r="I239" s="156"/>
      <c r="J239" s="156"/>
      <c r="K239" s="80"/>
      <c r="L239" s="81"/>
      <c r="M239" s="7"/>
      <c r="N239" s="80"/>
      <c r="O239" s="80"/>
      <c r="P239" s="91"/>
      <c r="Q239" s="8"/>
      <c r="R239" s="82"/>
      <c r="U239" s="10"/>
      <c r="V239" s="9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</row>
    <row r="240" spans="1:59" ht="14.25" customHeight="1">
      <c r="A240" s="164" t="s">
        <v>331</v>
      </c>
      <c r="B240" s="165" t="s">
        <v>332</v>
      </c>
      <c r="C240" s="166"/>
      <c r="D240" s="167"/>
      <c r="E240" s="166"/>
      <c r="F240" s="166">
        <f>SUM(F241:F244)</f>
        <v>3183.29</v>
      </c>
      <c r="G240" s="166"/>
      <c r="H240" s="166"/>
      <c r="I240" s="166">
        <f>SUM(I241:I244)</f>
        <v>0</v>
      </c>
      <c r="J240" s="166">
        <f>SUM(J241:J244)</f>
        <v>0</v>
      </c>
      <c r="K240" s="80"/>
      <c r="L240" s="81"/>
      <c r="M240" s="7"/>
      <c r="N240" s="80"/>
      <c r="O240" s="80"/>
      <c r="P240" s="91"/>
      <c r="Q240" s="8"/>
      <c r="R240" s="82"/>
      <c r="U240" s="10"/>
      <c r="V240" s="9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</row>
    <row r="241" spans="1:59">
      <c r="A241" s="156"/>
      <c r="B241" s="157"/>
      <c r="C241" s="156"/>
      <c r="D241" s="156"/>
      <c r="E241" s="156"/>
      <c r="F241" s="156"/>
      <c r="G241" s="156"/>
      <c r="H241" s="156"/>
      <c r="I241" s="156"/>
      <c r="J241" s="156"/>
      <c r="K241" s="80"/>
      <c r="L241" s="81"/>
      <c r="M241" s="7"/>
      <c r="N241" s="80"/>
      <c r="O241" s="80"/>
      <c r="P241" s="91"/>
      <c r="Q241" s="8"/>
      <c r="R241" s="82"/>
      <c r="U241" s="10"/>
      <c r="V241" s="9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</row>
    <row r="242" spans="1:59" ht="28.5">
      <c r="A242" s="156" t="s">
        <v>333</v>
      </c>
      <c r="B242" s="157" t="s">
        <v>154</v>
      </c>
      <c r="C242" s="156" t="s">
        <v>16</v>
      </c>
      <c r="D242" s="156">
        <v>47.3</v>
      </c>
      <c r="E242" s="156">
        <v>19.77</v>
      </c>
      <c r="F242" s="156">
        <f t="shared" ref="F242:F244" si="93">D242*E242</f>
        <v>935.12099999999987</v>
      </c>
      <c r="G242" s="156"/>
      <c r="H242" s="156">
        <f t="shared" ref="H242:H244" si="94">G242</f>
        <v>0</v>
      </c>
      <c r="I242" s="156">
        <f t="shared" ref="I242:I244" si="95">G242*E242</f>
        <v>0</v>
      </c>
      <c r="J242" s="156">
        <f t="shared" ref="J242:J244" si="96">I242</f>
        <v>0</v>
      </c>
      <c r="K242" s="80"/>
      <c r="L242" s="81"/>
      <c r="M242" s="7"/>
      <c r="N242" s="80"/>
      <c r="O242" s="80"/>
      <c r="P242" s="91"/>
      <c r="Q242" s="8"/>
      <c r="R242" s="82"/>
      <c r="U242" s="10"/>
      <c r="V242" s="9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</row>
    <row r="243" spans="1:59">
      <c r="A243" s="156" t="s">
        <v>334</v>
      </c>
      <c r="B243" s="157" t="s">
        <v>156</v>
      </c>
      <c r="C243" s="156" t="s">
        <v>16</v>
      </c>
      <c r="D243" s="156">
        <v>47.3</v>
      </c>
      <c r="E243" s="156">
        <v>18.7</v>
      </c>
      <c r="F243" s="156">
        <f t="shared" si="93"/>
        <v>884.50999999999988</v>
      </c>
      <c r="G243" s="156"/>
      <c r="H243" s="156">
        <f t="shared" si="94"/>
        <v>0</v>
      </c>
      <c r="I243" s="156">
        <f t="shared" si="95"/>
        <v>0</v>
      </c>
      <c r="J243" s="156">
        <f t="shared" si="96"/>
        <v>0</v>
      </c>
      <c r="K243" s="80"/>
      <c r="L243" s="81"/>
      <c r="M243" s="7"/>
      <c r="N243" s="80"/>
      <c r="O243" s="80"/>
      <c r="P243" s="91"/>
      <c r="Q243" s="8"/>
      <c r="R243" s="82"/>
      <c r="U243" s="10"/>
      <c r="V243" s="9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</row>
    <row r="244" spans="1:59" ht="28.5">
      <c r="A244" s="156" t="s">
        <v>335</v>
      </c>
      <c r="B244" s="157" t="s">
        <v>160</v>
      </c>
      <c r="C244" s="156" t="s">
        <v>16</v>
      </c>
      <c r="D244" s="156">
        <v>47.3</v>
      </c>
      <c r="E244" s="156">
        <v>28.83</v>
      </c>
      <c r="F244" s="156">
        <f t="shared" si="93"/>
        <v>1363.6589999999999</v>
      </c>
      <c r="G244" s="156"/>
      <c r="H244" s="156">
        <f t="shared" si="94"/>
        <v>0</v>
      </c>
      <c r="I244" s="156">
        <f t="shared" si="95"/>
        <v>0</v>
      </c>
      <c r="J244" s="156">
        <f t="shared" si="96"/>
        <v>0</v>
      </c>
      <c r="K244" s="80"/>
      <c r="L244" s="81"/>
      <c r="M244" s="7"/>
      <c r="N244" s="80"/>
      <c r="O244" s="80"/>
      <c r="P244" s="91"/>
      <c r="Q244" s="8"/>
      <c r="R244" s="82"/>
      <c r="U244" s="10"/>
      <c r="V244" s="9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</row>
    <row r="245" spans="1:59">
      <c r="A245" s="156"/>
      <c r="B245" s="157"/>
      <c r="C245" s="156"/>
      <c r="D245" s="156"/>
      <c r="E245" s="156"/>
      <c r="F245" s="156"/>
      <c r="G245" s="156"/>
      <c r="H245" s="156"/>
      <c r="I245" s="156"/>
      <c r="J245" s="156"/>
      <c r="K245" s="80"/>
      <c r="L245" s="81"/>
      <c r="M245" s="7"/>
      <c r="N245" s="80"/>
      <c r="O245" s="80"/>
      <c r="P245" s="91"/>
      <c r="Q245" s="8"/>
      <c r="R245" s="82"/>
      <c r="U245" s="10"/>
      <c r="V245" s="9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</row>
    <row r="246" spans="1:59" ht="14.25" customHeight="1">
      <c r="A246" s="164" t="s">
        <v>336</v>
      </c>
      <c r="B246" s="165" t="s">
        <v>337</v>
      </c>
      <c r="C246" s="166"/>
      <c r="D246" s="167"/>
      <c r="E246" s="166"/>
      <c r="F246" s="166">
        <f>SUM(F247:F252)</f>
        <v>2430.9776000000002</v>
      </c>
      <c r="G246" s="166"/>
      <c r="H246" s="166"/>
      <c r="I246" s="166">
        <f>SUM(I247:I252)</f>
        <v>0</v>
      </c>
      <c r="J246" s="166">
        <f>SUM(J247:J252)</f>
        <v>0</v>
      </c>
      <c r="K246" s="80"/>
      <c r="L246" s="81"/>
      <c r="M246" s="7"/>
      <c r="N246" s="80"/>
      <c r="O246" s="80"/>
      <c r="P246" s="91"/>
      <c r="Q246" s="8"/>
      <c r="R246" s="82"/>
      <c r="U246" s="10"/>
      <c r="V246" s="9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</row>
    <row r="247" spans="1:59">
      <c r="A247" s="156"/>
      <c r="B247" s="157"/>
      <c r="C247" s="156"/>
      <c r="D247" s="156"/>
      <c r="E247" s="156"/>
      <c r="F247" s="156"/>
      <c r="G247" s="156"/>
      <c r="H247" s="156"/>
      <c r="I247" s="156"/>
      <c r="J247" s="156"/>
      <c r="K247" s="80"/>
      <c r="L247" s="81"/>
      <c r="M247" s="7"/>
      <c r="N247" s="80"/>
      <c r="O247" s="80"/>
      <c r="P247" s="91"/>
      <c r="Q247" s="8"/>
      <c r="R247" s="82"/>
      <c r="U247" s="10"/>
      <c r="V247" s="9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</row>
    <row r="248" spans="1:59" ht="28.5">
      <c r="A248" s="156" t="s">
        <v>338</v>
      </c>
      <c r="B248" s="157" t="s">
        <v>262</v>
      </c>
      <c r="C248" s="156" t="s">
        <v>7</v>
      </c>
      <c r="D248" s="156">
        <v>4</v>
      </c>
      <c r="E248" s="156">
        <v>116.16</v>
      </c>
      <c r="F248" s="156">
        <f t="shared" ref="F248:F249" si="97">D248*E248</f>
        <v>464.64</v>
      </c>
      <c r="G248" s="156"/>
      <c r="H248" s="156">
        <f t="shared" ref="H248:H249" si="98">G248</f>
        <v>0</v>
      </c>
      <c r="I248" s="156">
        <f t="shared" ref="I248:I249" si="99">G248*E248</f>
        <v>0</v>
      </c>
      <c r="J248" s="156">
        <f t="shared" ref="J248:J249" si="100">I248</f>
        <v>0</v>
      </c>
      <c r="K248" s="80"/>
      <c r="L248" s="81"/>
      <c r="M248" s="7"/>
      <c r="N248" s="80"/>
      <c r="O248" s="80"/>
      <c r="P248" s="91"/>
      <c r="Q248" s="8"/>
      <c r="R248" s="82"/>
      <c r="U248" s="10"/>
      <c r="V248" s="9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</row>
    <row r="249" spans="1:59" ht="42.75">
      <c r="A249" s="156" t="s">
        <v>339</v>
      </c>
      <c r="B249" s="157" t="s">
        <v>260</v>
      </c>
      <c r="C249" s="156" t="s">
        <v>7</v>
      </c>
      <c r="D249" s="156">
        <v>4</v>
      </c>
      <c r="E249" s="156">
        <v>90.95</v>
      </c>
      <c r="F249" s="156">
        <f t="shared" si="97"/>
        <v>363.8</v>
      </c>
      <c r="G249" s="156"/>
      <c r="H249" s="156">
        <f t="shared" si="98"/>
        <v>0</v>
      </c>
      <c r="I249" s="156">
        <f t="shared" si="99"/>
        <v>0</v>
      </c>
      <c r="J249" s="156">
        <f t="shared" si="100"/>
        <v>0</v>
      </c>
      <c r="K249" s="80"/>
      <c r="L249" s="81"/>
      <c r="M249" s="7"/>
      <c r="N249" s="80"/>
      <c r="O249" s="80"/>
      <c r="P249" s="91"/>
      <c r="Q249" s="8"/>
      <c r="R249" s="82"/>
      <c r="U249" s="10"/>
      <c r="V249" s="9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</row>
    <row r="250" spans="1:59" ht="28.5">
      <c r="A250" s="156" t="s">
        <v>340</v>
      </c>
      <c r="B250" s="157" t="s">
        <v>341</v>
      </c>
      <c r="C250" s="156" t="s">
        <v>7</v>
      </c>
      <c r="D250" s="156">
        <v>4</v>
      </c>
      <c r="E250" s="156">
        <v>372.59</v>
      </c>
      <c r="F250" s="156">
        <f t="shared" ref="F250:F252" si="101">D250*E250</f>
        <v>1490.36</v>
      </c>
      <c r="G250" s="156"/>
      <c r="H250" s="156">
        <f t="shared" ref="H250:H252" si="102">G250</f>
        <v>0</v>
      </c>
      <c r="I250" s="156">
        <f t="shared" ref="I250:I252" si="103">G250*E250</f>
        <v>0</v>
      </c>
      <c r="J250" s="156">
        <f t="shared" ref="J250:J252" si="104">I250</f>
        <v>0</v>
      </c>
      <c r="K250" s="80"/>
      <c r="L250" s="81"/>
      <c r="M250" s="7"/>
      <c r="N250" s="80"/>
      <c r="O250" s="80"/>
      <c r="P250" s="91"/>
      <c r="Q250" s="8"/>
      <c r="R250" s="82"/>
      <c r="U250" s="10"/>
      <c r="V250" s="9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</row>
    <row r="251" spans="1:59" ht="28.5">
      <c r="A251" s="156" t="s">
        <v>342</v>
      </c>
      <c r="B251" s="157" t="s">
        <v>343</v>
      </c>
      <c r="C251" s="156" t="s">
        <v>7</v>
      </c>
      <c r="D251" s="156">
        <v>2</v>
      </c>
      <c r="E251" s="156">
        <v>11.09</v>
      </c>
      <c r="F251" s="156">
        <f t="shared" si="101"/>
        <v>22.18</v>
      </c>
      <c r="G251" s="156"/>
      <c r="H251" s="156">
        <f t="shared" si="102"/>
        <v>0</v>
      </c>
      <c r="I251" s="156">
        <f t="shared" si="103"/>
        <v>0</v>
      </c>
      <c r="J251" s="156">
        <f t="shared" si="104"/>
        <v>0</v>
      </c>
      <c r="K251" s="80"/>
      <c r="L251" s="81"/>
      <c r="M251" s="7"/>
      <c r="N251" s="80"/>
      <c r="O251" s="80"/>
      <c r="P251" s="91"/>
      <c r="Q251" s="8"/>
      <c r="R251" s="82"/>
      <c r="U251" s="10"/>
      <c r="V251" s="9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</row>
    <row r="252" spans="1:59" ht="28.5">
      <c r="A252" s="156" t="s">
        <v>344</v>
      </c>
      <c r="B252" s="157" t="s">
        <v>345</v>
      </c>
      <c r="C252" s="156" t="s">
        <v>16</v>
      </c>
      <c r="D252" s="156">
        <v>19.48</v>
      </c>
      <c r="E252" s="156">
        <v>4.62</v>
      </c>
      <c r="F252" s="156">
        <f t="shared" si="101"/>
        <v>89.997600000000006</v>
      </c>
      <c r="G252" s="156"/>
      <c r="H252" s="156">
        <f t="shared" si="102"/>
        <v>0</v>
      </c>
      <c r="I252" s="156">
        <f t="shared" si="103"/>
        <v>0</v>
      </c>
      <c r="J252" s="156">
        <f t="shared" si="104"/>
        <v>0</v>
      </c>
      <c r="K252" s="80"/>
      <c r="L252" s="81"/>
      <c r="M252" s="7"/>
      <c r="N252" s="80"/>
      <c r="O252" s="80"/>
      <c r="P252" s="91"/>
      <c r="Q252" s="8"/>
      <c r="R252" s="82"/>
      <c r="U252" s="10"/>
      <c r="V252" s="9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</row>
    <row r="253" spans="1:59" ht="16.5" thickBot="1">
      <c r="A253" s="147"/>
      <c r="B253" s="94"/>
      <c r="C253" s="147"/>
      <c r="D253" s="147"/>
      <c r="E253" s="147"/>
      <c r="F253" s="147"/>
      <c r="G253" s="147"/>
      <c r="H253" s="147"/>
      <c r="I253" s="147"/>
      <c r="J253" s="147"/>
      <c r="K253" s="80"/>
      <c r="L253" s="81"/>
      <c r="M253" s="7"/>
      <c r="N253" s="80"/>
      <c r="O253" s="80"/>
      <c r="P253" s="91"/>
      <c r="Q253" s="8"/>
      <c r="R253" s="82"/>
      <c r="U253" s="10"/>
      <c r="V253" s="9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</row>
    <row r="254" spans="1:59" ht="15.75" customHeight="1" thickBot="1">
      <c r="A254" s="257" t="s">
        <v>347</v>
      </c>
      <c r="B254" s="258"/>
      <c r="C254" s="258"/>
      <c r="D254" s="258"/>
      <c r="E254" s="259"/>
      <c r="F254" s="102">
        <f>SUM(F30+F41+F47+F55+F62+F68+F82+F93+F100+F111+F122+F149+F160+F187+F197+F204+F208+F213+F219+F223+F227+F234+F240+F246)+0.02</f>
        <v>648279.26860000018</v>
      </c>
      <c r="G254" s="103"/>
      <c r="H254" s="103"/>
      <c r="I254" s="102">
        <f>SUM(I30+I41+I47+I55+I62+I68+I82+I93+I100+I111+I122+I149+I160+I187+I197+I204+I208+I213+I219+I223+I227+I234+I240+I246)</f>
        <v>76880.458400000003</v>
      </c>
      <c r="J254" s="102">
        <f>SUM(J30+J41+J47+J55+J62+J68+J82+J93+J100+J111+J122+J149+J160+J187+J197+J204+J208+J213+J219+J223+J227+J234+J240+J246)</f>
        <v>76880.458400000003</v>
      </c>
    </row>
    <row r="255" spans="1:59">
      <c r="B255" s="94"/>
      <c r="C255" s="94"/>
      <c r="D255" s="94"/>
      <c r="E255" s="94"/>
      <c r="F255" s="94"/>
      <c r="G255" s="94"/>
      <c r="H255" s="94"/>
      <c r="I255" s="94"/>
      <c r="J255" s="94"/>
      <c r="K255" s="80"/>
      <c r="L255" s="81"/>
      <c r="M255" s="7"/>
      <c r="N255" s="80"/>
      <c r="O255" s="80"/>
      <c r="P255" s="91"/>
      <c r="Q255" s="8"/>
      <c r="R255" s="82"/>
      <c r="U255" s="10"/>
      <c r="V255" s="9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</row>
    <row r="256" spans="1:59">
      <c r="B256" s="248" t="s">
        <v>433</v>
      </c>
      <c r="C256" s="248"/>
      <c r="D256" s="248"/>
      <c r="E256" s="248"/>
      <c r="F256" s="248"/>
      <c r="G256" s="248"/>
      <c r="H256" s="248"/>
      <c r="I256" s="248"/>
      <c r="J256" s="94"/>
      <c r="K256" s="80"/>
      <c r="L256" s="81"/>
      <c r="M256" s="7"/>
      <c r="N256" s="80"/>
      <c r="O256" s="80"/>
      <c r="P256" s="91"/>
      <c r="Q256" s="8"/>
      <c r="R256" s="82"/>
      <c r="U256" s="10"/>
      <c r="V256" s="9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</row>
    <row r="257" spans="2:59">
      <c r="B257" s="94"/>
      <c r="C257" s="94"/>
      <c r="D257" s="94"/>
      <c r="E257" s="94"/>
      <c r="F257" s="94"/>
      <c r="G257" s="94"/>
      <c r="H257" s="94"/>
      <c r="I257" s="94"/>
      <c r="J257" s="94"/>
      <c r="K257" s="80"/>
      <c r="L257" s="81"/>
      <c r="M257" s="7"/>
      <c r="N257" s="80"/>
      <c r="O257" s="80"/>
      <c r="P257" s="91"/>
      <c r="Q257" s="8"/>
      <c r="R257" s="82"/>
      <c r="U257" s="10"/>
      <c r="V257" s="9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</row>
    <row r="258" spans="2:59">
      <c r="B258" s="94"/>
      <c r="E258" s="106"/>
      <c r="F258" s="106"/>
      <c r="G258" s="106"/>
      <c r="H258" s="106"/>
      <c r="I258" s="106"/>
      <c r="J258" s="106"/>
      <c r="K258" s="80"/>
      <c r="L258" s="81"/>
      <c r="M258" s="7"/>
      <c r="N258" s="80"/>
      <c r="O258" s="80"/>
      <c r="P258" s="91"/>
      <c r="Q258" s="8"/>
      <c r="R258" s="82"/>
      <c r="U258" s="10"/>
      <c r="V258" s="9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</row>
    <row r="259" spans="2:59">
      <c r="B259" s="94"/>
      <c r="E259" s="106"/>
      <c r="F259" s="106"/>
      <c r="G259" s="106"/>
      <c r="H259" s="106"/>
      <c r="I259" s="106"/>
      <c r="J259" s="106"/>
    </row>
    <row r="260" spans="2:59">
      <c r="E260" s="106"/>
      <c r="F260" s="106"/>
      <c r="G260" s="106"/>
      <c r="H260" s="106"/>
      <c r="I260" s="106"/>
      <c r="J260" s="106"/>
    </row>
    <row r="261" spans="2:59">
      <c r="E261" s="106"/>
      <c r="F261" s="106"/>
      <c r="G261" s="106"/>
      <c r="H261" s="106"/>
      <c r="I261" s="106"/>
      <c r="J261" s="106"/>
    </row>
    <row r="262" spans="2:59">
      <c r="E262" s="106"/>
      <c r="F262" s="106"/>
      <c r="G262" s="106"/>
      <c r="H262" s="106"/>
      <c r="I262" s="106"/>
      <c r="J262" s="106"/>
    </row>
    <row r="263" spans="2:59">
      <c r="E263" s="106"/>
      <c r="F263" s="106"/>
      <c r="G263" s="106"/>
      <c r="H263" s="106"/>
      <c r="I263" s="106"/>
      <c r="J263" s="106"/>
    </row>
    <row r="264" spans="2:59">
      <c r="E264" s="106"/>
      <c r="F264" s="106"/>
      <c r="G264" s="106"/>
      <c r="H264" s="106"/>
      <c r="I264" s="106"/>
      <c r="J264" s="106"/>
    </row>
    <row r="265" spans="2:59">
      <c r="E265" s="106"/>
      <c r="F265" s="106"/>
      <c r="G265" s="106"/>
      <c r="H265" s="106"/>
      <c r="I265" s="106"/>
      <c r="J265" s="106"/>
    </row>
    <row r="266" spans="2:59">
      <c r="E266" s="106"/>
      <c r="F266" s="106"/>
      <c r="G266" s="106"/>
      <c r="H266" s="106"/>
      <c r="I266" s="106"/>
      <c r="J266" s="106"/>
    </row>
    <row r="267" spans="2:59">
      <c r="E267" s="106"/>
      <c r="F267" s="106"/>
      <c r="H267" s="106"/>
      <c r="I267" s="106"/>
      <c r="J267" s="106"/>
    </row>
    <row r="268" spans="2:59">
      <c r="E268" s="106"/>
      <c r="F268" s="106"/>
      <c r="H268" s="106"/>
      <c r="I268" s="106"/>
      <c r="J268" s="106"/>
    </row>
    <row r="269" spans="2:59">
      <c r="E269" s="106"/>
      <c r="F269" s="106"/>
      <c r="H269" s="106"/>
      <c r="I269" s="106"/>
      <c r="J269" s="106"/>
    </row>
    <row r="270" spans="2:59">
      <c r="E270" s="106"/>
      <c r="F270" s="106"/>
      <c r="H270" s="106"/>
      <c r="I270" s="106"/>
      <c r="J270" s="106"/>
    </row>
    <row r="271" spans="2:59">
      <c r="C271" s="59"/>
      <c r="D271" s="59"/>
      <c r="E271" s="59"/>
      <c r="F271" s="59">
        <v>719635.08</v>
      </c>
      <c r="G271" s="60">
        <v>0.23880000000000001</v>
      </c>
      <c r="H271" s="59"/>
      <c r="I271" s="59"/>
      <c r="J271" s="59" t="s">
        <v>346</v>
      </c>
    </row>
    <row r="272" spans="2:59">
      <c r="C272" s="59"/>
      <c r="D272" s="59"/>
      <c r="E272" s="59"/>
      <c r="F272" s="59">
        <f>SUM(F271*G271+F271)</f>
        <v>891483.93710400001</v>
      </c>
      <c r="G272" s="59"/>
      <c r="H272" s="59"/>
      <c r="I272" s="59"/>
      <c r="J272" s="59" t="s">
        <v>25</v>
      </c>
    </row>
    <row r="273" spans="3:10">
      <c r="C273" s="59"/>
      <c r="D273" s="59"/>
      <c r="E273" s="59"/>
      <c r="F273" s="59"/>
      <c r="G273" s="59"/>
      <c r="H273" s="59"/>
      <c r="I273" s="59"/>
      <c r="J273" s="59"/>
    </row>
    <row r="274" spans="3:10">
      <c r="E274" s="106"/>
      <c r="F274" s="106"/>
      <c r="H274" s="106"/>
      <c r="I274" s="106"/>
      <c r="J274" s="106"/>
    </row>
    <row r="275" spans="3:10">
      <c r="E275" s="106"/>
      <c r="F275" s="106"/>
      <c r="H275" s="106"/>
      <c r="I275" s="106"/>
      <c r="J275" s="106"/>
    </row>
    <row r="276" spans="3:10">
      <c r="E276" s="106"/>
      <c r="F276" s="106"/>
      <c r="H276" s="106"/>
      <c r="I276" s="106"/>
      <c r="J276" s="106"/>
    </row>
    <row r="277" spans="3:10">
      <c r="E277" s="106"/>
      <c r="F277" s="106"/>
      <c r="H277" s="106"/>
      <c r="I277" s="106"/>
      <c r="J277" s="106"/>
    </row>
    <row r="278" spans="3:10">
      <c r="E278" s="106"/>
      <c r="F278" s="106"/>
      <c r="H278" s="106"/>
      <c r="I278" s="106"/>
      <c r="J278" s="106"/>
    </row>
    <row r="279" spans="3:10">
      <c r="E279" s="106"/>
      <c r="F279" s="106"/>
      <c r="H279" s="106"/>
      <c r="I279" s="106"/>
      <c r="J279" s="106"/>
    </row>
    <row r="280" spans="3:10">
      <c r="E280" s="106"/>
      <c r="F280" s="106"/>
      <c r="H280" s="106"/>
      <c r="I280" s="106"/>
      <c r="J280" s="106"/>
    </row>
    <row r="281" spans="3:10">
      <c r="E281" s="106"/>
      <c r="F281" s="106"/>
      <c r="H281" s="106"/>
      <c r="I281" s="106"/>
      <c r="J281" s="106"/>
    </row>
    <row r="282" spans="3:10">
      <c r="E282" s="106"/>
      <c r="F282" s="106"/>
      <c r="H282" s="106"/>
      <c r="I282" s="106"/>
      <c r="J282" s="106"/>
    </row>
    <row r="283" spans="3:10">
      <c r="E283" s="106"/>
      <c r="F283" s="106"/>
      <c r="H283" s="106"/>
      <c r="I283" s="106"/>
      <c r="J283" s="106"/>
    </row>
    <row r="284" spans="3:10">
      <c r="E284" s="106"/>
      <c r="F284" s="106"/>
      <c r="H284" s="106"/>
      <c r="I284" s="106"/>
      <c r="J284" s="106"/>
    </row>
    <row r="285" spans="3:10">
      <c r="E285" s="106"/>
      <c r="F285" s="106"/>
      <c r="H285" s="106"/>
      <c r="I285" s="106"/>
      <c r="J285" s="106"/>
    </row>
    <row r="286" spans="3:10">
      <c r="E286" s="106"/>
      <c r="F286" s="106"/>
      <c r="H286" s="106"/>
      <c r="I286" s="106"/>
      <c r="J286" s="106"/>
    </row>
    <row r="287" spans="3:10">
      <c r="E287" s="106"/>
      <c r="F287" s="106"/>
      <c r="H287" s="106"/>
      <c r="I287" s="106"/>
      <c r="J287" s="106"/>
    </row>
    <row r="288" spans="3:10">
      <c r="E288" s="106"/>
      <c r="F288" s="106"/>
      <c r="H288" s="106"/>
      <c r="I288" s="106"/>
      <c r="J288" s="106"/>
    </row>
    <row r="289" spans="5:10">
      <c r="E289" s="106"/>
      <c r="F289" s="106"/>
      <c r="H289" s="106"/>
      <c r="I289" s="106"/>
      <c r="J289" s="106"/>
    </row>
    <row r="290" spans="5:10">
      <c r="E290" s="106"/>
      <c r="F290" s="106"/>
      <c r="H290" s="106"/>
      <c r="I290" s="106"/>
      <c r="J290" s="106"/>
    </row>
    <row r="291" spans="5:10">
      <c r="E291" s="106"/>
      <c r="F291" s="106"/>
      <c r="H291" s="106"/>
      <c r="I291" s="106"/>
      <c r="J291" s="106"/>
    </row>
    <row r="292" spans="5:10">
      <c r="E292" s="106"/>
      <c r="F292" s="106"/>
      <c r="H292" s="106"/>
      <c r="I292" s="106"/>
      <c r="J292" s="106"/>
    </row>
    <row r="293" spans="5:10">
      <c r="E293" s="106"/>
      <c r="F293" s="106"/>
      <c r="H293" s="106"/>
      <c r="I293" s="106"/>
      <c r="J293" s="106"/>
    </row>
    <row r="294" spans="5:10">
      <c r="E294" s="106"/>
      <c r="F294" s="106"/>
      <c r="H294" s="106"/>
      <c r="I294" s="106"/>
      <c r="J294" s="106"/>
    </row>
    <row r="295" spans="5:10">
      <c r="E295" s="106"/>
      <c r="F295" s="106"/>
      <c r="H295" s="106"/>
      <c r="I295" s="106"/>
      <c r="J295" s="106"/>
    </row>
    <row r="296" spans="5:10">
      <c r="E296" s="106"/>
      <c r="F296" s="106"/>
      <c r="H296" s="106"/>
      <c r="I296" s="106"/>
      <c r="J296" s="106"/>
    </row>
  </sheetData>
  <mergeCells count="15">
    <mergeCell ref="A16:J16"/>
    <mergeCell ref="A24:B24"/>
    <mergeCell ref="B256:I256"/>
    <mergeCell ref="A1:J1"/>
    <mergeCell ref="A2:J2"/>
    <mergeCell ref="A3:J3"/>
    <mergeCell ref="E8:J8"/>
    <mergeCell ref="E9:H9"/>
    <mergeCell ref="I9:J9"/>
    <mergeCell ref="A254:E254"/>
    <mergeCell ref="A25:B25"/>
    <mergeCell ref="A20:G20"/>
    <mergeCell ref="I19:J19"/>
    <mergeCell ref="A202:J203"/>
    <mergeCell ref="A15:J15"/>
  </mergeCells>
  <phoneticPr fontId="30" type="noConversion"/>
  <printOptions horizontalCentered="1"/>
  <pageMargins left="0.51181102362204722" right="0.39370078740157483" top="0.59055118110236227" bottom="0.35433070866141736" header="0.31496062992125984" footer="0.31496062992125984"/>
  <pageSetup paperSize="9" scale="57" orientation="landscape" r:id="rId1"/>
  <rowBreaks count="6" manualBreakCount="6">
    <brk id="51" max="9" man="1"/>
    <brk id="80" max="9" man="1"/>
    <brk id="110" max="9" man="1"/>
    <brk id="168" max="9" man="1"/>
    <brk id="196" max="9" man="1"/>
    <brk id="221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630"/>
  <sheetViews>
    <sheetView view="pageBreakPreview" topLeftCell="A561" zoomScaleNormal="100" zoomScaleSheetLayoutView="100" workbookViewId="0">
      <selection activeCell="A565" sqref="A565:M566"/>
    </sheetView>
  </sheetViews>
  <sheetFormatPr defaultColWidth="2.28515625" defaultRowHeight="12.6" customHeight="1"/>
  <cols>
    <col min="1" max="1" width="8.5703125" style="108" customWidth="1"/>
    <col min="2" max="2" width="16" style="108" customWidth="1"/>
    <col min="3" max="3" width="9.28515625" style="108" customWidth="1"/>
    <col min="4" max="4" width="8.28515625" style="108" customWidth="1"/>
    <col min="5" max="5" width="9.5703125" style="108" customWidth="1"/>
    <col min="6" max="6" width="9" style="108" customWidth="1"/>
    <col min="7" max="7" width="11.28515625" style="108" customWidth="1"/>
    <col min="8" max="8" width="10.7109375" style="108" customWidth="1"/>
    <col min="9" max="9" width="10.28515625" style="108" customWidth="1"/>
    <col min="10" max="10" width="11.5703125" style="108" customWidth="1"/>
    <col min="11" max="11" width="10.140625" style="108" bestFit="1" customWidth="1"/>
    <col min="12" max="12" width="10.85546875" style="108" bestFit="1" customWidth="1"/>
    <col min="13" max="13" width="6.140625" style="108" bestFit="1" customWidth="1"/>
    <col min="14" max="14" width="16.5703125" style="108" bestFit="1" customWidth="1"/>
    <col min="15" max="15" width="19.42578125" style="108" customWidth="1"/>
    <col min="16" max="16" width="11.28515625" style="108" customWidth="1"/>
    <col min="17" max="16384" width="2.28515625" style="108"/>
  </cols>
  <sheetData>
    <row r="1" spans="1:14" ht="16.5" thickBot="1">
      <c r="A1" s="217"/>
      <c r="B1" s="218"/>
      <c r="C1" s="223" t="s">
        <v>437</v>
      </c>
      <c r="D1" s="224"/>
      <c r="E1" s="224"/>
      <c r="F1" s="224"/>
      <c r="G1" s="224"/>
      <c r="H1" s="224"/>
      <c r="I1" s="224"/>
      <c r="J1" s="224"/>
      <c r="K1" s="224"/>
      <c r="L1" s="224"/>
      <c r="M1" s="225"/>
    </row>
    <row r="2" spans="1:14" ht="12.75">
      <c r="A2" s="219"/>
      <c r="B2" s="220"/>
      <c r="C2" s="226" t="s">
        <v>348</v>
      </c>
      <c r="D2" s="227"/>
      <c r="E2" s="227"/>
      <c r="F2" s="227"/>
      <c r="G2" s="228"/>
      <c r="H2" s="226" t="s">
        <v>349</v>
      </c>
      <c r="I2" s="227"/>
      <c r="J2" s="227"/>
      <c r="K2" s="227"/>
      <c r="L2" s="227"/>
      <c r="M2" s="228"/>
    </row>
    <row r="3" spans="1:14" ht="30.75" customHeight="1" thickBot="1">
      <c r="A3" s="219"/>
      <c r="B3" s="220"/>
      <c r="C3" s="229" t="s">
        <v>434</v>
      </c>
      <c r="D3" s="230"/>
      <c r="E3" s="230"/>
      <c r="F3" s="230"/>
      <c r="G3" s="231"/>
      <c r="H3" s="232" t="s">
        <v>435</v>
      </c>
      <c r="I3" s="230"/>
      <c r="J3" s="230"/>
      <c r="K3" s="230"/>
      <c r="L3" s="230"/>
      <c r="M3" s="231"/>
    </row>
    <row r="4" spans="1:14" ht="12.75">
      <c r="A4" s="219"/>
      <c r="B4" s="220"/>
      <c r="C4" s="226" t="s">
        <v>350</v>
      </c>
      <c r="D4" s="227"/>
      <c r="E4" s="227"/>
      <c r="F4" s="227"/>
      <c r="G4" s="228"/>
      <c r="H4" s="233" t="s">
        <v>351</v>
      </c>
      <c r="I4" s="234"/>
      <c r="J4" s="234"/>
      <c r="K4" s="235"/>
      <c r="L4" s="109"/>
      <c r="M4" s="110"/>
    </row>
    <row r="5" spans="1:14" ht="13.5" thickBot="1">
      <c r="A5" s="221"/>
      <c r="B5" s="222"/>
      <c r="C5" s="236" t="s">
        <v>436</v>
      </c>
      <c r="D5" s="237"/>
      <c r="E5" s="237"/>
      <c r="F5" s="237"/>
      <c r="G5" s="238"/>
      <c r="H5" s="239" t="s">
        <v>352</v>
      </c>
      <c r="I5" s="240"/>
      <c r="J5" s="240"/>
      <c r="K5" s="241"/>
      <c r="L5" s="111"/>
      <c r="M5" s="112"/>
    </row>
    <row r="6" spans="1:14" ht="13.5" thickBot="1">
      <c r="A6" s="113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5"/>
    </row>
    <row r="7" spans="1:14" ht="12.75">
      <c r="A7" s="201" t="s">
        <v>10</v>
      </c>
      <c r="B7" s="203" t="s">
        <v>353</v>
      </c>
      <c r="C7" s="204"/>
      <c r="D7" s="207" t="s">
        <v>354</v>
      </c>
      <c r="E7" s="214" t="s">
        <v>355</v>
      </c>
      <c r="F7" s="215"/>
      <c r="G7" s="215"/>
      <c r="H7" s="215"/>
      <c r="I7" s="215"/>
      <c r="J7" s="216"/>
      <c r="K7" s="214" t="s">
        <v>356</v>
      </c>
      <c r="L7" s="216"/>
      <c r="M7" s="242" t="s">
        <v>357</v>
      </c>
      <c r="N7" s="116"/>
    </row>
    <row r="8" spans="1:14" ht="13.5" thickBot="1">
      <c r="A8" s="202"/>
      <c r="B8" s="205"/>
      <c r="C8" s="206"/>
      <c r="D8" s="208"/>
      <c r="E8" s="117" t="s">
        <v>358</v>
      </c>
      <c r="F8" s="117" t="s">
        <v>359</v>
      </c>
      <c r="G8" s="117" t="s">
        <v>360</v>
      </c>
      <c r="H8" s="117" t="s">
        <v>361</v>
      </c>
      <c r="I8" s="117" t="s">
        <v>362</v>
      </c>
      <c r="J8" s="117" t="s">
        <v>363</v>
      </c>
      <c r="K8" s="117" t="s">
        <v>364</v>
      </c>
      <c r="L8" s="117" t="s">
        <v>9</v>
      </c>
      <c r="M8" s="243"/>
      <c r="N8" s="116"/>
    </row>
    <row r="9" spans="1:14" ht="13.5" thickBot="1">
      <c r="A9" s="118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20"/>
    </row>
    <row r="10" spans="1:14" ht="13.9" customHeight="1" thickBot="1">
      <c r="A10" s="272" t="str">
        <f>'BM02'!A29</f>
        <v>ETAPA 01: CONSTRUÇÃO DA ESCOLA</v>
      </c>
      <c r="B10" s="273"/>
      <c r="C10" s="273"/>
      <c r="D10" s="273"/>
      <c r="E10" s="273"/>
      <c r="F10" s="273"/>
      <c r="G10" s="273"/>
      <c r="H10" s="273"/>
      <c r="I10" s="273"/>
      <c r="J10" s="273"/>
      <c r="K10" s="273"/>
      <c r="L10" s="273"/>
      <c r="M10" s="274"/>
    </row>
    <row r="11" spans="1:14" ht="13.5" thickBot="1">
      <c r="A11" s="124"/>
      <c r="B11" s="125"/>
      <c r="C11" s="125"/>
      <c r="D11" s="125"/>
      <c r="E11" s="125"/>
      <c r="F11" s="125"/>
      <c r="G11" s="125"/>
      <c r="H11" s="125"/>
      <c r="I11" s="125"/>
      <c r="J11" s="125"/>
      <c r="K11" s="126"/>
      <c r="L11" s="125"/>
      <c r="M11" s="127"/>
    </row>
    <row r="12" spans="1:14" ht="13.5" thickBot="1">
      <c r="A12" s="121" t="s">
        <v>1</v>
      </c>
      <c r="B12" s="122" t="str">
        <f>'BM01'!B30</f>
        <v>SERVIÇOS PRELIMINARES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3"/>
    </row>
    <row r="13" spans="1:14" ht="12.75">
      <c r="A13" s="124"/>
      <c r="B13" s="125"/>
      <c r="C13" s="125"/>
      <c r="D13" s="125"/>
      <c r="E13" s="125"/>
      <c r="F13" s="125"/>
      <c r="G13" s="125"/>
      <c r="H13" s="125"/>
      <c r="I13" s="125"/>
      <c r="J13" s="125"/>
      <c r="K13" s="126"/>
      <c r="L13" s="125"/>
      <c r="M13" s="127"/>
    </row>
    <row r="14" spans="1:14" s="131" customFormat="1" ht="12.75">
      <c r="A14" s="128" t="str">
        <f>'BM02'!A32</f>
        <v>1.1.1</v>
      </c>
      <c r="B14" s="211" t="str">
        <f>'BM02'!B32</f>
        <v xml:space="preserve">PLACA   DE   OBRA   EM   CHAPA   DE   ACO GALVANIZADO </v>
      </c>
      <c r="C14" s="212"/>
      <c r="D14" s="212"/>
      <c r="E14" s="212"/>
      <c r="F14" s="212"/>
      <c r="G14" s="212"/>
      <c r="H14" s="212"/>
      <c r="I14" s="212"/>
      <c r="J14" s="212"/>
      <c r="K14" s="213"/>
      <c r="L14" s="129">
        <f>L15</f>
        <v>0</v>
      </c>
      <c r="M14" s="130" t="str">
        <f>'BM02'!C32</f>
        <v>m²</v>
      </c>
    </row>
    <row r="15" spans="1:14" ht="12.75">
      <c r="A15" s="132"/>
      <c r="B15" s="209"/>
      <c r="C15" s="210"/>
      <c r="D15" s="134"/>
      <c r="E15" s="134"/>
      <c r="F15" s="134"/>
      <c r="G15" s="134"/>
      <c r="H15" s="134"/>
      <c r="I15" s="134"/>
      <c r="J15" s="135"/>
      <c r="K15" s="135"/>
      <c r="L15" s="134">
        <f>ROUND(D15*K15,2)</f>
        <v>0</v>
      </c>
      <c r="M15" s="136"/>
    </row>
    <row r="16" spans="1:14" ht="12.75">
      <c r="A16" s="124"/>
      <c r="B16" s="125"/>
      <c r="C16" s="125"/>
      <c r="D16" s="125"/>
      <c r="E16" s="125"/>
      <c r="F16" s="125"/>
      <c r="G16" s="125"/>
      <c r="H16" s="125"/>
      <c r="I16" s="125"/>
      <c r="J16" s="125"/>
      <c r="K16" s="126"/>
      <c r="L16" s="125"/>
      <c r="M16" s="127"/>
    </row>
    <row r="17" spans="1:13" s="131" customFormat="1" ht="28.9" customHeight="1">
      <c r="A17" s="128" t="str">
        <f>'BM02'!A33</f>
        <v>1.1.2</v>
      </c>
      <c r="B17" s="211" t="str">
        <f>'BM02'!B33</f>
        <v>LOCACAO CONVENCIONAL DE OBRA, UTILIZANDO GABARITO DE TÁBUAS CORRIDAS PONTALETADAS A CADA 2,00M - 2 UTILIZAÇÕES. AF_10/2018</v>
      </c>
      <c r="C17" s="212"/>
      <c r="D17" s="212"/>
      <c r="E17" s="212"/>
      <c r="F17" s="212"/>
      <c r="G17" s="212"/>
      <c r="H17" s="212"/>
      <c r="I17" s="212"/>
      <c r="J17" s="212"/>
      <c r="K17" s="213"/>
      <c r="L17" s="129">
        <f>L18</f>
        <v>0</v>
      </c>
      <c r="M17" s="130" t="str">
        <f>'BM02'!C33</f>
        <v>M</v>
      </c>
    </row>
    <row r="18" spans="1:13" ht="12.75">
      <c r="A18" s="132"/>
      <c r="B18" s="209"/>
      <c r="C18" s="210"/>
      <c r="D18" s="134"/>
      <c r="E18" s="134"/>
      <c r="F18" s="134"/>
      <c r="G18" s="134"/>
      <c r="H18" s="134"/>
      <c r="I18" s="134"/>
      <c r="J18" s="135"/>
      <c r="K18" s="135"/>
      <c r="L18" s="134">
        <f>ROUND(D18*K18,2)</f>
        <v>0</v>
      </c>
      <c r="M18" s="136"/>
    </row>
    <row r="19" spans="1:13" ht="12.75">
      <c r="A19" s="124"/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7"/>
    </row>
    <row r="20" spans="1:13" s="131" customFormat="1" ht="28.9" customHeight="1">
      <c r="A20" s="128" t="str">
        <f>'BM02'!A34</f>
        <v>1.1.3</v>
      </c>
      <c r="B20" s="211" t="str">
        <f>'BM02'!B34</f>
        <v>LIMPEZA MECANIZADA DE CAMADA VEGETAL, VEGETAÇÃO E PEQUENAS ÁRVORES DIÂMETRO DE TRONCO MENOR QUE 0,20 M), COM TRATOR DE ESTEIRAS.AF_05/2018</v>
      </c>
      <c r="C20" s="212"/>
      <c r="D20" s="212"/>
      <c r="E20" s="212"/>
      <c r="F20" s="212"/>
      <c r="G20" s="212"/>
      <c r="H20" s="212"/>
      <c r="I20" s="212"/>
      <c r="J20" s="212"/>
      <c r="K20" s="213"/>
      <c r="L20" s="129">
        <f>L21</f>
        <v>0</v>
      </c>
      <c r="M20" s="130" t="str">
        <f>'BM02'!C34</f>
        <v>m²</v>
      </c>
    </row>
    <row r="21" spans="1:13" ht="12.75">
      <c r="A21" s="132"/>
      <c r="B21" s="209"/>
      <c r="C21" s="210"/>
      <c r="D21" s="134"/>
      <c r="E21" s="134"/>
      <c r="F21" s="134"/>
      <c r="G21" s="134"/>
      <c r="H21" s="134"/>
      <c r="I21" s="134"/>
      <c r="J21" s="135"/>
      <c r="K21" s="135"/>
      <c r="L21" s="134">
        <f>ROUND(D21*K21,2)</f>
        <v>0</v>
      </c>
      <c r="M21" s="136"/>
    </row>
    <row r="22" spans="1:13" ht="12.75">
      <c r="A22" s="124"/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7"/>
    </row>
    <row r="23" spans="1:13" s="131" customFormat="1" ht="28.9" customHeight="1">
      <c r="A23" s="128" t="str">
        <f>'BM02'!A35</f>
        <v>1.1.4</v>
      </c>
      <c r="B23" s="211" t="str">
        <f>'BM02'!B35</f>
        <v>LIGAÇÃO PREDIAL DE ÁGUA EM MURETA DE CONCRETO, PROVISÓRIA OU DEFINITIVA, COM FORNECIMENTO DE MATERIAL, INCLUSIVE MURETA E HIDRÔMETRO, REDE DN 50MM</v>
      </c>
      <c r="C23" s="212"/>
      <c r="D23" s="212"/>
      <c r="E23" s="212"/>
      <c r="F23" s="212"/>
      <c r="G23" s="212"/>
      <c r="H23" s="212"/>
      <c r="I23" s="212"/>
      <c r="J23" s="212"/>
      <c r="K23" s="213"/>
      <c r="L23" s="129">
        <f>L24</f>
        <v>0</v>
      </c>
      <c r="M23" s="130" t="str">
        <f>'BM02'!C35</f>
        <v>un</v>
      </c>
    </row>
    <row r="24" spans="1:13" ht="12.75">
      <c r="A24" s="132"/>
      <c r="B24" s="209"/>
      <c r="C24" s="210"/>
      <c r="D24" s="134"/>
      <c r="E24" s="134"/>
      <c r="F24" s="134"/>
      <c r="G24" s="134"/>
      <c r="H24" s="134"/>
      <c r="I24" s="134"/>
      <c r="J24" s="135"/>
      <c r="K24" s="135"/>
      <c r="L24" s="134">
        <f>ROUND(D24*K24,2)</f>
        <v>0</v>
      </c>
      <c r="M24" s="136"/>
    </row>
    <row r="25" spans="1:13" ht="12.75">
      <c r="A25" s="124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7"/>
    </row>
    <row r="26" spans="1:13" s="131" customFormat="1" ht="28.9" customHeight="1">
      <c r="A26" s="128" t="str">
        <f>'BM02'!A36</f>
        <v>1.1.5</v>
      </c>
      <c r="B26" s="211" t="str">
        <f>'BM02'!B36</f>
        <v>ENTRADA    DE    ENERGIA    ELETRICA MONOFASICA  COM  POSTE  DE  CONCRETO, INCLUSIVE   CABEAMENTO,   CAIXA   DE PROTECAO     PARA     MEDIDOR</v>
      </c>
      <c r="C26" s="212"/>
      <c r="D26" s="212"/>
      <c r="E26" s="212"/>
      <c r="F26" s="212"/>
      <c r="G26" s="212"/>
      <c r="H26" s="212"/>
      <c r="I26" s="212"/>
      <c r="J26" s="212"/>
      <c r="K26" s="213"/>
      <c r="L26" s="129">
        <f>L27</f>
        <v>0</v>
      </c>
      <c r="M26" s="130" t="str">
        <f>'BM02'!C36</f>
        <v>un</v>
      </c>
    </row>
    <row r="27" spans="1:13" ht="12.75">
      <c r="A27" s="132"/>
      <c r="B27" s="209"/>
      <c r="C27" s="210"/>
      <c r="D27" s="134"/>
      <c r="E27" s="134"/>
      <c r="F27" s="134"/>
      <c r="G27" s="134"/>
      <c r="H27" s="134"/>
      <c r="I27" s="134"/>
      <c r="J27" s="135"/>
      <c r="K27" s="135"/>
      <c r="L27" s="134">
        <f>ROUND(D27*K27,2)</f>
        <v>0</v>
      </c>
      <c r="M27" s="136"/>
    </row>
    <row r="28" spans="1:13" ht="12.75">
      <c r="A28" s="139"/>
      <c r="B28" s="140"/>
      <c r="C28" s="141"/>
      <c r="D28" s="142"/>
      <c r="E28" s="143"/>
      <c r="F28" s="142"/>
      <c r="G28" s="142"/>
      <c r="H28" s="143"/>
      <c r="I28" s="143"/>
      <c r="J28" s="144"/>
      <c r="K28" s="144"/>
      <c r="L28" s="142"/>
      <c r="M28" s="145"/>
    </row>
    <row r="29" spans="1:13" s="131" customFormat="1" ht="43.15" customHeight="1">
      <c r="A29" s="128" t="str">
        <f>'BM02'!A37</f>
        <v>1.1.6</v>
      </c>
      <c r="B29" s="211" t="str">
        <f>'BM02'!B37</f>
        <v>LIGACAO DOMICILIAR DE ESGOTO DN 100MM, DA  CASA  ATE  A  CAIXA,  COMPOSTO  POR 10,0M  TUBO  DE  PVC  ESGOTO  PREDIAL  DN
100MM E CAIXA DE ALVENARIA COM TAMPA DE   CONCRETO   -   FORNECIMENTO</v>
      </c>
      <c r="C29" s="212"/>
      <c r="D29" s="212"/>
      <c r="E29" s="212"/>
      <c r="F29" s="212"/>
      <c r="G29" s="212"/>
      <c r="H29" s="212"/>
      <c r="I29" s="212"/>
      <c r="J29" s="212"/>
      <c r="K29" s="213"/>
      <c r="L29" s="129">
        <f>SUM(L30)</f>
        <v>0</v>
      </c>
      <c r="M29" s="130" t="str">
        <f>'BM02'!C37</f>
        <v>un</v>
      </c>
    </row>
    <row r="30" spans="1:13" ht="12.75">
      <c r="A30" s="132"/>
      <c r="B30" s="209"/>
      <c r="C30" s="210"/>
      <c r="D30" s="134"/>
      <c r="E30" s="134"/>
      <c r="F30" s="134"/>
      <c r="G30" s="134"/>
      <c r="H30" s="134"/>
      <c r="I30" s="134"/>
      <c r="J30" s="135"/>
      <c r="K30" s="135"/>
      <c r="L30" s="134">
        <f>ROUND(D30*K30,2)</f>
        <v>0</v>
      </c>
      <c r="M30" s="136"/>
    </row>
    <row r="31" spans="1:13" ht="12.75">
      <c r="A31" s="146"/>
      <c r="B31" s="140"/>
      <c r="C31" s="143"/>
      <c r="D31" s="142"/>
      <c r="E31" s="142"/>
      <c r="F31" s="142"/>
      <c r="G31" s="142"/>
      <c r="H31" s="142"/>
      <c r="I31" s="142"/>
      <c r="J31" s="144"/>
      <c r="K31" s="144"/>
      <c r="L31" s="142"/>
      <c r="M31" s="145"/>
    </row>
    <row r="32" spans="1:13" s="131" customFormat="1" ht="12.75">
      <c r="A32" s="128" t="str">
        <f>'BM02'!A38</f>
        <v>1.1.7</v>
      </c>
      <c r="B32" s="211" t="str">
        <f>'BM02'!B38</f>
        <v>LOCAÇÃO DE CONTAINER - ALMOXARIFADO COM BANHEIRO - 6,00 X 2,30M</v>
      </c>
      <c r="C32" s="212"/>
      <c r="D32" s="212"/>
      <c r="E32" s="212"/>
      <c r="F32" s="212"/>
      <c r="G32" s="212"/>
      <c r="H32" s="212"/>
      <c r="I32" s="212"/>
      <c r="J32" s="212"/>
      <c r="K32" s="213"/>
      <c r="L32" s="129">
        <f>K33</f>
        <v>0</v>
      </c>
      <c r="M32" s="130" t="str">
        <f>'BM02'!C38</f>
        <v>mês</v>
      </c>
    </row>
    <row r="33" spans="1:13" ht="12.75">
      <c r="A33" s="132"/>
      <c r="B33" s="209"/>
      <c r="C33" s="210"/>
      <c r="D33" s="134"/>
      <c r="E33" s="134"/>
      <c r="F33" s="134"/>
      <c r="G33" s="134"/>
      <c r="H33" s="134"/>
      <c r="I33" s="134"/>
      <c r="J33" s="135"/>
      <c r="K33" s="135"/>
      <c r="L33" s="134">
        <f>ROUND(D33*K33,2)</f>
        <v>0</v>
      </c>
      <c r="M33" s="136"/>
    </row>
    <row r="34" spans="1:13" ht="12.75">
      <c r="A34" s="146"/>
      <c r="B34" s="140"/>
      <c r="C34" s="143"/>
      <c r="D34" s="142"/>
      <c r="E34" s="142"/>
      <c r="F34" s="142"/>
      <c r="G34" s="142"/>
      <c r="H34" s="142"/>
      <c r="I34" s="142"/>
      <c r="J34" s="144"/>
      <c r="K34" s="144"/>
      <c r="L34" s="142"/>
      <c r="M34" s="145"/>
    </row>
    <row r="35" spans="1:13" s="131" customFormat="1" ht="12.75">
      <c r="A35" s="128" t="str">
        <f>'BM02'!A39</f>
        <v>1.1.8</v>
      </c>
      <c r="B35" s="211" t="str">
        <f>'BM02'!B39</f>
        <v xml:space="preserve"> LOCAÇÃO DE CONTAINER - ESCRITÓRIO COM BANHEIRO - 6,20 X 2,20M</v>
      </c>
      <c r="C35" s="212"/>
      <c r="D35" s="212"/>
      <c r="E35" s="212"/>
      <c r="F35" s="212"/>
      <c r="G35" s="212"/>
      <c r="H35" s="212"/>
      <c r="I35" s="212"/>
      <c r="J35" s="212"/>
      <c r="K35" s="213"/>
      <c r="L35" s="129">
        <f>K36</f>
        <v>0</v>
      </c>
      <c r="M35" s="130" t="str">
        <f>'BM02'!C39</f>
        <v>mês</v>
      </c>
    </row>
    <row r="36" spans="1:13" ht="12.75">
      <c r="A36" s="132"/>
      <c r="B36" s="209"/>
      <c r="C36" s="210"/>
      <c r="D36" s="134"/>
      <c r="E36" s="134"/>
      <c r="F36" s="134"/>
      <c r="G36" s="134"/>
      <c r="H36" s="134"/>
      <c r="I36" s="134"/>
      <c r="J36" s="135"/>
      <c r="K36" s="135"/>
      <c r="L36" s="134">
        <f>ROUND(D36*K36,2)</f>
        <v>0</v>
      </c>
      <c r="M36" s="136"/>
    </row>
    <row r="37" spans="1:13" ht="13.5" thickBot="1">
      <c r="A37" s="146"/>
      <c r="B37" s="140"/>
      <c r="C37" s="143"/>
      <c r="D37" s="142"/>
      <c r="E37" s="142"/>
      <c r="F37" s="142"/>
      <c r="G37" s="142"/>
      <c r="H37" s="142"/>
      <c r="I37" s="142"/>
      <c r="J37" s="144"/>
      <c r="K37" s="144"/>
      <c r="L37" s="142"/>
      <c r="M37" s="145"/>
    </row>
    <row r="38" spans="1:13" s="131" customFormat="1" ht="13.5" thickBot="1">
      <c r="A38" s="121" t="str">
        <f>'BM02'!A41</f>
        <v>1.2</v>
      </c>
      <c r="B38" s="122" t="str">
        <f>'BM02'!B41</f>
        <v>MOVIMENTO DE TERRA</v>
      </c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3"/>
    </row>
    <row r="39" spans="1:13" ht="12.75">
      <c r="A39" s="146"/>
      <c r="B39" s="140"/>
      <c r="C39" s="143"/>
      <c r="D39" s="142"/>
      <c r="E39" s="142"/>
      <c r="F39" s="142"/>
      <c r="G39" s="142"/>
      <c r="H39" s="142"/>
      <c r="I39" s="142"/>
      <c r="J39" s="144"/>
      <c r="K39" s="144"/>
      <c r="L39" s="142"/>
      <c r="M39" s="145"/>
    </row>
    <row r="40" spans="1:13" s="131" customFormat="1" ht="28.9" customHeight="1">
      <c r="A40" s="128" t="str">
        <f>'BM02'!A43</f>
        <v>1.2.1</v>
      </c>
      <c r="B40" s="211" t="str">
        <f>'BM02'!B43</f>
        <v>ESCAVACAO MECANICA DE VALA EM MATERIAL DE 2A. CATEGORIA ATE 2 M DE PROFUNDIDADE COM UTILIZACAO DE ESCAVADEIRA HIDRAULICA</v>
      </c>
      <c r="C40" s="212"/>
      <c r="D40" s="212"/>
      <c r="E40" s="212"/>
      <c r="F40" s="212"/>
      <c r="G40" s="212"/>
      <c r="H40" s="212"/>
      <c r="I40" s="212"/>
      <c r="J40" s="212"/>
      <c r="K40" s="213"/>
      <c r="L40" s="129">
        <f>SUM(L41:L41)</f>
        <v>0</v>
      </c>
      <c r="M40" s="130" t="str">
        <f>'BM02'!C43</f>
        <v>m³</v>
      </c>
    </row>
    <row r="41" spans="1:13" ht="12.75">
      <c r="A41" s="132"/>
      <c r="B41" s="209"/>
      <c r="C41" s="210"/>
      <c r="D41" s="134"/>
      <c r="E41" s="134"/>
      <c r="F41" s="134"/>
      <c r="G41" s="134"/>
      <c r="H41" s="134"/>
      <c r="I41" s="134"/>
      <c r="J41" s="135"/>
      <c r="K41" s="135"/>
      <c r="L41" s="134">
        <f>ROUND(D41*K41,2)</f>
        <v>0</v>
      </c>
      <c r="M41" s="136"/>
    </row>
    <row r="42" spans="1:13" ht="12.75">
      <c r="A42" s="146"/>
      <c r="B42" s="140"/>
      <c r="C42" s="143"/>
      <c r="D42" s="142"/>
      <c r="E42" s="142"/>
      <c r="F42" s="142"/>
      <c r="G42" s="142"/>
      <c r="H42" s="142"/>
      <c r="I42" s="142"/>
      <c r="J42" s="144"/>
      <c r="K42" s="144"/>
      <c r="L42" s="142"/>
      <c r="M42" s="145"/>
    </row>
    <row r="43" spans="1:13" s="131" customFormat="1" ht="12.75">
      <c r="A43" s="128" t="str">
        <f>'BM02'!A44</f>
        <v>1.2.2</v>
      </c>
      <c r="B43" s="211" t="str">
        <f>'BM02'!B44</f>
        <v>REATERRO MANUAL DE VALAS COM COMPACTAÇÃO MECANIZADA. AF_04/2016</v>
      </c>
      <c r="C43" s="212"/>
      <c r="D43" s="212"/>
      <c r="E43" s="212"/>
      <c r="F43" s="212"/>
      <c r="G43" s="212"/>
      <c r="H43" s="212"/>
      <c r="I43" s="212"/>
      <c r="J43" s="212"/>
      <c r="K43" s="213"/>
      <c r="L43" s="129">
        <f>SUM(L44:L44)</f>
        <v>0</v>
      </c>
      <c r="M43" s="130" t="str">
        <f>'BM02'!C44</f>
        <v>m³</v>
      </c>
    </row>
    <row r="44" spans="1:13" ht="12.75">
      <c r="A44" s="132"/>
      <c r="B44" s="209"/>
      <c r="C44" s="210"/>
      <c r="D44" s="134"/>
      <c r="E44" s="134"/>
      <c r="F44" s="134"/>
      <c r="G44" s="134"/>
      <c r="H44" s="134"/>
      <c r="I44" s="134"/>
      <c r="J44" s="135"/>
      <c r="K44" s="135"/>
      <c r="L44" s="134">
        <f>ROUND(D44*K44,2)</f>
        <v>0</v>
      </c>
      <c r="M44" s="136"/>
    </row>
    <row r="45" spans="1:13" ht="12.75">
      <c r="A45" s="146"/>
      <c r="B45" s="140"/>
      <c r="C45" s="143"/>
      <c r="D45" s="142"/>
      <c r="E45" s="142"/>
      <c r="F45" s="142"/>
      <c r="G45" s="142"/>
      <c r="H45" s="142"/>
      <c r="I45" s="142"/>
      <c r="J45" s="144"/>
      <c r="K45" s="144"/>
      <c r="L45" s="142"/>
      <c r="M45" s="145"/>
    </row>
    <row r="46" spans="1:13" s="131" customFormat="1" ht="12.75">
      <c r="A46" s="128" t="str">
        <f>'BM02'!A45</f>
        <v>1.2.3</v>
      </c>
      <c r="B46" s="137" t="str">
        <f>'BM02'!B45</f>
        <v>ATERRO MANUAL DE VALAS COM SOLO ARGILO-ARENOSO E COMPACTAÇÃO MECANIZADA. AF_05/2016</v>
      </c>
      <c r="C46" s="138"/>
      <c r="D46" s="138"/>
      <c r="E46" s="138"/>
      <c r="F46" s="138"/>
      <c r="G46" s="138"/>
      <c r="H46" s="138"/>
      <c r="I46" s="138"/>
      <c r="J46" s="138"/>
      <c r="K46" s="138"/>
      <c r="L46" s="129">
        <f>SUM(L47:L47)</f>
        <v>0</v>
      </c>
      <c r="M46" s="130" t="str">
        <f>'BM02'!C45</f>
        <v>m³</v>
      </c>
    </row>
    <row r="47" spans="1:13" ht="12.75">
      <c r="A47" s="132"/>
      <c r="B47" s="209"/>
      <c r="C47" s="210"/>
      <c r="D47" s="134"/>
      <c r="E47" s="134"/>
      <c r="F47" s="134"/>
      <c r="G47" s="134"/>
      <c r="H47" s="134"/>
      <c r="I47" s="134"/>
      <c r="J47" s="135"/>
      <c r="K47" s="135"/>
      <c r="L47" s="134">
        <f>ROUND(D47*K47,2)</f>
        <v>0</v>
      </c>
      <c r="M47" s="136"/>
    </row>
    <row r="48" spans="1:13" ht="13.5" thickBot="1">
      <c r="A48" s="146"/>
      <c r="B48" s="140"/>
      <c r="C48" s="143"/>
      <c r="D48" s="142"/>
      <c r="E48" s="142"/>
      <c r="F48" s="142"/>
      <c r="G48" s="142"/>
      <c r="H48" s="142"/>
      <c r="I48" s="142"/>
      <c r="J48" s="144"/>
      <c r="K48" s="144"/>
      <c r="L48" s="142"/>
      <c r="M48" s="145"/>
    </row>
    <row r="49" spans="1:13" s="131" customFormat="1" ht="13.5" thickBot="1">
      <c r="A49" s="121" t="str">
        <f>'BM02'!A47</f>
        <v>1.3</v>
      </c>
      <c r="B49" s="122" t="str">
        <f>'BM02'!B47</f>
        <v>INFRAESTRUTURA</v>
      </c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3"/>
    </row>
    <row r="50" spans="1:13" ht="12.75">
      <c r="A50" s="146"/>
      <c r="B50" s="140"/>
      <c r="C50" s="143"/>
      <c r="D50" s="142"/>
      <c r="E50" s="142"/>
      <c r="F50" s="142"/>
      <c r="G50" s="142"/>
      <c r="H50" s="142"/>
      <c r="I50" s="142"/>
      <c r="J50" s="144"/>
      <c r="K50" s="144"/>
      <c r="L50" s="142"/>
      <c r="M50" s="145"/>
    </row>
    <row r="51" spans="1:13" s="131" customFormat="1" ht="12.75">
      <c r="A51" s="128" t="str">
        <f>'BM02'!A49</f>
        <v>1.3.1</v>
      </c>
      <c r="B51" s="211" t="str">
        <f>'BM02'!B49</f>
        <v>EMBASAMENTO C/PEDRA ARGAMASSADA UTILIZADO ARG.CIM/AREIA 1:4 (ADAPTADO SINAPI 95467)</v>
      </c>
      <c r="C51" s="212"/>
      <c r="D51" s="212"/>
      <c r="E51" s="212"/>
      <c r="F51" s="212"/>
      <c r="G51" s="212"/>
      <c r="H51" s="212"/>
      <c r="I51" s="212"/>
      <c r="J51" s="212"/>
      <c r="K51" s="213"/>
      <c r="L51" s="129">
        <f>SUM(L52:L52)</f>
        <v>0</v>
      </c>
      <c r="M51" s="130" t="str">
        <f>'BM02'!C49</f>
        <v>m³</v>
      </c>
    </row>
    <row r="52" spans="1:13" s="131" customFormat="1" ht="12.75">
      <c r="A52" s="132"/>
      <c r="B52" s="178"/>
      <c r="C52" s="179"/>
      <c r="D52" s="134"/>
      <c r="E52" s="134"/>
      <c r="F52" s="134"/>
      <c r="G52" s="134"/>
      <c r="H52" s="134"/>
      <c r="I52" s="134"/>
      <c r="J52" s="135"/>
      <c r="K52" s="135"/>
      <c r="L52" s="134">
        <f t="shared" ref="L52" si="0">ROUND(D52*K52,2)</f>
        <v>0</v>
      </c>
      <c r="M52" s="180"/>
    </row>
    <row r="53" spans="1:13" ht="12.75">
      <c r="A53" s="146"/>
      <c r="B53" s="140"/>
      <c r="C53" s="143"/>
      <c r="D53" s="142"/>
      <c r="E53" s="142"/>
      <c r="F53" s="142"/>
      <c r="G53" s="142"/>
      <c r="H53" s="142"/>
      <c r="I53" s="142"/>
      <c r="J53" s="144"/>
      <c r="K53" s="144"/>
      <c r="L53" s="142"/>
      <c r="M53" s="145"/>
    </row>
    <row r="54" spans="1:13" s="131" customFormat="1" ht="43.15" customHeight="1">
      <c r="A54" s="128" t="str">
        <f>'BM01'!A50</f>
        <v>1.3.2</v>
      </c>
      <c r="B54" s="211" t="str">
        <f>'BM02'!B50</f>
        <v>ALVENARIA DE VEDAÇÃO DE BLOCOS CERÂMICOS FURADOS NA HORIZONTAL DE 9X19X19CM (ESPESSURA 9CM) DE PAREDES COM ÁREA LÍQUIDA MAIOR OU IGUAL A 6M² COM VÃOS E ARGAMASSA DE ASSENTAMENTO COM PREPARO MANUAL. AF_06/2014</v>
      </c>
      <c r="C54" s="212"/>
      <c r="D54" s="212"/>
      <c r="E54" s="212"/>
      <c r="F54" s="212"/>
      <c r="G54" s="212"/>
      <c r="H54" s="212"/>
      <c r="I54" s="212"/>
      <c r="J54" s="212"/>
      <c r="K54" s="213"/>
      <c r="L54" s="129">
        <f>SUM(L55:L55)</f>
        <v>0</v>
      </c>
      <c r="M54" s="130" t="str">
        <f>'BM02'!C50</f>
        <v>m²</v>
      </c>
    </row>
    <row r="55" spans="1:13" s="131" customFormat="1" ht="12.75">
      <c r="A55" s="132"/>
      <c r="B55" s="178"/>
      <c r="C55" s="179"/>
      <c r="D55" s="134"/>
      <c r="E55" s="134"/>
      <c r="F55" s="134"/>
      <c r="G55" s="134"/>
      <c r="H55" s="134"/>
      <c r="I55" s="134"/>
      <c r="J55" s="135"/>
      <c r="K55" s="135"/>
      <c r="L55" s="134">
        <f>-(D55*E55*I55)</f>
        <v>0</v>
      </c>
      <c r="M55" s="180"/>
    </row>
    <row r="56" spans="1:13" ht="12.75">
      <c r="A56" s="146"/>
      <c r="B56" s="140"/>
      <c r="C56" s="143"/>
      <c r="D56" s="142"/>
      <c r="E56" s="142"/>
      <c r="F56" s="142"/>
      <c r="G56" s="142"/>
      <c r="H56" s="142"/>
      <c r="I56" s="142"/>
      <c r="J56" s="144"/>
      <c r="K56" s="144"/>
      <c r="L56" s="142"/>
      <c r="M56" s="145"/>
    </row>
    <row r="57" spans="1:13" s="131" customFormat="1" ht="12.75">
      <c r="A57" s="128" t="str">
        <f>'BM01'!A51</f>
        <v>1.3.3</v>
      </c>
      <c r="B57" s="211" t="str">
        <f>'BM02'!B51</f>
        <v>LASTRO DE CONCRETO MAGRO, APLICADO EM BLOCOS DE COROAMENTO OU SAPATAS. AF_08/2017</v>
      </c>
      <c r="C57" s="212"/>
      <c r="D57" s="212"/>
      <c r="E57" s="212"/>
      <c r="F57" s="212"/>
      <c r="G57" s="212"/>
      <c r="H57" s="212"/>
      <c r="I57" s="212"/>
      <c r="J57" s="212"/>
      <c r="K57" s="213"/>
      <c r="L57" s="129">
        <f>SUM(L58:L58)</f>
        <v>0</v>
      </c>
      <c r="M57" s="130" t="str">
        <f>'BM02'!C51</f>
        <v>m³</v>
      </c>
    </row>
    <row r="58" spans="1:13" s="131" customFormat="1" ht="12.75">
      <c r="A58" s="132"/>
      <c r="B58" s="178"/>
      <c r="C58" s="179"/>
      <c r="D58" s="134"/>
      <c r="E58" s="134"/>
      <c r="F58" s="134"/>
      <c r="G58" s="134"/>
      <c r="H58" s="134"/>
      <c r="I58" s="134"/>
      <c r="J58" s="135"/>
      <c r="K58" s="135"/>
      <c r="L58" s="134">
        <f t="shared" ref="L58" si="1">ROUND(D58*K58,2)</f>
        <v>0</v>
      </c>
      <c r="M58" s="180"/>
    </row>
    <row r="59" spans="1:13" ht="12.75">
      <c r="A59" s="146"/>
      <c r="B59" s="140"/>
      <c r="C59" s="143"/>
      <c r="D59" s="142"/>
      <c r="E59" s="142"/>
      <c r="F59" s="142"/>
      <c r="G59" s="142"/>
      <c r="H59" s="142"/>
      <c r="I59" s="142"/>
      <c r="J59" s="144"/>
      <c r="K59" s="144"/>
      <c r="L59" s="142"/>
      <c r="M59" s="145"/>
    </row>
    <row r="60" spans="1:13" s="131" customFormat="1" ht="28.9" customHeight="1">
      <c r="A60" s="128" t="str">
        <f>'BM01'!A52</f>
        <v>1.3.4</v>
      </c>
      <c r="B60" s="211" t="str">
        <f>'BM02'!B52</f>
        <v>CONCRETO ARMADO (PREPARO E LANÇAMENTO) PARA SAPATAS COM FCK=25MPA COM FORMA DE TABUA COM APROVEITAMENTO DE 2 VEZES COM BETONEIRA</v>
      </c>
      <c r="C60" s="212"/>
      <c r="D60" s="212"/>
      <c r="E60" s="212"/>
      <c r="F60" s="212"/>
      <c r="G60" s="212"/>
      <c r="H60" s="212"/>
      <c r="I60" s="212"/>
      <c r="J60" s="212"/>
      <c r="K60" s="213"/>
      <c r="L60" s="129">
        <f>SUM(L61:L61)</f>
        <v>0</v>
      </c>
      <c r="M60" s="130" t="str">
        <f>'BM02'!C52</f>
        <v>m³</v>
      </c>
    </row>
    <row r="61" spans="1:13" s="131" customFormat="1" ht="12.75">
      <c r="A61" s="132"/>
      <c r="B61" s="178"/>
      <c r="C61" s="179"/>
      <c r="D61" s="134"/>
      <c r="E61" s="134"/>
      <c r="F61" s="134"/>
      <c r="G61" s="134"/>
      <c r="H61" s="134"/>
      <c r="I61" s="134"/>
      <c r="J61" s="135"/>
      <c r="K61" s="135"/>
      <c r="L61" s="134">
        <f t="shared" ref="L61" si="2">ROUND(D61*K61,2)</f>
        <v>0</v>
      </c>
      <c r="M61" s="180"/>
    </row>
    <row r="62" spans="1:13" ht="12.75">
      <c r="A62" s="146"/>
      <c r="B62" s="140"/>
      <c r="C62" s="143"/>
      <c r="D62" s="142"/>
      <c r="E62" s="142"/>
      <c r="F62" s="142"/>
      <c r="G62" s="142"/>
      <c r="H62" s="142"/>
      <c r="I62" s="142"/>
      <c r="J62" s="144"/>
      <c r="K62" s="144"/>
      <c r="L62" s="142"/>
      <c r="M62" s="145"/>
    </row>
    <row r="63" spans="1:13" s="131" customFormat="1" ht="28.9" customHeight="1">
      <c r="A63" s="128" t="str">
        <f>'BM01'!A53</f>
        <v>1.3.5</v>
      </c>
      <c r="B63" s="211" t="str">
        <f>'BM02'!B53</f>
        <v>CONCRETO ARMADO (PREPARO E LANÇAMENTO) PARA RADIER COM FCK=25MPA COM TABUA DE MADEIRA COM APROVEITAMENTO DE 3 VEZES COM BETONEIRA</v>
      </c>
      <c r="C63" s="212"/>
      <c r="D63" s="212"/>
      <c r="E63" s="212"/>
      <c r="F63" s="212"/>
      <c r="G63" s="212"/>
      <c r="H63" s="212"/>
      <c r="I63" s="212"/>
      <c r="J63" s="212"/>
      <c r="K63" s="213"/>
      <c r="L63" s="129">
        <f>SUM(L64:L64)</f>
        <v>0</v>
      </c>
      <c r="M63" s="130" t="str">
        <f>'BM02'!C53</f>
        <v>m³</v>
      </c>
    </row>
    <row r="64" spans="1:13" ht="12.75">
      <c r="A64" s="132"/>
      <c r="B64" s="178"/>
      <c r="C64" s="179"/>
      <c r="D64" s="134"/>
      <c r="E64" s="134"/>
      <c r="F64" s="134"/>
      <c r="G64" s="134"/>
      <c r="H64" s="134"/>
      <c r="I64" s="134"/>
      <c r="J64" s="135"/>
      <c r="K64" s="135"/>
      <c r="L64" s="134">
        <f t="shared" ref="L64" si="3">ROUND(D64*K64,2)</f>
        <v>0</v>
      </c>
      <c r="M64" s="136"/>
    </row>
    <row r="65" spans="1:13" ht="13.5" thickBot="1">
      <c r="A65" s="146"/>
      <c r="B65" s="181"/>
      <c r="C65" s="181"/>
      <c r="D65" s="142"/>
      <c r="E65" s="142"/>
      <c r="F65" s="142"/>
      <c r="G65" s="142"/>
      <c r="H65" s="142"/>
      <c r="I65" s="142"/>
      <c r="J65" s="144"/>
      <c r="K65" s="144"/>
      <c r="L65" s="142"/>
      <c r="M65" s="145"/>
    </row>
    <row r="66" spans="1:13" ht="13.5" thickBot="1">
      <c r="A66" s="121" t="str">
        <f>'BM02'!A55</f>
        <v>1.4</v>
      </c>
      <c r="B66" s="122" t="str">
        <f>'BM02'!B55</f>
        <v>SUPERESTRUTURA</v>
      </c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M66" s="123"/>
    </row>
    <row r="67" spans="1:13" ht="12.75">
      <c r="A67" s="124"/>
      <c r="B67" s="125"/>
      <c r="C67" s="125"/>
      <c r="D67" s="125"/>
      <c r="E67" s="125"/>
      <c r="F67" s="125"/>
      <c r="G67" s="125"/>
      <c r="H67" s="125"/>
      <c r="I67" s="125"/>
      <c r="J67" s="125"/>
      <c r="K67" s="126"/>
      <c r="L67" s="125"/>
      <c r="M67" s="127"/>
    </row>
    <row r="68" spans="1:13" s="131" customFormat="1" ht="28.9" customHeight="1">
      <c r="A68" s="128" t="str">
        <f>'BM02'!A57</f>
        <v>1.4.1</v>
      </c>
      <c r="B68" s="211" t="str">
        <f>'BM02'!B57</f>
        <v>CONCRETO ARMADO (PREPARO E LANÇAMENTO) PARA VIGA COM FCK=25MPA, COM FORMA EM CHAPA DE MADEIRA COMPENSADA RESINADA, COM APROVEITAMENTO DE 3 VEZES COM BETONEIRA</v>
      </c>
      <c r="C68" s="212"/>
      <c r="D68" s="212"/>
      <c r="E68" s="212"/>
      <c r="F68" s="212"/>
      <c r="G68" s="212"/>
      <c r="H68" s="212"/>
      <c r="I68" s="212"/>
      <c r="J68" s="212"/>
      <c r="K68" s="213"/>
      <c r="L68" s="129">
        <f>SUM(L69:L104)</f>
        <v>18.009999999999994</v>
      </c>
      <c r="M68" s="130" t="str">
        <f>'BM02'!C57</f>
        <v>m²</v>
      </c>
    </row>
    <row r="69" spans="1:13" ht="14.45" customHeight="1">
      <c r="A69" s="132"/>
      <c r="B69" s="209" t="s">
        <v>438</v>
      </c>
      <c r="C69" s="210"/>
      <c r="D69" s="134">
        <v>1</v>
      </c>
      <c r="E69" s="134">
        <v>29.65</v>
      </c>
      <c r="F69" s="134"/>
      <c r="G69" s="134">
        <v>0.14000000000000001</v>
      </c>
      <c r="H69" s="134"/>
      <c r="I69" s="134">
        <v>0.35</v>
      </c>
      <c r="J69" s="135"/>
      <c r="K69" s="135">
        <f t="shared" ref="K69:K104" si="4">ROUND(E69*G69*I69,2)</f>
        <v>1.45</v>
      </c>
      <c r="L69" s="134">
        <f t="shared" ref="L69:L104" si="5">ROUND(D69*K69,2)</f>
        <v>1.45</v>
      </c>
      <c r="M69" s="136"/>
    </row>
    <row r="70" spans="1:13" ht="12.75">
      <c r="A70" s="132"/>
      <c r="B70" s="209" t="s">
        <v>439</v>
      </c>
      <c r="C70" s="210"/>
      <c r="D70" s="134">
        <v>1</v>
      </c>
      <c r="E70" s="134">
        <v>29.65</v>
      </c>
      <c r="F70" s="134"/>
      <c r="G70" s="134">
        <v>0.2</v>
      </c>
      <c r="H70" s="134"/>
      <c r="I70" s="134">
        <v>0.55000000000000004</v>
      </c>
      <c r="J70" s="135"/>
      <c r="K70" s="135">
        <f t="shared" si="4"/>
        <v>3.26</v>
      </c>
      <c r="L70" s="134">
        <f t="shared" si="5"/>
        <v>3.26</v>
      </c>
      <c r="M70" s="136"/>
    </row>
    <row r="71" spans="1:13" ht="12.75">
      <c r="A71" s="132"/>
      <c r="B71" s="209" t="s">
        <v>440</v>
      </c>
      <c r="C71" s="210"/>
      <c r="D71" s="134">
        <v>1</v>
      </c>
      <c r="E71" s="134">
        <v>29.65</v>
      </c>
      <c r="F71" s="134"/>
      <c r="G71" s="134">
        <v>0.14000000000000001</v>
      </c>
      <c r="H71" s="134"/>
      <c r="I71" s="134">
        <v>0.5</v>
      </c>
      <c r="J71" s="135"/>
      <c r="K71" s="135">
        <f t="shared" si="4"/>
        <v>2.08</v>
      </c>
      <c r="L71" s="134">
        <f t="shared" si="5"/>
        <v>2.08</v>
      </c>
      <c r="M71" s="136"/>
    </row>
    <row r="72" spans="1:13" ht="12.75">
      <c r="A72" s="132"/>
      <c r="B72" s="209" t="s">
        <v>441</v>
      </c>
      <c r="C72" s="210"/>
      <c r="D72" s="134">
        <v>1</v>
      </c>
      <c r="E72" s="134">
        <v>29.65</v>
      </c>
      <c r="F72" s="134"/>
      <c r="G72" s="134">
        <v>0.14000000000000001</v>
      </c>
      <c r="H72" s="134"/>
      <c r="I72" s="134">
        <v>0.35</v>
      </c>
      <c r="J72" s="135"/>
      <c r="K72" s="135">
        <f t="shared" si="4"/>
        <v>1.45</v>
      </c>
      <c r="L72" s="134">
        <f t="shared" si="5"/>
        <v>1.45</v>
      </c>
      <c r="M72" s="136"/>
    </row>
    <row r="73" spans="1:13" ht="12.75">
      <c r="A73" s="132"/>
      <c r="B73" s="209" t="s">
        <v>442</v>
      </c>
      <c r="C73" s="210"/>
      <c r="D73" s="134">
        <v>1</v>
      </c>
      <c r="E73" s="134">
        <v>3.71</v>
      </c>
      <c r="F73" s="134"/>
      <c r="G73" s="134">
        <v>0.14000000000000001</v>
      </c>
      <c r="H73" s="134"/>
      <c r="I73" s="134">
        <v>0.35</v>
      </c>
      <c r="J73" s="135"/>
      <c r="K73" s="135">
        <f t="shared" si="4"/>
        <v>0.18</v>
      </c>
      <c r="L73" s="134">
        <f t="shared" si="5"/>
        <v>0.18</v>
      </c>
      <c r="M73" s="136"/>
    </row>
    <row r="74" spans="1:13" ht="12.75">
      <c r="A74" s="132"/>
      <c r="B74" s="209" t="s">
        <v>443</v>
      </c>
      <c r="C74" s="210"/>
      <c r="D74" s="134">
        <v>1</v>
      </c>
      <c r="E74" s="134">
        <v>7.42</v>
      </c>
      <c r="F74" s="134"/>
      <c r="G74" s="134">
        <v>0.14000000000000001</v>
      </c>
      <c r="H74" s="134"/>
      <c r="I74" s="134">
        <v>0.35</v>
      </c>
      <c r="J74" s="135"/>
      <c r="K74" s="135">
        <f t="shared" si="4"/>
        <v>0.36</v>
      </c>
      <c r="L74" s="134">
        <f t="shared" si="5"/>
        <v>0.36</v>
      </c>
      <c r="M74" s="136"/>
    </row>
    <row r="75" spans="1:13" ht="12.75">
      <c r="A75" s="132"/>
      <c r="B75" s="209" t="s">
        <v>444</v>
      </c>
      <c r="C75" s="210"/>
      <c r="D75" s="134">
        <v>1</v>
      </c>
      <c r="E75" s="134">
        <v>8.6999999999999993</v>
      </c>
      <c r="F75" s="134"/>
      <c r="G75" s="134">
        <v>0.14000000000000001</v>
      </c>
      <c r="H75" s="134"/>
      <c r="I75" s="134">
        <v>0.35</v>
      </c>
      <c r="J75" s="135"/>
      <c r="K75" s="135">
        <f t="shared" si="4"/>
        <v>0.43</v>
      </c>
      <c r="L75" s="134">
        <f t="shared" si="5"/>
        <v>0.43</v>
      </c>
      <c r="M75" s="136"/>
    </row>
    <row r="76" spans="1:13" ht="12.75">
      <c r="A76" s="132"/>
      <c r="B76" s="209" t="s">
        <v>445</v>
      </c>
      <c r="C76" s="210"/>
      <c r="D76" s="134">
        <v>1</v>
      </c>
      <c r="E76" s="134">
        <v>5.44</v>
      </c>
      <c r="F76" s="134"/>
      <c r="G76" s="134">
        <v>0.14000000000000001</v>
      </c>
      <c r="H76" s="134"/>
      <c r="I76" s="134">
        <v>0.35</v>
      </c>
      <c r="J76" s="135"/>
      <c r="K76" s="135">
        <f t="shared" si="4"/>
        <v>0.27</v>
      </c>
      <c r="L76" s="134">
        <f t="shared" si="5"/>
        <v>0.27</v>
      </c>
      <c r="M76" s="136"/>
    </row>
    <row r="77" spans="1:13" ht="12.75">
      <c r="A77" s="132"/>
      <c r="B77" s="209" t="s">
        <v>446</v>
      </c>
      <c r="C77" s="210"/>
      <c r="D77" s="134">
        <v>1</v>
      </c>
      <c r="E77" s="134">
        <v>5.68</v>
      </c>
      <c r="F77" s="134"/>
      <c r="G77" s="134">
        <v>0.14000000000000001</v>
      </c>
      <c r="H77" s="134"/>
      <c r="I77" s="134">
        <v>0.45</v>
      </c>
      <c r="J77" s="135"/>
      <c r="K77" s="135">
        <f t="shared" si="4"/>
        <v>0.36</v>
      </c>
      <c r="L77" s="134">
        <f t="shared" si="5"/>
        <v>0.36</v>
      </c>
      <c r="M77" s="136"/>
    </row>
    <row r="78" spans="1:13" ht="12.75">
      <c r="A78" s="132"/>
      <c r="B78" s="209" t="s">
        <v>447</v>
      </c>
      <c r="C78" s="210"/>
      <c r="D78" s="134">
        <v>1</v>
      </c>
      <c r="E78" s="134">
        <v>3.33</v>
      </c>
      <c r="F78" s="134"/>
      <c r="G78" s="134">
        <v>0.14000000000000001</v>
      </c>
      <c r="H78" s="134"/>
      <c r="I78" s="134">
        <v>0.35</v>
      </c>
      <c r="J78" s="135"/>
      <c r="K78" s="135">
        <f t="shared" si="4"/>
        <v>0.16</v>
      </c>
      <c r="L78" s="134">
        <f t="shared" si="5"/>
        <v>0.16</v>
      </c>
      <c r="M78" s="136"/>
    </row>
    <row r="79" spans="1:13" ht="12.75">
      <c r="A79" s="132"/>
      <c r="B79" s="209" t="s">
        <v>448</v>
      </c>
      <c r="C79" s="210"/>
      <c r="D79" s="134">
        <v>1</v>
      </c>
      <c r="E79" s="134">
        <v>8.6999999999999993</v>
      </c>
      <c r="F79" s="134"/>
      <c r="G79" s="134">
        <v>0.14000000000000001</v>
      </c>
      <c r="H79" s="134"/>
      <c r="I79" s="134">
        <v>0.45</v>
      </c>
      <c r="J79" s="135"/>
      <c r="K79" s="135">
        <f t="shared" si="4"/>
        <v>0.55000000000000004</v>
      </c>
      <c r="L79" s="134">
        <f t="shared" si="5"/>
        <v>0.55000000000000004</v>
      </c>
      <c r="M79" s="136"/>
    </row>
    <row r="80" spans="1:13" ht="12.75">
      <c r="A80" s="132"/>
      <c r="B80" s="209" t="s">
        <v>449</v>
      </c>
      <c r="C80" s="210"/>
      <c r="D80" s="134">
        <v>1</v>
      </c>
      <c r="E80" s="134">
        <v>5.44</v>
      </c>
      <c r="F80" s="134"/>
      <c r="G80" s="134">
        <v>0.14000000000000001</v>
      </c>
      <c r="H80" s="134"/>
      <c r="I80" s="134">
        <v>0.35</v>
      </c>
      <c r="J80" s="135"/>
      <c r="K80" s="135">
        <f t="shared" si="4"/>
        <v>0.27</v>
      </c>
      <c r="L80" s="134">
        <f t="shared" si="5"/>
        <v>0.27</v>
      </c>
      <c r="M80" s="136"/>
    </row>
    <row r="81" spans="1:13" ht="12.75">
      <c r="A81" s="132"/>
      <c r="B81" s="209" t="s">
        <v>450</v>
      </c>
      <c r="C81" s="210"/>
      <c r="D81" s="134">
        <v>1</v>
      </c>
      <c r="E81" s="134">
        <v>14.38</v>
      </c>
      <c r="F81" s="134"/>
      <c r="G81" s="134">
        <v>0.14000000000000001</v>
      </c>
      <c r="H81" s="134"/>
      <c r="I81" s="134">
        <v>0.45</v>
      </c>
      <c r="J81" s="135"/>
      <c r="K81" s="135">
        <f t="shared" si="4"/>
        <v>0.91</v>
      </c>
      <c r="L81" s="134">
        <f t="shared" si="5"/>
        <v>0.91</v>
      </c>
      <c r="M81" s="136"/>
    </row>
    <row r="82" spans="1:13" ht="12.75">
      <c r="A82" s="132"/>
      <c r="B82" s="209" t="s">
        <v>451</v>
      </c>
      <c r="C82" s="210"/>
      <c r="D82" s="134">
        <v>1</v>
      </c>
      <c r="E82" s="134">
        <v>11.12</v>
      </c>
      <c r="F82" s="134"/>
      <c r="G82" s="134">
        <v>0.14000000000000001</v>
      </c>
      <c r="H82" s="134"/>
      <c r="I82" s="134">
        <v>0.45</v>
      </c>
      <c r="J82" s="135"/>
      <c r="K82" s="135">
        <f t="shared" si="4"/>
        <v>0.7</v>
      </c>
      <c r="L82" s="134">
        <f t="shared" si="5"/>
        <v>0.7</v>
      </c>
      <c r="M82" s="136"/>
    </row>
    <row r="83" spans="1:13" ht="12.75">
      <c r="A83" s="132"/>
      <c r="B83" s="209" t="s">
        <v>452</v>
      </c>
      <c r="C83" s="210"/>
      <c r="D83" s="134">
        <v>1</v>
      </c>
      <c r="E83" s="134">
        <v>2.17</v>
      </c>
      <c r="F83" s="134"/>
      <c r="G83" s="134">
        <v>0.14000000000000001</v>
      </c>
      <c r="H83" s="134"/>
      <c r="I83" s="134">
        <v>0.35</v>
      </c>
      <c r="J83" s="135"/>
      <c r="K83" s="135">
        <f t="shared" si="4"/>
        <v>0.11</v>
      </c>
      <c r="L83" s="134">
        <f t="shared" si="5"/>
        <v>0.11</v>
      </c>
      <c r="M83" s="136"/>
    </row>
    <row r="84" spans="1:13" ht="12.75">
      <c r="A84" s="132"/>
      <c r="B84" s="209" t="s">
        <v>453</v>
      </c>
      <c r="C84" s="210"/>
      <c r="D84" s="134">
        <v>1</v>
      </c>
      <c r="E84" s="134">
        <v>6.53</v>
      </c>
      <c r="F84" s="134"/>
      <c r="G84" s="134">
        <v>0.14000000000000001</v>
      </c>
      <c r="H84" s="134"/>
      <c r="I84" s="134">
        <v>0.35</v>
      </c>
      <c r="J84" s="135"/>
      <c r="K84" s="135">
        <f t="shared" si="4"/>
        <v>0.32</v>
      </c>
      <c r="L84" s="134">
        <f t="shared" si="5"/>
        <v>0.32</v>
      </c>
      <c r="M84" s="136"/>
    </row>
    <row r="85" spans="1:13" ht="12.75">
      <c r="A85" s="132"/>
      <c r="B85" s="209" t="s">
        <v>454</v>
      </c>
      <c r="C85" s="210"/>
      <c r="D85" s="134">
        <v>1</v>
      </c>
      <c r="E85" s="134">
        <v>8.49</v>
      </c>
      <c r="F85" s="134"/>
      <c r="G85" s="134">
        <v>0.14000000000000001</v>
      </c>
      <c r="H85" s="134"/>
      <c r="I85" s="134">
        <v>0.35</v>
      </c>
      <c r="J85" s="135"/>
      <c r="K85" s="135">
        <f t="shared" si="4"/>
        <v>0.42</v>
      </c>
      <c r="L85" s="134">
        <f t="shared" si="5"/>
        <v>0.42</v>
      </c>
      <c r="M85" s="136"/>
    </row>
    <row r="86" spans="1:13" ht="12.75">
      <c r="A86" s="132"/>
      <c r="B86" s="209" t="s">
        <v>455</v>
      </c>
      <c r="C86" s="210"/>
      <c r="D86" s="134">
        <v>1</v>
      </c>
      <c r="E86" s="134">
        <v>9.66</v>
      </c>
      <c r="F86" s="134"/>
      <c r="G86" s="134">
        <v>0.14000000000000001</v>
      </c>
      <c r="H86" s="134"/>
      <c r="I86" s="134">
        <v>0.35</v>
      </c>
      <c r="J86" s="135"/>
      <c r="K86" s="135">
        <f t="shared" si="4"/>
        <v>0.47</v>
      </c>
      <c r="L86" s="134">
        <f t="shared" si="5"/>
        <v>0.47</v>
      </c>
      <c r="M86" s="136"/>
    </row>
    <row r="87" spans="1:13" ht="12.75">
      <c r="A87" s="132"/>
      <c r="B87" s="209" t="s">
        <v>456</v>
      </c>
      <c r="C87" s="210"/>
      <c r="D87" s="134">
        <v>1</v>
      </c>
      <c r="E87" s="134">
        <v>3.68</v>
      </c>
      <c r="F87" s="134"/>
      <c r="G87" s="134">
        <v>0.14000000000000001</v>
      </c>
      <c r="H87" s="134"/>
      <c r="I87" s="134">
        <v>0.35</v>
      </c>
      <c r="J87" s="135"/>
      <c r="K87" s="135">
        <f t="shared" si="4"/>
        <v>0.18</v>
      </c>
      <c r="L87" s="134">
        <f t="shared" si="5"/>
        <v>0.18</v>
      </c>
      <c r="M87" s="136"/>
    </row>
    <row r="88" spans="1:13" ht="12.75">
      <c r="A88" s="132"/>
      <c r="B88" s="209" t="s">
        <v>457</v>
      </c>
      <c r="C88" s="210"/>
      <c r="D88" s="134">
        <v>1</v>
      </c>
      <c r="E88" s="134">
        <v>2.09</v>
      </c>
      <c r="F88" s="134"/>
      <c r="G88" s="134">
        <v>0.14000000000000001</v>
      </c>
      <c r="H88" s="134"/>
      <c r="I88" s="134">
        <v>0.35</v>
      </c>
      <c r="J88" s="135"/>
      <c r="K88" s="135">
        <f t="shared" si="4"/>
        <v>0.1</v>
      </c>
      <c r="L88" s="134">
        <f t="shared" si="5"/>
        <v>0.1</v>
      </c>
      <c r="M88" s="136"/>
    </row>
    <row r="89" spans="1:13" ht="12.75">
      <c r="A89" s="132"/>
      <c r="B89" s="209" t="s">
        <v>458</v>
      </c>
      <c r="C89" s="210"/>
      <c r="D89" s="134">
        <v>1</v>
      </c>
      <c r="E89" s="134">
        <v>2.2400000000000002</v>
      </c>
      <c r="F89" s="134"/>
      <c r="G89" s="134">
        <v>0.14000000000000001</v>
      </c>
      <c r="H89" s="134"/>
      <c r="I89" s="134">
        <v>0.35</v>
      </c>
      <c r="J89" s="135"/>
      <c r="K89" s="135">
        <f t="shared" si="4"/>
        <v>0.11</v>
      </c>
      <c r="L89" s="134">
        <f t="shared" si="5"/>
        <v>0.11</v>
      </c>
      <c r="M89" s="136"/>
    </row>
    <row r="90" spans="1:13" ht="12.75">
      <c r="A90" s="132"/>
      <c r="B90" s="209" t="s">
        <v>459</v>
      </c>
      <c r="C90" s="210"/>
      <c r="D90" s="134">
        <v>1</v>
      </c>
      <c r="E90" s="134">
        <v>3.68</v>
      </c>
      <c r="F90" s="134"/>
      <c r="G90" s="134">
        <v>0.14000000000000001</v>
      </c>
      <c r="H90" s="134"/>
      <c r="I90" s="134">
        <v>0.35</v>
      </c>
      <c r="J90" s="135"/>
      <c r="K90" s="135">
        <f t="shared" si="4"/>
        <v>0.18</v>
      </c>
      <c r="L90" s="134">
        <f t="shared" si="5"/>
        <v>0.18</v>
      </c>
      <c r="M90" s="136"/>
    </row>
    <row r="91" spans="1:13" ht="12.75">
      <c r="A91" s="132"/>
      <c r="B91" s="209" t="s">
        <v>460</v>
      </c>
      <c r="C91" s="210"/>
      <c r="D91" s="134">
        <v>1</v>
      </c>
      <c r="E91" s="134">
        <v>9.66</v>
      </c>
      <c r="F91" s="134"/>
      <c r="G91" s="134">
        <v>0.14000000000000001</v>
      </c>
      <c r="H91" s="134"/>
      <c r="I91" s="134">
        <v>0.35</v>
      </c>
      <c r="J91" s="135"/>
      <c r="K91" s="135">
        <f t="shared" si="4"/>
        <v>0.47</v>
      </c>
      <c r="L91" s="134">
        <f t="shared" si="5"/>
        <v>0.47</v>
      </c>
      <c r="M91" s="136"/>
    </row>
    <row r="92" spans="1:13" ht="12.75">
      <c r="A92" s="132"/>
      <c r="B92" s="209" t="s">
        <v>461</v>
      </c>
      <c r="C92" s="210"/>
      <c r="D92" s="134">
        <v>1</v>
      </c>
      <c r="E92" s="134">
        <v>8.49</v>
      </c>
      <c r="F92" s="134"/>
      <c r="G92" s="134">
        <v>0.14000000000000001</v>
      </c>
      <c r="H92" s="134"/>
      <c r="I92" s="134">
        <v>0.4</v>
      </c>
      <c r="J92" s="135"/>
      <c r="K92" s="135">
        <f t="shared" si="4"/>
        <v>0.48</v>
      </c>
      <c r="L92" s="134">
        <f t="shared" si="5"/>
        <v>0.48</v>
      </c>
      <c r="M92" s="136"/>
    </row>
    <row r="93" spans="1:13" ht="12.75">
      <c r="A93" s="132"/>
      <c r="B93" s="209" t="s">
        <v>462</v>
      </c>
      <c r="C93" s="210"/>
      <c r="D93" s="134">
        <v>1</v>
      </c>
      <c r="E93" s="134">
        <v>2.2400000000000002</v>
      </c>
      <c r="F93" s="134"/>
      <c r="G93" s="134">
        <v>0.14000000000000001</v>
      </c>
      <c r="H93" s="134"/>
      <c r="I93" s="134">
        <v>0.35</v>
      </c>
      <c r="J93" s="135"/>
      <c r="K93" s="135">
        <f t="shared" si="4"/>
        <v>0.11</v>
      </c>
      <c r="L93" s="134">
        <f t="shared" si="5"/>
        <v>0.11</v>
      </c>
      <c r="M93" s="136"/>
    </row>
    <row r="94" spans="1:13" ht="12.75">
      <c r="A94" s="132"/>
      <c r="B94" s="209" t="s">
        <v>463</v>
      </c>
      <c r="C94" s="210"/>
      <c r="D94" s="134">
        <v>1</v>
      </c>
      <c r="E94" s="134">
        <v>3.03</v>
      </c>
      <c r="F94" s="134"/>
      <c r="G94" s="134">
        <v>0.14000000000000001</v>
      </c>
      <c r="H94" s="134"/>
      <c r="I94" s="134">
        <v>0.35</v>
      </c>
      <c r="J94" s="135"/>
      <c r="K94" s="135">
        <f t="shared" si="4"/>
        <v>0.15</v>
      </c>
      <c r="L94" s="134">
        <f t="shared" si="5"/>
        <v>0.15</v>
      </c>
      <c r="M94" s="136"/>
    </row>
    <row r="95" spans="1:13" ht="12.75">
      <c r="A95" s="132"/>
      <c r="B95" s="209" t="s">
        <v>464</v>
      </c>
      <c r="C95" s="210"/>
      <c r="D95" s="134">
        <v>1</v>
      </c>
      <c r="E95" s="134">
        <v>9.66</v>
      </c>
      <c r="F95" s="134"/>
      <c r="G95" s="134">
        <v>0.14000000000000001</v>
      </c>
      <c r="H95" s="134"/>
      <c r="I95" s="134">
        <v>0.35</v>
      </c>
      <c r="J95" s="135"/>
      <c r="K95" s="135">
        <f t="shared" si="4"/>
        <v>0.47</v>
      </c>
      <c r="L95" s="134">
        <f t="shared" si="5"/>
        <v>0.47</v>
      </c>
      <c r="M95" s="136"/>
    </row>
    <row r="96" spans="1:13" ht="12.75">
      <c r="A96" s="132"/>
      <c r="B96" s="209" t="s">
        <v>465</v>
      </c>
      <c r="C96" s="210"/>
      <c r="D96" s="134">
        <v>1</v>
      </c>
      <c r="E96" s="134">
        <v>3.03</v>
      </c>
      <c r="F96" s="134"/>
      <c r="G96" s="134">
        <v>0.14000000000000001</v>
      </c>
      <c r="H96" s="134"/>
      <c r="I96" s="134">
        <v>0.35</v>
      </c>
      <c r="J96" s="135"/>
      <c r="K96" s="135">
        <f t="shared" si="4"/>
        <v>0.15</v>
      </c>
      <c r="L96" s="134">
        <f t="shared" si="5"/>
        <v>0.15</v>
      </c>
      <c r="M96" s="136"/>
    </row>
    <row r="97" spans="1:13" ht="12.75">
      <c r="A97" s="132"/>
      <c r="B97" s="209" t="s">
        <v>466</v>
      </c>
      <c r="C97" s="210"/>
      <c r="D97" s="134">
        <v>1</v>
      </c>
      <c r="E97" s="134">
        <v>4.22</v>
      </c>
      <c r="F97" s="134"/>
      <c r="G97" s="134">
        <v>0.14000000000000001</v>
      </c>
      <c r="H97" s="134"/>
      <c r="I97" s="134">
        <v>0.35</v>
      </c>
      <c r="J97" s="135"/>
      <c r="K97" s="135">
        <f t="shared" si="4"/>
        <v>0.21</v>
      </c>
      <c r="L97" s="134">
        <f t="shared" si="5"/>
        <v>0.21</v>
      </c>
      <c r="M97" s="136"/>
    </row>
    <row r="98" spans="1:13" ht="12.75">
      <c r="A98" s="132"/>
      <c r="B98" s="209" t="s">
        <v>467</v>
      </c>
      <c r="C98" s="210"/>
      <c r="D98" s="134">
        <v>1</v>
      </c>
      <c r="E98" s="134">
        <v>3.03</v>
      </c>
      <c r="F98" s="134"/>
      <c r="G98" s="134">
        <v>0.14000000000000001</v>
      </c>
      <c r="H98" s="134"/>
      <c r="I98" s="134">
        <v>0.35</v>
      </c>
      <c r="J98" s="135"/>
      <c r="K98" s="135">
        <f t="shared" si="4"/>
        <v>0.15</v>
      </c>
      <c r="L98" s="134">
        <f t="shared" si="5"/>
        <v>0.15</v>
      </c>
      <c r="M98" s="136"/>
    </row>
    <row r="99" spans="1:13" ht="12.75">
      <c r="A99" s="132"/>
      <c r="B99" s="209" t="s">
        <v>468</v>
      </c>
      <c r="C99" s="210"/>
      <c r="D99" s="134">
        <v>1</v>
      </c>
      <c r="E99" s="134">
        <v>2.2400000000000002</v>
      </c>
      <c r="F99" s="134"/>
      <c r="G99" s="134">
        <v>0.14000000000000001</v>
      </c>
      <c r="H99" s="134"/>
      <c r="I99" s="134">
        <v>0.35</v>
      </c>
      <c r="J99" s="135"/>
      <c r="K99" s="135">
        <f t="shared" si="4"/>
        <v>0.11</v>
      </c>
      <c r="L99" s="134">
        <f t="shared" si="5"/>
        <v>0.11</v>
      </c>
      <c r="M99" s="136"/>
    </row>
    <row r="100" spans="1:13" ht="12.75">
      <c r="A100" s="132"/>
      <c r="B100" s="209" t="s">
        <v>469</v>
      </c>
      <c r="C100" s="210"/>
      <c r="D100" s="134">
        <v>1</v>
      </c>
      <c r="E100" s="134">
        <v>2.73</v>
      </c>
      <c r="F100" s="134"/>
      <c r="G100" s="134">
        <v>0.14000000000000001</v>
      </c>
      <c r="H100" s="134"/>
      <c r="I100" s="134">
        <v>0.35</v>
      </c>
      <c r="J100" s="135"/>
      <c r="K100" s="135">
        <f t="shared" si="4"/>
        <v>0.13</v>
      </c>
      <c r="L100" s="134">
        <f t="shared" si="5"/>
        <v>0.13</v>
      </c>
      <c r="M100" s="136"/>
    </row>
    <row r="101" spans="1:13" ht="12.75">
      <c r="A101" s="132"/>
      <c r="B101" s="209" t="s">
        <v>470</v>
      </c>
      <c r="C101" s="210"/>
      <c r="D101" s="134">
        <v>1</v>
      </c>
      <c r="E101" s="134">
        <v>4.22</v>
      </c>
      <c r="F101" s="134"/>
      <c r="G101" s="134">
        <v>0.14000000000000001</v>
      </c>
      <c r="H101" s="134"/>
      <c r="I101" s="134">
        <v>0.35</v>
      </c>
      <c r="J101" s="135"/>
      <c r="K101" s="135">
        <f t="shared" si="4"/>
        <v>0.21</v>
      </c>
      <c r="L101" s="134">
        <f t="shared" si="5"/>
        <v>0.21</v>
      </c>
      <c r="M101" s="136"/>
    </row>
    <row r="102" spans="1:13" ht="12.75">
      <c r="A102" s="132"/>
      <c r="B102" s="209" t="s">
        <v>471</v>
      </c>
      <c r="C102" s="210"/>
      <c r="D102" s="134">
        <v>1</v>
      </c>
      <c r="E102" s="134">
        <v>9.66</v>
      </c>
      <c r="F102" s="134"/>
      <c r="G102" s="134">
        <v>0.14000000000000001</v>
      </c>
      <c r="H102" s="134"/>
      <c r="I102" s="134">
        <v>0.35</v>
      </c>
      <c r="J102" s="135"/>
      <c r="K102" s="135">
        <f t="shared" si="4"/>
        <v>0.47</v>
      </c>
      <c r="L102" s="134">
        <f t="shared" si="5"/>
        <v>0.47</v>
      </c>
      <c r="M102" s="136"/>
    </row>
    <row r="103" spans="1:13" ht="12.75">
      <c r="A103" s="132"/>
      <c r="B103" s="209" t="s">
        <v>472</v>
      </c>
      <c r="C103" s="210"/>
      <c r="D103" s="134">
        <v>1</v>
      </c>
      <c r="E103" s="134">
        <v>2.2400000000000002</v>
      </c>
      <c r="F103" s="134"/>
      <c r="G103" s="134">
        <v>0.14000000000000001</v>
      </c>
      <c r="H103" s="134"/>
      <c r="I103" s="134">
        <v>0.35</v>
      </c>
      <c r="J103" s="135"/>
      <c r="K103" s="135">
        <f t="shared" si="4"/>
        <v>0.11</v>
      </c>
      <c r="L103" s="134">
        <f t="shared" si="5"/>
        <v>0.11</v>
      </c>
      <c r="M103" s="136"/>
    </row>
    <row r="104" spans="1:13" ht="12.75">
      <c r="A104" s="132"/>
      <c r="B104" s="209" t="s">
        <v>473</v>
      </c>
      <c r="C104" s="210"/>
      <c r="D104" s="134">
        <v>1</v>
      </c>
      <c r="E104" s="134">
        <v>9.66</v>
      </c>
      <c r="F104" s="134"/>
      <c r="G104" s="134">
        <v>0.14000000000000001</v>
      </c>
      <c r="H104" s="134"/>
      <c r="I104" s="134">
        <v>0.35</v>
      </c>
      <c r="J104" s="135"/>
      <c r="K104" s="135">
        <f t="shared" si="4"/>
        <v>0.47</v>
      </c>
      <c r="L104" s="134">
        <f t="shared" si="5"/>
        <v>0.47</v>
      </c>
      <c r="M104" s="136"/>
    </row>
    <row r="105" spans="1:13" ht="12.75">
      <c r="A105" s="124"/>
      <c r="B105" s="125"/>
      <c r="C105" s="125"/>
      <c r="D105" s="125"/>
      <c r="E105" s="125"/>
      <c r="F105" s="125"/>
      <c r="G105" s="125"/>
      <c r="H105" s="125"/>
      <c r="I105" s="125"/>
      <c r="J105" s="125"/>
      <c r="K105" s="125"/>
      <c r="L105" s="125"/>
      <c r="M105" s="127"/>
    </row>
    <row r="106" spans="1:13" s="131" customFormat="1" ht="28.9" customHeight="1">
      <c r="A106" s="128" t="str">
        <f>'BM02'!A58</f>
        <v>1.4.2</v>
      </c>
      <c r="B106" s="211" t="str">
        <f>'BM02'!B58</f>
        <v>CONCRETO ARMADO (PREPARO E LANÇAMENTO) PARA PILARES COM FCK=25MPA, COM FORMA EM CHAPA DE MADEIRA COMPENSADA RESINADA, COM APROVEITAMENTO DE 3 VEZES COM BETONEIRA</v>
      </c>
      <c r="C106" s="212"/>
      <c r="D106" s="212"/>
      <c r="E106" s="212"/>
      <c r="F106" s="212"/>
      <c r="G106" s="212"/>
      <c r="H106" s="212"/>
      <c r="I106" s="212"/>
      <c r="J106" s="212"/>
      <c r="K106" s="213"/>
      <c r="L106" s="129">
        <f>SUM(L107:L109)</f>
        <v>7.97</v>
      </c>
      <c r="M106" s="130" t="str">
        <f>'BM02'!C58</f>
        <v>m³</v>
      </c>
    </row>
    <row r="107" spans="1:13" ht="78.75" customHeight="1">
      <c r="A107" s="132"/>
      <c r="B107" s="244" t="s">
        <v>421</v>
      </c>
      <c r="C107" s="245"/>
      <c r="D107" s="134">
        <v>30</v>
      </c>
      <c r="E107" s="134">
        <v>0.3</v>
      </c>
      <c r="F107" s="134"/>
      <c r="G107" s="134">
        <v>0.14000000000000001</v>
      </c>
      <c r="H107" s="134"/>
      <c r="I107" s="134">
        <v>3.3</v>
      </c>
      <c r="J107" s="135"/>
      <c r="K107" s="135">
        <f>I107*G107*E107</f>
        <v>0.1386</v>
      </c>
      <c r="L107" s="134">
        <f t="shared" ref="L107:L109" si="6">ROUND(D107*K107,2)</f>
        <v>4.16</v>
      </c>
      <c r="M107" s="136"/>
    </row>
    <row r="108" spans="1:13" ht="54" customHeight="1">
      <c r="A108" s="132"/>
      <c r="B108" s="209" t="s">
        <v>422</v>
      </c>
      <c r="C108" s="210"/>
      <c r="D108" s="134">
        <v>17</v>
      </c>
      <c r="E108" s="134">
        <v>0.3</v>
      </c>
      <c r="F108" s="134"/>
      <c r="G108" s="134">
        <v>0.14000000000000001</v>
      </c>
      <c r="H108" s="134"/>
      <c r="I108" s="134">
        <v>3.3</v>
      </c>
      <c r="J108" s="135"/>
      <c r="K108" s="135">
        <f>I108*G108*E108</f>
        <v>0.1386</v>
      </c>
      <c r="L108" s="134">
        <f t="shared" si="6"/>
        <v>2.36</v>
      </c>
      <c r="M108" s="136"/>
    </row>
    <row r="109" spans="1:13" ht="32.25" customHeight="1">
      <c r="A109" s="132"/>
      <c r="B109" s="209" t="s">
        <v>423</v>
      </c>
      <c r="C109" s="210"/>
      <c r="D109" s="134">
        <v>11</v>
      </c>
      <c r="E109" s="134">
        <v>0.2</v>
      </c>
      <c r="F109" s="134"/>
      <c r="G109" s="134">
        <v>0.2</v>
      </c>
      <c r="H109" s="134"/>
      <c r="I109" s="134">
        <v>3.3</v>
      </c>
      <c r="J109" s="135"/>
      <c r="K109" s="135">
        <f t="shared" ref="K109" si="7">I109*G109*E109</f>
        <v>0.13200000000000001</v>
      </c>
      <c r="L109" s="134">
        <f t="shared" si="6"/>
        <v>1.45</v>
      </c>
      <c r="M109" s="136"/>
    </row>
    <row r="110" spans="1:13" ht="12.75">
      <c r="A110" s="146"/>
      <c r="B110" s="181"/>
      <c r="C110" s="181"/>
      <c r="D110" s="142"/>
      <c r="E110" s="142"/>
      <c r="F110" s="142"/>
      <c r="G110" s="142"/>
      <c r="H110" s="142"/>
      <c r="I110" s="142"/>
      <c r="J110" s="144"/>
      <c r="K110" s="144"/>
      <c r="L110" s="142"/>
      <c r="M110" s="145"/>
    </row>
    <row r="111" spans="1:13" ht="12.75">
      <c r="A111" s="128" t="str">
        <f>'BM02'!A59</f>
        <v>1.4.3</v>
      </c>
      <c r="B111" s="137" t="str">
        <f>'BM02'!B59</f>
        <v>Prateleira em granito cinza andorinha, esp= 2cm</v>
      </c>
      <c r="C111" s="138"/>
      <c r="D111" s="138"/>
      <c r="E111" s="138"/>
      <c r="F111" s="138"/>
      <c r="G111" s="138"/>
      <c r="H111" s="138"/>
      <c r="I111" s="138"/>
      <c r="J111" s="138"/>
      <c r="K111" s="138"/>
      <c r="L111" s="129">
        <f>L112</f>
        <v>0</v>
      </c>
      <c r="M111" s="130" t="str">
        <f>'BM02'!C59</f>
        <v>m²</v>
      </c>
    </row>
    <row r="112" spans="1:13" ht="12.75">
      <c r="A112" s="132"/>
      <c r="B112" s="209"/>
      <c r="C112" s="210"/>
      <c r="D112" s="134"/>
      <c r="E112" s="134"/>
      <c r="F112" s="134"/>
      <c r="G112" s="134"/>
      <c r="H112" s="134"/>
      <c r="I112" s="134"/>
      <c r="J112" s="135"/>
      <c r="K112" s="135"/>
      <c r="L112" s="134"/>
      <c r="M112" s="136"/>
    </row>
    <row r="113" spans="1:13" ht="12.75">
      <c r="A113" s="124"/>
      <c r="B113" s="125"/>
      <c r="C113" s="125"/>
      <c r="D113" s="125"/>
      <c r="E113" s="125"/>
      <c r="F113" s="125"/>
      <c r="G113" s="125"/>
      <c r="H113" s="125"/>
      <c r="I113" s="125"/>
      <c r="J113" s="125"/>
      <c r="K113" s="125"/>
      <c r="L113" s="125"/>
      <c r="M113" s="127"/>
    </row>
    <row r="114" spans="1:13" ht="12.75">
      <c r="A114" s="128" t="str">
        <f>'BM02'!A60</f>
        <v>1.4.4</v>
      </c>
      <c r="B114" s="211" t="str">
        <f>'BM02'!B60</f>
        <v>LAJE PRÉ-MOLDADA UNIDIRECIONAL, BIAPOIADA, PARA FORRO, ENCHIMENTO EM CERÂMICA, VIGOTA CONVENCIONAL, ALTURA TOTAL DA LAJE (ENCHIMENTO+CAPA) = (8+3). AF_11/2020</v>
      </c>
      <c r="C114" s="212"/>
      <c r="D114" s="212"/>
      <c r="E114" s="212"/>
      <c r="F114" s="212"/>
      <c r="G114" s="212"/>
      <c r="H114" s="212"/>
      <c r="I114" s="212"/>
      <c r="J114" s="212"/>
      <c r="K114" s="213"/>
      <c r="L114" s="129">
        <f>L115</f>
        <v>0</v>
      </c>
      <c r="M114" s="130" t="str">
        <f>'BM02'!C60</f>
        <v>m²</v>
      </c>
    </row>
    <row r="115" spans="1:13" ht="12.75">
      <c r="A115" s="132"/>
      <c r="B115" s="209"/>
      <c r="C115" s="210"/>
      <c r="D115" s="134"/>
      <c r="E115" s="134"/>
      <c r="F115" s="134"/>
      <c r="G115" s="134"/>
      <c r="H115" s="134"/>
      <c r="I115" s="134"/>
      <c r="J115" s="135"/>
      <c r="K115" s="135"/>
      <c r="L115" s="134"/>
      <c r="M115" s="136"/>
    </row>
    <row r="116" spans="1:13" ht="13.5" thickBot="1">
      <c r="A116" s="139"/>
      <c r="B116" s="140"/>
      <c r="C116" s="141"/>
      <c r="D116" s="142"/>
      <c r="E116" s="143"/>
      <c r="F116" s="142"/>
      <c r="G116" s="142"/>
      <c r="H116" s="143"/>
      <c r="I116" s="143"/>
      <c r="J116" s="144"/>
      <c r="K116" s="144"/>
      <c r="L116" s="142"/>
      <c r="M116" s="145"/>
    </row>
    <row r="117" spans="1:13" ht="13.5" thickBot="1">
      <c r="A117" s="121" t="str">
        <f>'BM02'!A62</f>
        <v>1.5</v>
      </c>
      <c r="B117" s="122" t="str">
        <f>'BM02'!B62</f>
        <v>PAREDES E PAINEIS</v>
      </c>
      <c r="C117" s="122"/>
      <c r="D117" s="122"/>
      <c r="E117" s="122"/>
      <c r="F117" s="122"/>
      <c r="G117" s="122"/>
      <c r="H117" s="122"/>
      <c r="I117" s="122"/>
      <c r="J117" s="122"/>
      <c r="K117" s="122"/>
      <c r="L117" s="122"/>
      <c r="M117" s="123"/>
    </row>
    <row r="118" spans="1:13" ht="12.75">
      <c r="A118" s="124"/>
      <c r="B118" s="125"/>
      <c r="C118" s="125"/>
      <c r="D118" s="125"/>
      <c r="E118" s="125"/>
      <c r="F118" s="125"/>
      <c r="G118" s="125"/>
      <c r="H118" s="125"/>
      <c r="I118" s="125"/>
      <c r="J118" s="125"/>
      <c r="K118" s="126"/>
      <c r="L118" s="125"/>
      <c r="M118" s="127"/>
    </row>
    <row r="119" spans="1:13" s="131" customFormat="1" ht="43.15" customHeight="1">
      <c r="A119" s="128" t="str">
        <f>'BM02'!A64</f>
        <v>1.5.1</v>
      </c>
      <c r="B119" s="211" t="str">
        <f>'BM02'!B64</f>
        <v>ALVENARIA DE VEDAÇÃO DE BLOCOS CERÂMICOS FURADOS NA HORIZONTAL DE 9X19X19CM (ESPESSURA 9CM) DE PAREDES COM ÁREA LÍQUIDA MAIOR OU IGUAL A 6M² SEM VÃOS E ARGAMASSA DE ASSENTAMENTO COM PREPARO MANUAL. AF_06/2014</v>
      </c>
      <c r="C119" s="212"/>
      <c r="D119" s="212"/>
      <c r="E119" s="212"/>
      <c r="F119" s="212"/>
      <c r="G119" s="212"/>
      <c r="H119" s="212"/>
      <c r="I119" s="212"/>
      <c r="J119" s="212"/>
      <c r="K119" s="213"/>
      <c r="L119" s="129">
        <f>SUM(L120:L144)</f>
        <v>569.93000000000029</v>
      </c>
      <c r="M119" s="130" t="str">
        <f>'BM02'!C64</f>
        <v>m²</v>
      </c>
    </row>
    <row r="120" spans="1:13" s="131" customFormat="1" ht="14.45" customHeight="1">
      <c r="A120" s="263"/>
      <c r="B120" s="265" t="s">
        <v>474</v>
      </c>
      <c r="C120" s="266"/>
      <c r="D120" s="134">
        <v>9</v>
      </c>
      <c r="E120" s="134">
        <v>7.2</v>
      </c>
      <c r="F120" s="134"/>
      <c r="G120" s="134">
        <v>3</v>
      </c>
      <c r="H120" s="134"/>
      <c r="I120" s="134"/>
      <c r="J120" s="135"/>
      <c r="K120" s="135">
        <f>E120*G120</f>
        <v>21.6</v>
      </c>
      <c r="L120" s="134">
        <f>ROUND(D120*K120,2)</f>
        <v>194.4</v>
      </c>
      <c r="M120" s="136"/>
    </row>
    <row r="121" spans="1:13" s="131" customFormat="1" ht="14.45" customHeight="1">
      <c r="A121" s="264"/>
      <c r="B121" s="267"/>
      <c r="C121" s="268"/>
      <c r="D121" s="134">
        <v>4</v>
      </c>
      <c r="E121" s="134">
        <v>7.45</v>
      </c>
      <c r="F121" s="134"/>
      <c r="G121" s="134">
        <v>3</v>
      </c>
      <c r="H121" s="134"/>
      <c r="I121" s="134"/>
      <c r="J121" s="135"/>
      <c r="K121" s="135">
        <f t="shared" ref="K121:K141" si="8">E121*G121</f>
        <v>22.35</v>
      </c>
      <c r="L121" s="134">
        <f t="shared" ref="L121:L141" si="9">ROUND(D121*K121,2)</f>
        <v>89.4</v>
      </c>
      <c r="M121" s="136"/>
    </row>
    <row r="122" spans="1:13" s="131" customFormat="1" ht="12.75">
      <c r="A122" s="263"/>
      <c r="B122" s="265" t="s">
        <v>475</v>
      </c>
      <c r="C122" s="266"/>
      <c r="D122" s="134">
        <v>3</v>
      </c>
      <c r="E122" s="134">
        <v>6.5</v>
      </c>
      <c r="F122" s="134"/>
      <c r="G122" s="134">
        <v>3</v>
      </c>
      <c r="H122" s="134"/>
      <c r="I122" s="134"/>
      <c r="J122" s="135"/>
      <c r="K122" s="135">
        <f t="shared" si="8"/>
        <v>19.5</v>
      </c>
      <c r="L122" s="134">
        <f t="shared" si="9"/>
        <v>58.5</v>
      </c>
      <c r="M122" s="136"/>
    </row>
    <row r="123" spans="1:13" s="131" customFormat="1" ht="12.75">
      <c r="A123" s="264"/>
      <c r="B123" s="267"/>
      <c r="C123" s="268"/>
      <c r="D123" s="134">
        <v>3</v>
      </c>
      <c r="E123" s="134">
        <v>5.4</v>
      </c>
      <c r="F123" s="134"/>
      <c r="G123" s="134">
        <v>3</v>
      </c>
      <c r="H123" s="134"/>
      <c r="I123" s="134"/>
      <c r="J123" s="135"/>
      <c r="K123" s="135">
        <f t="shared" si="8"/>
        <v>16.200000000000003</v>
      </c>
      <c r="L123" s="134">
        <f t="shared" si="9"/>
        <v>48.6</v>
      </c>
      <c r="M123" s="136"/>
    </row>
    <row r="124" spans="1:13" s="131" customFormat="1" ht="12.75">
      <c r="A124" s="263"/>
      <c r="B124" s="265" t="s">
        <v>476</v>
      </c>
      <c r="C124" s="266"/>
      <c r="D124" s="134">
        <v>1</v>
      </c>
      <c r="E124" s="134">
        <v>5.48</v>
      </c>
      <c r="F124" s="134"/>
      <c r="G124" s="134">
        <v>3</v>
      </c>
      <c r="H124" s="134"/>
      <c r="I124" s="134"/>
      <c r="J124" s="135"/>
      <c r="K124" s="135">
        <f t="shared" si="8"/>
        <v>16.440000000000001</v>
      </c>
      <c r="L124" s="134">
        <f t="shared" si="9"/>
        <v>16.440000000000001</v>
      </c>
      <c r="M124" s="136"/>
    </row>
    <row r="125" spans="1:13" s="131" customFormat="1" ht="12.75">
      <c r="A125" s="264"/>
      <c r="B125" s="267"/>
      <c r="C125" s="268"/>
      <c r="D125" s="134">
        <v>1</v>
      </c>
      <c r="E125" s="134">
        <v>1.27</v>
      </c>
      <c r="F125" s="134"/>
      <c r="G125" s="134">
        <v>3</v>
      </c>
      <c r="H125" s="134"/>
      <c r="I125" s="134"/>
      <c r="J125" s="135"/>
      <c r="K125" s="135">
        <f t="shared" si="8"/>
        <v>3.81</v>
      </c>
      <c r="L125" s="134">
        <f t="shared" si="9"/>
        <v>3.81</v>
      </c>
      <c r="M125" s="136"/>
    </row>
    <row r="126" spans="1:13" s="131" customFormat="1" ht="12.75">
      <c r="A126" s="263"/>
      <c r="B126" s="265" t="s">
        <v>477</v>
      </c>
      <c r="C126" s="266"/>
      <c r="D126" s="134">
        <v>1</v>
      </c>
      <c r="E126" s="134">
        <v>2.15</v>
      </c>
      <c r="F126" s="134"/>
      <c r="G126" s="134">
        <v>3</v>
      </c>
      <c r="H126" s="134"/>
      <c r="I126" s="134"/>
      <c r="J126" s="135"/>
      <c r="K126" s="135">
        <f t="shared" si="8"/>
        <v>6.4499999999999993</v>
      </c>
      <c r="L126" s="134">
        <f t="shared" si="9"/>
        <v>6.45</v>
      </c>
      <c r="M126" s="136"/>
    </row>
    <row r="127" spans="1:13" s="131" customFormat="1" ht="12.75">
      <c r="A127" s="264"/>
      <c r="B127" s="267"/>
      <c r="C127" s="268"/>
      <c r="D127" s="134">
        <v>1</v>
      </c>
      <c r="E127" s="134">
        <v>1.95</v>
      </c>
      <c r="F127" s="134"/>
      <c r="G127" s="134">
        <v>3</v>
      </c>
      <c r="H127" s="134"/>
      <c r="I127" s="134"/>
      <c r="J127" s="135"/>
      <c r="K127" s="135">
        <f t="shared" si="8"/>
        <v>5.85</v>
      </c>
      <c r="L127" s="134">
        <f t="shared" si="9"/>
        <v>5.85</v>
      </c>
      <c r="M127" s="136"/>
    </row>
    <row r="128" spans="1:13" s="131" customFormat="1" ht="14.45" customHeight="1">
      <c r="A128" s="263"/>
      <c r="B128" s="265" t="s">
        <v>478</v>
      </c>
      <c r="C128" s="266"/>
      <c r="D128" s="134">
        <v>5</v>
      </c>
      <c r="E128" s="134">
        <v>3.15</v>
      </c>
      <c r="F128" s="134"/>
      <c r="G128" s="134">
        <v>3</v>
      </c>
      <c r="H128" s="134"/>
      <c r="I128" s="134"/>
      <c r="J128" s="135"/>
      <c r="K128" s="135">
        <f t="shared" si="8"/>
        <v>9.4499999999999993</v>
      </c>
      <c r="L128" s="134">
        <f t="shared" si="9"/>
        <v>47.25</v>
      </c>
      <c r="M128" s="136"/>
    </row>
    <row r="129" spans="1:13" s="131" customFormat="1" ht="14.45" customHeight="1">
      <c r="A129" s="269"/>
      <c r="B129" s="270"/>
      <c r="C129" s="271"/>
      <c r="D129" s="134">
        <v>2</v>
      </c>
      <c r="E129" s="134">
        <v>2.31</v>
      </c>
      <c r="F129" s="134"/>
      <c r="G129" s="134">
        <v>3</v>
      </c>
      <c r="H129" s="134"/>
      <c r="I129" s="134"/>
      <c r="J129" s="135"/>
      <c r="K129" s="135">
        <f t="shared" si="8"/>
        <v>6.93</v>
      </c>
      <c r="L129" s="134">
        <f t="shared" si="9"/>
        <v>13.86</v>
      </c>
      <c r="M129" s="136"/>
    </row>
    <row r="130" spans="1:13" s="131" customFormat="1" ht="14.45" customHeight="1">
      <c r="A130" s="269"/>
      <c r="B130" s="270"/>
      <c r="C130" s="271"/>
      <c r="D130" s="134">
        <v>1</v>
      </c>
      <c r="E130" s="134">
        <v>1.45</v>
      </c>
      <c r="F130" s="134"/>
      <c r="G130" s="134">
        <v>3</v>
      </c>
      <c r="H130" s="134"/>
      <c r="I130" s="134"/>
      <c r="J130" s="135"/>
      <c r="K130" s="135">
        <f t="shared" si="8"/>
        <v>4.3499999999999996</v>
      </c>
      <c r="L130" s="134">
        <f t="shared" si="9"/>
        <v>4.3499999999999996</v>
      </c>
      <c r="M130" s="136"/>
    </row>
    <row r="131" spans="1:13" s="131" customFormat="1" ht="14.45" customHeight="1">
      <c r="A131" s="269"/>
      <c r="B131" s="270"/>
      <c r="C131" s="271"/>
      <c r="D131" s="134">
        <v>2</v>
      </c>
      <c r="E131" s="134">
        <v>2.58</v>
      </c>
      <c r="F131" s="134"/>
      <c r="G131" s="134">
        <v>3</v>
      </c>
      <c r="H131" s="134"/>
      <c r="I131" s="134"/>
      <c r="J131" s="135"/>
      <c r="K131" s="135">
        <f t="shared" si="8"/>
        <v>7.74</v>
      </c>
      <c r="L131" s="134">
        <f t="shared" si="9"/>
        <v>15.48</v>
      </c>
      <c r="M131" s="136"/>
    </row>
    <row r="132" spans="1:13" s="131" customFormat="1" ht="14.45" customHeight="1">
      <c r="A132" s="269"/>
      <c r="B132" s="270"/>
      <c r="C132" s="271"/>
      <c r="D132" s="134">
        <v>1</v>
      </c>
      <c r="E132" s="134">
        <v>1.64</v>
      </c>
      <c r="F132" s="134"/>
      <c r="G132" s="134">
        <v>3</v>
      </c>
      <c r="H132" s="134"/>
      <c r="I132" s="134"/>
      <c r="J132" s="135"/>
      <c r="K132" s="135">
        <f t="shared" si="8"/>
        <v>4.92</v>
      </c>
      <c r="L132" s="134">
        <f t="shared" si="9"/>
        <v>4.92</v>
      </c>
      <c r="M132" s="136"/>
    </row>
    <row r="133" spans="1:13" s="131" customFormat="1" ht="14.45" customHeight="1">
      <c r="A133" s="269"/>
      <c r="B133" s="270"/>
      <c r="C133" s="271"/>
      <c r="D133" s="134">
        <v>1</v>
      </c>
      <c r="E133" s="134">
        <v>1.2</v>
      </c>
      <c r="F133" s="134"/>
      <c r="G133" s="134">
        <v>3</v>
      </c>
      <c r="H133" s="134"/>
      <c r="I133" s="134"/>
      <c r="J133" s="135"/>
      <c r="K133" s="135">
        <f t="shared" si="8"/>
        <v>3.5999999999999996</v>
      </c>
      <c r="L133" s="134">
        <f t="shared" si="9"/>
        <v>3.6</v>
      </c>
      <c r="M133" s="136"/>
    </row>
    <row r="134" spans="1:13" s="131" customFormat="1" ht="14.45" customHeight="1">
      <c r="A134" s="269"/>
      <c r="B134" s="270"/>
      <c r="C134" s="271"/>
      <c r="D134" s="134">
        <v>2</v>
      </c>
      <c r="E134" s="134">
        <v>1</v>
      </c>
      <c r="F134" s="134"/>
      <c r="G134" s="134">
        <v>3</v>
      </c>
      <c r="H134" s="134"/>
      <c r="I134" s="134"/>
      <c r="J134" s="135"/>
      <c r="K134" s="135">
        <f t="shared" si="8"/>
        <v>3</v>
      </c>
      <c r="L134" s="134">
        <f t="shared" si="9"/>
        <v>6</v>
      </c>
      <c r="M134" s="136"/>
    </row>
    <row r="135" spans="1:13" s="131" customFormat="1" ht="14.45" customHeight="1">
      <c r="A135" s="264"/>
      <c r="B135" s="267"/>
      <c r="C135" s="268"/>
      <c r="D135" s="134">
        <v>3</v>
      </c>
      <c r="E135" s="134">
        <v>2</v>
      </c>
      <c r="F135" s="134"/>
      <c r="G135" s="134">
        <v>3</v>
      </c>
      <c r="H135" s="134"/>
      <c r="I135" s="134"/>
      <c r="J135" s="135"/>
      <c r="K135" s="135">
        <f t="shared" si="8"/>
        <v>6</v>
      </c>
      <c r="L135" s="134">
        <f t="shared" si="9"/>
        <v>18</v>
      </c>
      <c r="M135" s="136"/>
    </row>
    <row r="136" spans="1:13" s="131" customFormat="1" ht="14.45" customHeight="1">
      <c r="A136" s="263"/>
      <c r="B136" s="265" t="s">
        <v>479</v>
      </c>
      <c r="C136" s="266"/>
      <c r="D136" s="134">
        <v>3</v>
      </c>
      <c r="E136" s="134">
        <v>4.33</v>
      </c>
      <c r="F136" s="134"/>
      <c r="G136" s="134">
        <v>3</v>
      </c>
      <c r="H136" s="134"/>
      <c r="I136" s="134"/>
      <c r="J136" s="135"/>
      <c r="K136" s="135">
        <f t="shared" si="8"/>
        <v>12.99</v>
      </c>
      <c r="L136" s="134">
        <f t="shared" si="9"/>
        <v>38.97</v>
      </c>
      <c r="M136" s="136"/>
    </row>
    <row r="137" spans="1:13" s="131" customFormat="1" ht="14.45" customHeight="1">
      <c r="A137" s="269"/>
      <c r="B137" s="270"/>
      <c r="C137" s="271"/>
      <c r="D137" s="134">
        <v>2</v>
      </c>
      <c r="E137" s="134">
        <v>1.95</v>
      </c>
      <c r="F137" s="134"/>
      <c r="G137" s="134">
        <v>3</v>
      </c>
      <c r="H137" s="134"/>
      <c r="I137" s="134"/>
      <c r="J137" s="135"/>
      <c r="K137" s="135">
        <f t="shared" si="8"/>
        <v>5.85</v>
      </c>
      <c r="L137" s="134">
        <f t="shared" si="9"/>
        <v>11.7</v>
      </c>
      <c r="M137" s="136"/>
    </row>
    <row r="138" spans="1:13" s="131" customFormat="1" ht="14.45" customHeight="1">
      <c r="A138" s="269"/>
      <c r="B138" s="270"/>
      <c r="C138" s="271"/>
      <c r="D138" s="134">
        <v>1</v>
      </c>
      <c r="E138" s="134">
        <v>3.15</v>
      </c>
      <c r="F138" s="134"/>
      <c r="G138" s="134">
        <v>3</v>
      </c>
      <c r="H138" s="134"/>
      <c r="I138" s="134"/>
      <c r="J138" s="135"/>
      <c r="K138" s="135">
        <f t="shared" si="8"/>
        <v>9.4499999999999993</v>
      </c>
      <c r="L138" s="134">
        <f t="shared" si="9"/>
        <v>9.4499999999999993</v>
      </c>
      <c r="M138" s="136"/>
    </row>
    <row r="139" spans="1:13" s="131" customFormat="1" ht="14.45" customHeight="1">
      <c r="A139" s="264"/>
      <c r="B139" s="267"/>
      <c r="C139" s="268"/>
      <c r="D139" s="134">
        <v>2</v>
      </c>
      <c r="E139" s="134">
        <v>8.48</v>
      </c>
      <c r="F139" s="134"/>
      <c r="G139" s="134">
        <v>3</v>
      </c>
      <c r="H139" s="134"/>
      <c r="I139" s="134"/>
      <c r="J139" s="135"/>
      <c r="K139" s="135">
        <f t="shared" si="8"/>
        <v>25.44</v>
      </c>
      <c r="L139" s="134">
        <f t="shared" si="9"/>
        <v>50.88</v>
      </c>
      <c r="M139" s="136"/>
    </row>
    <row r="140" spans="1:13" s="131" customFormat="1" ht="12.75">
      <c r="A140" s="263"/>
      <c r="B140" s="265" t="s">
        <v>480</v>
      </c>
      <c r="C140" s="266"/>
      <c r="D140" s="134">
        <v>1</v>
      </c>
      <c r="E140" s="134">
        <v>9.74</v>
      </c>
      <c r="F140" s="134"/>
      <c r="G140" s="134">
        <v>2.5</v>
      </c>
      <c r="H140" s="134"/>
      <c r="I140" s="134"/>
      <c r="J140" s="135"/>
      <c r="K140" s="135">
        <f t="shared" si="8"/>
        <v>24.35</v>
      </c>
      <c r="L140" s="134">
        <f t="shared" si="9"/>
        <v>24.35</v>
      </c>
      <c r="M140" s="136"/>
    </row>
    <row r="141" spans="1:13" s="131" customFormat="1" ht="12.75">
      <c r="A141" s="264"/>
      <c r="B141" s="267"/>
      <c r="C141" s="268"/>
      <c r="D141" s="134">
        <v>1</v>
      </c>
      <c r="E141" s="134">
        <v>4.7</v>
      </c>
      <c r="F141" s="134"/>
      <c r="G141" s="134">
        <v>2.5</v>
      </c>
      <c r="H141" s="134"/>
      <c r="I141" s="134"/>
      <c r="J141" s="135"/>
      <c r="K141" s="135">
        <f t="shared" si="8"/>
        <v>11.75</v>
      </c>
      <c r="L141" s="134">
        <f t="shared" si="9"/>
        <v>11.75</v>
      </c>
      <c r="M141" s="136"/>
    </row>
    <row r="142" spans="1:13" s="131" customFormat="1" ht="43.15" customHeight="1">
      <c r="A142" s="132"/>
      <c r="B142" s="209" t="s">
        <v>481</v>
      </c>
      <c r="C142" s="210"/>
      <c r="D142" s="134">
        <f>(10*0.8*2.1 + 9*0.7*2.1+ 2*0.8*2.1)</f>
        <v>33.39</v>
      </c>
      <c r="E142" s="134"/>
      <c r="F142" s="134"/>
      <c r="G142" s="134"/>
      <c r="H142" s="134"/>
      <c r="I142" s="134"/>
      <c r="J142" s="135"/>
      <c r="K142" s="135">
        <f>D142</f>
        <v>33.39</v>
      </c>
      <c r="L142" s="134">
        <f>ROUND(-K142,2)</f>
        <v>-33.39</v>
      </c>
      <c r="M142" s="136"/>
    </row>
    <row r="143" spans="1:13" s="131" customFormat="1" ht="73.150000000000006" customHeight="1">
      <c r="A143" s="132"/>
      <c r="B143" s="209" t="s">
        <v>482</v>
      </c>
      <c r="C143" s="210"/>
      <c r="D143" s="134">
        <f xml:space="preserve"> (6*3.37*1.3 + 2*3.3*1.3 + 3*1.2*1.3 + 5*1.2*0.3 + 1*0.3 + 1*1 + 2*1.5*1)</f>
        <v>45.645999999999994</v>
      </c>
      <c r="E143" s="134"/>
      <c r="F143" s="134"/>
      <c r="G143" s="134"/>
      <c r="H143" s="134"/>
      <c r="I143" s="134"/>
      <c r="J143" s="135"/>
      <c r="K143" s="135">
        <f t="shared" ref="K143:K144" si="10">D143</f>
        <v>45.645999999999994</v>
      </c>
      <c r="L143" s="134">
        <f>ROUND(-K143,2)</f>
        <v>-45.65</v>
      </c>
      <c r="M143" s="136"/>
    </row>
    <row r="144" spans="1:13" s="131" customFormat="1" ht="12.75">
      <c r="A144" s="132"/>
      <c r="B144" s="209" t="s">
        <v>483</v>
      </c>
      <c r="C144" s="210"/>
      <c r="D144" s="134">
        <f>L146</f>
        <v>35.040000000000006</v>
      </c>
      <c r="E144" s="134"/>
      <c r="F144" s="134"/>
      <c r="G144" s="134"/>
      <c r="H144" s="134"/>
      <c r="I144" s="134"/>
      <c r="J144" s="135"/>
      <c r="K144" s="135">
        <f t="shared" si="10"/>
        <v>35.040000000000006</v>
      </c>
      <c r="L144" s="134">
        <f>ROUND(-K144,2)</f>
        <v>-35.04</v>
      </c>
      <c r="M144" s="136"/>
    </row>
    <row r="145" spans="1:13" s="131" customFormat="1" ht="12.75">
      <c r="A145" s="139"/>
      <c r="B145" s="140"/>
      <c r="C145" s="141"/>
      <c r="D145" s="142"/>
      <c r="E145" s="143"/>
      <c r="F145" s="142"/>
      <c r="G145" s="142"/>
      <c r="H145" s="143"/>
      <c r="I145" s="143"/>
      <c r="J145" s="144"/>
      <c r="K145" s="144"/>
      <c r="L145" s="142"/>
      <c r="M145" s="145"/>
    </row>
    <row r="146" spans="1:13" ht="30" customHeight="1">
      <c r="A146" s="128" t="str">
        <f>'BM02'!A65</f>
        <v>1.5.2</v>
      </c>
      <c r="B146" s="211" t="str">
        <f>'BM02'!B65</f>
        <v>COBOGO DE CONCRETO (ELEMENTO VAZADO)10X29X39CM ABERTURA COM VIDRO, ASSENTADO COM ARGAMASSA TRAÇO 1:4 (CIMENTO E AREIA MEDIA NÃO PNEIRADA)</v>
      </c>
      <c r="C146" s="212"/>
      <c r="D146" s="212"/>
      <c r="E146" s="212"/>
      <c r="F146" s="212"/>
      <c r="G146" s="212"/>
      <c r="H146" s="212"/>
      <c r="I146" s="212"/>
      <c r="J146" s="212"/>
      <c r="K146" s="213"/>
      <c r="L146" s="129">
        <f>SUM(L147:L152)</f>
        <v>35.040000000000006</v>
      </c>
      <c r="M146" s="130" t="str">
        <f>'BM02'!C65</f>
        <v>m²</v>
      </c>
    </row>
    <row r="147" spans="1:13" s="131" customFormat="1" ht="12.75">
      <c r="A147" s="132"/>
      <c r="B147" s="209" t="s">
        <v>484</v>
      </c>
      <c r="C147" s="210"/>
      <c r="D147" s="134">
        <v>4</v>
      </c>
      <c r="E147" s="134">
        <v>4.8499999999999996</v>
      </c>
      <c r="F147" s="134"/>
      <c r="G147" s="134">
        <v>0.6</v>
      </c>
      <c r="H147" s="134"/>
      <c r="I147" s="134"/>
      <c r="J147" s="135"/>
      <c r="K147" s="135">
        <f t="shared" ref="K147:K152" si="11">E147*G147</f>
        <v>2.9099999999999997</v>
      </c>
      <c r="L147" s="134">
        <f>ROUND(D147*K147,2)</f>
        <v>11.64</v>
      </c>
      <c r="M147" s="136"/>
    </row>
    <row r="148" spans="1:13" s="131" customFormat="1" ht="12.75">
      <c r="A148" s="132"/>
      <c r="B148" s="209" t="s">
        <v>485</v>
      </c>
      <c r="C148" s="210"/>
      <c r="D148" s="134">
        <v>6</v>
      </c>
      <c r="E148" s="134">
        <v>1</v>
      </c>
      <c r="F148" s="134"/>
      <c r="G148" s="134">
        <v>2.1</v>
      </c>
      <c r="H148" s="134"/>
      <c r="I148" s="134"/>
      <c r="J148" s="135"/>
      <c r="K148" s="135">
        <f t="shared" si="11"/>
        <v>2.1</v>
      </c>
      <c r="L148" s="134">
        <f t="shared" ref="L148:L152" si="12">ROUND(D148*K148,2)</f>
        <v>12.6</v>
      </c>
      <c r="M148" s="136"/>
    </row>
    <row r="149" spans="1:13" s="131" customFormat="1" ht="12.75">
      <c r="A149" s="132"/>
      <c r="B149" s="209" t="s">
        <v>486</v>
      </c>
      <c r="C149" s="210"/>
      <c r="D149" s="134">
        <v>1</v>
      </c>
      <c r="E149" s="134">
        <v>2.4</v>
      </c>
      <c r="F149" s="134"/>
      <c r="G149" s="134">
        <v>0.6</v>
      </c>
      <c r="H149" s="134"/>
      <c r="I149" s="134"/>
      <c r="J149" s="135"/>
      <c r="K149" s="135">
        <f t="shared" si="11"/>
        <v>1.44</v>
      </c>
      <c r="L149" s="134">
        <f t="shared" si="12"/>
        <v>1.44</v>
      </c>
      <c r="M149" s="136"/>
    </row>
    <row r="150" spans="1:13" s="131" customFormat="1" ht="12.75">
      <c r="A150" s="132"/>
      <c r="B150" s="209" t="s">
        <v>487</v>
      </c>
      <c r="C150" s="210"/>
      <c r="D150" s="134">
        <v>1</v>
      </c>
      <c r="E150" s="134">
        <v>3.37</v>
      </c>
      <c r="F150" s="134"/>
      <c r="G150" s="134">
        <v>2.1</v>
      </c>
      <c r="H150" s="134"/>
      <c r="I150" s="134"/>
      <c r="J150" s="135"/>
      <c r="K150" s="135">
        <f t="shared" si="11"/>
        <v>7.0770000000000008</v>
      </c>
      <c r="L150" s="134">
        <f t="shared" si="12"/>
        <v>7.08</v>
      </c>
      <c r="M150" s="136"/>
    </row>
    <row r="151" spans="1:13" s="131" customFormat="1" ht="12.75">
      <c r="A151" s="132"/>
      <c r="B151" s="209" t="s">
        <v>488</v>
      </c>
      <c r="C151" s="210"/>
      <c r="D151" s="134">
        <v>2</v>
      </c>
      <c r="E151" s="134">
        <v>1</v>
      </c>
      <c r="F151" s="134"/>
      <c r="G151" s="134">
        <v>0.6</v>
      </c>
      <c r="H151" s="134"/>
      <c r="I151" s="134"/>
      <c r="J151" s="135"/>
      <c r="K151" s="135">
        <f t="shared" si="11"/>
        <v>0.6</v>
      </c>
      <c r="L151" s="134">
        <f t="shared" si="12"/>
        <v>1.2</v>
      </c>
      <c r="M151" s="136"/>
    </row>
    <row r="152" spans="1:13" s="131" customFormat="1" ht="12.75">
      <c r="A152" s="132"/>
      <c r="B152" s="209" t="s">
        <v>489</v>
      </c>
      <c r="C152" s="210"/>
      <c r="D152" s="134">
        <v>2</v>
      </c>
      <c r="E152" s="134">
        <v>0.9</v>
      </c>
      <c r="F152" s="134"/>
      <c r="G152" s="134">
        <v>0.6</v>
      </c>
      <c r="H152" s="134"/>
      <c r="I152" s="134"/>
      <c r="J152" s="135"/>
      <c r="K152" s="135">
        <f t="shared" si="11"/>
        <v>0.54</v>
      </c>
      <c r="L152" s="134">
        <f t="shared" si="12"/>
        <v>1.08</v>
      </c>
      <c r="M152" s="136"/>
    </row>
    <row r="153" spans="1:13" s="131" customFormat="1" ht="12.75">
      <c r="A153" s="139"/>
      <c r="B153" s="140"/>
      <c r="C153" s="141"/>
      <c r="D153" s="142"/>
      <c r="E153" s="143"/>
      <c r="F153" s="142"/>
      <c r="G153" s="142"/>
      <c r="H153" s="143"/>
      <c r="I153" s="143"/>
      <c r="J153" s="144"/>
      <c r="K153" s="144"/>
      <c r="L153" s="142"/>
      <c r="M153" s="145"/>
    </row>
    <row r="154" spans="1:13" ht="30" customHeight="1">
      <c r="A154" s="128" t="str">
        <f>'BM02'!A66</f>
        <v>1.5.3</v>
      </c>
      <c r="B154" s="211" t="str">
        <f>'BM02'!B66</f>
        <v>Muro em alvenaria bloco cerâmico, e= 0,09m, c/ alv de pedra 0,35 x 0,60m, colunas (9x20cm) e cintamento (9x15cm) superior e inferior concreto armado fck = 15,0 Mpa cada 3,00m, chapisco e reboco</v>
      </c>
      <c r="C154" s="212"/>
      <c r="D154" s="212"/>
      <c r="E154" s="212"/>
      <c r="F154" s="212"/>
      <c r="G154" s="212"/>
      <c r="H154" s="212"/>
      <c r="I154" s="212"/>
      <c r="J154" s="212"/>
      <c r="K154" s="213"/>
      <c r="L154" s="129">
        <f>SUM(L155:L156)</f>
        <v>290</v>
      </c>
      <c r="M154" s="130" t="str">
        <f>'BM02'!C66</f>
        <v>m²</v>
      </c>
    </row>
    <row r="155" spans="1:13" s="131" customFormat="1" ht="12.75">
      <c r="A155" s="132"/>
      <c r="B155" s="209" t="s">
        <v>490</v>
      </c>
      <c r="C155" s="210"/>
      <c r="D155" s="134">
        <v>2</v>
      </c>
      <c r="E155" s="134">
        <v>43.2</v>
      </c>
      <c r="F155" s="134"/>
      <c r="G155" s="134">
        <v>2.5</v>
      </c>
      <c r="H155" s="134"/>
      <c r="I155" s="134"/>
      <c r="J155" s="135"/>
      <c r="K155" s="135">
        <f t="shared" ref="K155:K156" si="13">E155*G155</f>
        <v>108</v>
      </c>
      <c r="L155" s="134">
        <f>ROUND(D155*K155,2)</f>
        <v>216</v>
      </c>
      <c r="M155" s="136"/>
    </row>
    <row r="156" spans="1:13" s="131" customFormat="1" ht="12.75">
      <c r="A156" s="132"/>
      <c r="B156" s="209" t="s">
        <v>491</v>
      </c>
      <c r="C156" s="210"/>
      <c r="D156" s="134">
        <v>1</v>
      </c>
      <c r="E156" s="134">
        <v>29.7</v>
      </c>
      <c r="F156" s="134"/>
      <c r="G156" s="134">
        <v>2.5</v>
      </c>
      <c r="H156" s="134"/>
      <c r="I156" s="134"/>
      <c r="J156" s="135"/>
      <c r="K156" s="135">
        <f t="shared" si="13"/>
        <v>74.25</v>
      </c>
      <c r="L156" s="134">
        <f>ROUND(D156*K156,0)</f>
        <v>74</v>
      </c>
      <c r="M156" s="136"/>
    </row>
    <row r="157" spans="1:13" s="131" customFormat="1" ht="13.5" thickBot="1">
      <c r="A157" s="139"/>
      <c r="B157" s="140"/>
      <c r="C157" s="141"/>
      <c r="D157" s="142"/>
      <c r="E157" s="143"/>
      <c r="F157" s="142"/>
      <c r="G157" s="142"/>
      <c r="H157" s="143"/>
      <c r="I157" s="143"/>
      <c r="J157" s="144"/>
      <c r="K157" s="144"/>
      <c r="L157" s="142"/>
      <c r="M157" s="145"/>
    </row>
    <row r="158" spans="1:13" ht="13.5" thickBot="1">
      <c r="A158" s="121" t="str">
        <f>'BM02'!A68</f>
        <v>1.6</v>
      </c>
      <c r="B158" s="122" t="str">
        <f>'BM02'!B68</f>
        <v>ESQUADRIAS, FERRAGENS E VIDROS</v>
      </c>
      <c r="C158" s="122"/>
      <c r="D158" s="122"/>
      <c r="E158" s="122"/>
      <c r="F158" s="122"/>
      <c r="G158" s="122"/>
      <c r="H158" s="122"/>
      <c r="I158" s="122"/>
      <c r="J158" s="122"/>
      <c r="K158" s="122"/>
      <c r="L158" s="122"/>
      <c r="M158" s="123"/>
    </row>
    <row r="159" spans="1:13" ht="12.75">
      <c r="A159" s="124"/>
      <c r="B159" s="125"/>
      <c r="C159" s="125"/>
      <c r="D159" s="125"/>
      <c r="E159" s="125"/>
      <c r="F159" s="125"/>
      <c r="G159" s="125"/>
      <c r="H159" s="125"/>
      <c r="I159" s="125"/>
      <c r="J159" s="125"/>
      <c r="K159" s="126"/>
      <c r="L159" s="125"/>
      <c r="M159" s="127"/>
    </row>
    <row r="160" spans="1:13" s="131" customFormat="1" ht="43.15" customHeight="1">
      <c r="A160" s="128" t="str">
        <f>'BM02'!A70</f>
        <v>1.6.1</v>
      </c>
      <c r="B160" s="211" t="str">
        <f>'BM02'!B70</f>
        <v>KIT DE PORTA DE MADEIRA FRISADA, SEMI-OCA (LEVE OU MÉDIA), PADRÃO POPULAR, 70X210CM, ESPESSURA DE 3CM, ITENS INCLUSOS: DOBRADIÇAS, MONTAGEM E INSTALAÇÃO DO BATENTE, SEM FECHADURA - FORNECIMENTO E INSTALAÇÃO. AF_12/2019</v>
      </c>
      <c r="C160" s="212"/>
      <c r="D160" s="212"/>
      <c r="E160" s="212"/>
      <c r="F160" s="212"/>
      <c r="G160" s="212"/>
      <c r="H160" s="212"/>
      <c r="I160" s="212"/>
      <c r="J160" s="212"/>
      <c r="K160" s="213"/>
      <c r="L160" s="129">
        <f>K161</f>
        <v>0</v>
      </c>
      <c r="M160" s="130" t="str">
        <f>'BM02'!C70</f>
        <v>un</v>
      </c>
    </row>
    <row r="161" spans="1:13" s="131" customFormat="1" ht="12.75">
      <c r="A161" s="132"/>
      <c r="B161" s="209"/>
      <c r="C161" s="210"/>
      <c r="D161" s="134"/>
      <c r="E161" s="134"/>
      <c r="F161" s="134"/>
      <c r="G161" s="134"/>
      <c r="H161" s="134"/>
      <c r="I161" s="134"/>
      <c r="J161" s="135"/>
      <c r="K161" s="135"/>
      <c r="L161" s="134">
        <f>ROUND(D161*K161,2)</f>
        <v>0</v>
      </c>
      <c r="M161" s="136"/>
    </row>
    <row r="162" spans="1:13" s="131" customFormat="1" ht="12.75">
      <c r="A162" s="139"/>
      <c r="B162" s="140"/>
      <c r="C162" s="141"/>
      <c r="D162" s="142"/>
      <c r="E162" s="143"/>
      <c r="F162" s="142"/>
      <c r="G162" s="142"/>
      <c r="H162" s="143"/>
      <c r="I162" s="143"/>
      <c r="J162" s="144"/>
      <c r="K162" s="144"/>
      <c r="L162" s="142"/>
      <c r="M162" s="145"/>
    </row>
    <row r="163" spans="1:13" s="131" customFormat="1" ht="43.15" customHeight="1">
      <c r="A163" s="128" t="str">
        <f>'BM02'!A71</f>
        <v>1.6.2</v>
      </c>
      <c r="B163" s="211" t="str">
        <f>'BM02'!B71</f>
        <v>KIT DE PORTA DE MADEIRA FRISADA, SEMI-OCA (LEVE OU MÉDIA), PADRÃO MÉDIO, 80X210CM, ESPESSURA DE 3,5CM, ITENS INCLUSOS: DOBRADIÇAS, MONTAGEM E INSTALAÇÃO DO BATENTE, SEM FECHADURA - FORNECIMENTO E INSTALAÇÃO. AF_12/2019</v>
      </c>
      <c r="C163" s="212"/>
      <c r="D163" s="212"/>
      <c r="E163" s="212"/>
      <c r="F163" s="212"/>
      <c r="G163" s="212"/>
      <c r="H163" s="212"/>
      <c r="I163" s="212"/>
      <c r="J163" s="212"/>
      <c r="K163" s="213"/>
      <c r="L163" s="129">
        <f>K164</f>
        <v>0</v>
      </c>
      <c r="M163" s="130" t="str">
        <f>'BM02'!C71</f>
        <v>un</v>
      </c>
    </row>
    <row r="164" spans="1:13" s="131" customFormat="1" ht="12.75">
      <c r="A164" s="132"/>
      <c r="B164" s="209"/>
      <c r="C164" s="210"/>
      <c r="D164" s="134"/>
      <c r="E164" s="134"/>
      <c r="F164" s="134"/>
      <c r="G164" s="134"/>
      <c r="H164" s="134"/>
      <c r="I164" s="134"/>
      <c r="J164" s="135"/>
      <c r="K164" s="135"/>
      <c r="L164" s="134">
        <f>ROUND(D164*K164,2)</f>
        <v>0</v>
      </c>
      <c r="M164" s="136"/>
    </row>
    <row r="165" spans="1:13" s="131" customFormat="1" ht="12.75">
      <c r="A165" s="139"/>
      <c r="B165" s="140"/>
      <c r="C165" s="141"/>
      <c r="D165" s="142"/>
      <c r="E165" s="143"/>
      <c r="F165" s="142"/>
      <c r="G165" s="142"/>
      <c r="H165" s="143"/>
      <c r="I165" s="143"/>
      <c r="J165" s="144"/>
      <c r="K165" s="144"/>
      <c r="L165" s="142"/>
      <c r="M165" s="145"/>
    </row>
    <row r="166" spans="1:13" s="131" customFormat="1" ht="43.15" customHeight="1">
      <c r="A166" s="128" t="str">
        <f>'BM02'!A72</f>
        <v>1.6.3</v>
      </c>
      <c r="B166" s="211" t="str">
        <f>'BM02'!B72</f>
        <v>KIT DE PORTA DE MADEIRA FRISADA, SEMI-OCA (LEVE OU MÉDIA), PADRÃO MÉDIO, 190X210CM, ESPESSURA DE 3,5CM, ITENS INCLUSOS: DOBRADIÇAS, MONTAGEM E INSTALAÇÃO DO BATENTE, SEM FECHADURA - FORNECIMENTO E INSTALAÇÃO. AF_12/2019</v>
      </c>
      <c r="C166" s="212"/>
      <c r="D166" s="212"/>
      <c r="E166" s="212"/>
      <c r="F166" s="212"/>
      <c r="G166" s="212"/>
      <c r="H166" s="212"/>
      <c r="I166" s="212"/>
      <c r="J166" s="212"/>
      <c r="K166" s="213"/>
      <c r="L166" s="129">
        <f>K167</f>
        <v>0</v>
      </c>
      <c r="M166" s="130" t="str">
        <f>'BM02'!C72</f>
        <v>un</v>
      </c>
    </row>
    <row r="167" spans="1:13" s="131" customFormat="1" ht="12.75">
      <c r="A167" s="132"/>
      <c r="B167" s="209"/>
      <c r="C167" s="210"/>
      <c r="D167" s="134"/>
      <c r="E167" s="134"/>
      <c r="F167" s="134"/>
      <c r="G167" s="134"/>
      <c r="H167" s="134"/>
      <c r="I167" s="134"/>
      <c r="J167" s="135"/>
      <c r="K167" s="135"/>
      <c r="L167" s="134">
        <f>ROUND(D167*K167,2)</f>
        <v>0</v>
      </c>
      <c r="M167" s="136"/>
    </row>
    <row r="168" spans="1:13" s="131" customFormat="1" ht="12.75">
      <c r="A168" s="139"/>
      <c r="B168" s="140"/>
      <c r="C168" s="141"/>
      <c r="D168" s="142"/>
      <c r="E168" s="143"/>
      <c r="F168" s="142"/>
      <c r="G168" s="142"/>
      <c r="H168" s="143"/>
      <c r="I168" s="143"/>
      <c r="J168" s="144"/>
      <c r="K168" s="144"/>
      <c r="L168" s="142"/>
      <c r="M168" s="145"/>
    </row>
    <row r="169" spans="1:13" ht="30" customHeight="1">
      <c r="A169" s="128" t="str">
        <f>'BM02'!A73</f>
        <v>1.6.4</v>
      </c>
      <c r="B169" s="211" t="str">
        <f>'BM02'!B73</f>
        <v>JANELA DE AÇO TIPO BASCULANTE PARA VIDROS, COM BATENTE, FERRAGENS E PINTURA ANTICORROSIVA. EXCLUSIVE VIDROS, ACABAMENTO, ALIZAR E CONTRAMARCO. FORNECIMENTO E INSTALAÇÃO. AF_12/2019</v>
      </c>
      <c r="C169" s="212"/>
      <c r="D169" s="212"/>
      <c r="E169" s="212"/>
      <c r="F169" s="212"/>
      <c r="G169" s="212"/>
      <c r="H169" s="212"/>
      <c r="I169" s="212"/>
      <c r="J169" s="212"/>
      <c r="K169" s="213"/>
      <c r="L169" s="129">
        <f>K170</f>
        <v>0</v>
      </c>
      <c r="M169" s="130" t="str">
        <f>'BM02'!C73</f>
        <v>m²</v>
      </c>
    </row>
    <row r="170" spans="1:13" s="131" customFormat="1" ht="12.75">
      <c r="A170" s="132"/>
      <c r="B170" s="209"/>
      <c r="C170" s="210"/>
      <c r="D170" s="134"/>
      <c r="E170" s="134"/>
      <c r="F170" s="134"/>
      <c r="G170" s="134"/>
      <c r="H170" s="134"/>
      <c r="I170" s="134"/>
      <c r="J170" s="135"/>
      <c r="K170" s="135"/>
      <c r="L170" s="134">
        <f>ROUND(D170*K170,2)</f>
        <v>0</v>
      </c>
      <c r="M170" s="136"/>
    </row>
    <row r="171" spans="1:13" s="131" customFormat="1" ht="12.75">
      <c r="A171" s="139"/>
      <c r="B171" s="140"/>
      <c r="C171" s="141"/>
      <c r="D171" s="142"/>
      <c r="E171" s="143"/>
      <c r="F171" s="142"/>
      <c r="G171" s="142"/>
      <c r="H171" s="143"/>
      <c r="I171" s="143"/>
      <c r="J171" s="144"/>
      <c r="K171" s="144"/>
      <c r="L171" s="142"/>
      <c r="M171" s="145"/>
    </row>
    <row r="172" spans="1:13" ht="12.6" customHeight="1">
      <c r="A172" s="184" t="str">
        <f>'BM02'!A74</f>
        <v>1.6.5</v>
      </c>
      <c r="B172" s="211" t="str">
        <f>'BM02'!B74</f>
        <v>Gradil Nylofor 3D, malha 20x5cm, Ø 5mm 250x103 cm, pintura branca, Belgo ou similar, inclusive postes e acessórios</v>
      </c>
      <c r="C172" s="212"/>
      <c r="D172" s="212"/>
      <c r="E172" s="212"/>
      <c r="F172" s="212"/>
      <c r="G172" s="212"/>
      <c r="H172" s="212"/>
      <c r="I172" s="212"/>
      <c r="J172" s="212"/>
      <c r="K172" s="213"/>
      <c r="L172" s="129">
        <f>K173</f>
        <v>0</v>
      </c>
      <c r="M172" s="185" t="str">
        <f>'BM02'!C74</f>
        <v>m²</v>
      </c>
    </row>
    <row r="173" spans="1:13" s="131" customFormat="1" ht="12.75">
      <c r="A173" s="132"/>
      <c r="B173" s="209"/>
      <c r="C173" s="210"/>
      <c r="D173" s="134"/>
      <c r="E173" s="134"/>
      <c r="F173" s="134"/>
      <c r="G173" s="134"/>
      <c r="H173" s="134"/>
      <c r="I173" s="134"/>
      <c r="J173" s="135"/>
      <c r="K173" s="135"/>
      <c r="L173" s="134">
        <f>ROUND(D173*K173,2)</f>
        <v>0</v>
      </c>
      <c r="M173" s="136"/>
    </row>
    <row r="174" spans="1:13" s="131" customFormat="1" ht="12.75">
      <c r="A174" s="139"/>
      <c r="B174" s="140"/>
      <c r="C174" s="141"/>
      <c r="D174" s="142"/>
      <c r="E174" s="143"/>
      <c r="F174" s="142"/>
      <c r="G174" s="142"/>
      <c r="H174" s="143"/>
      <c r="I174" s="143"/>
      <c r="J174" s="144"/>
      <c r="K174" s="144"/>
      <c r="L174" s="142"/>
      <c r="M174" s="145"/>
    </row>
    <row r="175" spans="1:13" ht="12.6" customHeight="1">
      <c r="A175" s="184" t="str">
        <f>'BM02'!A75</f>
        <v>1.6.6</v>
      </c>
      <c r="B175" s="211" t="str">
        <f>'BM02'!B75</f>
        <v>Portão em ferro, em gradil metálico, padrão belgo ou equivalente, de correr</v>
      </c>
      <c r="C175" s="212"/>
      <c r="D175" s="212"/>
      <c r="E175" s="212"/>
      <c r="F175" s="212"/>
      <c r="G175" s="212"/>
      <c r="H175" s="212"/>
      <c r="I175" s="212"/>
      <c r="J175" s="212"/>
      <c r="K175" s="213"/>
      <c r="L175" s="129">
        <f>K176</f>
        <v>0</v>
      </c>
      <c r="M175" s="185" t="str">
        <f>'BM02'!C75</f>
        <v>m²</v>
      </c>
    </row>
    <row r="176" spans="1:13" s="131" customFormat="1" ht="12.75">
      <c r="A176" s="132"/>
      <c r="B176" s="209"/>
      <c r="C176" s="210"/>
      <c r="D176" s="134"/>
      <c r="E176" s="134"/>
      <c r="F176" s="134"/>
      <c r="G176" s="134"/>
      <c r="H176" s="134"/>
      <c r="I176" s="134"/>
      <c r="J176" s="135"/>
      <c r="K176" s="135"/>
      <c r="L176" s="134">
        <f>ROUND(D176*K176,2)</f>
        <v>0</v>
      </c>
      <c r="M176" s="136"/>
    </row>
    <row r="177" spans="1:13" s="131" customFormat="1" ht="12.75">
      <c r="A177" s="139"/>
      <c r="B177" s="140"/>
      <c r="C177" s="141"/>
      <c r="D177" s="142"/>
      <c r="E177" s="143"/>
      <c r="F177" s="142"/>
      <c r="G177" s="142"/>
      <c r="H177" s="143"/>
      <c r="I177" s="143"/>
      <c r="J177" s="144"/>
      <c r="K177" s="144"/>
      <c r="L177" s="142"/>
      <c r="M177" s="145"/>
    </row>
    <row r="178" spans="1:13" ht="12.6" customHeight="1">
      <c r="A178" s="184" t="str">
        <f>'BM02'!A76</f>
        <v>1.6.7</v>
      </c>
      <c r="B178" s="211" t="str">
        <f>'BM02'!B76</f>
        <v>Gradil Nylofor 3D, malha 20x5cm, Ø 5mm 250x103 cm, pintura branca, Belgo ou similar, inclusive postes e acessórios</v>
      </c>
      <c r="C178" s="212"/>
      <c r="D178" s="212"/>
      <c r="E178" s="212"/>
      <c r="F178" s="212"/>
      <c r="G178" s="212"/>
      <c r="H178" s="212"/>
      <c r="I178" s="212"/>
      <c r="J178" s="212"/>
      <c r="K178" s="213"/>
      <c r="L178" s="129">
        <f>K179</f>
        <v>0</v>
      </c>
      <c r="M178" s="185" t="str">
        <f>'BM02'!C76</f>
        <v>m²</v>
      </c>
    </row>
    <row r="179" spans="1:13" s="131" customFormat="1" ht="12.75">
      <c r="A179" s="132"/>
      <c r="B179" s="209"/>
      <c r="C179" s="210"/>
      <c r="D179" s="134"/>
      <c r="E179" s="134"/>
      <c r="F179" s="134"/>
      <c r="G179" s="134"/>
      <c r="H179" s="134"/>
      <c r="I179" s="134"/>
      <c r="J179" s="135"/>
      <c r="K179" s="135"/>
      <c r="L179" s="134">
        <f>ROUND(D179*K179,2)</f>
        <v>0</v>
      </c>
      <c r="M179" s="136"/>
    </row>
    <row r="180" spans="1:13" s="131" customFormat="1" ht="12.75">
      <c r="A180" s="139"/>
      <c r="B180" s="140"/>
      <c r="C180" s="141"/>
      <c r="D180" s="142"/>
      <c r="E180" s="143"/>
      <c r="F180" s="142"/>
      <c r="G180" s="142"/>
      <c r="H180" s="143"/>
      <c r="I180" s="143"/>
      <c r="J180" s="144"/>
      <c r="K180" s="144"/>
      <c r="L180" s="142"/>
      <c r="M180" s="145"/>
    </row>
    <row r="181" spans="1:13" ht="12.6" customHeight="1">
      <c r="A181" s="184" t="str">
        <f>'BM02'!A77</f>
        <v>1.6.8</v>
      </c>
      <c r="B181" s="211" t="str">
        <f>'BM02'!B77</f>
        <v>Barra de apoio, reta, fixa, em aço inox, l=90cm, d=1 1/2", Jackwal ou similar</v>
      </c>
      <c r="C181" s="212"/>
      <c r="D181" s="212"/>
      <c r="E181" s="212"/>
      <c r="F181" s="212"/>
      <c r="G181" s="212"/>
      <c r="H181" s="212"/>
      <c r="I181" s="212"/>
      <c r="J181" s="212"/>
      <c r="K181" s="213"/>
      <c r="L181" s="129">
        <f>K182</f>
        <v>0</v>
      </c>
      <c r="M181" s="185" t="str">
        <f>'BM02'!C77</f>
        <v>un</v>
      </c>
    </row>
    <row r="182" spans="1:13" s="131" customFormat="1" ht="12.75">
      <c r="A182" s="132"/>
      <c r="B182" s="209"/>
      <c r="C182" s="210"/>
      <c r="D182" s="134"/>
      <c r="E182" s="134"/>
      <c r="F182" s="134"/>
      <c r="G182" s="134"/>
      <c r="H182" s="134"/>
      <c r="I182" s="134"/>
      <c r="J182" s="135"/>
      <c r="K182" s="135"/>
      <c r="L182" s="134">
        <f>ROUND(D182*K182,2)</f>
        <v>0</v>
      </c>
      <c r="M182" s="136"/>
    </row>
    <row r="183" spans="1:13" s="131" customFormat="1" ht="12.75">
      <c r="A183" s="139"/>
      <c r="B183" s="140"/>
      <c r="C183" s="141"/>
      <c r="D183" s="142"/>
      <c r="E183" s="143"/>
      <c r="F183" s="142"/>
      <c r="G183" s="142"/>
      <c r="H183" s="143"/>
      <c r="I183" s="143"/>
      <c r="J183" s="144"/>
      <c r="K183" s="144"/>
      <c r="L183" s="142"/>
      <c r="M183" s="145"/>
    </row>
    <row r="184" spans="1:13" ht="12.6" customHeight="1">
      <c r="A184" s="184" t="str">
        <f>'BM02'!A78</f>
        <v>1.6.9</v>
      </c>
      <c r="B184" s="211" t="str">
        <f>'BM02'!B78</f>
        <v>VIDRO FANTASIA CANELADO 4MM</v>
      </c>
      <c r="C184" s="212"/>
      <c r="D184" s="212"/>
      <c r="E184" s="212"/>
      <c r="F184" s="212"/>
      <c r="G184" s="212"/>
      <c r="H184" s="212"/>
      <c r="I184" s="212"/>
      <c r="J184" s="212"/>
      <c r="K184" s="213"/>
      <c r="L184" s="129">
        <f>K185</f>
        <v>0</v>
      </c>
      <c r="M184" s="185" t="str">
        <f>'BM02'!C78</f>
        <v>M²</v>
      </c>
    </row>
    <row r="185" spans="1:13" s="131" customFormat="1" ht="12.75">
      <c r="A185" s="132"/>
      <c r="B185" s="209"/>
      <c r="C185" s="210"/>
      <c r="D185" s="134"/>
      <c r="E185" s="134"/>
      <c r="F185" s="134"/>
      <c r="G185" s="134"/>
      <c r="H185" s="134"/>
      <c r="I185" s="134"/>
      <c r="J185" s="135"/>
      <c r="K185" s="135"/>
      <c r="L185" s="134">
        <f>ROUND(D185*K185,2)</f>
        <v>0</v>
      </c>
      <c r="M185" s="136"/>
    </row>
    <row r="186" spans="1:13" s="131" customFormat="1" ht="12.75">
      <c r="A186" s="139"/>
      <c r="B186" s="140"/>
      <c r="C186" s="141"/>
      <c r="D186" s="142"/>
      <c r="E186" s="143"/>
      <c r="F186" s="142"/>
      <c r="G186" s="142"/>
      <c r="H186" s="143"/>
      <c r="I186" s="143"/>
      <c r="J186" s="144"/>
      <c r="K186" s="144"/>
      <c r="L186" s="142"/>
      <c r="M186" s="145"/>
    </row>
    <row r="187" spans="1:13" ht="30" customHeight="1">
      <c r="A187" s="128" t="str">
        <f>'BM02'!A79</f>
        <v>1.6.10</v>
      </c>
      <c r="B187" s="211" t="str">
        <f>'BM02'!B79</f>
        <v>FECHADURA DE EMBUTIR COM CILINDRO, EXTERNA, COMPLETA, ACABAMENTO PADRÃO MÉDIO, INCLUSO EXECUÇÃO DE FURO - FORNECIMENTO E INSTALAÇÃO. AF_12/2019</v>
      </c>
      <c r="C187" s="212"/>
      <c r="D187" s="212"/>
      <c r="E187" s="212"/>
      <c r="F187" s="212"/>
      <c r="G187" s="212"/>
      <c r="H187" s="212"/>
      <c r="I187" s="212"/>
      <c r="J187" s="212"/>
      <c r="K187" s="213"/>
      <c r="L187" s="129">
        <f>K188</f>
        <v>0</v>
      </c>
      <c r="M187" s="185" t="str">
        <f>'BM02'!C79</f>
        <v>un</v>
      </c>
    </row>
    <row r="188" spans="1:13" s="131" customFormat="1" ht="12.75">
      <c r="A188" s="132"/>
      <c r="B188" s="209"/>
      <c r="C188" s="210"/>
      <c r="D188" s="134"/>
      <c r="E188" s="134"/>
      <c r="F188" s="134"/>
      <c r="G188" s="134"/>
      <c r="H188" s="134"/>
      <c r="I188" s="134"/>
      <c r="J188" s="135"/>
      <c r="K188" s="135"/>
      <c r="L188" s="134">
        <f>ROUND(D188*K188,2)</f>
        <v>0</v>
      </c>
      <c r="M188" s="136"/>
    </row>
    <row r="189" spans="1:13" s="131" customFormat="1" ht="12.75">
      <c r="A189" s="139"/>
      <c r="B189" s="140"/>
      <c r="C189" s="141"/>
      <c r="D189" s="142"/>
      <c r="E189" s="143"/>
      <c r="F189" s="142"/>
      <c r="G189" s="142"/>
      <c r="H189" s="143"/>
      <c r="I189" s="143"/>
      <c r="J189" s="144"/>
      <c r="K189" s="144"/>
      <c r="L189" s="142"/>
      <c r="M189" s="145"/>
    </row>
    <row r="190" spans="1:13" ht="30" customHeight="1">
      <c r="A190" s="128" t="str">
        <f>'BM02'!A80</f>
        <v>1.6.11</v>
      </c>
      <c r="B190" s="211" t="str">
        <f>'BM02'!B80</f>
        <v>FECHADURA DE EMBUTIR COM CILINDRO, EXTERNA, COMPLETA, ACABAMENTO PADRÃO POPULAR, INCLUSO EXECUÇÃO DE FURO - FORNECIMENTO E INSTALAÇÃO. AF_12/2019</v>
      </c>
      <c r="C190" s="212"/>
      <c r="D190" s="212"/>
      <c r="E190" s="212"/>
      <c r="F190" s="212"/>
      <c r="G190" s="212"/>
      <c r="H190" s="212"/>
      <c r="I190" s="212"/>
      <c r="J190" s="212"/>
      <c r="K190" s="213"/>
      <c r="L190" s="129">
        <f>K191</f>
        <v>0</v>
      </c>
      <c r="M190" s="185" t="str">
        <f>'BM02'!C80</f>
        <v>un</v>
      </c>
    </row>
    <row r="191" spans="1:13" s="131" customFormat="1" ht="12.75">
      <c r="A191" s="132"/>
      <c r="B191" s="209"/>
      <c r="C191" s="210"/>
      <c r="D191" s="134"/>
      <c r="E191" s="134"/>
      <c r="F191" s="134"/>
      <c r="G191" s="134"/>
      <c r="H191" s="134"/>
      <c r="I191" s="134"/>
      <c r="J191" s="135"/>
      <c r="K191" s="135"/>
      <c r="L191" s="134">
        <f>ROUND(D191*K191,2)</f>
        <v>0</v>
      </c>
      <c r="M191" s="136"/>
    </row>
    <row r="192" spans="1:13" s="131" customFormat="1" ht="13.5" thickBot="1">
      <c r="A192" s="139"/>
      <c r="B192" s="140"/>
      <c r="C192" s="141"/>
      <c r="D192" s="142"/>
      <c r="E192" s="143"/>
      <c r="F192" s="142"/>
      <c r="G192" s="142"/>
      <c r="H192" s="143"/>
      <c r="I192" s="143"/>
      <c r="J192" s="144"/>
      <c r="K192" s="144"/>
      <c r="L192" s="142"/>
      <c r="M192" s="145"/>
    </row>
    <row r="193" spans="1:13" ht="13.5" thickBot="1">
      <c r="A193" s="121" t="str">
        <f>'BM02'!A82</f>
        <v>1.7</v>
      </c>
      <c r="B193" s="122" t="str">
        <f>'BM02'!B82</f>
        <v>COBERTA</v>
      </c>
      <c r="C193" s="122"/>
      <c r="D193" s="122"/>
      <c r="E193" s="122"/>
      <c r="F193" s="122"/>
      <c r="G193" s="122"/>
      <c r="H193" s="122"/>
      <c r="I193" s="122"/>
      <c r="J193" s="122"/>
      <c r="K193" s="122"/>
      <c r="L193" s="122"/>
      <c r="M193" s="123"/>
    </row>
    <row r="194" spans="1:13" ht="12.75">
      <c r="A194" s="124"/>
      <c r="B194" s="125"/>
      <c r="C194" s="125"/>
      <c r="D194" s="125"/>
      <c r="E194" s="125"/>
      <c r="F194" s="125"/>
      <c r="G194" s="125"/>
      <c r="H194" s="125"/>
      <c r="I194" s="125"/>
      <c r="J194" s="125"/>
      <c r="K194" s="126"/>
      <c r="L194" s="125"/>
      <c r="M194" s="127"/>
    </row>
    <row r="195" spans="1:13" ht="30" customHeight="1">
      <c r="A195" s="128" t="str">
        <f>'BM02'!A84</f>
        <v>1.7.1</v>
      </c>
      <c r="B195" s="211" t="str">
        <f>'BM02'!B84</f>
        <v>FABRICAÇÃO E INSTALAÇÃO DE ESTRUTURA PONTALETADA DE MADEIRA NÃO APARELHADA PARA TELHADOS COM ATÉ 2 ÁGUAS E PARA TELHA CERÂMICA OU DE CONCRETO, INCLUSO TRANSPORTE VERTICAL. AF_12/2015</v>
      </c>
      <c r="C195" s="212"/>
      <c r="D195" s="212"/>
      <c r="E195" s="212"/>
      <c r="F195" s="212"/>
      <c r="G195" s="212"/>
      <c r="H195" s="212"/>
      <c r="I195" s="212"/>
      <c r="J195" s="212"/>
      <c r="K195" s="213"/>
      <c r="L195" s="129">
        <f>K196</f>
        <v>0</v>
      </c>
      <c r="M195" s="130" t="str">
        <f>'BM02'!C84</f>
        <v>m²</v>
      </c>
    </row>
    <row r="196" spans="1:13" s="131" customFormat="1" ht="12.75">
      <c r="A196" s="132"/>
      <c r="B196" s="209"/>
      <c r="C196" s="210"/>
      <c r="D196" s="134"/>
      <c r="E196" s="134"/>
      <c r="F196" s="134"/>
      <c r="G196" s="134"/>
      <c r="H196" s="134"/>
      <c r="I196" s="134"/>
      <c r="J196" s="135"/>
      <c r="K196" s="135"/>
      <c r="L196" s="134">
        <f>ROUND(D196*K196,2)</f>
        <v>0</v>
      </c>
      <c r="M196" s="136"/>
    </row>
    <row r="197" spans="1:13" s="131" customFormat="1" ht="12.75">
      <c r="A197" s="139"/>
      <c r="B197" s="140"/>
      <c r="C197" s="141"/>
      <c r="D197" s="142"/>
      <c r="E197" s="143"/>
      <c r="F197" s="142"/>
      <c r="G197" s="142"/>
      <c r="H197" s="143"/>
      <c r="I197" s="143"/>
      <c r="J197" s="144"/>
      <c r="K197" s="144"/>
      <c r="L197" s="142"/>
      <c r="M197" s="145"/>
    </row>
    <row r="198" spans="1:13" ht="30" customHeight="1">
      <c r="A198" s="128" t="str">
        <f>'BM02'!A85</f>
        <v>1.7.2</v>
      </c>
      <c r="B198" s="211" t="str">
        <f>'BM02'!B85</f>
        <v>TRAMA DE MADEIRA COMPOSTA POR RIPAS, CAIBROS E TERÇAS PARA TELHADOS DE ATÉ 2 ÁGUAS PARA TELHA CERÂMICA CAPA-CANAL, INCLUSO TRANSPORTE VERTICAL. AF_07/2019</v>
      </c>
      <c r="C198" s="212"/>
      <c r="D198" s="212"/>
      <c r="E198" s="212"/>
      <c r="F198" s="212"/>
      <c r="G198" s="212"/>
      <c r="H198" s="212"/>
      <c r="I198" s="212"/>
      <c r="J198" s="212"/>
      <c r="K198" s="213"/>
      <c r="L198" s="129">
        <f>K199</f>
        <v>0</v>
      </c>
      <c r="M198" s="130" t="str">
        <f>'BM02'!C85</f>
        <v>m²</v>
      </c>
    </row>
    <row r="199" spans="1:13" s="131" customFormat="1" ht="12.75">
      <c r="A199" s="132"/>
      <c r="B199" s="209"/>
      <c r="C199" s="210"/>
      <c r="D199" s="134"/>
      <c r="E199" s="134"/>
      <c r="F199" s="134"/>
      <c r="G199" s="134"/>
      <c r="H199" s="134"/>
      <c r="I199" s="134"/>
      <c r="J199" s="135"/>
      <c r="K199" s="135"/>
      <c r="L199" s="134">
        <f>ROUND(D199*K199,2)</f>
        <v>0</v>
      </c>
      <c r="M199" s="136"/>
    </row>
    <row r="200" spans="1:13" s="131" customFormat="1" ht="12.75">
      <c r="A200" s="139"/>
      <c r="B200" s="140"/>
      <c r="C200" s="141"/>
      <c r="D200" s="142"/>
      <c r="E200" s="143"/>
      <c r="F200" s="142"/>
      <c r="G200" s="142"/>
      <c r="H200" s="143"/>
      <c r="I200" s="143"/>
      <c r="J200" s="144"/>
      <c r="K200" s="144"/>
      <c r="L200" s="142"/>
      <c r="M200" s="145"/>
    </row>
    <row r="201" spans="1:13" ht="30" customHeight="1">
      <c r="A201" s="128" t="str">
        <f>'BM02'!A86</f>
        <v>1.7.3</v>
      </c>
      <c r="B201" s="211" t="str">
        <f>'BM02'!B86</f>
        <v>TELHAMENTO COM TELHA CERÂMICA CAPA-CANAL, TIPO PLAN, COM ATÉ 2 ÁGUAS, INCLUSO TRANSPORTE VERTICAL. AF_07/2019</v>
      </c>
      <c r="C201" s="212"/>
      <c r="D201" s="212"/>
      <c r="E201" s="212"/>
      <c r="F201" s="212"/>
      <c r="G201" s="212"/>
      <c r="H201" s="212"/>
      <c r="I201" s="212"/>
      <c r="J201" s="212"/>
      <c r="K201" s="213"/>
      <c r="L201" s="129">
        <f>K202</f>
        <v>0</v>
      </c>
      <c r="M201" s="130" t="str">
        <f>'BM02'!C86</f>
        <v>m²</v>
      </c>
    </row>
    <row r="202" spans="1:13" s="131" customFormat="1" ht="12.75">
      <c r="A202" s="132"/>
      <c r="B202" s="209"/>
      <c r="C202" s="210"/>
      <c r="D202" s="134"/>
      <c r="E202" s="134"/>
      <c r="F202" s="134"/>
      <c r="G202" s="134"/>
      <c r="H202" s="134"/>
      <c r="I202" s="134"/>
      <c r="J202" s="135"/>
      <c r="K202" s="135"/>
      <c r="L202" s="134">
        <f>ROUND(D202*K202,2)</f>
        <v>0</v>
      </c>
      <c r="M202" s="136"/>
    </row>
    <row r="203" spans="1:13" s="131" customFormat="1" ht="12.75">
      <c r="A203" s="139"/>
      <c r="B203" s="140"/>
      <c r="C203" s="141"/>
      <c r="D203" s="142"/>
      <c r="E203" s="143"/>
      <c r="F203" s="142"/>
      <c r="G203" s="142"/>
      <c r="H203" s="143"/>
      <c r="I203" s="143"/>
      <c r="J203" s="144"/>
      <c r="K203" s="144"/>
      <c r="L203" s="142"/>
      <c r="M203" s="145"/>
    </row>
    <row r="204" spans="1:13" ht="30" customHeight="1">
      <c r="A204" s="128" t="str">
        <f>'BM02'!A87</f>
        <v>1.7.4</v>
      </c>
      <c r="B204" s="211" t="str">
        <f>'BM02'!B87</f>
        <v>CUMEEIRA PARA TELHA CERÂMICA EMBOÇADA COM ARGAMASSA TRAÇO 1:2:9 (CIMENTO, CAL E AREIA) PARA TELHADOS COM ATÉ 2 ÁGUAS, INCLUSO TRANSPORTE VERTICAL. AF_07/2019</v>
      </c>
      <c r="C204" s="212"/>
      <c r="D204" s="212"/>
      <c r="E204" s="212"/>
      <c r="F204" s="212"/>
      <c r="G204" s="212"/>
      <c r="H204" s="212"/>
      <c r="I204" s="212"/>
      <c r="J204" s="212"/>
      <c r="K204" s="213"/>
      <c r="L204" s="129">
        <f>K205</f>
        <v>0</v>
      </c>
      <c r="M204" s="130" t="str">
        <f>'BM02'!C87</f>
        <v xml:space="preserve">m </v>
      </c>
    </row>
    <row r="205" spans="1:13" s="131" customFormat="1" ht="12.75">
      <c r="A205" s="132"/>
      <c r="B205" s="209"/>
      <c r="C205" s="210"/>
      <c r="D205" s="134"/>
      <c r="E205" s="134"/>
      <c r="F205" s="134"/>
      <c r="G205" s="134"/>
      <c r="H205" s="134"/>
      <c r="I205" s="134"/>
      <c r="J205" s="135"/>
      <c r="K205" s="135"/>
      <c r="L205" s="134">
        <f>ROUND(D205*K205,2)</f>
        <v>0</v>
      </c>
      <c r="M205" s="136"/>
    </row>
    <row r="206" spans="1:13" s="131" customFormat="1" ht="12.75">
      <c r="A206" s="139"/>
      <c r="B206" s="140"/>
      <c r="C206" s="141"/>
      <c r="D206" s="142"/>
      <c r="E206" s="143"/>
      <c r="F206" s="142"/>
      <c r="G206" s="142"/>
      <c r="H206" s="143"/>
      <c r="I206" s="143"/>
      <c r="J206" s="144"/>
      <c r="K206" s="144"/>
      <c r="L206" s="142"/>
      <c r="M206" s="145"/>
    </row>
    <row r="207" spans="1:13" ht="12.75">
      <c r="A207" s="184" t="str">
        <f>'BM02'!A88</f>
        <v>1.7.5</v>
      </c>
      <c r="B207" s="211" t="str">
        <f>'BM02'!B88</f>
        <v>ALGEROZ (RUFO) DE CONCRETO ARMADO FCK=20MPA L=40CM E H=5CM - ORSE (00304)</v>
      </c>
      <c r="C207" s="212"/>
      <c r="D207" s="212"/>
      <c r="E207" s="212"/>
      <c r="F207" s="212"/>
      <c r="G207" s="212"/>
      <c r="H207" s="212"/>
      <c r="I207" s="212"/>
      <c r="J207" s="212"/>
      <c r="K207" s="213"/>
      <c r="L207" s="129">
        <f>K208</f>
        <v>0</v>
      </c>
      <c r="M207" s="130" t="str">
        <f>'BM02'!C88</f>
        <v>m</v>
      </c>
    </row>
    <row r="208" spans="1:13" s="131" customFormat="1" ht="12.75">
      <c r="A208" s="132"/>
      <c r="B208" s="209"/>
      <c r="C208" s="210"/>
      <c r="D208" s="134"/>
      <c r="E208" s="134"/>
      <c r="F208" s="134"/>
      <c r="G208" s="134"/>
      <c r="H208" s="134"/>
      <c r="I208" s="134"/>
      <c r="J208" s="135"/>
      <c r="K208" s="135"/>
      <c r="L208" s="134">
        <f>ROUND(D208*K208,2)</f>
        <v>0</v>
      </c>
      <c r="M208" s="136"/>
    </row>
    <row r="209" spans="1:13" s="131" customFormat="1" ht="12.75">
      <c r="A209" s="139"/>
      <c r="B209" s="140"/>
      <c r="C209" s="141"/>
      <c r="D209" s="142"/>
      <c r="E209" s="143"/>
      <c r="F209" s="142"/>
      <c r="G209" s="142"/>
      <c r="H209" s="143"/>
      <c r="I209" s="143"/>
      <c r="J209" s="144"/>
      <c r="K209" s="144"/>
      <c r="L209" s="142"/>
      <c r="M209" s="145"/>
    </row>
    <row r="210" spans="1:13" ht="12.75">
      <c r="A210" s="184" t="str">
        <f>'BM02'!A89</f>
        <v>1.7.6</v>
      </c>
      <c r="B210" s="211" t="str">
        <f>'BM02'!B89</f>
        <v>EMBOÇAMENTO COM ARGAMASSA TRAÇO 1:2:9 (CIMENTO, CAL E AREIA). AF_07/2019</v>
      </c>
      <c r="C210" s="212"/>
      <c r="D210" s="212"/>
      <c r="E210" s="212"/>
      <c r="F210" s="212"/>
      <c r="G210" s="212"/>
      <c r="H210" s="212"/>
      <c r="I210" s="212"/>
      <c r="J210" s="212"/>
      <c r="K210" s="213"/>
      <c r="L210" s="129">
        <f>K211</f>
        <v>0</v>
      </c>
      <c r="M210" s="130" t="str">
        <f>'BM02'!C89</f>
        <v>m</v>
      </c>
    </row>
    <row r="211" spans="1:13" s="131" customFormat="1" ht="12.75">
      <c r="A211" s="132"/>
      <c r="B211" s="209"/>
      <c r="C211" s="210"/>
      <c r="D211" s="134"/>
      <c r="E211" s="134"/>
      <c r="F211" s="134"/>
      <c r="G211" s="134"/>
      <c r="H211" s="134"/>
      <c r="I211" s="134"/>
      <c r="J211" s="135"/>
      <c r="K211" s="135"/>
      <c r="L211" s="134">
        <f>ROUND(D211*K211,2)</f>
        <v>0</v>
      </c>
      <c r="M211" s="136"/>
    </row>
    <row r="212" spans="1:13" s="131" customFormat="1" ht="12.75">
      <c r="A212" s="139"/>
      <c r="B212" s="140"/>
      <c r="C212" s="141"/>
      <c r="D212" s="142"/>
      <c r="E212" s="143"/>
      <c r="F212" s="142"/>
      <c r="G212" s="142"/>
      <c r="H212" s="143"/>
      <c r="I212" s="143"/>
      <c r="J212" s="144"/>
      <c r="K212" s="144"/>
      <c r="L212" s="142"/>
      <c r="M212" s="145"/>
    </row>
    <row r="213" spans="1:13" ht="12.75">
      <c r="A213" s="184" t="str">
        <f>'BM02'!A90</f>
        <v>1.7.7</v>
      </c>
      <c r="B213" s="211" t="str">
        <f>'BM02'!B90</f>
        <v>Impermeabilização com aplicação de argamassa polimérica tipo Denvertec 100 ou similar</v>
      </c>
      <c r="C213" s="212"/>
      <c r="D213" s="212"/>
      <c r="E213" s="212"/>
      <c r="F213" s="212"/>
      <c r="G213" s="212"/>
      <c r="H213" s="212"/>
      <c r="I213" s="212"/>
      <c r="J213" s="212"/>
      <c r="K213" s="213"/>
      <c r="L213" s="129">
        <f>K214</f>
        <v>0</v>
      </c>
      <c r="M213" s="130" t="str">
        <f>'BM02'!C90</f>
        <v>m²</v>
      </c>
    </row>
    <row r="214" spans="1:13" s="131" customFormat="1" ht="12.75">
      <c r="A214" s="132"/>
      <c r="B214" s="209"/>
      <c r="C214" s="210"/>
      <c r="D214" s="134"/>
      <c r="E214" s="134"/>
      <c r="F214" s="134"/>
      <c r="G214" s="134"/>
      <c r="H214" s="134"/>
      <c r="I214" s="134"/>
      <c r="J214" s="135"/>
      <c r="K214" s="135"/>
      <c r="L214" s="134">
        <f>ROUND(D214*K214,2)</f>
        <v>0</v>
      </c>
      <c r="M214" s="136"/>
    </row>
    <row r="215" spans="1:13" s="131" customFormat="1" ht="12.75">
      <c r="A215" s="139"/>
      <c r="B215" s="140"/>
      <c r="C215" s="141"/>
      <c r="D215" s="142"/>
      <c r="E215" s="143"/>
      <c r="F215" s="142"/>
      <c r="G215" s="142"/>
      <c r="H215" s="143"/>
      <c r="I215" s="143"/>
      <c r="J215" s="144"/>
      <c r="K215" s="144"/>
      <c r="L215" s="142"/>
      <c r="M215" s="145"/>
    </row>
    <row r="216" spans="1:13" ht="30" customHeight="1">
      <c r="A216" s="128" t="str">
        <f>'BM02'!A91</f>
        <v>1.7.8</v>
      </c>
      <c r="B216" s="211" t="str">
        <f>'BM02'!B91</f>
        <v>FORRO EM RÉGUAS DE PVC, FRISADO, PARA AMBIENTES RESIDENCIAIS, INCLUSIVE ESTRUTURA DE FIXAÇÃO. AF_05/2017_P</v>
      </c>
      <c r="C216" s="212"/>
      <c r="D216" s="212"/>
      <c r="E216" s="212"/>
      <c r="F216" s="212"/>
      <c r="G216" s="212"/>
      <c r="H216" s="212"/>
      <c r="I216" s="212"/>
      <c r="J216" s="212"/>
      <c r="K216" s="213"/>
      <c r="L216" s="129">
        <f>K217</f>
        <v>0</v>
      </c>
      <c r="M216" s="130" t="str">
        <f>'BM02'!C91</f>
        <v>m²</v>
      </c>
    </row>
    <row r="217" spans="1:13" s="131" customFormat="1" ht="12.75">
      <c r="A217" s="132"/>
      <c r="B217" s="209"/>
      <c r="C217" s="210"/>
      <c r="D217" s="134"/>
      <c r="E217" s="134"/>
      <c r="F217" s="134"/>
      <c r="G217" s="134"/>
      <c r="H217" s="134"/>
      <c r="I217" s="134"/>
      <c r="J217" s="135"/>
      <c r="K217" s="135"/>
      <c r="L217" s="134">
        <f>ROUND(D217*K217,2)</f>
        <v>0</v>
      </c>
      <c r="M217" s="136"/>
    </row>
    <row r="218" spans="1:13" s="131" customFormat="1" ht="13.5" thickBot="1">
      <c r="A218" s="139"/>
      <c r="B218" s="140"/>
      <c r="C218" s="141"/>
      <c r="D218" s="142"/>
      <c r="E218" s="143"/>
      <c r="F218" s="142"/>
      <c r="G218" s="142"/>
      <c r="H218" s="143"/>
      <c r="I218" s="143"/>
      <c r="J218" s="144"/>
      <c r="K218" s="144"/>
      <c r="L218" s="142"/>
      <c r="M218" s="145"/>
    </row>
    <row r="219" spans="1:13" ht="13.5" thickBot="1">
      <c r="A219" s="121" t="str">
        <f>'BM02'!A93</f>
        <v>1.8</v>
      </c>
      <c r="B219" s="122" t="str">
        <f>'BM02'!B93</f>
        <v>REVESTIMENTO E FORRO</v>
      </c>
      <c r="C219" s="122"/>
      <c r="D219" s="122"/>
      <c r="E219" s="122"/>
      <c r="F219" s="122"/>
      <c r="G219" s="122"/>
      <c r="H219" s="122"/>
      <c r="I219" s="122"/>
      <c r="J219" s="122"/>
      <c r="K219" s="122"/>
      <c r="L219" s="122"/>
      <c r="M219" s="123"/>
    </row>
    <row r="220" spans="1:13" ht="12.75">
      <c r="A220" s="124"/>
      <c r="B220" s="125"/>
      <c r="C220" s="125"/>
      <c r="D220" s="125"/>
      <c r="E220" s="125"/>
      <c r="F220" s="125"/>
      <c r="G220" s="125"/>
      <c r="H220" s="125"/>
      <c r="I220" s="125"/>
      <c r="J220" s="125"/>
      <c r="K220" s="126"/>
      <c r="L220" s="125"/>
      <c r="M220" s="127"/>
    </row>
    <row r="221" spans="1:13" ht="30" customHeight="1">
      <c r="A221" s="128" t="str">
        <f>'BM02'!A95</f>
        <v>1.8.1</v>
      </c>
      <c r="B221" s="211" t="str">
        <f>'BM02'!B95</f>
        <v>CHAPISCO APLICADO EM ALVENARIAS E ESTRUTURAS DE CONCRETO INTERNAS, COM COLHER DE PEDREIRO. ARGAMASSA TRAÇO 1:3 COM PREPARO EM BETONEIRA 400L. AF_06/2014</v>
      </c>
      <c r="C221" s="212"/>
      <c r="D221" s="212"/>
      <c r="E221" s="212"/>
      <c r="F221" s="212"/>
      <c r="G221" s="212"/>
      <c r="H221" s="212"/>
      <c r="I221" s="212"/>
      <c r="J221" s="212"/>
      <c r="K221" s="213"/>
      <c r="L221" s="129">
        <f>SUM(L222:L222)</f>
        <v>1139.8599999999999</v>
      </c>
      <c r="M221" s="130" t="str">
        <f>'BM02'!C95</f>
        <v>m²</v>
      </c>
    </row>
    <row r="222" spans="1:13" s="131" customFormat="1" ht="12.75">
      <c r="A222" s="132"/>
      <c r="B222" s="209" t="s">
        <v>492</v>
      </c>
      <c r="C222" s="210"/>
      <c r="D222" s="134">
        <f>2</f>
        <v>2</v>
      </c>
      <c r="E222" s="134">
        <f>L119</f>
        <v>569.93000000000029</v>
      </c>
      <c r="F222" s="134"/>
      <c r="G222" s="134"/>
      <c r="H222" s="134"/>
      <c r="I222" s="134"/>
      <c r="J222" s="135"/>
      <c r="K222" s="135">
        <f>E222</f>
        <v>569.93000000000029</v>
      </c>
      <c r="L222" s="134">
        <f>ROUND(D222*K222,2)</f>
        <v>1139.8599999999999</v>
      </c>
      <c r="M222" s="136"/>
    </row>
    <row r="223" spans="1:13" s="131" customFormat="1" ht="12.75">
      <c r="A223" s="139"/>
      <c r="B223" s="140"/>
      <c r="C223" s="141"/>
      <c r="D223" s="142"/>
      <c r="E223" s="143"/>
      <c r="F223" s="142"/>
      <c r="G223" s="142"/>
      <c r="H223" s="143"/>
      <c r="I223" s="143"/>
      <c r="J223" s="144"/>
      <c r="K223" s="144"/>
      <c r="L223" s="142"/>
      <c r="M223" s="145"/>
    </row>
    <row r="224" spans="1:13" s="131" customFormat="1" ht="43.15" customHeight="1">
      <c r="A224" s="128" t="str">
        <f>'BM02'!A96</f>
        <v>1.8.2</v>
      </c>
      <c r="B224" s="211" t="str">
        <f>'BM02'!B96</f>
        <v>MASSA ÚNICA, PARA RECEBIMENTO DE PINTURA, EM ARGAMASSA TRAÇO 1:2:8, PREPARO MECÂNICO COM BETONEIRA 400L, APLICADA MANUALMENTE EM FACES INTERNAS DE PAREDES, ESPESSURA DE 20MM, COM EXECUÇÃO DE TALISCAS. AF_06/2014</v>
      </c>
      <c r="C224" s="212"/>
      <c r="D224" s="212"/>
      <c r="E224" s="212"/>
      <c r="F224" s="212"/>
      <c r="G224" s="212"/>
      <c r="H224" s="212"/>
      <c r="I224" s="212"/>
      <c r="J224" s="212"/>
      <c r="K224" s="213"/>
      <c r="L224" s="129">
        <f>SUM(L225:L239)</f>
        <v>558.5300000000002</v>
      </c>
      <c r="M224" s="130" t="str">
        <f>'BM02'!C96</f>
        <v>m²</v>
      </c>
    </row>
    <row r="225" spans="1:13" s="131" customFormat="1" ht="14.45" customHeight="1">
      <c r="A225" s="132"/>
      <c r="B225" s="209" t="s">
        <v>493</v>
      </c>
      <c r="C225" s="210"/>
      <c r="D225" s="134">
        <v>4</v>
      </c>
      <c r="E225" s="134">
        <f>7.2*3+7.45</f>
        <v>29.05</v>
      </c>
      <c r="F225" s="134"/>
      <c r="G225" s="134">
        <v>1.5</v>
      </c>
      <c r="H225" s="134"/>
      <c r="I225" s="134"/>
      <c r="J225" s="135"/>
      <c r="K225" s="135">
        <f>E225*G225</f>
        <v>43.575000000000003</v>
      </c>
      <c r="L225" s="134">
        <f>ROUND(D225*K225,2)</f>
        <v>174.3</v>
      </c>
      <c r="M225" s="136"/>
    </row>
    <row r="226" spans="1:13" s="131" customFormat="1" ht="12.75">
      <c r="A226" s="132"/>
      <c r="B226" s="209" t="s">
        <v>494</v>
      </c>
      <c r="C226" s="210"/>
      <c r="D226" s="134">
        <v>1</v>
      </c>
      <c r="E226" s="134">
        <f>2.5*2+3.5*2</f>
        <v>12</v>
      </c>
      <c r="F226" s="134"/>
      <c r="G226" s="134">
        <v>1.5</v>
      </c>
      <c r="H226" s="134"/>
      <c r="I226" s="134"/>
      <c r="J226" s="135"/>
      <c r="K226" s="135">
        <f t="shared" ref="K226:K238" si="14">E226*G226</f>
        <v>18</v>
      </c>
      <c r="L226" s="134">
        <f t="shared" ref="L226:L238" si="15">ROUND(D226*K226,2)</f>
        <v>18</v>
      </c>
      <c r="M226" s="136"/>
    </row>
    <row r="227" spans="1:13" s="131" customFormat="1" ht="12.75">
      <c r="A227" s="132"/>
      <c r="B227" s="209" t="s">
        <v>495</v>
      </c>
      <c r="C227" s="210"/>
      <c r="D227" s="134">
        <v>1</v>
      </c>
      <c r="E227" s="134">
        <f>2.3*2+3.5*2</f>
        <v>11.6</v>
      </c>
      <c r="F227" s="134"/>
      <c r="G227" s="134">
        <v>1.5</v>
      </c>
      <c r="H227" s="134"/>
      <c r="I227" s="134"/>
      <c r="J227" s="135"/>
      <c r="K227" s="135">
        <f t="shared" si="14"/>
        <v>17.399999999999999</v>
      </c>
      <c r="L227" s="134">
        <f t="shared" si="15"/>
        <v>17.399999999999999</v>
      </c>
      <c r="M227" s="136"/>
    </row>
    <row r="228" spans="1:13" s="131" customFormat="1" ht="12.75">
      <c r="A228" s="132"/>
      <c r="B228" s="209" t="s">
        <v>496</v>
      </c>
      <c r="C228" s="210"/>
      <c r="D228" s="134">
        <v>1</v>
      </c>
      <c r="E228" s="134">
        <f>1.8*2+2.55*2</f>
        <v>8.6999999999999993</v>
      </c>
      <c r="F228" s="134"/>
      <c r="G228" s="134">
        <v>1.5</v>
      </c>
      <c r="H228" s="134"/>
      <c r="I228" s="134"/>
      <c r="J228" s="135"/>
      <c r="K228" s="135">
        <f t="shared" si="14"/>
        <v>13.049999999999999</v>
      </c>
      <c r="L228" s="134">
        <f t="shared" si="15"/>
        <v>13.05</v>
      </c>
      <c r="M228" s="136"/>
    </row>
    <row r="229" spans="1:13" s="131" customFormat="1" ht="12.75">
      <c r="A229" s="132"/>
      <c r="B229" s="209" t="s">
        <v>497</v>
      </c>
      <c r="C229" s="210"/>
      <c r="D229" s="134">
        <v>1</v>
      </c>
      <c r="E229" s="134">
        <f>3.3*2+2.55*2</f>
        <v>11.7</v>
      </c>
      <c r="F229" s="134"/>
      <c r="G229" s="134">
        <v>1.5</v>
      </c>
      <c r="H229" s="134"/>
      <c r="I229" s="134"/>
      <c r="J229" s="135"/>
      <c r="K229" s="135">
        <f t="shared" si="14"/>
        <v>17.549999999999997</v>
      </c>
      <c r="L229" s="134">
        <f t="shared" si="15"/>
        <v>17.55</v>
      </c>
      <c r="M229" s="136"/>
    </row>
    <row r="230" spans="1:13" s="131" customFormat="1" ht="13.15" customHeight="1">
      <c r="A230" s="132"/>
      <c r="B230" s="209" t="s">
        <v>498</v>
      </c>
      <c r="C230" s="210"/>
      <c r="D230" s="134">
        <v>1</v>
      </c>
      <c r="E230" s="134">
        <f>(7.45*4+0.95*4+2+2.15+1.95+5.4+6.35+5.48+2.7+4.48+6.56*2+1.35*4)</f>
        <v>82.630000000000024</v>
      </c>
      <c r="F230" s="134"/>
      <c r="G230" s="134">
        <v>1.5</v>
      </c>
      <c r="H230" s="134"/>
      <c r="I230" s="134"/>
      <c r="J230" s="135"/>
      <c r="K230" s="135">
        <f t="shared" si="14"/>
        <v>123.94500000000004</v>
      </c>
      <c r="L230" s="134">
        <f t="shared" si="15"/>
        <v>123.95</v>
      </c>
      <c r="M230" s="136"/>
    </row>
    <row r="231" spans="1:13" s="131" customFormat="1" ht="12.75">
      <c r="A231" s="132"/>
      <c r="B231" s="209" t="s">
        <v>499</v>
      </c>
      <c r="C231" s="210"/>
      <c r="D231" s="134">
        <v>9</v>
      </c>
      <c r="E231" s="134">
        <v>1.2</v>
      </c>
      <c r="F231" s="134"/>
      <c r="G231" s="134">
        <v>1.5</v>
      </c>
      <c r="H231" s="134"/>
      <c r="I231" s="134"/>
      <c r="J231" s="135"/>
      <c r="K231" s="135">
        <f t="shared" si="14"/>
        <v>1.7999999999999998</v>
      </c>
      <c r="L231" s="134">
        <f t="shared" si="15"/>
        <v>16.2</v>
      </c>
      <c r="M231" s="136"/>
    </row>
    <row r="232" spans="1:13" s="131" customFormat="1" ht="12.75">
      <c r="A232" s="132"/>
      <c r="B232" s="209" t="s">
        <v>500</v>
      </c>
      <c r="C232" s="210"/>
      <c r="D232" s="134">
        <v>1</v>
      </c>
      <c r="E232" s="134">
        <f>1.2*2+2*2</f>
        <v>6.4</v>
      </c>
      <c r="F232" s="134"/>
      <c r="G232" s="134">
        <v>1.5</v>
      </c>
      <c r="H232" s="134"/>
      <c r="I232" s="134"/>
      <c r="J232" s="135"/>
      <c r="K232" s="135">
        <f t="shared" si="14"/>
        <v>9.6000000000000014</v>
      </c>
      <c r="L232" s="134">
        <f t="shared" si="15"/>
        <v>9.6</v>
      </c>
      <c r="M232" s="136"/>
    </row>
    <row r="233" spans="1:13" s="131" customFormat="1" ht="12.75">
      <c r="A233" s="132"/>
      <c r="B233" s="209" t="s">
        <v>501</v>
      </c>
      <c r="C233" s="210"/>
      <c r="D233" s="134">
        <v>1</v>
      </c>
      <c r="E233" s="134">
        <f>1.2*2+2*2</f>
        <v>6.4</v>
      </c>
      <c r="F233" s="134"/>
      <c r="G233" s="134">
        <v>1.5</v>
      </c>
      <c r="H233" s="134"/>
      <c r="I233" s="134"/>
      <c r="J233" s="135"/>
      <c r="K233" s="135">
        <f t="shared" si="14"/>
        <v>9.6000000000000014</v>
      </c>
      <c r="L233" s="134">
        <f t="shared" si="15"/>
        <v>9.6</v>
      </c>
      <c r="M233" s="136"/>
    </row>
    <row r="234" spans="1:13" s="131" customFormat="1" ht="63" customHeight="1">
      <c r="A234" s="132"/>
      <c r="B234" s="209" t="s">
        <v>502</v>
      </c>
      <c r="C234" s="210"/>
      <c r="D234" s="134">
        <v>1</v>
      </c>
      <c r="E234" s="134">
        <f>((7*2+3)*(0.8) + (2*2+3)*(0.7))</f>
        <v>18.5</v>
      </c>
      <c r="F234" s="134"/>
      <c r="G234" s="134">
        <v>0.6</v>
      </c>
      <c r="H234" s="134"/>
      <c r="I234" s="134"/>
      <c r="J234" s="135"/>
      <c r="K234" s="135">
        <f t="shared" si="14"/>
        <v>11.1</v>
      </c>
      <c r="L234" s="134">
        <f>ROUND(-K234,2)</f>
        <v>-11.1</v>
      </c>
      <c r="M234" s="136"/>
    </row>
    <row r="235" spans="1:13" s="131" customFormat="1" ht="28.9" customHeight="1">
      <c r="A235" s="132"/>
      <c r="B235" s="209" t="s">
        <v>503</v>
      </c>
      <c r="C235" s="210"/>
      <c r="D235" s="134">
        <v>1</v>
      </c>
      <c r="E235" s="134">
        <v>29.7</v>
      </c>
      <c r="F235" s="134"/>
      <c r="G235" s="134">
        <v>3</v>
      </c>
      <c r="H235" s="134"/>
      <c r="I235" s="134"/>
      <c r="J235" s="135"/>
      <c r="K235" s="135">
        <f t="shared" si="14"/>
        <v>89.1</v>
      </c>
      <c r="L235" s="134">
        <f t="shared" si="15"/>
        <v>89.1</v>
      </c>
      <c r="M235" s="136"/>
    </row>
    <row r="236" spans="1:13" s="131" customFormat="1" ht="12.75">
      <c r="A236" s="132"/>
      <c r="B236" s="209" t="s">
        <v>504</v>
      </c>
      <c r="C236" s="210"/>
      <c r="D236" s="134">
        <v>1</v>
      </c>
      <c r="E236" s="134">
        <f>(9.95+4.18+3.15+2.15*2)</f>
        <v>21.58</v>
      </c>
      <c r="F236" s="134"/>
      <c r="G236" s="134">
        <v>3</v>
      </c>
      <c r="H236" s="134"/>
      <c r="I236" s="134"/>
      <c r="J236" s="135"/>
      <c r="K236" s="135">
        <f t="shared" si="14"/>
        <v>64.739999999999995</v>
      </c>
      <c r="L236" s="134">
        <f t="shared" si="15"/>
        <v>64.739999999999995</v>
      </c>
      <c r="M236" s="136"/>
    </row>
    <row r="237" spans="1:13" s="131" customFormat="1" ht="28.9" customHeight="1">
      <c r="A237" s="132"/>
      <c r="B237" s="209" t="s">
        <v>505</v>
      </c>
      <c r="C237" s="210"/>
      <c r="D237" s="134">
        <v>1</v>
      </c>
      <c r="E237" s="134">
        <f>(2.55+9.74)</f>
        <v>12.29</v>
      </c>
      <c r="F237" s="134"/>
      <c r="G237" s="134">
        <v>2.5</v>
      </c>
      <c r="H237" s="134"/>
      <c r="I237" s="134"/>
      <c r="J237" s="135"/>
      <c r="K237" s="135">
        <f t="shared" si="14"/>
        <v>30.724999999999998</v>
      </c>
      <c r="L237" s="134">
        <f t="shared" si="15"/>
        <v>30.73</v>
      </c>
      <c r="M237" s="136"/>
    </row>
    <row r="238" spans="1:13" s="131" customFormat="1" ht="28.9" customHeight="1">
      <c r="A238" s="132"/>
      <c r="B238" s="209" t="s">
        <v>506</v>
      </c>
      <c r="C238" s="210"/>
      <c r="D238" s="134">
        <v>1</v>
      </c>
      <c r="E238" s="134">
        <v>8.7799999999999994</v>
      </c>
      <c r="F238" s="134"/>
      <c r="G238" s="134">
        <v>3</v>
      </c>
      <c r="H238" s="134"/>
      <c r="I238" s="134"/>
      <c r="J238" s="135"/>
      <c r="K238" s="135">
        <f t="shared" si="14"/>
        <v>26.339999999999996</v>
      </c>
      <c r="L238" s="134">
        <f t="shared" si="15"/>
        <v>26.34</v>
      </c>
      <c r="M238" s="136"/>
    </row>
    <row r="239" spans="1:13" s="131" customFormat="1" ht="43.15" customHeight="1">
      <c r="A239" s="132"/>
      <c r="B239" s="209" t="s">
        <v>507</v>
      </c>
      <c r="C239" s="210"/>
      <c r="D239" s="134">
        <f xml:space="preserve"> (6*3.37*1.3 + 2*3.3*1.3 + 3*1.2*1.3 + 3*1.2*0.3 + 1*0.3)</f>
        <v>40.925999999999995</v>
      </c>
      <c r="E239" s="134"/>
      <c r="F239" s="134"/>
      <c r="G239" s="134"/>
      <c r="H239" s="134"/>
      <c r="I239" s="134"/>
      <c r="J239" s="135"/>
      <c r="K239" s="135">
        <f>D239</f>
        <v>40.925999999999995</v>
      </c>
      <c r="L239" s="134">
        <f>ROUND(-K239,2)</f>
        <v>-40.93</v>
      </c>
      <c r="M239" s="136"/>
    </row>
    <row r="240" spans="1:13" s="131" customFormat="1" ht="12.75">
      <c r="A240" s="139"/>
      <c r="B240" s="140"/>
      <c r="C240" s="141"/>
      <c r="D240" s="142"/>
      <c r="E240" s="143"/>
      <c r="F240" s="142"/>
      <c r="G240" s="142"/>
      <c r="H240" s="143"/>
      <c r="I240" s="143"/>
      <c r="J240" s="144"/>
      <c r="K240" s="144"/>
      <c r="L240" s="142"/>
      <c r="M240" s="145"/>
    </row>
    <row r="241" spans="1:13" s="131" customFormat="1" ht="43.15" customHeight="1">
      <c r="A241" s="128" t="str">
        <f>'BM02'!A97</f>
        <v>1.8.3</v>
      </c>
      <c r="B241" s="211" t="str">
        <f>'BM02'!B97</f>
        <v>EMBOÇO, PARA RECEBIMENTO DE CERÂMICA, EM ARGAMASSA TRAÇO 1:2:8, PREPARO MANUAL, APLICADO MANUALMENTE EM FACES INTERNAS DE PAREDES, PARA AMBIENTE COM ÁREA MAIOR QUE 10M2, ESPESSURA DE 20MM, COM EXECUÇÃO DE TALISCAS. AF_06/2014</v>
      </c>
      <c r="C241" s="212"/>
      <c r="D241" s="212"/>
      <c r="E241" s="212"/>
      <c r="F241" s="212"/>
      <c r="G241" s="212"/>
      <c r="H241" s="212"/>
      <c r="I241" s="212"/>
      <c r="J241" s="212"/>
      <c r="K241" s="213"/>
      <c r="L241" s="129">
        <f>SUM(L242:L257)</f>
        <v>515.2700000000001</v>
      </c>
      <c r="M241" s="130" t="str">
        <f>'BM02'!C97</f>
        <v>m²</v>
      </c>
    </row>
    <row r="242" spans="1:13" s="131" customFormat="1" ht="14.45" customHeight="1">
      <c r="A242" s="132"/>
      <c r="B242" s="209" t="s">
        <v>493</v>
      </c>
      <c r="C242" s="210"/>
      <c r="D242" s="134">
        <v>4</v>
      </c>
      <c r="E242" s="134">
        <f>7.2*3+7.45</f>
        <v>29.05</v>
      </c>
      <c r="F242" s="134"/>
      <c r="G242" s="134">
        <v>1.5</v>
      </c>
      <c r="H242" s="134"/>
      <c r="I242" s="134"/>
      <c r="J242" s="135"/>
      <c r="K242" s="135">
        <f t="shared" ref="K242:K257" si="16">E242*G242</f>
        <v>43.575000000000003</v>
      </c>
      <c r="L242" s="134">
        <f>ROUND(D242*K242,2)</f>
        <v>174.3</v>
      </c>
      <c r="M242" s="136"/>
    </row>
    <row r="243" spans="1:13" s="131" customFormat="1" ht="12.75">
      <c r="A243" s="132"/>
      <c r="B243" s="209" t="s">
        <v>494</v>
      </c>
      <c r="C243" s="210"/>
      <c r="D243" s="134">
        <v>1</v>
      </c>
      <c r="E243" s="134">
        <f>2.5*2+3.5*2</f>
        <v>12</v>
      </c>
      <c r="F243" s="134"/>
      <c r="G243" s="134">
        <v>1.5</v>
      </c>
      <c r="H243" s="134"/>
      <c r="I243" s="134"/>
      <c r="J243" s="135"/>
      <c r="K243" s="135">
        <f t="shared" si="16"/>
        <v>18</v>
      </c>
      <c r="L243" s="134">
        <f t="shared" ref="L243:L255" si="17">ROUND(D243*K243,2)</f>
        <v>18</v>
      </c>
      <c r="M243" s="136"/>
    </row>
    <row r="244" spans="1:13" s="131" customFormat="1" ht="12.75">
      <c r="A244" s="132"/>
      <c r="B244" s="209" t="s">
        <v>495</v>
      </c>
      <c r="C244" s="210"/>
      <c r="D244" s="134">
        <v>1</v>
      </c>
      <c r="E244" s="134">
        <f>2.3*2+3.5*2</f>
        <v>11.6</v>
      </c>
      <c r="F244" s="134"/>
      <c r="G244" s="134">
        <v>1.5</v>
      </c>
      <c r="H244" s="134"/>
      <c r="I244" s="134"/>
      <c r="J244" s="135"/>
      <c r="K244" s="135">
        <f t="shared" si="16"/>
        <v>17.399999999999999</v>
      </c>
      <c r="L244" s="134">
        <f t="shared" si="17"/>
        <v>17.399999999999999</v>
      </c>
      <c r="M244" s="136"/>
    </row>
    <row r="245" spans="1:13" s="131" customFormat="1" ht="12.75">
      <c r="A245" s="132"/>
      <c r="B245" s="209" t="s">
        <v>496</v>
      </c>
      <c r="C245" s="210"/>
      <c r="D245" s="134">
        <v>1</v>
      </c>
      <c r="E245" s="134">
        <f>1.8*2+2.55*2</f>
        <v>8.6999999999999993</v>
      </c>
      <c r="F245" s="134"/>
      <c r="G245" s="134">
        <v>1.5</v>
      </c>
      <c r="H245" s="134"/>
      <c r="I245" s="134"/>
      <c r="J245" s="135"/>
      <c r="K245" s="135">
        <f t="shared" si="16"/>
        <v>13.049999999999999</v>
      </c>
      <c r="L245" s="134">
        <f t="shared" si="17"/>
        <v>13.05</v>
      </c>
      <c r="M245" s="136"/>
    </row>
    <row r="246" spans="1:13" s="131" customFormat="1" ht="12.75">
      <c r="A246" s="132"/>
      <c r="B246" s="209" t="s">
        <v>497</v>
      </c>
      <c r="C246" s="210"/>
      <c r="D246" s="134">
        <v>1</v>
      </c>
      <c r="E246" s="134">
        <f>3.3*2+2.55*2</f>
        <v>11.7</v>
      </c>
      <c r="F246" s="134"/>
      <c r="G246" s="134">
        <v>1.5</v>
      </c>
      <c r="H246" s="134"/>
      <c r="I246" s="134"/>
      <c r="J246" s="135"/>
      <c r="K246" s="135">
        <f t="shared" si="16"/>
        <v>17.549999999999997</v>
      </c>
      <c r="L246" s="134">
        <f t="shared" si="17"/>
        <v>17.55</v>
      </c>
      <c r="M246" s="136"/>
    </row>
    <row r="247" spans="1:13" s="131" customFormat="1" ht="12.75">
      <c r="A247" s="132"/>
      <c r="B247" s="209" t="s">
        <v>498</v>
      </c>
      <c r="C247" s="210"/>
      <c r="D247" s="134">
        <v>1</v>
      </c>
      <c r="E247" s="134">
        <f>(7.45*4+0.95*4+2+2.15+1.95+5.4+6.35+5.48+2.7+4.48+6.56*2+1.35*4)</f>
        <v>82.630000000000024</v>
      </c>
      <c r="F247" s="134"/>
      <c r="G247" s="134">
        <v>1.5</v>
      </c>
      <c r="H247" s="134"/>
      <c r="I247" s="134"/>
      <c r="J247" s="135"/>
      <c r="K247" s="135">
        <f t="shared" si="16"/>
        <v>123.94500000000004</v>
      </c>
      <c r="L247" s="134">
        <f t="shared" si="17"/>
        <v>123.95</v>
      </c>
      <c r="M247" s="136"/>
    </row>
    <row r="248" spans="1:13" s="131" customFormat="1" ht="12.75">
      <c r="A248" s="132"/>
      <c r="B248" s="209" t="s">
        <v>499</v>
      </c>
      <c r="C248" s="210"/>
      <c r="D248" s="134">
        <v>9</v>
      </c>
      <c r="E248" s="134">
        <v>1.2</v>
      </c>
      <c r="F248" s="134"/>
      <c r="G248" s="134">
        <v>1.5</v>
      </c>
      <c r="H248" s="134"/>
      <c r="I248" s="134"/>
      <c r="J248" s="135"/>
      <c r="K248" s="135">
        <f t="shared" si="16"/>
        <v>1.7999999999999998</v>
      </c>
      <c r="L248" s="134">
        <f t="shared" si="17"/>
        <v>16.2</v>
      </c>
      <c r="M248" s="136"/>
    </row>
    <row r="249" spans="1:13" s="131" customFormat="1" ht="12.75">
      <c r="A249" s="132"/>
      <c r="B249" s="209" t="s">
        <v>500</v>
      </c>
      <c r="C249" s="210"/>
      <c r="D249" s="134">
        <v>1</v>
      </c>
      <c r="E249" s="134">
        <f>1.2*2+2*2</f>
        <v>6.4</v>
      </c>
      <c r="F249" s="134"/>
      <c r="G249" s="134">
        <v>1.5</v>
      </c>
      <c r="H249" s="134"/>
      <c r="I249" s="134"/>
      <c r="J249" s="135"/>
      <c r="K249" s="135">
        <f t="shared" si="16"/>
        <v>9.6000000000000014</v>
      </c>
      <c r="L249" s="134">
        <f t="shared" si="17"/>
        <v>9.6</v>
      </c>
      <c r="M249" s="136"/>
    </row>
    <row r="250" spans="1:13" s="131" customFormat="1" ht="12.75">
      <c r="A250" s="132"/>
      <c r="B250" s="209" t="s">
        <v>501</v>
      </c>
      <c r="C250" s="210"/>
      <c r="D250" s="134">
        <v>1</v>
      </c>
      <c r="E250" s="134">
        <f>1.2*2+2*2</f>
        <v>6.4</v>
      </c>
      <c r="F250" s="134"/>
      <c r="G250" s="134">
        <v>1.5</v>
      </c>
      <c r="H250" s="134"/>
      <c r="I250" s="134"/>
      <c r="J250" s="135"/>
      <c r="K250" s="135">
        <f t="shared" si="16"/>
        <v>9.6000000000000014</v>
      </c>
      <c r="L250" s="134">
        <f t="shared" si="17"/>
        <v>9.6</v>
      </c>
      <c r="M250" s="136"/>
    </row>
    <row r="251" spans="1:13" s="131" customFormat="1" ht="12.75">
      <c r="A251" s="132"/>
      <c r="B251" s="209" t="s">
        <v>508</v>
      </c>
      <c r="C251" s="210"/>
      <c r="D251" s="134">
        <v>1</v>
      </c>
      <c r="E251" s="134">
        <v>20.420000000000002</v>
      </c>
      <c r="F251" s="134"/>
      <c r="G251" s="134">
        <v>3</v>
      </c>
      <c r="H251" s="134"/>
      <c r="I251" s="134"/>
      <c r="J251" s="135"/>
      <c r="K251" s="135">
        <f t="shared" si="16"/>
        <v>61.260000000000005</v>
      </c>
      <c r="L251" s="134">
        <f t="shared" si="17"/>
        <v>61.26</v>
      </c>
      <c r="M251" s="136"/>
    </row>
    <row r="252" spans="1:13" s="131" customFormat="1" ht="12.75">
      <c r="A252" s="132"/>
      <c r="B252" s="209" t="s">
        <v>509</v>
      </c>
      <c r="C252" s="210"/>
      <c r="D252" s="134">
        <v>1</v>
      </c>
      <c r="E252" s="134">
        <f>1.8*4</f>
        <v>7.2</v>
      </c>
      <c r="F252" s="134"/>
      <c r="G252" s="134">
        <v>3</v>
      </c>
      <c r="H252" s="134"/>
      <c r="I252" s="134"/>
      <c r="J252" s="135"/>
      <c r="K252" s="135">
        <f t="shared" si="16"/>
        <v>21.6</v>
      </c>
      <c r="L252" s="134">
        <f t="shared" si="17"/>
        <v>21.6</v>
      </c>
      <c r="M252" s="136"/>
    </row>
    <row r="253" spans="1:13" s="131" customFormat="1" ht="12.75">
      <c r="A253" s="132"/>
      <c r="B253" s="209" t="s">
        <v>510</v>
      </c>
      <c r="C253" s="210"/>
      <c r="D253" s="134">
        <v>1</v>
      </c>
      <c r="E253" s="134">
        <v>10.46</v>
      </c>
      <c r="F253" s="134"/>
      <c r="G253" s="134">
        <v>3</v>
      </c>
      <c r="H253" s="134"/>
      <c r="I253" s="134"/>
      <c r="J253" s="135"/>
      <c r="K253" s="135">
        <f t="shared" si="16"/>
        <v>31.380000000000003</v>
      </c>
      <c r="L253" s="134">
        <f t="shared" si="17"/>
        <v>31.38</v>
      </c>
      <c r="M253" s="136"/>
    </row>
    <row r="254" spans="1:13" s="131" customFormat="1" ht="12.75">
      <c r="A254" s="132"/>
      <c r="B254" s="209" t="s">
        <v>511</v>
      </c>
      <c r="C254" s="210"/>
      <c r="D254" s="134">
        <v>1</v>
      </c>
      <c r="E254" s="134">
        <f>1.2*2+1.8*2</f>
        <v>6</v>
      </c>
      <c r="F254" s="134"/>
      <c r="G254" s="134">
        <v>3</v>
      </c>
      <c r="H254" s="134"/>
      <c r="I254" s="134"/>
      <c r="J254" s="135"/>
      <c r="K254" s="135">
        <f t="shared" si="16"/>
        <v>18</v>
      </c>
      <c r="L254" s="134">
        <f t="shared" si="17"/>
        <v>18</v>
      </c>
      <c r="M254" s="136"/>
    </row>
    <row r="255" spans="1:13" s="131" customFormat="1" ht="12.75">
      <c r="A255" s="132"/>
      <c r="B255" s="209" t="s">
        <v>512</v>
      </c>
      <c r="C255" s="210"/>
      <c r="D255" s="134">
        <v>1</v>
      </c>
      <c r="E255" s="134">
        <f>2.85*2+1*2</f>
        <v>7.7</v>
      </c>
      <c r="F255" s="134"/>
      <c r="G255" s="134">
        <v>3</v>
      </c>
      <c r="H255" s="134"/>
      <c r="I255" s="134"/>
      <c r="J255" s="135"/>
      <c r="K255" s="135">
        <f t="shared" si="16"/>
        <v>23.1</v>
      </c>
      <c r="L255" s="134">
        <f t="shared" si="17"/>
        <v>23.1</v>
      </c>
      <c r="M255" s="136"/>
    </row>
    <row r="256" spans="1:13" s="131" customFormat="1" ht="63" customHeight="1">
      <c r="A256" s="132"/>
      <c r="B256" s="209" t="s">
        <v>514</v>
      </c>
      <c r="C256" s="210"/>
      <c r="D256" s="134">
        <v>1</v>
      </c>
      <c r="E256" s="134">
        <f>((7*2+3)*(0.8) + (2*2+3)*(0.7))</f>
        <v>18.5</v>
      </c>
      <c r="F256" s="134"/>
      <c r="G256" s="134">
        <v>1.5</v>
      </c>
      <c r="H256" s="134"/>
      <c r="I256" s="134"/>
      <c r="J256" s="135"/>
      <c r="K256" s="135">
        <f t="shared" si="16"/>
        <v>27.75</v>
      </c>
      <c r="L256" s="134">
        <f>-K256</f>
        <v>-27.75</v>
      </c>
      <c r="M256" s="136"/>
    </row>
    <row r="257" spans="1:13" s="131" customFormat="1" ht="43.15" customHeight="1">
      <c r="A257" s="132"/>
      <c r="B257" s="209" t="s">
        <v>513</v>
      </c>
      <c r="C257" s="210"/>
      <c r="D257" s="134">
        <v>1</v>
      </c>
      <c r="E257" s="134">
        <f>((1)*(0.8) + (3*2+1)*(0.7))</f>
        <v>5.6999999999999993</v>
      </c>
      <c r="F257" s="134"/>
      <c r="G257" s="134">
        <v>2.1</v>
      </c>
      <c r="H257" s="134"/>
      <c r="I257" s="134"/>
      <c r="J257" s="135"/>
      <c r="K257" s="135">
        <f t="shared" si="16"/>
        <v>11.969999999999999</v>
      </c>
      <c r="L257" s="134">
        <f>-K257</f>
        <v>-11.969999999999999</v>
      </c>
      <c r="M257" s="136"/>
    </row>
    <row r="258" spans="1:13" s="131" customFormat="1" ht="12.75">
      <c r="A258" s="139"/>
      <c r="B258" s="140"/>
      <c r="C258" s="141"/>
      <c r="D258" s="142"/>
      <c r="E258" s="143"/>
      <c r="F258" s="142"/>
      <c r="G258" s="142"/>
      <c r="H258" s="143"/>
      <c r="I258" s="143"/>
      <c r="J258" s="144"/>
      <c r="K258" s="144"/>
      <c r="L258" s="142"/>
      <c r="M258" s="145"/>
    </row>
    <row r="259" spans="1:13" ht="30" customHeight="1">
      <c r="A259" s="128" t="str">
        <f>'BM02'!A98</f>
        <v>1.8.4</v>
      </c>
      <c r="B259" s="211" t="str">
        <f>'BM02'!B98</f>
        <v>Revestimento cerâmico para parede, 10 x 10 cm, Eliane, linha galeria chumbo mesh ou similar, pei - 2, aplicado com argamassa industrializada ac-ii, rejuntado, exclusive regularização de base ou emboço - Rev 01</v>
      </c>
      <c r="C259" s="212"/>
      <c r="D259" s="212"/>
      <c r="E259" s="212"/>
      <c r="F259" s="212"/>
      <c r="G259" s="212"/>
      <c r="H259" s="212"/>
      <c r="I259" s="212"/>
      <c r="J259" s="212"/>
      <c r="K259" s="213"/>
      <c r="L259" s="129">
        <f>K260</f>
        <v>0</v>
      </c>
      <c r="M259" s="130" t="str">
        <f>'BM02'!C98</f>
        <v>m²</v>
      </c>
    </row>
    <row r="260" spans="1:13" s="131" customFormat="1" ht="12.75">
      <c r="A260" s="132"/>
      <c r="B260" s="209"/>
      <c r="C260" s="210"/>
      <c r="D260" s="134"/>
      <c r="E260" s="134"/>
      <c r="F260" s="134"/>
      <c r="G260" s="134"/>
      <c r="H260" s="134"/>
      <c r="I260" s="134"/>
      <c r="J260" s="135"/>
      <c r="K260" s="135"/>
      <c r="L260" s="134">
        <f>ROUND(D260*K260,2)</f>
        <v>0</v>
      </c>
      <c r="M260" s="136"/>
    </row>
    <row r="261" spans="1:13" s="131" customFormat="1" ht="13.5" thickBot="1">
      <c r="A261" s="139"/>
      <c r="B261" s="140"/>
      <c r="C261" s="141"/>
      <c r="D261" s="142"/>
      <c r="E261" s="143"/>
      <c r="F261" s="142"/>
      <c r="G261" s="142"/>
      <c r="H261" s="143"/>
      <c r="I261" s="143"/>
      <c r="J261" s="144"/>
      <c r="K261" s="144"/>
      <c r="L261" s="142"/>
      <c r="M261" s="145"/>
    </row>
    <row r="262" spans="1:13" ht="13.5" thickBot="1">
      <c r="A262" s="121" t="str">
        <f>'BM02'!A100</f>
        <v>1.9</v>
      </c>
      <c r="B262" s="122" t="str">
        <f>'BM02'!B100</f>
        <v>PINTURA</v>
      </c>
      <c r="C262" s="122"/>
      <c r="D262" s="122"/>
      <c r="E262" s="122"/>
      <c r="F262" s="122"/>
      <c r="G262" s="122"/>
      <c r="H262" s="122"/>
      <c r="I262" s="122"/>
      <c r="J262" s="122"/>
      <c r="K262" s="122"/>
      <c r="L262" s="122"/>
      <c r="M262" s="123"/>
    </row>
    <row r="263" spans="1:13" ht="12.75">
      <c r="A263" s="124"/>
      <c r="B263" s="125"/>
      <c r="C263" s="125"/>
      <c r="D263" s="125"/>
      <c r="E263" s="125"/>
      <c r="F263" s="125"/>
      <c r="G263" s="125"/>
      <c r="H263" s="125"/>
      <c r="I263" s="125"/>
      <c r="J263" s="125"/>
      <c r="K263" s="126"/>
      <c r="L263" s="125"/>
      <c r="M263" s="127"/>
    </row>
    <row r="264" spans="1:13" ht="12.75">
      <c r="A264" s="184" t="str">
        <f>'BM02'!A102</f>
        <v>1.9.1</v>
      </c>
      <c r="B264" s="211" t="str">
        <f>'BM02'!B102</f>
        <v>APLICAÇÃO DE FUNDO SELADOR ACRÍLICO EM PAREDES, UMA DEMÃO. AF_06/2014</v>
      </c>
      <c r="C264" s="212"/>
      <c r="D264" s="212"/>
      <c r="E264" s="212"/>
      <c r="F264" s="212"/>
      <c r="G264" s="212"/>
      <c r="H264" s="212"/>
      <c r="I264" s="212"/>
      <c r="J264" s="212"/>
      <c r="K264" s="213"/>
      <c r="L264" s="129">
        <f>K265</f>
        <v>0</v>
      </c>
      <c r="M264" s="185" t="str">
        <f>'BM02'!C102</f>
        <v>m²</v>
      </c>
    </row>
    <row r="265" spans="1:13" s="131" customFormat="1" ht="12.75">
      <c r="A265" s="132"/>
      <c r="B265" s="209"/>
      <c r="C265" s="210"/>
      <c r="D265" s="134"/>
      <c r="E265" s="134"/>
      <c r="F265" s="134"/>
      <c r="G265" s="134"/>
      <c r="H265" s="134"/>
      <c r="I265" s="134"/>
      <c r="J265" s="135"/>
      <c r="K265" s="135"/>
      <c r="L265" s="134">
        <f>ROUND(D265*K265,2)</f>
        <v>0</v>
      </c>
      <c r="M265" s="136"/>
    </row>
    <row r="266" spans="1:13" s="131" customFormat="1" ht="12.75">
      <c r="A266" s="139"/>
      <c r="B266" s="140"/>
      <c r="C266" s="141"/>
      <c r="D266" s="142"/>
      <c r="E266" s="143"/>
      <c r="F266" s="142"/>
      <c r="G266" s="142"/>
      <c r="H266" s="143"/>
      <c r="I266" s="143"/>
      <c r="J266" s="144"/>
      <c r="K266" s="144"/>
      <c r="L266" s="142"/>
      <c r="M266" s="145"/>
    </row>
    <row r="267" spans="1:13" ht="12.75">
      <c r="A267" s="184" t="str">
        <f>'BM02'!A103</f>
        <v>1.9.2</v>
      </c>
      <c r="B267" s="211" t="str">
        <f>'BM02'!B103</f>
        <v>APLICAÇÃO E LIXAMENTO DE MASSA LÁTEX EM PAREDES, DUAS DEMÃOS. AF_06/2014</v>
      </c>
      <c r="C267" s="212"/>
      <c r="D267" s="212"/>
      <c r="E267" s="212"/>
      <c r="F267" s="212"/>
      <c r="G267" s="212"/>
      <c r="H267" s="212"/>
      <c r="I267" s="212"/>
      <c r="J267" s="212"/>
      <c r="K267" s="213"/>
      <c r="L267" s="129">
        <f>K268</f>
        <v>0</v>
      </c>
      <c r="M267" s="185" t="str">
        <f>'BM02'!C103</f>
        <v>m²</v>
      </c>
    </row>
    <row r="268" spans="1:13" s="131" customFormat="1" ht="12.75">
      <c r="A268" s="132"/>
      <c r="B268" s="209"/>
      <c r="C268" s="210"/>
      <c r="D268" s="134"/>
      <c r="E268" s="134"/>
      <c r="F268" s="134"/>
      <c r="G268" s="134"/>
      <c r="H268" s="134"/>
      <c r="I268" s="134"/>
      <c r="J268" s="135"/>
      <c r="K268" s="135"/>
      <c r="L268" s="134">
        <f>ROUND(D268*K268,2)</f>
        <v>0</v>
      </c>
      <c r="M268" s="136"/>
    </row>
    <row r="269" spans="1:13" s="131" customFormat="1" ht="12.75">
      <c r="A269" s="139"/>
      <c r="B269" s="140"/>
      <c r="C269" s="141"/>
      <c r="D269" s="142"/>
      <c r="E269" s="143"/>
      <c r="F269" s="142"/>
      <c r="G269" s="142"/>
      <c r="H269" s="143"/>
      <c r="I269" s="143"/>
      <c r="J269" s="144"/>
      <c r="K269" s="144"/>
      <c r="L269" s="142"/>
      <c r="M269" s="145"/>
    </row>
    <row r="270" spans="1:13" ht="30" customHeight="1">
      <c r="A270" s="128" t="str">
        <f>'BM02'!A104</f>
        <v>1.9.3</v>
      </c>
      <c r="B270" s="211" t="str">
        <f>'BM02'!B104</f>
        <v>APLICAÇÃO MANUAL DE MASSA ACRÍLICA EM PANOS DE FACHADA SEM PRESENÇA DE VÃOS, DE EDIFÍCIOS DE MÚLTIPLOS PAVIMENTOS, DUAS DEMÃOS. AF_05/2017</v>
      </c>
      <c r="C270" s="212"/>
      <c r="D270" s="212"/>
      <c r="E270" s="212"/>
      <c r="F270" s="212"/>
      <c r="G270" s="212"/>
      <c r="H270" s="212"/>
      <c r="I270" s="212"/>
      <c r="J270" s="212"/>
      <c r="K270" s="213"/>
      <c r="L270" s="129">
        <f>K271</f>
        <v>0</v>
      </c>
      <c r="M270" s="185" t="str">
        <f>'BM02'!C104</f>
        <v>m²</v>
      </c>
    </row>
    <row r="271" spans="1:13" s="131" customFormat="1" ht="12.75">
      <c r="A271" s="132"/>
      <c r="B271" s="209"/>
      <c r="C271" s="210"/>
      <c r="D271" s="134"/>
      <c r="E271" s="134"/>
      <c r="F271" s="134"/>
      <c r="G271" s="134"/>
      <c r="H271" s="134"/>
      <c r="I271" s="134"/>
      <c r="J271" s="135"/>
      <c r="K271" s="135"/>
      <c r="L271" s="134">
        <f>ROUND(D271*K271,2)</f>
        <v>0</v>
      </c>
      <c r="M271" s="136"/>
    </row>
    <row r="272" spans="1:13" s="131" customFormat="1" ht="12.75">
      <c r="A272" s="139"/>
      <c r="B272" s="140"/>
      <c r="C272" s="141"/>
      <c r="D272" s="142"/>
      <c r="E272" s="143"/>
      <c r="F272" s="142"/>
      <c r="G272" s="142"/>
      <c r="H272" s="143"/>
      <c r="I272" s="143"/>
      <c r="J272" s="144"/>
      <c r="K272" s="144"/>
      <c r="L272" s="142"/>
      <c r="M272" s="145"/>
    </row>
    <row r="273" spans="1:13" ht="12.75">
      <c r="A273" s="184" t="str">
        <f>'BM02'!A105</f>
        <v>1.9.4</v>
      </c>
      <c r="B273" s="211" t="str">
        <f>'BM02'!B105</f>
        <v>APLICAÇÃO MANUAL DE PINTURA COM TINTA LÁTEX ACRÍLICA EM PAREDES, DUAS DEMÃOS. AF_06/2014</v>
      </c>
      <c r="C273" s="212"/>
      <c r="D273" s="212"/>
      <c r="E273" s="212"/>
      <c r="F273" s="212"/>
      <c r="G273" s="212"/>
      <c r="H273" s="212"/>
      <c r="I273" s="212"/>
      <c r="J273" s="212"/>
      <c r="K273" s="213"/>
      <c r="L273" s="129">
        <f>K274</f>
        <v>0</v>
      </c>
      <c r="M273" s="185" t="str">
        <f>'BM02'!C105</f>
        <v>m²</v>
      </c>
    </row>
    <row r="274" spans="1:13" s="131" customFormat="1" ht="12.75">
      <c r="A274" s="132"/>
      <c r="B274" s="209"/>
      <c r="C274" s="210"/>
      <c r="D274" s="134"/>
      <c r="E274" s="134"/>
      <c r="F274" s="134"/>
      <c r="G274" s="134"/>
      <c r="H274" s="134"/>
      <c r="I274" s="134"/>
      <c r="J274" s="135"/>
      <c r="K274" s="135"/>
      <c r="L274" s="134">
        <f>ROUND(D274*K274,2)</f>
        <v>0</v>
      </c>
      <c r="M274" s="136"/>
    </row>
    <row r="275" spans="1:13" s="131" customFormat="1" ht="12.75">
      <c r="A275" s="139"/>
      <c r="B275" s="140"/>
      <c r="C275" s="141"/>
      <c r="D275" s="142"/>
      <c r="E275" s="143"/>
      <c r="F275" s="142"/>
      <c r="G275" s="142"/>
      <c r="H275" s="143"/>
      <c r="I275" s="143"/>
      <c r="J275" s="144"/>
      <c r="K275" s="144"/>
      <c r="L275" s="142"/>
      <c r="M275" s="145"/>
    </row>
    <row r="276" spans="1:13" ht="12.75">
      <c r="A276" s="184" t="str">
        <f>'BM02'!A106</f>
        <v>1.9.5</v>
      </c>
      <c r="B276" s="211" t="str">
        <f>'BM02'!B106</f>
        <v>PINTURA TINTA DE ACABAMENTO (PIGMENTADA) ESMALTE SINTÉTICO FOSCO EM MADEIRA, 3 DEMÃOS. AF_01/2021</v>
      </c>
      <c r="C276" s="212"/>
      <c r="D276" s="212"/>
      <c r="E276" s="212"/>
      <c r="F276" s="212"/>
      <c r="G276" s="212"/>
      <c r="H276" s="212"/>
      <c r="I276" s="212"/>
      <c r="J276" s="212"/>
      <c r="K276" s="213"/>
      <c r="L276" s="129">
        <f>K277</f>
        <v>0</v>
      </c>
      <c r="M276" s="185" t="str">
        <f>'BM02'!C106</f>
        <v>m²</v>
      </c>
    </row>
    <row r="277" spans="1:13" s="131" customFormat="1" ht="12.75">
      <c r="A277" s="132"/>
      <c r="B277" s="209"/>
      <c r="C277" s="210"/>
      <c r="D277" s="134"/>
      <c r="E277" s="134"/>
      <c r="F277" s="134"/>
      <c r="G277" s="134"/>
      <c r="H277" s="134"/>
      <c r="I277" s="134"/>
      <c r="J277" s="135"/>
      <c r="K277" s="135"/>
      <c r="L277" s="134">
        <f>ROUND(D277*K277,2)</f>
        <v>0</v>
      </c>
      <c r="M277" s="136"/>
    </row>
    <row r="278" spans="1:13" s="131" customFormat="1" ht="12.75">
      <c r="A278" s="139"/>
      <c r="B278" s="140"/>
      <c r="C278" s="141"/>
      <c r="D278" s="142"/>
      <c r="E278" s="143"/>
      <c r="F278" s="142"/>
      <c r="G278" s="142"/>
      <c r="H278" s="143"/>
      <c r="I278" s="143"/>
      <c r="J278" s="144"/>
      <c r="K278" s="144"/>
      <c r="L278" s="142"/>
      <c r="M278" s="145"/>
    </row>
    <row r="279" spans="1:13" ht="30" customHeight="1">
      <c r="A279" s="128" t="str">
        <f>'BM02'!A107</f>
        <v>1.9.6</v>
      </c>
      <c r="B279" s="211" t="str">
        <f>'BM02'!B107</f>
        <v>PINTURA COM TINTA ALQUÍDICA DE FUNDO E ACABAMENTO (ESMALTE SINTÉTICO GRAFITE) APLICADA A ROLO OU PINCEL SOBRE SUPERFÍCIES METÁLICAS (EXCETO PERFIL) EXECUTADO EM OBRA (POR DEMÃO). AF_01/2020</v>
      </c>
      <c r="C279" s="212"/>
      <c r="D279" s="212"/>
      <c r="E279" s="212"/>
      <c r="F279" s="212"/>
      <c r="G279" s="212"/>
      <c r="H279" s="212"/>
      <c r="I279" s="212"/>
      <c r="J279" s="212"/>
      <c r="K279" s="213"/>
      <c r="L279" s="129">
        <f>K280</f>
        <v>0</v>
      </c>
      <c r="M279" s="185" t="str">
        <f>'BM02'!C107</f>
        <v>m²</v>
      </c>
    </row>
    <row r="280" spans="1:13" s="131" customFormat="1" ht="12.75">
      <c r="A280" s="132"/>
      <c r="B280" s="209"/>
      <c r="C280" s="210"/>
      <c r="D280" s="134"/>
      <c r="E280" s="134"/>
      <c r="F280" s="134"/>
      <c r="G280" s="134"/>
      <c r="H280" s="134"/>
      <c r="I280" s="134"/>
      <c r="J280" s="135"/>
      <c r="K280" s="135"/>
      <c r="L280" s="134">
        <f>ROUND(D280*K280,2)</f>
        <v>0</v>
      </c>
      <c r="M280" s="136"/>
    </row>
    <row r="281" spans="1:13" s="131" customFormat="1" ht="12.75">
      <c r="A281" s="139"/>
      <c r="B281" s="140"/>
      <c r="C281" s="141"/>
      <c r="D281" s="142"/>
      <c r="E281" s="143"/>
      <c r="F281" s="142"/>
      <c r="G281" s="142"/>
      <c r="H281" s="143"/>
      <c r="I281" s="143"/>
      <c r="J281" s="144"/>
      <c r="K281" s="144"/>
      <c r="L281" s="142"/>
      <c r="M281" s="145"/>
    </row>
    <row r="282" spans="1:13" ht="12.75">
      <c r="A282" s="184" t="str">
        <f>'BM02'!A108</f>
        <v>1.9.7</v>
      </c>
      <c r="B282" s="211" t="str">
        <f>'BM02'!B108</f>
        <v>APLICAÇÃO MANUAL DE PINTURA COM TINTA LÁTEX PVA EM PAREDES, DUAS DEMÃOS. AF_06/2014</v>
      </c>
      <c r="C282" s="212"/>
      <c r="D282" s="212"/>
      <c r="E282" s="212"/>
      <c r="F282" s="212"/>
      <c r="G282" s="212"/>
      <c r="H282" s="212"/>
      <c r="I282" s="212"/>
      <c r="J282" s="212"/>
      <c r="K282" s="213"/>
      <c r="L282" s="129">
        <f>K283</f>
        <v>0</v>
      </c>
      <c r="M282" s="185" t="str">
        <f>'BM02'!C108</f>
        <v>m²</v>
      </c>
    </row>
    <row r="283" spans="1:13" s="131" customFormat="1" ht="12.75">
      <c r="A283" s="132"/>
      <c r="B283" s="209"/>
      <c r="C283" s="210"/>
      <c r="D283" s="134"/>
      <c r="E283" s="134"/>
      <c r="F283" s="134"/>
      <c r="G283" s="134"/>
      <c r="H283" s="134"/>
      <c r="I283" s="134"/>
      <c r="J283" s="135"/>
      <c r="K283" s="135"/>
      <c r="L283" s="134">
        <f>ROUND(D283*K283,2)</f>
        <v>0</v>
      </c>
      <c r="M283" s="136"/>
    </row>
    <row r="284" spans="1:13" s="131" customFormat="1" ht="12.75">
      <c r="A284" s="139"/>
      <c r="B284" s="140"/>
      <c r="C284" s="141"/>
      <c r="D284" s="142"/>
      <c r="E284" s="143"/>
      <c r="F284" s="142"/>
      <c r="G284" s="142"/>
      <c r="H284" s="143"/>
      <c r="I284" s="143"/>
      <c r="J284" s="144"/>
      <c r="K284" s="144"/>
      <c r="L284" s="142"/>
      <c r="M284" s="145"/>
    </row>
    <row r="285" spans="1:13" ht="12.75">
      <c r="A285" s="184" t="str">
        <f>'BM02'!A109</f>
        <v>1.9.8</v>
      </c>
      <c r="B285" s="211" t="str">
        <f>'BM02'!B109</f>
        <v>PINTURA IMUNIZANTE PARA MADEIRA, 1 DEMÃO. AF_01/2021</v>
      </c>
      <c r="C285" s="212"/>
      <c r="D285" s="212"/>
      <c r="E285" s="212"/>
      <c r="F285" s="212"/>
      <c r="G285" s="212"/>
      <c r="H285" s="212"/>
      <c r="I285" s="212"/>
      <c r="J285" s="212"/>
      <c r="K285" s="213"/>
      <c r="L285" s="129">
        <f>K286</f>
        <v>0</v>
      </c>
      <c r="M285" s="185" t="str">
        <f>'BM02'!C109</f>
        <v>m²</v>
      </c>
    </row>
    <row r="286" spans="1:13" s="131" customFormat="1" ht="12.75">
      <c r="A286" s="132"/>
      <c r="B286" s="209"/>
      <c r="C286" s="210"/>
      <c r="D286" s="134"/>
      <c r="E286" s="134"/>
      <c r="F286" s="134"/>
      <c r="G286" s="134"/>
      <c r="H286" s="134"/>
      <c r="I286" s="134"/>
      <c r="J286" s="135"/>
      <c r="K286" s="135"/>
      <c r="L286" s="134">
        <f>ROUND(D286*K286,2)</f>
        <v>0</v>
      </c>
      <c r="M286" s="136"/>
    </row>
    <row r="287" spans="1:13" s="131" customFormat="1" ht="13.5" thickBot="1">
      <c r="A287" s="139"/>
      <c r="B287" s="140"/>
      <c r="C287" s="141"/>
      <c r="D287" s="142"/>
      <c r="E287" s="143"/>
      <c r="F287" s="142"/>
      <c r="G287" s="142"/>
      <c r="H287" s="143"/>
      <c r="I287" s="143"/>
      <c r="J287" s="144"/>
      <c r="K287" s="144"/>
      <c r="L287" s="142"/>
      <c r="M287" s="145"/>
    </row>
    <row r="288" spans="1:13" ht="13.5" thickBot="1">
      <c r="A288" s="121" t="str">
        <f>'BM02'!A111</f>
        <v>1.10</v>
      </c>
      <c r="B288" s="122" t="str">
        <f>'BM02'!B111</f>
        <v>PAVIMENTAÇÃO</v>
      </c>
      <c r="C288" s="122"/>
      <c r="D288" s="122"/>
      <c r="E288" s="122"/>
      <c r="F288" s="122"/>
      <c r="G288" s="122"/>
      <c r="H288" s="122"/>
      <c r="I288" s="122"/>
      <c r="J288" s="122"/>
      <c r="K288" s="122"/>
      <c r="L288" s="122"/>
      <c r="M288" s="123"/>
    </row>
    <row r="289" spans="1:13" ht="12.75">
      <c r="A289" s="124"/>
      <c r="B289" s="125"/>
      <c r="C289" s="125"/>
      <c r="D289" s="125"/>
      <c r="E289" s="125"/>
      <c r="F289" s="125"/>
      <c r="G289" s="125"/>
      <c r="H289" s="125"/>
      <c r="I289" s="125"/>
      <c r="J289" s="125"/>
      <c r="K289" s="126"/>
      <c r="L289" s="125"/>
      <c r="M289" s="127"/>
    </row>
    <row r="290" spans="1:13" ht="12.75">
      <c r="A290" s="184" t="str">
        <f>'BM02'!A113</f>
        <v>1.10.1</v>
      </c>
      <c r="B290" s="211" t="str">
        <f>'BM02'!B113</f>
        <v>LASTRO DE CONCRETO MAGRO, APLICADO EM PISOS OU RADIERS, ESPESSURA DE 5 CM. AF_07/2016</v>
      </c>
      <c r="C290" s="212"/>
      <c r="D290" s="212"/>
      <c r="E290" s="212"/>
      <c r="F290" s="212"/>
      <c r="G290" s="212"/>
      <c r="H290" s="212"/>
      <c r="I290" s="212"/>
      <c r="J290" s="212"/>
      <c r="K290" s="213"/>
      <c r="L290" s="129">
        <f>SUM(L291:L304)</f>
        <v>208.15000000000006</v>
      </c>
      <c r="M290" s="185" t="str">
        <f>'BM02'!C113</f>
        <v>m²</v>
      </c>
    </row>
    <row r="291" spans="1:13" s="131" customFormat="1" ht="12.75">
      <c r="A291" s="132"/>
      <c r="B291" s="209" t="s">
        <v>493</v>
      </c>
      <c r="C291" s="210"/>
      <c r="D291" s="134">
        <v>4</v>
      </c>
      <c r="E291" s="134">
        <v>7.2</v>
      </c>
      <c r="F291" s="134"/>
      <c r="G291" s="134">
        <v>7.2</v>
      </c>
      <c r="H291" s="134"/>
      <c r="I291" s="134"/>
      <c r="J291" s="135"/>
      <c r="K291" s="135">
        <f>E291*G291</f>
        <v>51.84</v>
      </c>
      <c r="L291" s="134">
        <f>ROUND(D291*K291,2)</f>
        <v>207.36</v>
      </c>
      <c r="M291" s="136"/>
    </row>
    <row r="292" spans="1:13" s="131" customFormat="1" ht="12.75">
      <c r="A292" s="132"/>
      <c r="B292" s="209" t="s">
        <v>527</v>
      </c>
      <c r="C292" s="210"/>
      <c r="D292" s="134">
        <v>1</v>
      </c>
      <c r="E292" s="134">
        <v>29.25</v>
      </c>
      <c r="F292" s="134"/>
      <c r="G292" s="134">
        <v>2</v>
      </c>
      <c r="H292" s="134"/>
      <c r="I292" s="134"/>
      <c r="J292" s="135"/>
      <c r="K292" s="135">
        <f>E292*G292</f>
        <v>58.5</v>
      </c>
      <c r="L292" s="134">
        <f t="shared" ref="L292:L303" si="18">ROUND(D292*K292,2)</f>
        <v>58.5</v>
      </c>
      <c r="M292" s="136"/>
    </row>
    <row r="293" spans="1:13" s="131" customFormat="1" ht="12.75">
      <c r="A293" s="132"/>
      <c r="B293" s="209" t="s">
        <v>494</v>
      </c>
      <c r="C293" s="210"/>
      <c r="D293" s="134">
        <v>1</v>
      </c>
      <c r="E293" s="134">
        <v>2.8</v>
      </c>
      <c r="F293" s="134"/>
      <c r="G293" s="134">
        <v>3.5</v>
      </c>
      <c r="H293" s="134"/>
      <c r="I293" s="134"/>
      <c r="J293" s="135"/>
      <c r="K293" s="135">
        <f t="shared" ref="K293:K303" si="19">E293*G293</f>
        <v>9.7999999999999989</v>
      </c>
      <c r="L293" s="134">
        <f t="shared" si="18"/>
        <v>9.8000000000000007</v>
      </c>
      <c r="M293" s="136"/>
    </row>
    <row r="294" spans="1:13" s="131" customFormat="1" ht="12.75">
      <c r="A294" s="132"/>
      <c r="B294" s="209" t="s">
        <v>495</v>
      </c>
      <c r="C294" s="210"/>
      <c r="D294" s="134">
        <v>1</v>
      </c>
      <c r="E294" s="134">
        <v>2.2999999999999998</v>
      </c>
      <c r="F294" s="134"/>
      <c r="G294" s="134">
        <v>3.5</v>
      </c>
      <c r="H294" s="134"/>
      <c r="I294" s="134"/>
      <c r="J294" s="135"/>
      <c r="K294" s="135">
        <f t="shared" si="19"/>
        <v>8.0499999999999989</v>
      </c>
      <c r="L294" s="134">
        <f t="shared" si="18"/>
        <v>8.0500000000000007</v>
      </c>
      <c r="M294" s="136"/>
    </row>
    <row r="295" spans="1:13" s="131" customFormat="1" ht="12.75">
      <c r="A295" s="132"/>
      <c r="B295" s="209" t="s">
        <v>496</v>
      </c>
      <c r="C295" s="210"/>
      <c r="D295" s="134">
        <v>1</v>
      </c>
      <c r="E295" s="134">
        <v>1.8</v>
      </c>
      <c r="F295" s="134"/>
      <c r="G295" s="134">
        <v>2.5499999999999998</v>
      </c>
      <c r="H295" s="134"/>
      <c r="I295" s="134"/>
      <c r="J295" s="135"/>
      <c r="K295" s="135">
        <f t="shared" si="19"/>
        <v>4.59</v>
      </c>
      <c r="L295" s="134">
        <f t="shared" si="18"/>
        <v>4.59</v>
      </c>
      <c r="M295" s="136"/>
    </row>
    <row r="296" spans="1:13" s="131" customFormat="1" ht="12.75">
      <c r="A296" s="132"/>
      <c r="B296" s="209" t="s">
        <v>497</v>
      </c>
      <c r="C296" s="210"/>
      <c r="D296" s="134">
        <v>1</v>
      </c>
      <c r="E296" s="134">
        <v>3.3</v>
      </c>
      <c r="F296" s="134"/>
      <c r="G296" s="134">
        <v>2.5499999999999998</v>
      </c>
      <c r="H296" s="134"/>
      <c r="I296" s="134"/>
      <c r="J296" s="135"/>
      <c r="K296" s="135">
        <f t="shared" si="19"/>
        <v>8.4149999999999991</v>
      </c>
      <c r="L296" s="134">
        <f t="shared" si="18"/>
        <v>8.42</v>
      </c>
      <c r="M296" s="136"/>
    </row>
    <row r="297" spans="1:13" s="131" customFormat="1" ht="12.75">
      <c r="A297" s="132"/>
      <c r="B297" s="209" t="s">
        <v>528</v>
      </c>
      <c r="C297" s="210"/>
      <c r="D297" s="134">
        <v>1</v>
      </c>
      <c r="E297" s="134">
        <v>1.3</v>
      </c>
      <c r="F297" s="134"/>
      <c r="G297" s="134">
        <v>1.2</v>
      </c>
      <c r="H297" s="134"/>
      <c r="I297" s="134"/>
      <c r="J297" s="135"/>
      <c r="K297" s="135">
        <f t="shared" si="19"/>
        <v>1.56</v>
      </c>
      <c r="L297" s="134">
        <f t="shared" si="18"/>
        <v>1.56</v>
      </c>
      <c r="M297" s="136"/>
    </row>
    <row r="298" spans="1:13" s="131" customFormat="1" ht="12.75">
      <c r="A298" s="132"/>
      <c r="B298" s="209" t="s">
        <v>529</v>
      </c>
      <c r="C298" s="210"/>
      <c r="D298" s="134">
        <v>1</v>
      </c>
      <c r="E298" s="134">
        <v>2.31</v>
      </c>
      <c r="F298" s="134"/>
      <c r="G298" s="134">
        <v>1.5</v>
      </c>
      <c r="H298" s="134"/>
      <c r="I298" s="134"/>
      <c r="J298" s="135"/>
      <c r="K298" s="135">
        <f t="shared" si="19"/>
        <v>3.4649999999999999</v>
      </c>
      <c r="L298" s="134">
        <f t="shared" si="18"/>
        <v>3.47</v>
      </c>
      <c r="M298" s="136"/>
    </row>
    <row r="299" spans="1:13" s="131" customFormat="1" ht="12.75">
      <c r="A299" s="132"/>
      <c r="B299" s="209" t="s">
        <v>530</v>
      </c>
      <c r="C299" s="210"/>
      <c r="D299" s="134">
        <v>1</v>
      </c>
      <c r="E299" s="134">
        <v>1.49</v>
      </c>
      <c r="F299" s="134"/>
      <c r="G299" s="134">
        <v>1.2</v>
      </c>
      <c r="H299" s="134"/>
      <c r="I299" s="134"/>
      <c r="J299" s="135"/>
      <c r="K299" s="135">
        <f t="shared" si="19"/>
        <v>1.788</v>
      </c>
      <c r="L299" s="134">
        <f t="shared" si="18"/>
        <v>1.79</v>
      </c>
      <c r="M299" s="136"/>
    </row>
    <row r="300" spans="1:13" s="131" customFormat="1" ht="12.75">
      <c r="A300" s="132"/>
      <c r="B300" s="209" t="s">
        <v>531</v>
      </c>
      <c r="C300" s="210"/>
      <c r="D300" s="134">
        <v>1</v>
      </c>
      <c r="E300" s="134">
        <v>2.58</v>
      </c>
      <c r="F300" s="134"/>
      <c r="G300" s="134">
        <v>1.5</v>
      </c>
      <c r="H300" s="134"/>
      <c r="I300" s="134"/>
      <c r="J300" s="135"/>
      <c r="K300" s="135">
        <f t="shared" si="19"/>
        <v>3.87</v>
      </c>
      <c r="L300" s="134">
        <f t="shared" si="18"/>
        <v>3.87</v>
      </c>
      <c r="M300" s="136"/>
    </row>
    <row r="301" spans="1:13" s="131" customFormat="1" ht="12.75">
      <c r="A301" s="132"/>
      <c r="B301" s="209" t="s">
        <v>512</v>
      </c>
      <c r="C301" s="210"/>
      <c r="D301" s="134">
        <v>1</v>
      </c>
      <c r="E301" s="134">
        <v>1</v>
      </c>
      <c r="F301" s="134"/>
      <c r="G301" s="134">
        <v>2.85</v>
      </c>
      <c r="H301" s="134"/>
      <c r="I301" s="134"/>
      <c r="J301" s="135"/>
      <c r="K301" s="135">
        <f t="shared" si="19"/>
        <v>2.85</v>
      </c>
      <c r="L301" s="134">
        <f t="shared" si="18"/>
        <v>2.85</v>
      </c>
      <c r="M301" s="136"/>
    </row>
    <row r="302" spans="1:13" s="131" customFormat="1" ht="12.75">
      <c r="A302" s="132"/>
      <c r="B302" s="209" t="s">
        <v>500</v>
      </c>
      <c r="C302" s="210"/>
      <c r="D302" s="134">
        <v>1</v>
      </c>
      <c r="E302" s="134">
        <v>2</v>
      </c>
      <c r="F302" s="134"/>
      <c r="G302" s="134">
        <v>1.2</v>
      </c>
      <c r="H302" s="134"/>
      <c r="I302" s="134"/>
      <c r="J302" s="135"/>
      <c r="K302" s="135">
        <f t="shared" si="19"/>
        <v>2.4</v>
      </c>
      <c r="L302" s="134">
        <f t="shared" si="18"/>
        <v>2.4</v>
      </c>
      <c r="M302" s="136"/>
    </row>
    <row r="303" spans="1:13" s="131" customFormat="1" ht="12.75">
      <c r="A303" s="132"/>
      <c r="B303" s="209" t="s">
        <v>501</v>
      </c>
      <c r="C303" s="210"/>
      <c r="D303" s="134">
        <v>1</v>
      </c>
      <c r="E303" s="134">
        <v>2</v>
      </c>
      <c r="F303" s="134"/>
      <c r="G303" s="134">
        <v>1.2</v>
      </c>
      <c r="H303" s="134"/>
      <c r="I303" s="134"/>
      <c r="J303" s="135"/>
      <c r="K303" s="135">
        <f t="shared" si="19"/>
        <v>2.4</v>
      </c>
      <c r="L303" s="134">
        <f t="shared" si="18"/>
        <v>2.4</v>
      </c>
      <c r="M303" s="136"/>
    </row>
    <row r="304" spans="1:13" s="131" customFormat="1" ht="12.75">
      <c r="A304" s="132"/>
      <c r="B304" s="209" t="s">
        <v>532</v>
      </c>
      <c r="C304" s="210"/>
      <c r="D304" s="134">
        <v>106.91249999999999</v>
      </c>
      <c r="E304" s="134"/>
      <c r="F304" s="134"/>
      <c r="G304" s="134"/>
      <c r="H304" s="134"/>
      <c r="I304" s="134"/>
      <c r="J304" s="135"/>
      <c r="K304" s="135">
        <f>D304</f>
        <v>106.91249999999999</v>
      </c>
      <c r="L304" s="134">
        <f>ROUND(-K304,2)</f>
        <v>-106.91</v>
      </c>
      <c r="M304" s="136"/>
    </row>
    <row r="305" spans="1:13" s="131" customFormat="1" ht="12.75">
      <c r="A305" s="139"/>
      <c r="B305" s="140"/>
      <c r="C305" s="141"/>
      <c r="D305" s="142"/>
      <c r="E305" s="143"/>
      <c r="F305" s="142"/>
      <c r="G305" s="142"/>
      <c r="H305" s="143"/>
      <c r="I305" s="143"/>
      <c r="J305" s="144"/>
      <c r="K305" s="144"/>
      <c r="L305" s="142"/>
      <c r="M305" s="145"/>
    </row>
    <row r="306" spans="1:13" ht="12.75">
      <c r="A306" s="184" t="str">
        <f>'BM02'!A114</f>
        <v>1.10.2</v>
      </c>
      <c r="B306" s="211" t="str">
        <f>'BM02'!B114</f>
        <v>Regularização de base para revest. de pisos com arg. traço t4, esp. média = 2,5cm</v>
      </c>
      <c r="C306" s="212"/>
      <c r="D306" s="212"/>
      <c r="E306" s="212"/>
      <c r="F306" s="212"/>
      <c r="G306" s="212"/>
      <c r="H306" s="212"/>
      <c r="I306" s="212"/>
      <c r="J306" s="212"/>
      <c r="K306" s="213"/>
      <c r="L306" s="129">
        <f>K307</f>
        <v>0</v>
      </c>
      <c r="M306" s="185" t="str">
        <f>'BM02'!C114</f>
        <v>m²</v>
      </c>
    </row>
    <row r="307" spans="1:13" s="131" customFormat="1" ht="12.75">
      <c r="A307" s="132"/>
      <c r="B307" s="209"/>
      <c r="C307" s="210"/>
      <c r="D307" s="134"/>
      <c r="E307" s="134"/>
      <c r="F307" s="134"/>
      <c r="G307" s="134"/>
      <c r="H307" s="134"/>
      <c r="I307" s="134"/>
      <c r="J307" s="135"/>
      <c r="K307" s="135"/>
      <c r="L307" s="134">
        <f>ROUND(D307*K307,2)</f>
        <v>0</v>
      </c>
      <c r="M307" s="136"/>
    </row>
    <row r="308" spans="1:13" s="131" customFormat="1" ht="12.75">
      <c r="A308" s="139"/>
      <c r="B308" s="140"/>
      <c r="C308" s="141"/>
      <c r="D308" s="142"/>
      <c r="E308" s="143"/>
      <c r="F308" s="142"/>
      <c r="G308" s="142"/>
      <c r="H308" s="143"/>
      <c r="I308" s="143"/>
      <c r="J308" s="144"/>
      <c r="K308" s="144"/>
      <c r="L308" s="142"/>
      <c r="M308" s="145"/>
    </row>
    <row r="309" spans="1:13" ht="30" customHeight="1">
      <c r="A309" s="128" t="str">
        <f>'BM02'!A115</f>
        <v>1.10.3</v>
      </c>
      <c r="B309" s="211" t="str">
        <f>'BM02'!B115</f>
        <v>REVESTIMENTO CERÂMICO PARA PISO COM PLACAS TIPO ESMALTADA EXTRA DE DIMENSÕES 45X45 CM APLICADA EM AMBIENTES DE ÁREA MENOR QUE 5 M2. AF_06/2014</v>
      </c>
      <c r="C309" s="212"/>
      <c r="D309" s="212"/>
      <c r="E309" s="212"/>
      <c r="F309" s="212"/>
      <c r="G309" s="212"/>
      <c r="H309" s="212"/>
      <c r="I309" s="212"/>
      <c r="J309" s="212"/>
      <c r="K309" s="213"/>
      <c r="L309" s="129">
        <f>K310</f>
        <v>0</v>
      </c>
      <c r="M309" s="185" t="str">
        <f>'BM02'!C115</f>
        <v>m²</v>
      </c>
    </row>
    <row r="310" spans="1:13" s="131" customFormat="1" ht="12.75">
      <c r="A310" s="132"/>
      <c r="B310" s="209"/>
      <c r="C310" s="210"/>
      <c r="D310" s="134"/>
      <c r="E310" s="134"/>
      <c r="F310" s="134"/>
      <c r="G310" s="134"/>
      <c r="H310" s="134"/>
      <c r="I310" s="134"/>
      <c r="J310" s="135"/>
      <c r="K310" s="135"/>
      <c r="L310" s="134">
        <f>ROUND(D310*K310,2)</f>
        <v>0</v>
      </c>
      <c r="M310" s="136"/>
    </row>
    <row r="311" spans="1:13" s="131" customFormat="1" ht="12.75">
      <c r="A311" s="139"/>
      <c r="B311" s="140"/>
      <c r="C311" s="141"/>
      <c r="D311" s="142"/>
      <c r="E311" s="143"/>
      <c r="F311" s="142"/>
      <c r="G311" s="142"/>
      <c r="H311" s="143"/>
      <c r="I311" s="143"/>
      <c r="J311" s="144"/>
      <c r="K311" s="144"/>
      <c r="L311" s="142"/>
      <c r="M311" s="145"/>
    </row>
    <row r="312" spans="1:13" ht="12.75">
      <c r="A312" s="184" t="str">
        <f>'BM02'!A116</f>
        <v>1.10.4</v>
      </c>
      <c r="B312" s="211" t="str">
        <f>'BM02'!B116</f>
        <v>PISO EM GRANILITE, MARMORITE OU GRANITINA EM AMBIENTES INTERNOS. AF_09/2020</v>
      </c>
      <c r="C312" s="212"/>
      <c r="D312" s="212"/>
      <c r="E312" s="212"/>
      <c r="F312" s="212"/>
      <c r="G312" s="212"/>
      <c r="H312" s="212"/>
      <c r="I312" s="212"/>
      <c r="J312" s="212"/>
      <c r="K312" s="213"/>
      <c r="L312" s="129">
        <f>K313</f>
        <v>0</v>
      </c>
      <c r="M312" s="185" t="str">
        <f>'BM02'!C116</f>
        <v>m²</v>
      </c>
    </row>
    <row r="313" spans="1:13" s="131" customFormat="1" ht="12.75">
      <c r="A313" s="132"/>
      <c r="B313" s="209"/>
      <c r="C313" s="210"/>
      <c r="D313" s="134"/>
      <c r="E313" s="134"/>
      <c r="F313" s="134"/>
      <c r="G313" s="134"/>
      <c r="H313" s="134"/>
      <c r="I313" s="134"/>
      <c r="J313" s="135"/>
      <c r="K313" s="135"/>
      <c r="L313" s="134">
        <f>ROUND(D313*K313,2)</f>
        <v>0</v>
      </c>
      <c r="M313" s="136"/>
    </row>
    <row r="314" spans="1:13" s="131" customFormat="1" ht="12.75">
      <c r="A314" s="139"/>
      <c r="B314" s="140"/>
      <c r="C314" s="141"/>
      <c r="D314" s="142"/>
      <c r="E314" s="143"/>
      <c r="F314" s="142"/>
      <c r="G314" s="142"/>
      <c r="H314" s="143"/>
      <c r="I314" s="143"/>
      <c r="J314" s="144"/>
      <c r="K314" s="144"/>
      <c r="L314" s="142"/>
      <c r="M314" s="145"/>
    </row>
    <row r="315" spans="1:13" ht="30" customHeight="1">
      <c r="A315" s="128" t="str">
        <f>'BM02'!A117</f>
        <v>1.10.5</v>
      </c>
      <c r="B315" s="211" t="str">
        <f>'BM02'!B117</f>
        <v>EXECUÇÃO DE PASSEIO (CALÇADA) OU PISO DE CONCRETO COM CONCRETO MOLDADO IN LOCO, FEITO EM OBRA, ACABAMENTO CONVENCIONAL, ESPESSURA 6 CM, ARMADO. AF_07/2016</v>
      </c>
      <c r="C315" s="212"/>
      <c r="D315" s="212"/>
      <c r="E315" s="212"/>
      <c r="F315" s="212"/>
      <c r="G315" s="212"/>
      <c r="H315" s="212"/>
      <c r="I315" s="212"/>
      <c r="J315" s="212"/>
      <c r="K315" s="213"/>
      <c r="L315" s="129">
        <f>K316</f>
        <v>0</v>
      </c>
      <c r="M315" s="185" t="str">
        <f>'BM02'!C117</f>
        <v>m²</v>
      </c>
    </row>
    <row r="316" spans="1:13" s="131" customFormat="1" ht="12.75">
      <c r="A316" s="132"/>
      <c r="B316" s="209"/>
      <c r="C316" s="210"/>
      <c r="D316" s="134"/>
      <c r="E316" s="134"/>
      <c r="F316" s="134"/>
      <c r="G316" s="134"/>
      <c r="H316" s="134"/>
      <c r="I316" s="134"/>
      <c r="J316" s="135"/>
      <c r="K316" s="135"/>
      <c r="L316" s="134">
        <f>ROUND(D316*K316,2)</f>
        <v>0</v>
      </c>
      <c r="M316" s="136"/>
    </row>
    <row r="317" spans="1:13" s="131" customFormat="1" ht="12.75">
      <c r="A317" s="139"/>
      <c r="B317" s="140"/>
      <c r="C317" s="141"/>
      <c r="D317" s="142"/>
      <c r="E317" s="143"/>
      <c r="F317" s="142"/>
      <c r="G317" s="142"/>
      <c r="H317" s="143"/>
      <c r="I317" s="143"/>
      <c r="J317" s="144"/>
      <c r="K317" s="144"/>
      <c r="L317" s="142"/>
      <c r="M317" s="145"/>
    </row>
    <row r="318" spans="1:13" ht="30" customHeight="1">
      <c r="A318" s="128" t="str">
        <f>'BM02'!A118</f>
        <v>1.10.6</v>
      </c>
      <c r="B318" s="211" t="str">
        <f>'BM02'!B118</f>
        <v>EXECUÇÃO DE PASSEIO (CALÇADA) OU PISO DE CONCRETO COM CONCRETO MOLDADO IN LOCO, FEITO EM OBRA, ACABAMENTO CONVENCIONAL, ESPESSURA 6 CM, ARMADO. AF_07/2016</v>
      </c>
      <c r="C318" s="212"/>
      <c r="D318" s="212"/>
      <c r="E318" s="212"/>
      <c r="F318" s="212"/>
      <c r="G318" s="212"/>
      <c r="H318" s="212"/>
      <c r="I318" s="212"/>
      <c r="J318" s="212"/>
      <c r="K318" s="213"/>
      <c r="L318" s="129">
        <f>K319</f>
        <v>0</v>
      </c>
      <c r="M318" s="185" t="str">
        <f>'BM02'!C118</f>
        <v>m²</v>
      </c>
    </row>
    <row r="319" spans="1:13" s="131" customFormat="1" ht="12.75">
      <c r="A319" s="132"/>
      <c r="B319" s="209"/>
      <c r="C319" s="210"/>
      <c r="D319" s="134"/>
      <c r="E319" s="134"/>
      <c r="F319" s="134"/>
      <c r="G319" s="134"/>
      <c r="H319" s="134"/>
      <c r="I319" s="134"/>
      <c r="J319" s="135"/>
      <c r="K319" s="135"/>
      <c r="L319" s="134">
        <f>ROUND(D319*K319,2)</f>
        <v>0</v>
      </c>
      <c r="M319" s="136"/>
    </row>
    <row r="320" spans="1:13" s="131" customFormat="1" ht="12.75">
      <c r="A320" s="139"/>
      <c r="B320" s="140"/>
      <c r="C320" s="141"/>
      <c r="D320" s="142"/>
      <c r="E320" s="143"/>
      <c r="F320" s="142"/>
      <c r="G320" s="142"/>
      <c r="H320" s="143"/>
      <c r="I320" s="143"/>
      <c r="J320" s="144"/>
      <c r="K320" s="144"/>
      <c r="L320" s="142"/>
      <c r="M320" s="145"/>
    </row>
    <row r="321" spans="1:13" ht="30" customHeight="1">
      <c r="A321" s="128" t="str">
        <f>'BM02'!A119</f>
        <v>1.10.7</v>
      </c>
      <c r="B321" s="211" t="str">
        <f>'BM02'!B119</f>
        <v>EXECUÇÃO DE PASSEIO EM PISO INTERTRAVADO, COM BLOCO RETANGULAR COR NATURAL DE 20 X 10 CM, ESPESSURA 6 CM. AF_12/2015</v>
      </c>
      <c r="C321" s="212"/>
      <c r="D321" s="212"/>
      <c r="E321" s="212"/>
      <c r="F321" s="212"/>
      <c r="G321" s="212"/>
      <c r="H321" s="212"/>
      <c r="I321" s="212"/>
      <c r="J321" s="212"/>
      <c r="K321" s="213"/>
      <c r="L321" s="129">
        <f>K322</f>
        <v>0</v>
      </c>
      <c r="M321" s="185" t="str">
        <f>'BM02'!C119</f>
        <v>m²</v>
      </c>
    </row>
    <row r="322" spans="1:13" s="131" customFormat="1" ht="12.75">
      <c r="A322" s="132"/>
      <c r="B322" s="209"/>
      <c r="C322" s="210"/>
      <c r="D322" s="134"/>
      <c r="E322" s="134"/>
      <c r="F322" s="134"/>
      <c r="G322" s="134"/>
      <c r="H322" s="134"/>
      <c r="I322" s="134"/>
      <c r="J322" s="135"/>
      <c r="K322" s="135"/>
      <c r="L322" s="134">
        <f>ROUND(D322*K322,2)</f>
        <v>0</v>
      </c>
      <c r="M322" s="136"/>
    </row>
    <row r="323" spans="1:13" s="131" customFormat="1" ht="12.75">
      <c r="A323" s="139"/>
      <c r="B323" s="140"/>
      <c r="C323" s="141"/>
      <c r="D323" s="142"/>
      <c r="E323" s="143"/>
      <c r="F323" s="142"/>
      <c r="G323" s="142"/>
      <c r="H323" s="143"/>
      <c r="I323" s="143"/>
      <c r="J323" s="144"/>
      <c r="K323" s="144"/>
      <c r="L323" s="142"/>
      <c r="M323" s="145"/>
    </row>
    <row r="324" spans="1:13" ht="43.15" customHeight="1">
      <c r="A324" s="128" t="str">
        <f>'BM02'!A120</f>
        <v>1.10.8</v>
      </c>
      <c r="B324" s="211" t="str">
        <f>'BM02'!B120</f>
        <v>RAMPA DE CALÇADA DE PASSEIO EM CONCRETO PARA ACESSIBILIDADE DE PORTADORES DE NECESSIDADES ESPECIAIS (PNE) EXECUTADA CONCRETO ESTRUTURAL INCLUSIVE SINALIZAÇÃO TATIL DE ALERTA (25X25CM) E SINALIZAÇÃO UNIVERSAL EM TINTA ACRILICA-ESTIRENADA (0,80 X 1,60)M</v>
      </c>
      <c r="C324" s="212"/>
      <c r="D324" s="212"/>
      <c r="E324" s="212"/>
      <c r="F324" s="212"/>
      <c r="G324" s="212"/>
      <c r="H324" s="212"/>
      <c r="I324" s="212"/>
      <c r="J324" s="212"/>
      <c r="K324" s="213"/>
      <c r="L324" s="129">
        <f>K325</f>
        <v>0</v>
      </c>
      <c r="M324" s="185" t="str">
        <f>'BM02'!C120</f>
        <v>un</v>
      </c>
    </row>
    <row r="325" spans="1:13" s="131" customFormat="1" ht="12.75">
      <c r="A325" s="132"/>
      <c r="B325" s="209"/>
      <c r="C325" s="210"/>
      <c r="D325" s="134"/>
      <c r="E325" s="134"/>
      <c r="F325" s="134"/>
      <c r="G325" s="134"/>
      <c r="H325" s="134"/>
      <c r="I325" s="134"/>
      <c r="J325" s="135"/>
      <c r="K325" s="135"/>
      <c r="L325" s="134">
        <f>ROUND(D325*K325,2)</f>
        <v>0</v>
      </c>
      <c r="M325" s="136"/>
    </row>
    <row r="326" spans="1:13" s="131" customFormat="1" ht="13.5" thickBot="1">
      <c r="A326" s="139"/>
      <c r="B326" s="140"/>
      <c r="C326" s="141"/>
      <c r="D326" s="142"/>
      <c r="E326" s="143"/>
      <c r="F326" s="142"/>
      <c r="G326" s="142"/>
      <c r="H326" s="143"/>
      <c r="I326" s="143"/>
      <c r="J326" s="144"/>
      <c r="K326" s="144"/>
      <c r="L326" s="142"/>
      <c r="M326" s="145"/>
    </row>
    <row r="327" spans="1:13" ht="13.5" thickBot="1">
      <c r="A327" s="121" t="str">
        <f>'BM02'!A122</f>
        <v>1.11</v>
      </c>
      <c r="B327" s="122" t="str">
        <f>'BM02'!B122</f>
        <v>INSTALAÇÕES HIDRAULICAS - LOUÇAS E METAIS</v>
      </c>
      <c r="C327" s="122"/>
      <c r="D327" s="122"/>
      <c r="E327" s="122"/>
      <c r="F327" s="122"/>
      <c r="G327" s="122"/>
      <c r="H327" s="122"/>
      <c r="I327" s="122"/>
      <c r="J327" s="122"/>
      <c r="K327" s="122"/>
      <c r="L327" s="122"/>
      <c r="M327" s="123"/>
    </row>
    <row r="328" spans="1:13" ht="12.75">
      <c r="A328" s="124"/>
      <c r="B328" s="125"/>
      <c r="C328" s="125"/>
      <c r="D328" s="125"/>
      <c r="E328" s="125"/>
      <c r="F328" s="125"/>
      <c r="G328" s="125"/>
      <c r="H328" s="125"/>
      <c r="I328" s="125"/>
      <c r="J328" s="125"/>
      <c r="K328" s="126"/>
      <c r="L328" s="125"/>
      <c r="M328" s="127"/>
    </row>
    <row r="329" spans="1:13" ht="43.15" customHeight="1">
      <c r="A329" s="128" t="str">
        <f>'BM02'!A124</f>
        <v>1.11.1</v>
      </c>
      <c r="B329" s="211" t="str">
        <f>'BM02'!B124</f>
        <v>RAMPA DE CALÇADA DE PASSEIO EM CONCRETO PARA ACESSIBILIDADE DE PORTADORES DE NECESSIDADES ESPECIAIS (PNE) EXECUTADA CONCRETO ESTRUTURAL INCLUSIVE SINALIZAÇÃO TATIL DE ALERTA (25X25CM) E SINALIZAÇÃO UNIVERSAL EM TINTA ACRILICA-ESTIRENADA (0,80 X 1,60)M</v>
      </c>
      <c r="C329" s="212"/>
      <c r="D329" s="212"/>
      <c r="E329" s="212"/>
      <c r="F329" s="212"/>
      <c r="G329" s="212"/>
      <c r="H329" s="212"/>
      <c r="I329" s="212"/>
      <c r="J329" s="212"/>
      <c r="K329" s="213"/>
      <c r="L329" s="129">
        <f>K330</f>
        <v>0</v>
      </c>
      <c r="M329" s="130" t="str">
        <f>'BM02'!C124</f>
        <v>un</v>
      </c>
    </row>
    <row r="330" spans="1:13" s="131" customFormat="1" ht="12.75">
      <c r="A330" s="132"/>
      <c r="B330" s="209"/>
      <c r="C330" s="210"/>
      <c r="D330" s="134"/>
      <c r="E330" s="134"/>
      <c r="F330" s="134"/>
      <c r="G330" s="134"/>
      <c r="H330" s="134"/>
      <c r="I330" s="134"/>
      <c r="J330" s="135"/>
      <c r="K330" s="135"/>
      <c r="L330" s="134">
        <f>ROUND(D330*K330,2)</f>
        <v>0</v>
      </c>
      <c r="M330" s="136"/>
    </row>
    <row r="331" spans="1:13" s="131" customFormat="1" ht="12.75">
      <c r="A331" s="139"/>
      <c r="B331" s="140"/>
      <c r="C331" s="141"/>
      <c r="D331" s="142"/>
      <c r="E331" s="143"/>
      <c r="F331" s="142"/>
      <c r="G331" s="142"/>
      <c r="H331" s="143"/>
      <c r="I331" s="143"/>
      <c r="J331" s="144"/>
      <c r="K331" s="144"/>
      <c r="L331" s="142"/>
      <c r="M331" s="145"/>
    </row>
    <row r="332" spans="1:13" ht="30" customHeight="1">
      <c r="A332" s="128" t="str">
        <f>'BM02'!A125</f>
        <v>1.11.2</v>
      </c>
      <c r="B332" s="211" t="str">
        <f>'BM02'!B125</f>
        <v>VASO SANITARIO SIFONADO CONVENCIONAL PARA PCD SEM FURO FRONTAL COM LOUÇA BRANCA SEM ASSENTO, INCLUSO CONJUNTO DE LIGAÇÃO PARA BACIA SANITÁRIA AJUSTÁVEL - FORNECIMENTO E INSTALAÇÃO. AF_01/2020</v>
      </c>
      <c r="C332" s="212"/>
      <c r="D332" s="212"/>
      <c r="E332" s="212"/>
      <c r="F332" s="212"/>
      <c r="G332" s="212"/>
      <c r="H332" s="212"/>
      <c r="I332" s="212"/>
      <c r="J332" s="212"/>
      <c r="K332" s="213"/>
      <c r="L332" s="129">
        <f>K333</f>
        <v>0</v>
      </c>
      <c r="M332" s="130" t="str">
        <f>'BM02'!C125</f>
        <v>un</v>
      </c>
    </row>
    <row r="333" spans="1:13" s="131" customFormat="1" ht="12.75">
      <c r="A333" s="132"/>
      <c r="B333" s="209"/>
      <c r="C333" s="210"/>
      <c r="D333" s="134"/>
      <c r="E333" s="134"/>
      <c r="F333" s="134"/>
      <c r="G333" s="134"/>
      <c r="H333" s="134"/>
      <c r="I333" s="134"/>
      <c r="J333" s="135"/>
      <c r="K333" s="135"/>
      <c r="L333" s="134">
        <f>ROUND(D333*K333,2)</f>
        <v>0</v>
      </c>
      <c r="M333" s="136"/>
    </row>
    <row r="334" spans="1:13" s="131" customFormat="1" ht="12.75">
      <c r="A334" s="139"/>
      <c r="B334" s="140"/>
      <c r="C334" s="141"/>
      <c r="D334" s="142"/>
      <c r="E334" s="143"/>
      <c r="F334" s="142"/>
      <c r="G334" s="142"/>
      <c r="H334" s="143"/>
      <c r="I334" s="143"/>
      <c r="J334" s="144"/>
      <c r="K334" s="144"/>
      <c r="L334" s="142"/>
      <c r="M334" s="145"/>
    </row>
    <row r="335" spans="1:13" ht="30" customHeight="1">
      <c r="A335" s="128" t="str">
        <f>'BM02'!A126</f>
        <v>1.11.3</v>
      </c>
      <c r="B335" s="211" t="str">
        <f>'BM02'!B126</f>
        <v>Lavatório louça de canto (Deca-Izy, ref L-10117 ou similar) sem coluna, c/ sifão cromado, válvula cromada, engate cromado, exclusive torneira</v>
      </c>
      <c r="C335" s="212"/>
      <c r="D335" s="212"/>
      <c r="E335" s="212"/>
      <c r="F335" s="212"/>
      <c r="G335" s="212"/>
      <c r="H335" s="212"/>
      <c r="I335" s="212"/>
      <c r="J335" s="212"/>
      <c r="K335" s="213"/>
      <c r="L335" s="129">
        <f>K336</f>
        <v>0</v>
      </c>
      <c r="M335" s="130" t="str">
        <f>'BM02'!C126</f>
        <v>un</v>
      </c>
    </row>
    <row r="336" spans="1:13" s="131" customFormat="1" ht="12.75">
      <c r="A336" s="132"/>
      <c r="B336" s="209"/>
      <c r="C336" s="210"/>
      <c r="D336" s="134"/>
      <c r="E336" s="134"/>
      <c r="F336" s="134"/>
      <c r="G336" s="134"/>
      <c r="H336" s="134"/>
      <c r="I336" s="134"/>
      <c r="J336" s="135"/>
      <c r="K336" s="135"/>
      <c r="L336" s="134">
        <f>ROUND(D336*K336,2)</f>
        <v>0</v>
      </c>
      <c r="M336" s="136"/>
    </row>
    <row r="337" spans="1:13" s="131" customFormat="1" ht="12.75">
      <c r="A337" s="139"/>
      <c r="B337" s="140"/>
      <c r="C337" s="141"/>
      <c r="D337" s="142"/>
      <c r="E337" s="143"/>
      <c r="F337" s="142"/>
      <c r="G337" s="142"/>
      <c r="H337" s="143"/>
      <c r="I337" s="143"/>
      <c r="J337" s="144"/>
      <c r="K337" s="144"/>
      <c r="L337" s="142"/>
      <c r="M337" s="145"/>
    </row>
    <row r="338" spans="1:13" ht="30" customHeight="1">
      <c r="A338" s="128" t="str">
        <f>'BM02'!A127</f>
        <v>1.11.4</v>
      </c>
      <c r="B338" s="211" t="str">
        <f>'BM02'!B127</f>
        <v>Lavatório louça (Deca-Ravena ref L-915) sem coluna, c/válvula, sifão, engate e torneira (herc ref 1994) todos de plástico, conj. de fixação (deca ref sp7) ou similares</v>
      </c>
      <c r="C338" s="212"/>
      <c r="D338" s="212"/>
      <c r="E338" s="212"/>
      <c r="F338" s="212"/>
      <c r="G338" s="212"/>
      <c r="H338" s="212"/>
      <c r="I338" s="212"/>
      <c r="J338" s="212"/>
      <c r="K338" s="213"/>
      <c r="L338" s="129">
        <f>K339</f>
        <v>0</v>
      </c>
      <c r="M338" s="130" t="str">
        <f>'BM02'!C127</f>
        <v>un</v>
      </c>
    </row>
    <row r="339" spans="1:13" s="131" customFormat="1" ht="12.75">
      <c r="A339" s="132"/>
      <c r="B339" s="209"/>
      <c r="C339" s="210"/>
      <c r="D339" s="134"/>
      <c r="E339" s="134"/>
      <c r="F339" s="134"/>
      <c r="G339" s="134"/>
      <c r="H339" s="134"/>
      <c r="I339" s="134"/>
      <c r="J339" s="135"/>
      <c r="K339" s="135"/>
      <c r="L339" s="134">
        <f>ROUND(D339*K339,2)</f>
        <v>0</v>
      </c>
      <c r="M339" s="136"/>
    </row>
    <row r="340" spans="1:13" s="131" customFormat="1" ht="12.75">
      <c r="A340" s="139"/>
      <c r="B340" s="140"/>
      <c r="C340" s="141"/>
      <c r="D340" s="142"/>
      <c r="E340" s="143"/>
      <c r="F340" s="142"/>
      <c r="G340" s="142"/>
      <c r="H340" s="143"/>
      <c r="I340" s="143"/>
      <c r="J340" s="144"/>
      <c r="K340" s="144"/>
      <c r="L340" s="142"/>
      <c r="M340" s="145"/>
    </row>
    <row r="341" spans="1:13" ht="43.15" customHeight="1">
      <c r="A341" s="128" t="str">
        <f>'BM02'!A128</f>
        <v>1.11.5</v>
      </c>
      <c r="B341" s="211" t="str">
        <f>'BM02'!B128</f>
        <v>REGISTRO DE GAVETA BRUTO, LATÃO, ROSCÁVEL, 1 1/2, COM ACABAMENTO E CANOPLA CROMADOS, INSTALADO EM RESERVAÇÃO DE ÁGUA DE EDIFICAÇÃO QUE POSSUA RESERVATÓRIO DE FIBRA/FIBROCIMENTO FORNECIMENTO E INSTALAÇÃO. AF_06/2016</v>
      </c>
      <c r="C341" s="212"/>
      <c r="D341" s="212"/>
      <c r="E341" s="212"/>
      <c r="F341" s="212"/>
      <c r="G341" s="212"/>
      <c r="H341" s="212"/>
      <c r="I341" s="212"/>
      <c r="J341" s="212"/>
      <c r="K341" s="213"/>
      <c r="L341" s="129">
        <f>K342</f>
        <v>0</v>
      </c>
      <c r="M341" s="130" t="str">
        <f>'BM02'!C128</f>
        <v>un</v>
      </c>
    </row>
    <row r="342" spans="1:13" s="131" customFormat="1" ht="12.75">
      <c r="A342" s="132"/>
      <c r="B342" s="209"/>
      <c r="C342" s="210"/>
      <c r="D342" s="134"/>
      <c r="E342" s="134"/>
      <c r="F342" s="134"/>
      <c r="G342" s="134"/>
      <c r="H342" s="134"/>
      <c r="I342" s="134"/>
      <c r="J342" s="135"/>
      <c r="K342" s="135"/>
      <c r="L342" s="134">
        <f>ROUND(D342*K342,2)</f>
        <v>0</v>
      </c>
      <c r="M342" s="136"/>
    </row>
    <row r="343" spans="1:13" s="131" customFormat="1" ht="12.75">
      <c r="A343" s="139"/>
      <c r="B343" s="140"/>
      <c r="C343" s="141"/>
      <c r="D343" s="142"/>
      <c r="E343" s="143"/>
      <c r="F343" s="142"/>
      <c r="G343" s="142"/>
      <c r="H343" s="143"/>
      <c r="I343" s="143"/>
      <c r="J343" s="144"/>
      <c r="K343" s="144"/>
      <c r="L343" s="142"/>
      <c r="M343" s="145"/>
    </row>
    <row r="344" spans="1:13" ht="30" customHeight="1">
      <c r="A344" s="128" t="str">
        <f>'BM02'!A129</f>
        <v>1.11.6</v>
      </c>
      <c r="B344" s="211" t="str">
        <f>'BM02'!B129</f>
        <v>REGISTRO DE PRESSÃO BRUTO, LATÃO, ROSCÁVEL, 3/4", COM ACABAMENTO E CANOPLA CROMADOS. FORNECIDO E INSTALADO EM RAMAL DE ÁGUA. AF_12/2014</v>
      </c>
      <c r="C344" s="212"/>
      <c r="D344" s="212"/>
      <c r="E344" s="212"/>
      <c r="F344" s="212"/>
      <c r="G344" s="212"/>
      <c r="H344" s="212"/>
      <c r="I344" s="212"/>
      <c r="J344" s="212"/>
      <c r="K344" s="213"/>
      <c r="L344" s="129">
        <f>K345</f>
        <v>0</v>
      </c>
      <c r="M344" s="130" t="str">
        <f>'BM02'!C129</f>
        <v>un</v>
      </c>
    </row>
    <row r="345" spans="1:13" s="131" customFormat="1" ht="12.75">
      <c r="A345" s="132"/>
      <c r="B345" s="209"/>
      <c r="C345" s="210"/>
      <c r="D345" s="134"/>
      <c r="E345" s="134"/>
      <c r="F345" s="134"/>
      <c r="G345" s="134"/>
      <c r="H345" s="134"/>
      <c r="I345" s="134"/>
      <c r="J345" s="135"/>
      <c r="K345" s="135"/>
      <c r="L345" s="134">
        <f>ROUND(D345*K345,2)</f>
        <v>0</v>
      </c>
      <c r="M345" s="136"/>
    </row>
    <row r="346" spans="1:13" s="131" customFormat="1" ht="12.75">
      <c r="A346" s="139"/>
      <c r="B346" s="140"/>
      <c r="C346" s="141"/>
      <c r="D346" s="142"/>
      <c r="E346" s="143"/>
      <c r="F346" s="142"/>
      <c r="G346" s="142"/>
      <c r="H346" s="143"/>
      <c r="I346" s="143"/>
      <c r="J346" s="144"/>
      <c r="K346" s="144"/>
      <c r="L346" s="142"/>
      <c r="M346" s="145"/>
    </row>
    <row r="347" spans="1:13" ht="30" customHeight="1">
      <c r="A347" s="128" t="str">
        <f>'BM02'!A130</f>
        <v>1.11.7</v>
      </c>
      <c r="B347" s="211" t="str">
        <f>'BM02'!B130</f>
        <v>TORNEIRA CROMADA TUBO MÓVEL, DE PAREDE, 1/2 OU 3/4, PARA PIA DE COZINHA, PADRÃO MÉDIO - FORNECIMENTO E INSTALAÇÃO. AF_01/2020</v>
      </c>
      <c r="C347" s="212"/>
      <c r="D347" s="212"/>
      <c r="E347" s="212"/>
      <c r="F347" s="212"/>
      <c r="G347" s="212"/>
      <c r="H347" s="212"/>
      <c r="I347" s="212"/>
      <c r="J347" s="212"/>
      <c r="K347" s="213"/>
      <c r="L347" s="129">
        <f>K348</f>
        <v>0</v>
      </c>
      <c r="M347" s="130" t="str">
        <f>'BM02'!C130</f>
        <v>un</v>
      </c>
    </row>
    <row r="348" spans="1:13" s="131" customFormat="1" ht="12.75">
      <c r="A348" s="132"/>
      <c r="B348" s="209"/>
      <c r="C348" s="210"/>
      <c r="D348" s="134"/>
      <c r="E348" s="134"/>
      <c r="F348" s="134"/>
      <c r="G348" s="134"/>
      <c r="H348" s="134"/>
      <c r="I348" s="134"/>
      <c r="J348" s="135"/>
      <c r="K348" s="135"/>
      <c r="L348" s="134">
        <f>ROUND(D348*K348,2)</f>
        <v>0</v>
      </c>
      <c r="M348" s="136"/>
    </row>
    <row r="349" spans="1:13" s="131" customFormat="1" ht="12.75">
      <c r="A349" s="139"/>
      <c r="B349" s="140"/>
      <c r="C349" s="141"/>
      <c r="D349" s="142"/>
      <c r="E349" s="143"/>
      <c r="F349" s="142"/>
      <c r="G349" s="142"/>
      <c r="H349" s="143"/>
      <c r="I349" s="143"/>
      <c r="J349" s="144"/>
      <c r="K349" s="144"/>
      <c r="L349" s="142"/>
      <c r="M349" s="145"/>
    </row>
    <row r="350" spans="1:13" ht="30" customHeight="1">
      <c r="A350" s="128" t="str">
        <f>'BM02'!A131</f>
        <v>1.11.8</v>
      </c>
      <c r="B350" s="211" t="str">
        <f>'BM02'!B131</f>
        <v>TORNEIRA CROMADA DE MESA, 1/2 OU 3/4, PARA LAVATÓRIO, PADRÃO MÉDIO - FORNECIMENTO E INSTALAÇÃO. AF_01/2020</v>
      </c>
      <c r="C350" s="212"/>
      <c r="D350" s="212"/>
      <c r="E350" s="212"/>
      <c r="F350" s="212"/>
      <c r="G350" s="212"/>
      <c r="H350" s="212"/>
      <c r="I350" s="212"/>
      <c r="J350" s="212"/>
      <c r="K350" s="213"/>
      <c r="L350" s="129">
        <f>K351</f>
        <v>0</v>
      </c>
      <c r="M350" s="130" t="str">
        <f>'BM02'!C131</f>
        <v>un</v>
      </c>
    </row>
    <row r="351" spans="1:13" s="131" customFormat="1" ht="12.75">
      <c r="A351" s="132"/>
      <c r="B351" s="209"/>
      <c r="C351" s="210"/>
      <c r="D351" s="134"/>
      <c r="E351" s="134"/>
      <c r="F351" s="134"/>
      <c r="G351" s="134"/>
      <c r="H351" s="134"/>
      <c r="I351" s="134"/>
      <c r="J351" s="135"/>
      <c r="K351" s="135"/>
      <c r="L351" s="134">
        <f>ROUND(D351*K351,2)</f>
        <v>0</v>
      </c>
      <c r="M351" s="136"/>
    </row>
    <row r="352" spans="1:13" s="131" customFormat="1" ht="12.75">
      <c r="A352" s="139"/>
      <c r="B352" s="140"/>
      <c r="C352" s="141"/>
      <c r="D352" s="142"/>
      <c r="E352" s="143"/>
      <c r="F352" s="142"/>
      <c r="G352" s="142"/>
      <c r="H352" s="143"/>
      <c r="I352" s="143"/>
      <c r="J352" s="144"/>
      <c r="K352" s="144"/>
      <c r="L352" s="142"/>
      <c r="M352" s="145"/>
    </row>
    <row r="353" spans="1:13" ht="12.75">
      <c r="A353" s="128" t="str">
        <f>'BM02'!A132</f>
        <v>1.11.9</v>
      </c>
      <c r="B353" s="211" t="str">
        <f>'BM02'!B132</f>
        <v>TORNEIRA CROMADA 1/2 OU 3/4 PARA TANQUE, PADRÃO MÉDIO - FORNECIMENTO E INSTALAÇÃO. AF_01/2020</v>
      </c>
      <c r="C353" s="212"/>
      <c r="D353" s="212"/>
      <c r="E353" s="212"/>
      <c r="F353" s="212"/>
      <c r="G353" s="212"/>
      <c r="H353" s="212"/>
      <c r="I353" s="212"/>
      <c r="J353" s="212"/>
      <c r="K353" s="213"/>
      <c r="L353" s="129">
        <f>K354</f>
        <v>0</v>
      </c>
      <c r="M353" s="130" t="str">
        <f>'BM02'!C132</f>
        <v>un</v>
      </c>
    </row>
    <row r="354" spans="1:13" s="131" customFormat="1" ht="12.75">
      <c r="A354" s="132"/>
      <c r="B354" s="209"/>
      <c r="C354" s="210"/>
      <c r="D354" s="134"/>
      <c r="E354" s="134"/>
      <c r="F354" s="134"/>
      <c r="G354" s="134"/>
      <c r="H354" s="134"/>
      <c r="I354" s="134"/>
      <c r="J354" s="135"/>
      <c r="K354" s="135"/>
      <c r="L354" s="134">
        <f>ROUND(D354*K354,2)</f>
        <v>0</v>
      </c>
      <c r="M354" s="136"/>
    </row>
    <row r="355" spans="1:13" s="131" customFormat="1" ht="12.75">
      <c r="A355" s="139"/>
      <c r="B355" s="140"/>
      <c r="C355" s="141"/>
      <c r="D355" s="142"/>
      <c r="E355" s="143"/>
      <c r="F355" s="142"/>
      <c r="G355" s="142"/>
      <c r="H355" s="143"/>
      <c r="I355" s="143"/>
      <c r="J355" s="144"/>
      <c r="K355" s="144"/>
      <c r="L355" s="142"/>
      <c r="M355" s="145"/>
    </row>
    <row r="356" spans="1:13" ht="12.75">
      <c r="A356" s="184" t="str">
        <f>'BM02'!A133</f>
        <v>1.11.10</v>
      </c>
      <c r="B356" s="211" t="str">
        <f>'BM02'!B133</f>
        <v>Cabide em aço inox, MOLDENOX, linha stylus 108 RSL ou similar</v>
      </c>
      <c r="C356" s="212"/>
      <c r="D356" s="212"/>
      <c r="E356" s="212"/>
      <c r="F356" s="212"/>
      <c r="G356" s="212"/>
      <c r="H356" s="212"/>
      <c r="I356" s="212"/>
      <c r="J356" s="212"/>
      <c r="K356" s="213"/>
      <c r="L356" s="129">
        <f>K357</f>
        <v>0</v>
      </c>
      <c r="M356" s="130" t="str">
        <f>'BM02'!C133</f>
        <v>un</v>
      </c>
    </row>
    <row r="357" spans="1:13" s="131" customFormat="1" ht="12.75">
      <c r="A357" s="132"/>
      <c r="B357" s="209"/>
      <c r="C357" s="210"/>
      <c r="D357" s="134"/>
      <c r="E357" s="134"/>
      <c r="F357" s="134"/>
      <c r="G357" s="134"/>
      <c r="H357" s="134"/>
      <c r="I357" s="134"/>
      <c r="J357" s="135"/>
      <c r="K357" s="135"/>
      <c r="L357" s="134">
        <f>ROUND(D357*K357,2)</f>
        <v>0</v>
      </c>
      <c r="M357" s="136"/>
    </row>
    <row r="358" spans="1:13" s="131" customFormat="1" ht="12.75">
      <c r="A358" s="139"/>
      <c r="B358" s="140"/>
      <c r="C358" s="141"/>
      <c r="D358" s="142"/>
      <c r="E358" s="143"/>
      <c r="F358" s="142"/>
      <c r="G358" s="142"/>
      <c r="H358" s="143"/>
      <c r="I358" s="143"/>
      <c r="J358" s="144"/>
      <c r="K358" s="144"/>
      <c r="L358" s="142"/>
      <c r="M358" s="145"/>
    </row>
    <row r="359" spans="1:13" ht="12.75">
      <c r="A359" s="184" t="str">
        <f>'BM02'!A134</f>
        <v>1.11.11</v>
      </c>
      <c r="B359" s="211" t="str">
        <f>'BM02'!B134</f>
        <v>Chuveiro plástico sem registro</v>
      </c>
      <c r="C359" s="212"/>
      <c r="D359" s="212"/>
      <c r="E359" s="212"/>
      <c r="F359" s="212"/>
      <c r="G359" s="212"/>
      <c r="H359" s="212"/>
      <c r="I359" s="212"/>
      <c r="J359" s="212"/>
      <c r="K359" s="213"/>
      <c r="L359" s="129">
        <f>K360</f>
        <v>0</v>
      </c>
      <c r="M359" s="130" t="str">
        <f>'BM02'!C134</f>
        <v>un</v>
      </c>
    </row>
    <row r="360" spans="1:13" s="131" customFormat="1" ht="12.75">
      <c r="A360" s="132"/>
      <c r="B360" s="209"/>
      <c r="C360" s="210"/>
      <c r="D360" s="134"/>
      <c r="E360" s="134"/>
      <c r="F360" s="134"/>
      <c r="G360" s="134"/>
      <c r="H360" s="134"/>
      <c r="I360" s="134"/>
      <c r="J360" s="135"/>
      <c r="K360" s="135"/>
      <c r="L360" s="134">
        <f>ROUND(D360*K360,2)</f>
        <v>0</v>
      </c>
      <c r="M360" s="136"/>
    </row>
    <row r="361" spans="1:13" s="131" customFormat="1" ht="12.75">
      <c r="A361" s="139"/>
      <c r="B361" s="140"/>
      <c r="C361" s="141"/>
      <c r="D361" s="142"/>
      <c r="E361" s="143"/>
      <c r="F361" s="142"/>
      <c r="G361" s="142"/>
      <c r="H361" s="143"/>
      <c r="I361" s="143"/>
      <c r="J361" s="144"/>
      <c r="K361" s="144"/>
      <c r="L361" s="142"/>
      <c r="M361" s="145"/>
    </row>
    <row r="362" spans="1:13" ht="30" customHeight="1">
      <c r="A362" s="128" t="str">
        <f>'BM02'!A135</f>
        <v>1.11.12</v>
      </c>
      <c r="B362" s="211" t="str">
        <f>'BM02'!B135</f>
        <v>SABONETEIRA PLASTICA TIPO DISPENSER PARA SABONETE LIQUIDO COM RESERVATORIO 800 A 1500 ML, INCLUSO FIXAÇÃO. AF_01/2020</v>
      </c>
      <c r="C362" s="212"/>
      <c r="D362" s="212"/>
      <c r="E362" s="212"/>
      <c r="F362" s="212"/>
      <c r="G362" s="212"/>
      <c r="H362" s="212"/>
      <c r="I362" s="212"/>
      <c r="J362" s="212"/>
      <c r="K362" s="213"/>
      <c r="L362" s="129">
        <f>K363</f>
        <v>0</v>
      </c>
      <c r="M362" s="130" t="str">
        <f>'BM02'!C135</f>
        <v>un</v>
      </c>
    </row>
    <row r="363" spans="1:13" s="131" customFormat="1" ht="12.75">
      <c r="A363" s="132"/>
      <c r="B363" s="209"/>
      <c r="C363" s="210"/>
      <c r="D363" s="134"/>
      <c r="E363" s="134"/>
      <c r="F363" s="134"/>
      <c r="G363" s="134"/>
      <c r="H363" s="134"/>
      <c r="I363" s="134"/>
      <c r="J363" s="135"/>
      <c r="K363" s="135"/>
      <c r="L363" s="134">
        <f>ROUND(D363*K363,2)</f>
        <v>0</v>
      </c>
      <c r="M363" s="136"/>
    </row>
    <row r="364" spans="1:13" s="131" customFormat="1" ht="12.75">
      <c r="A364" s="139"/>
      <c r="B364" s="140"/>
      <c r="C364" s="141"/>
      <c r="D364" s="142"/>
      <c r="E364" s="143"/>
      <c r="F364" s="142"/>
      <c r="G364" s="142"/>
      <c r="H364" s="143"/>
      <c r="I364" s="143"/>
      <c r="J364" s="144"/>
      <c r="K364" s="144"/>
      <c r="L364" s="142"/>
      <c r="M364" s="145"/>
    </row>
    <row r="365" spans="1:13" ht="12.75">
      <c r="A365" s="184" t="str">
        <f>'BM02'!A136</f>
        <v>1.11.13</v>
      </c>
      <c r="B365" s="211" t="str">
        <f>'BM02'!B136</f>
        <v>Dispenser para toalha interfolhada</v>
      </c>
      <c r="C365" s="212"/>
      <c r="D365" s="212"/>
      <c r="E365" s="212"/>
      <c r="F365" s="212"/>
      <c r="G365" s="212"/>
      <c r="H365" s="212"/>
      <c r="I365" s="212"/>
      <c r="J365" s="212"/>
      <c r="K365" s="213"/>
      <c r="L365" s="129">
        <f>K366</f>
        <v>0</v>
      </c>
      <c r="M365" s="130" t="str">
        <f>'BM02'!C136</f>
        <v>un</v>
      </c>
    </row>
    <row r="366" spans="1:13" s="131" customFormat="1" ht="12.75">
      <c r="A366" s="132"/>
      <c r="B366" s="209"/>
      <c r="C366" s="210"/>
      <c r="D366" s="134"/>
      <c r="E366" s="134"/>
      <c r="F366" s="134"/>
      <c r="G366" s="134"/>
      <c r="H366" s="134"/>
      <c r="I366" s="134"/>
      <c r="J366" s="135"/>
      <c r="K366" s="135"/>
      <c r="L366" s="134">
        <f>ROUND(D366*K366,2)</f>
        <v>0</v>
      </c>
      <c r="M366" s="136"/>
    </row>
    <row r="367" spans="1:13" s="131" customFormat="1" ht="12.75">
      <c r="A367" s="139"/>
      <c r="B367" s="140"/>
      <c r="C367" s="141"/>
      <c r="D367" s="142"/>
      <c r="E367" s="143"/>
      <c r="F367" s="142"/>
      <c r="G367" s="142"/>
      <c r="H367" s="143"/>
      <c r="I367" s="143"/>
      <c r="J367" s="144"/>
      <c r="K367" s="144"/>
      <c r="L367" s="142"/>
      <c r="M367" s="145"/>
    </row>
    <row r="368" spans="1:13" ht="12.75">
      <c r="A368" s="184" t="str">
        <f>'BM02'!A137</f>
        <v>1.11.14</v>
      </c>
      <c r="B368" s="211" t="str">
        <f>'BM02'!B137</f>
        <v>Dispenser, em plástico, para papel higiênico em rolo</v>
      </c>
      <c r="C368" s="212"/>
      <c r="D368" s="212"/>
      <c r="E368" s="212"/>
      <c r="F368" s="212"/>
      <c r="G368" s="212"/>
      <c r="H368" s="212"/>
      <c r="I368" s="212"/>
      <c r="J368" s="212"/>
      <c r="K368" s="213"/>
      <c r="L368" s="129">
        <f>K369</f>
        <v>0</v>
      </c>
      <c r="M368" s="130" t="str">
        <f>'BM02'!C137</f>
        <v>un</v>
      </c>
    </row>
    <row r="369" spans="1:13" s="131" customFormat="1" ht="12.75">
      <c r="A369" s="132"/>
      <c r="B369" s="209"/>
      <c r="C369" s="210"/>
      <c r="D369" s="134"/>
      <c r="E369" s="134"/>
      <c r="F369" s="134"/>
      <c r="G369" s="134"/>
      <c r="H369" s="134"/>
      <c r="I369" s="134"/>
      <c r="J369" s="135"/>
      <c r="K369" s="135"/>
      <c r="L369" s="134">
        <f>ROUND(D369*K369,2)</f>
        <v>0</v>
      </c>
      <c r="M369" s="136"/>
    </row>
    <row r="370" spans="1:13" s="131" customFormat="1" ht="12.75">
      <c r="A370" s="139"/>
      <c r="B370" s="140"/>
      <c r="C370" s="141"/>
      <c r="D370" s="142"/>
      <c r="E370" s="143"/>
      <c r="F370" s="142"/>
      <c r="G370" s="142"/>
      <c r="H370" s="143"/>
      <c r="I370" s="143"/>
      <c r="J370" s="144"/>
      <c r="K370" s="144"/>
      <c r="L370" s="142"/>
      <c r="M370" s="145"/>
    </row>
    <row r="371" spans="1:13" ht="30" customHeight="1">
      <c r="A371" s="128" t="str">
        <f>'BM02'!A138</f>
        <v>1.11.15</v>
      </c>
      <c r="B371" s="211" t="str">
        <f>'BM02'!B138</f>
        <v>RALO SIFONADO, PVC, DN 100 X 40 MM, JUNTA SOLDÁVEL, FORNECIDO E INSTALADO EM RAMAL DE DESCARGA OU EM RAMAL DE ESGOTO SANITÁRIO. AF_12/2014</v>
      </c>
      <c r="C371" s="212"/>
      <c r="D371" s="212"/>
      <c r="E371" s="212"/>
      <c r="F371" s="212"/>
      <c r="G371" s="212"/>
      <c r="H371" s="212"/>
      <c r="I371" s="212"/>
      <c r="J371" s="212"/>
      <c r="K371" s="213"/>
      <c r="L371" s="129">
        <f>K372</f>
        <v>0</v>
      </c>
      <c r="M371" s="130" t="str">
        <f>'BM02'!C138</f>
        <v>un</v>
      </c>
    </row>
    <row r="372" spans="1:13" s="131" customFormat="1" ht="12.75">
      <c r="A372" s="132"/>
      <c r="B372" s="209"/>
      <c r="C372" s="210"/>
      <c r="D372" s="134"/>
      <c r="E372" s="134"/>
      <c r="F372" s="134"/>
      <c r="G372" s="134"/>
      <c r="H372" s="134"/>
      <c r="I372" s="134"/>
      <c r="J372" s="135"/>
      <c r="K372" s="135"/>
      <c r="L372" s="134">
        <f>ROUND(D372*K372,2)</f>
        <v>0</v>
      </c>
      <c r="M372" s="136"/>
    </row>
    <row r="373" spans="1:13" s="131" customFormat="1" ht="12.75">
      <c r="A373" s="139"/>
      <c r="B373" s="140"/>
      <c r="C373" s="141"/>
      <c r="D373" s="142"/>
      <c r="E373" s="143"/>
      <c r="F373" s="142"/>
      <c r="G373" s="142"/>
      <c r="H373" s="143"/>
      <c r="I373" s="143"/>
      <c r="J373" s="144"/>
      <c r="K373" s="144"/>
      <c r="L373" s="142"/>
      <c r="M373" s="145"/>
    </row>
    <row r="374" spans="1:13" ht="12.75">
      <c r="A374" s="184" t="str">
        <f>'BM02'!A139</f>
        <v>1.11.16</v>
      </c>
      <c r="B374" s="211" t="str">
        <f>'BM02'!B139</f>
        <v>TANQUE DE MÁRMORE SINTÉTICO SUSPENSO, 22L OU EQUIVALENTE - FORNECIMENTO E INSTALAÇÃO. AF_01/2020</v>
      </c>
      <c r="C374" s="212"/>
      <c r="D374" s="212"/>
      <c r="E374" s="212"/>
      <c r="F374" s="212"/>
      <c r="G374" s="212"/>
      <c r="H374" s="212"/>
      <c r="I374" s="212"/>
      <c r="J374" s="212"/>
      <c r="K374" s="213"/>
      <c r="L374" s="129">
        <f>K375</f>
        <v>0</v>
      </c>
      <c r="M374" s="130" t="str">
        <f>'BM02'!C139</f>
        <v>un</v>
      </c>
    </row>
    <row r="375" spans="1:13" s="131" customFormat="1" ht="12.75">
      <c r="A375" s="132"/>
      <c r="B375" s="209"/>
      <c r="C375" s="210"/>
      <c r="D375" s="134"/>
      <c r="E375" s="134"/>
      <c r="F375" s="134"/>
      <c r="G375" s="134"/>
      <c r="H375" s="134"/>
      <c r="I375" s="134"/>
      <c r="J375" s="135"/>
      <c r="K375" s="135"/>
      <c r="L375" s="134">
        <f>ROUND(D375*K375,2)</f>
        <v>0</v>
      </c>
      <c r="M375" s="136"/>
    </row>
    <row r="376" spans="1:13" s="131" customFormat="1" ht="12.75">
      <c r="A376" s="139"/>
      <c r="B376" s="140"/>
      <c r="C376" s="141"/>
      <c r="D376" s="142"/>
      <c r="E376" s="143"/>
      <c r="F376" s="142"/>
      <c r="G376" s="142"/>
      <c r="H376" s="143"/>
      <c r="I376" s="143"/>
      <c r="J376" s="144"/>
      <c r="K376" s="144"/>
      <c r="L376" s="142"/>
      <c r="M376" s="145"/>
    </row>
    <row r="377" spans="1:13" ht="30" customHeight="1">
      <c r="A377" s="128" t="str">
        <f>'BM02'!A140</f>
        <v>1.11.17</v>
      </c>
      <c r="B377" s="211" t="str">
        <f>'BM02'!B140</f>
        <v>BANCADA DE MÁRMORE SINTÉTICO, DE 120 X 60CM, COM CUBA INTEGRADA - FORNECIMENTO E INSTALAÇÃO. AF_01/2020</v>
      </c>
      <c r="C377" s="212"/>
      <c r="D377" s="212"/>
      <c r="E377" s="212"/>
      <c r="F377" s="212"/>
      <c r="G377" s="212"/>
      <c r="H377" s="212"/>
      <c r="I377" s="212"/>
      <c r="J377" s="212"/>
      <c r="K377" s="213"/>
      <c r="L377" s="129">
        <f>K378</f>
        <v>0</v>
      </c>
      <c r="M377" s="130" t="str">
        <f>'BM02'!C140</f>
        <v>un</v>
      </c>
    </row>
    <row r="378" spans="1:13" s="131" customFormat="1" ht="12.75">
      <c r="A378" s="132"/>
      <c r="B378" s="209"/>
      <c r="C378" s="210"/>
      <c r="D378" s="134"/>
      <c r="E378" s="134"/>
      <c r="F378" s="134"/>
      <c r="G378" s="134"/>
      <c r="H378" s="134"/>
      <c r="I378" s="134"/>
      <c r="J378" s="135"/>
      <c r="K378" s="135"/>
      <c r="L378" s="134">
        <f>ROUND(D378*K378,2)</f>
        <v>0</v>
      </c>
      <c r="M378" s="136"/>
    </row>
    <row r="379" spans="1:13" s="131" customFormat="1" ht="12.75">
      <c r="A379" s="139"/>
      <c r="B379" s="140"/>
      <c r="C379" s="141"/>
      <c r="D379" s="142"/>
      <c r="E379" s="143"/>
      <c r="F379" s="142"/>
      <c r="G379" s="142"/>
      <c r="H379" s="143"/>
      <c r="I379" s="143"/>
      <c r="J379" s="144"/>
      <c r="K379" s="144"/>
      <c r="L379" s="142"/>
      <c r="M379" s="145"/>
    </row>
    <row r="380" spans="1:13" ht="12.75">
      <c r="A380" s="184" t="str">
        <f>'BM02'!A141</f>
        <v>1.11.18</v>
      </c>
      <c r="B380" s="211" t="str">
        <f>'BM02'!B141</f>
        <v>ESPELHO CRISTAL ESPESSURA 4MM</v>
      </c>
      <c r="C380" s="212"/>
      <c r="D380" s="212"/>
      <c r="E380" s="212"/>
      <c r="F380" s="212"/>
      <c r="G380" s="212"/>
      <c r="H380" s="212"/>
      <c r="I380" s="212"/>
      <c r="J380" s="212"/>
      <c r="K380" s="213"/>
      <c r="L380" s="129">
        <f>K381</f>
        <v>0</v>
      </c>
      <c r="M380" s="130" t="str">
        <f>'BM02'!C141</f>
        <v>m²</v>
      </c>
    </row>
    <row r="381" spans="1:13" s="131" customFormat="1" ht="12.75">
      <c r="A381" s="132"/>
      <c r="B381" s="209"/>
      <c r="C381" s="210"/>
      <c r="D381" s="134"/>
      <c r="E381" s="134"/>
      <c r="F381" s="134"/>
      <c r="G381" s="134"/>
      <c r="H381" s="134"/>
      <c r="I381" s="134"/>
      <c r="J381" s="135"/>
      <c r="K381" s="135"/>
      <c r="L381" s="134">
        <f>ROUND(D381*K381,2)</f>
        <v>0</v>
      </c>
      <c r="M381" s="136"/>
    </row>
    <row r="382" spans="1:13" s="131" customFormat="1" ht="12.75">
      <c r="A382" s="139"/>
      <c r="B382" s="140"/>
      <c r="C382" s="141"/>
      <c r="D382" s="142"/>
      <c r="E382" s="143"/>
      <c r="F382" s="142"/>
      <c r="G382" s="142"/>
      <c r="H382" s="143"/>
      <c r="I382" s="143"/>
      <c r="J382" s="144"/>
      <c r="K382" s="144"/>
      <c r="L382" s="142"/>
      <c r="M382" s="145"/>
    </row>
    <row r="383" spans="1:13" ht="12.75">
      <c r="A383" s="184" t="str">
        <f>'BM02'!A142</f>
        <v>1.11.19</v>
      </c>
      <c r="B383" s="211" t="str">
        <f>'BM02'!B142</f>
        <v>BANCO ARTICULADO, EM ACO INOX, PARA PCD, FIXADO NA PAREDE - FORNECIMENTO E INSTALAÇÃO. AF_01/2020</v>
      </c>
      <c r="C383" s="212"/>
      <c r="D383" s="212"/>
      <c r="E383" s="212"/>
      <c r="F383" s="212"/>
      <c r="G383" s="212"/>
      <c r="H383" s="212"/>
      <c r="I383" s="212"/>
      <c r="J383" s="212"/>
      <c r="K383" s="213"/>
      <c r="L383" s="129">
        <f>K384</f>
        <v>0</v>
      </c>
      <c r="M383" s="130" t="str">
        <f>'BM02'!C142</f>
        <v>un</v>
      </c>
    </row>
    <row r="384" spans="1:13" s="131" customFormat="1" ht="12.75">
      <c r="A384" s="132"/>
      <c r="B384" s="209"/>
      <c r="C384" s="210"/>
      <c r="D384" s="134"/>
      <c r="E384" s="134"/>
      <c r="F384" s="134"/>
      <c r="G384" s="134"/>
      <c r="H384" s="134"/>
      <c r="I384" s="134"/>
      <c r="J384" s="135"/>
      <c r="K384" s="135"/>
      <c r="L384" s="134">
        <f>ROUND(D384*K384,2)</f>
        <v>0</v>
      </c>
      <c r="M384" s="136"/>
    </row>
    <row r="385" spans="1:13" s="131" customFormat="1" ht="12.75">
      <c r="A385" s="139"/>
      <c r="B385" s="140"/>
      <c r="C385" s="141"/>
      <c r="D385" s="142"/>
      <c r="E385" s="143"/>
      <c r="F385" s="142"/>
      <c r="G385" s="142"/>
      <c r="H385" s="143"/>
      <c r="I385" s="143"/>
      <c r="J385" s="144"/>
      <c r="K385" s="144"/>
      <c r="L385" s="142"/>
      <c r="M385" s="145"/>
    </row>
    <row r="386" spans="1:13" ht="12.75">
      <c r="A386" s="184" t="str">
        <f>'BM02'!A143</f>
        <v>1.11.20</v>
      </c>
      <c r="B386" s="211" t="str">
        <f>'BM02'!B143</f>
        <v>Bancada em granito cinza andorinha, e=2cm</v>
      </c>
      <c r="C386" s="212"/>
      <c r="D386" s="212"/>
      <c r="E386" s="212"/>
      <c r="F386" s="212"/>
      <c r="G386" s="212"/>
      <c r="H386" s="212"/>
      <c r="I386" s="212"/>
      <c r="J386" s="212"/>
      <c r="K386" s="213"/>
      <c r="L386" s="129">
        <f>K387</f>
        <v>0</v>
      </c>
      <c r="M386" s="130" t="str">
        <f>'BM02'!C143</f>
        <v>m²</v>
      </c>
    </row>
    <row r="387" spans="1:13" s="131" customFormat="1" ht="12.75">
      <c r="A387" s="132"/>
      <c r="B387" s="209"/>
      <c r="C387" s="210"/>
      <c r="D387" s="134"/>
      <c r="E387" s="134"/>
      <c r="F387" s="134"/>
      <c r="G387" s="134"/>
      <c r="H387" s="134"/>
      <c r="I387" s="134"/>
      <c r="J387" s="135"/>
      <c r="K387" s="135"/>
      <c r="L387" s="134">
        <f>ROUND(D387*K387,2)</f>
        <v>0</v>
      </c>
      <c r="M387" s="136"/>
    </row>
    <row r="388" spans="1:13" s="131" customFormat="1" ht="12.75">
      <c r="A388" s="139"/>
      <c r="B388" s="140"/>
      <c r="C388" s="141"/>
      <c r="D388" s="142"/>
      <c r="E388" s="143"/>
      <c r="F388" s="142"/>
      <c r="G388" s="142"/>
      <c r="H388" s="143"/>
      <c r="I388" s="143"/>
      <c r="J388" s="144"/>
      <c r="K388" s="144"/>
      <c r="L388" s="142"/>
      <c r="M388" s="145"/>
    </row>
    <row r="389" spans="1:13" ht="30" customHeight="1">
      <c r="A389" s="128" t="str">
        <f>'BM02'!A144</f>
        <v>1.11.21</v>
      </c>
      <c r="B389" s="211" t="str">
        <f>'BM02'!B144</f>
        <v>PONTO DE CONSUMO TERMINAL DE ÁGUA FRIA (SUBRAMAL) COM TUBULAÇÃO DE PVC, DN 25 MM, INSTALADO EM RAMAL DE ÁGUA, INCLUSOS RASGO E CHUMBAMENTO EM ALVENARIA. AF_12/2014</v>
      </c>
      <c r="C389" s="212"/>
      <c r="D389" s="212"/>
      <c r="E389" s="212"/>
      <c r="F389" s="212"/>
      <c r="G389" s="212"/>
      <c r="H389" s="212"/>
      <c r="I389" s="212"/>
      <c r="J389" s="212"/>
      <c r="K389" s="213"/>
      <c r="L389" s="129">
        <f>SUM(L390:L394)</f>
        <v>14</v>
      </c>
      <c r="M389" s="130" t="str">
        <f>'BM02'!C144</f>
        <v>un</v>
      </c>
    </row>
    <row r="390" spans="1:13" s="131" customFormat="1" ht="12.75">
      <c r="A390" s="132"/>
      <c r="B390" s="209" t="s">
        <v>515</v>
      </c>
      <c r="C390" s="210"/>
      <c r="D390" s="134">
        <v>5</v>
      </c>
      <c r="E390" s="134"/>
      <c r="F390" s="134"/>
      <c r="G390" s="134"/>
      <c r="H390" s="134"/>
      <c r="I390" s="134"/>
      <c r="J390" s="135"/>
      <c r="K390" s="135">
        <f>D390</f>
        <v>5</v>
      </c>
      <c r="L390" s="134">
        <f>K390</f>
        <v>5</v>
      </c>
      <c r="M390" s="136"/>
    </row>
    <row r="391" spans="1:13" s="131" customFormat="1" ht="12.75">
      <c r="A391" s="132"/>
      <c r="B391" s="209" t="s">
        <v>516</v>
      </c>
      <c r="C391" s="210"/>
      <c r="D391" s="134">
        <v>5</v>
      </c>
      <c r="E391" s="134"/>
      <c r="F391" s="134"/>
      <c r="G391" s="134"/>
      <c r="H391" s="134"/>
      <c r="I391" s="134"/>
      <c r="J391" s="135"/>
      <c r="K391" s="135">
        <f t="shared" ref="K391:K394" si="20">D391</f>
        <v>5</v>
      </c>
      <c r="L391" s="134">
        <f t="shared" ref="L391:L394" si="21">K391</f>
        <v>5</v>
      </c>
      <c r="M391" s="136"/>
    </row>
    <row r="392" spans="1:13" s="131" customFormat="1" ht="12.75">
      <c r="A392" s="132"/>
      <c r="B392" s="209" t="s">
        <v>517</v>
      </c>
      <c r="C392" s="210"/>
      <c r="D392" s="134">
        <v>1</v>
      </c>
      <c r="E392" s="134"/>
      <c r="F392" s="134"/>
      <c r="G392" s="134"/>
      <c r="H392" s="134"/>
      <c r="I392" s="134"/>
      <c r="J392" s="135"/>
      <c r="K392" s="135">
        <f t="shared" si="20"/>
        <v>1</v>
      </c>
      <c r="L392" s="134">
        <f t="shared" si="21"/>
        <v>1</v>
      </c>
      <c r="M392" s="136"/>
    </row>
    <row r="393" spans="1:13" s="131" customFormat="1" ht="12.75">
      <c r="A393" s="132"/>
      <c r="B393" s="209" t="s">
        <v>518</v>
      </c>
      <c r="C393" s="210"/>
      <c r="D393" s="134">
        <v>1</v>
      </c>
      <c r="E393" s="134"/>
      <c r="F393" s="134"/>
      <c r="G393" s="134"/>
      <c r="H393" s="134"/>
      <c r="I393" s="134"/>
      <c r="J393" s="135"/>
      <c r="K393" s="135">
        <f t="shared" si="20"/>
        <v>1</v>
      </c>
      <c r="L393" s="134">
        <f t="shared" si="21"/>
        <v>1</v>
      </c>
      <c r="M393" s="136"/>
    </row>
    <row r="394" spans="1:13" s="131" customFormat="1" ht="28.9" customHeight="1">
      <c r="A394" s="132"/>
      <c r="B394" s="209" t="s">
        <v>519</v>
      </c>
      <c r="C394" s="210"/>
      <c r="D394" s="134">
        <v>2</v>
      </c>
      <c r="E394" s="134"/>
      <c r="F394" s="134"/>
      <c r="G394" s="134"/>
      <c r="H394" s="134"/>
      <c r="I394" s="134"/>
      <c r="J394" s="135"/>
      <c r="K394" s="135">
        <f t="shared" si="20"/>
        <v>2</v>
      </c>
      <c r="L394" s="134">
        <f t="shared" si="21"/>
        <v>2</v>
      </c>
      <c r="M394" s="136"/>
    </row>
    <row r="395" spans="1:13" s="131" customFormat="1" ht="12.75">
      <c r="A395" s="139"/>
      <c r="B395" s="140"/>
      <c r="C395" s="141"/>
      <c r="D395" s="142"/>
      <c r="E395" s="143"/>
      <c r="F395" s="142"/>
      <c r="G395" s="142"/>
      <c r="H395" s="143"/>
      <c r="I395" s="143"/>
      <c r="J395" s="144"/>
      <c r="K395" s="144"/>
      <c r="L395" s="142"/>
      <c r="M395" s="145"/>
    </row>
    <row r="396" spans="1:13" ht="30" customHeight="1">
      <c r="A396" s="128" t="str">
        <f>'BM02'!A145</f>
        <v>1.11.22</v>
      </c>
      <c r="B396" s="211" t="str">
        <f>'BM02'!B145</f>
        <v>CAIXA ENTERRADA HIDRÁULICA RETANGULAR EM ALVENARIA COM TIJOLOS CERÂMICOS MACIÇOS, DIMENSÕES INTERNAS: 0,4X0,4X0,4 M PARA REDE DE ESGOTO. AF_12/2020</v>
      </c>
      <c r="C396" s="212"/>
      <c r="D396" s="212"/>
      <c r="E396" s="212"/>
      <c r="F396" s="212"/>
      <c r="G396" s="212"/>
      <c r="H396" s="212"/>
      <c r="I396" s="212"/>
      <c r="J396" s="212"/>
      <c r="K396" s="213"/>
      <c r="L396" s="129">
        <f>K397</f>
        <v>0</v>
      </c>
      <c r="M396" s="130" t="str">
        <f>'BM02'!C145</f>
        <v>un</v>
      </c>
    </row>
    <row r="397" spans="1:13" s="131" customFormat="1" ht="12.75">
      <c r="A397" s="132"/>
      <c r="B397" s="209"/>
      <c r="C397" s="210"/>
      <c r="D397" s="134"/>
      <c r="E397" s="134"/>
      <c r="F397" s="134"/>
      <c r="G397" s="134"/>
      <c r="H397" s="134"/>
      <c r="I397" s="134"/>
      <c r="J397" s="135"/>
      <c r="K397" s="135"/>
      <c r="L397" s="134">
        <f>ROUND(D397*K397,2)</f>
        <v>0</v>
      </c>
      <c r="M397" s="136"/>
    </row>
    <row r="398" spans="1:13" s="131" customFormat="1" ht="12.75">
      <c r="A398" s="139"/>
      <c r="B398" s="140"/>
      <c r="C398" s="141"/>
      <c r="D398" s="142"/>
      <c r="E398" s="143"/>
      <c r="F398" s="142"/>
      <c r="G398" s="142"/>
      <c r="H398" s="143"/>
      <c r="I398" s="143"/>
      <c r="J398" s="144"/>
      <c r="K398" s="144"/>
      <c r="L398" s="142"/>
      <c r="M398" s="145"/>
    </row>
    <row r="399" spans="1:13" ht="69" customHeight="1">
      <c r="A399" s="128" t="str">
        <f>'BM02'!A146</f>
        <v>1.11.23</v>
      </c>
      <c r="B399" s="279" t="s">
        <v>213</v>
      </c>
      <c r="C399" s="280"/>
      <c r="D399" s="280"/>
      <c r="E399" s="280"/>
      <c r="F399" s="280"/>
      <c r="G399" s="280"/>
      <c r="H399" s="280"/>
      <c r="I399" s="280"/>
      <c r="J399" s="280"/>
      <c r="K399" s="281"/>
      <c r="L399" s="129">
        <f>K400</f>
        <v>0</v>
      </c>
      <c r="M399" s="130" t="str">
        <f>'BM02'!C146</f>
        <v>un</v>
      </c>
    </row>
    <row r="400" spans="1:13" s="131" customFormat="1" ht="12.75">
      <c r="A400" s="132"/>
      <c r="B400" s="209"/>
      <c r="C400" s="210"/>
      <c r="D400" s="134"/>
      <c r="E400" s="134"/>
      <c r="F400" s="134"/>
      <c r="G400" s="134"/>
      <c r="H400" s="134"/>
      <c r="I400" s="134"/>
      <c r="J400" s="135"/>
      <c r="K400" s="135"/>
      <c r="L400" s="134">
        <f>ROUND(D400*K400,2)</f>
        <v>0</v>
      </c>
      <c r="M400" s="136"/>
    </row>
    <row r="401" spans="1:13" s="131" customFormat="1" ht="12.75">
      <c r="A401" s="139"/>
      <c r="B401" s="140"/>
      <c r="C401" s="141"/>
      <c r="D401" s="142"/>
      <c r="E401" s="143"/>
      <c r="F401" s="142"/>
      <c r="G401" s="142"/>
      <c r="H401" s="143"/>
      <c r="I401" s="143"/>
      <c r="J401" s="144"/>
      <c r="K401" s="144"/>
      <c r="L401" s="142"/>
      <c r="M401" s="145"/>
    </row>
    <row r="402" spans="1:13" ht="12.75">
      <c r="A402" s="184" t="str">
        <f>'BM02'!A147</f>
        <v>1.11.24</v>
      </c>
      <c r="B402" s="211" t="str">
        <f>'BM02'!B147</f>
        <v>Caixa d´água em fibra de vidro - instalada, sem estrutura de suporte cap. 10.000 litros</v>
      </c>
      <c r="C402" s="212"/>
      <c r="D402" s="212"/>
      <c r="E402" s="212"/>
      <c r="F402" s="212"/>
      <c r="G402" s="212"/>
      <c r="H402" s="212"/>
      <c r="I402" s="212"/>
      <c r="J402" s="212"/>
      <c r="K402" s="213"/>
      <c r="L402" s="129">
        <f>K403</f>
        <v>0</v>
      </c>
      <c r="M402" s="130" t="str">
        <f>'BM02'!C147</f>
        <v>un</v>
      </c>
    </row>
    <row r="403" spans="1:13" s="131" customFormat="1" ht="12.75">
      <c r="A403" s="132"/>
      <c r="B403" s="209"/>
      <c r="C403" s="210"/>
      <c r="D403" s="134"/>
      <c r="E403" s="134"/>
      <c r="F403" s="134"/>
      <c r="G403" s="134"/>
      <c r="H403" s="134"/>
      <c r="I403" s="134"/>
      <c r="J403" s="135"/>
      <c r="K403" s="135"/>
      <c r="L403" s="134">
        <f>ROUND(D403*K403,2)</f>
        <v>0</v>
      </c>
      <c r="M403" s="136"/>
    </row>
    <row r="404" spans="1:13" s="131" customFormat="1" ht="13.5" thickBot="1">
      <c r="A404" s="139"/>
      <c r="B404" s="140"/>
      <c r="C404" s="141"/>
      <c r="D404" s="142"/>
      <c r="E404" s="143"/>
      <c r="F404" s="142"/>
      <c r="G404" s="142"/>
      <c r="H404" s="143"/>
      <c r="I404" s="143"/>
      <c r="J404" s="144"/>
      <c r="K404" s="144"/>
      <c r="L404" s="142"/>
      <c r="M404" s="145"/>
    </row>
    <row r="405" spans="1:13" ht="13.5" thickBot="1">
      <c r="A405" s="121" t="str">
        <f>'BM02'!A149</f>
        <v>1.12</v>
      </c>
      <c r="B405" s="122" t="str">
        <f>'BM02'!B149</f>
        <v>INSTALAÇÕES SANITÁRIAS</v>
      </c>
      <c r="C405" s="122"/>
      <c r="D405" s="122"/>
      <c r="E405" s="122"/>
      <c r="F405" s="122"/>
      <c r="G405" s="122"/>
      <c r="H405" s="122"/>
      <c r="I405" s="122"/>
      <c r="J405" s="122"/>
      <c r="K405" s="122"/>
      <c r="L405" s="122"/>
      <c r="M405" s="123"/>
    </row>
    <row r="406" spans="1:13" ht="12.75">
      <c r="A406" s="124"/>
      <c r="B406" s="125"/>
      <c r="C406" s="125"/>
      <c r="D406" s="125"/>
      <c r="E406" s="125"/>
      <c r="F406" s="125"/>
      <c r="G406" s="125"/>
      <c r="H406" s="125"/>
      <c r="I406" s="125"/>
      <c r="J406" s="125"/>
      <c r="K406" s="126"/>
      <c r="L406" s="125"/>
      <c r="M406" s="127"/>
    </row>
    <row r="407" spans="1:13" ht="30" customHeight="1">
      <c r="A407" s="128" t="str">
        <f>'BM02'!A151</f>
        <v>1.12.1</v>
      </c>
      <c r="B407" s="211" t="str">
        <f>'BM02'!B151</f>
        <v>RALO SIFONADO, PVC, DN 100 X 40 MM, JUNTA SOLDÁVEL, FORNECIDO E INSTALADO EM RAMAL DE DESCARGA OU EM RAMAL DE ESGOTO SANITÁRIO. AF_12/2014</v>
      </c>
      <c r="C407" s="212"/>
      <c r="D407" s="212"/>
      <c r="E407" s="212"/>
      <c r="F407" s="212"/>
      <c r="G407" s="212"/>
      <c r="H407" s="212"/>
      <c r="I407" s="212"/>
      <c r="J407" s="212"/>
      <c r="K407" s="213"/>
      <c r="L407" s="129">
        <f>K408</f>
        <v>0</v>
      </c>
      <c r="M407" s="130" t="str">
        <f>'BM02'!C151</f>
        <v>un</v>
      </c>
    </row>
    <row r="408" spans="1:13" s="131" customFormat="1" ht="12.75">
      <c r="A408" s="132"/>
      <c r="B408" s="209"/>
      <c r="C408" s="210"/>
      <c r="D408" s="134"/>
      <c r="E408" s="134"/>
      <c r="F408" s="134"/>
      <c r="G408" s="134"/>
      <c r="H408" s="134"/>
      <c r="I408" s="134"/>
      <c r="J408" s="135"/>
      <c r="K408" s="135"/>
      <c r="L408" s="134">
        <f>ROUND(D408*K408,2)</f>
        <v>0</v>
      </c>
      <c r="M408" s="136"/>
    </row>
    <row r="409" spans="1:13" s="131" customFormat="1" ht="12.75">
      <c r="A409" s="139"/>
      <c r="B409" s="140"/>
      <c r="C409" s="141"/>
      <c r="D409" s="142"/>
      <c r="E409" s="143"/>
      <c r="F409" s="142"/>
      <c r="G409" s="142"/>
      <c r="H409" s="143"/>
      <c r="I409" s="143"/>
      <c r="J409" s="144"/>
      <c r="K409" s="144"/>
      <c r="L409" s="142"/>
      <c r="M409" s="145"/>
    </row>
    <row r="410" spans="1:13" ht="43.15" customHeight="1">
      <c r="A410" s="128" t="str">
        <f>'BM02'!A152</f>
        <v>1.12.2</v>
      </c>
      <c r="B410" s="211" t="str">
        <f>'BM02'!B152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410" s="212"/>
      <c r="D410" s="212"/>
      <c r="E410" s="212"/>
      <c r="F410" s="212"/>
      <c r="G410" s="212"/>
      <c r="H410" s="212"/>
      <c r="I410" s="212"/>
      <c r="J410" s="212"/>
      <c r="K410" s="213"/>
      <c r="L410" s="129">
        <f>K411</f>
        <v>0</v>
      </c>
      <c r="M410" s="130" t="str">
        <f>'BM02'!C152</f>
        <v>m</v>
      </c>
    </row>
    <row r="411" spans="1:13" s="131" customFormat="1" ht="12.75">
      <c r="A411" s="132"/>
      <c r="B411" s="209"/>
      <c r="C411" s="210"/>
      <c r="D411" s="134"/>
      <c r="E411" s="134"/>
      <c r="F411" s="134"/>
      <c r="G411" s="134"/>
      <c r="H411" s="134"/>
      <c r="I411" s="134"/>
      <c r="J411" s="135"/>
      <c r="K411" s="135"/>
      <c r="L411" s="134">
        <f>ROUND(D411*K411,2)</f>
        <v>0</v>
      </c>
      <c r="M411" s="136"/>
    </row>
    <row r="412" spans="1:13" s="131" customFormat="1" ht="12.75">
      <c r="A412" s="139"/>
      <c r="B412" s="140"/>
      <c r="C412" s="141"/>
      <c r="D412" s="142"/>
      <c r="E412" s="143"/>
      <c r="F412" s="142"/>
      <c r="G412" s="142"/>
      <c r="H412" s="143"/>
      <c r="I412" s="143"/>
      <c r="J412" s="144"/>
      <c r="K412" s="144"/>
      <c r="L412" s="142"/>
      <c r="M412" s="145"/>
    </row>
    <row r="413" spans="1:13" ht="12.75">
      <c r="A413" s="184" t="str">
        <f>'BM02'!A153</f>
        <v>1.12.3</v>
      </c>
      <c r="B413" s="211" t="str">
        <f>'BM02'!B153</f>
        <v>Caixa de inspeção 0.60 x 0.60 x 0.60m</v>
      </c>
      <c r="C413" s="212"/>
      <c r="D413" s="212"/>
      <c r="E413" s="212"/>
      <c r="F413" s="212"/>
      <c r="G413" s="212"/>
      <c r="H413" s="212"/>
      <c r="I413" s="212"/>
      <c r="J413" s="212"/>
      <c r="K413" s="213"/>
      <c r="L413" s="129">
        <f>K414</f>
        <v>0</v>
      </c>
      <c r="M413" s="130" t="str">
        <f>'BM02'!C153</f>
        <v>un</v>
      </c>
    </row>
    <row r="414" spans="1:13" s="131" customFormat="1" ht="12.75">
      <c r="A414" s="132"/>
      <c r="B414" s="209"/>
      <c r="C414" s="210"/>
      <c r="D414" s="134"/>
      <c r="E414" s="134"/>
      <c r="F414" s="134"/>
      <c r="G414" s="134"/>
      <c r="H414" s="134"/>
      <c r="I414" s="134"/>
      <c r="J414" s="135"/>
      <c r="K414" s="135"/>
      <c r="L414" s="134">
        <f>ROUND(D414*K414,2)</f>
        <v>0</v>
      </c>
      <c r="M414" s="136"/>
    </row>
    <row r="415" spans="1:13" s="131" customFormat="1" ht="12.75">
      <c r="A415" s="139"/>
      <c r="B415" s="140"/>
      <c r="C415" s="141"/>
      <c r="D415" s="142"/>
      <c r="E415" s="143"/>
      <c r="F415" s="142"/>
      <c r="G415" s="142"/>
      <c r="H415" s="143"/>
      <c r="I415" s="143"/>
      <c r="J415" s="144"/>
      <c r="K415" s="144"/>
      <c r="L415" s="142"/>
      <c r="M415" s="145"/>
    </row>
    <row r="416" spans="1:13" ht="12.75">
      <c r="A416" s="184" t="str">
        <f>'BM02'!A154</f>
        <v>1.12.4</v>
      </c>
      <c r="B416" s="211" t="str">
        <f>'BM02'!B154</f>
        <v>Caixa de inspeção 0,30 x 0,30 x 0,40m</v>
      </c>
      <c r="C416" s="212"/>
      <c r="D416" s="212"/>
      <c r="E416" s="212"/>
      <c r="F416" s="212"/>
      <c r="G416" s="212"/>
      <c r="H416" s="212"/>
      <c r="I416" s="212"/>
      <c r="J416" s="212"/>
      <c r="K416" s="213"/>
      <c r="L416" s="129">
        <f>K417</f>
        <v>0</v>
      </c>
      <c r="M416" s="130" t="str">
        <f>'BM02'!C154</f>
        <v>un</v>
      </c>
    </row>
    <row r="417" spans="1:13" s="131" customFormat="1" ht="12.75">
      <c r="A417" s="132"/>
      <c r="B417" s="209"/>
      <c r="C417" s="210"/>
      <c r="D417" s="134"/>
      <c r="E417" s="134"/>
      <c r="F417" s="134"/>
      <c r="G417" s="134"/>
      <c r="H417" s="134"/>
      <c r="I417" s="134"/>
      <c r="J417" s="135"/>
      <c r="K417" s="135"/>
      <c r="L417" s="134">
        <f>ROUND(D417*K417,2)</f>
        <v>0</v>
      </c>
      <c r="M417" s="136"/>
    </row>
    <row r="418" spans="1:13" s="131" customFormat="1" ht="12.75">
      <c r="A418" s="139"/>
      <c r="B418" s="140"/>
      <c r="C418" s="141"/>
      <c r="D418" s="142"/>
      <c r="E418" s="143"/>
      <c r="F418" s="142"/>
      <c r="G418" s="142"/>
      <c r="H418" s="143"/>
      <c r="I418" s="143"/>
      <c r="J418" s="144"/>
      <c r="K418" s="144"/>
      <c r="L418" s="142"/>
      <c r="M418" s="145"/>
    </row>
    <row r="419" spans="1:13" ht="12.75">
      <c r="A419" s="184" t="str">
        <f>'BM02'!A155</f>
        <v>1.12.5</v>
      </c>
      <c r="B419" s="211" t="str">
        <f>'BM02'!B155</f>
        <v>Caixa de passagem em alvenaria de tijolos maciços esp. = 0,12m, dim. int. = 0.50 x 0.50 x 0.50m</v>
      </c>
      <c r="C419" s="212"/>
      <c r="D419" s="212"/>
      <c r="E419" s="212"/>
      <c r="F419" s="212"/>
      <c r="G419" s="212"/>
      <c r="H419" s="212"/>
      <c r="I419" s="212"/>
      <c r="J419" s="212"/>
      <c r="K419" s="213"/>
      <c r="L419" s="129">
        <f>K420</f>
        <v>0</v>
      </c>
      <c r="M419" s="130" t="str">
        <f>'BM02'!C155</f>
        <v>un</v>
      </c>
    </row>
    <row r="420" spans="1:13" s="131" customFormat="1" ht="12.75">
      <c r="A420" s="132"/>
      <c r="B420" s="209"/>
      <c r="C420" s="210"/>
      <c r="D420" s="134"/>
      <c r="E420" s="134"/>
      <c r="F420" s="134"/>
      <c r="G420" s="134"/>
      <c r="H420" s="134"/>
      <c r="I420" s="134"/>
      <c r="J420" s="135"/>
      <c r="K420" s="135"/>
      <c r="L420" s="134">
        <f>ROUND(D420*K420,2)</f>
        <v>0</v>
      </c>
      <c r="M420" s="136"/>
    </row>
    <row r="421" spans="1:13" s="131" customFormat="1" ht="12.75">
      <c r="A421" s="139"/>
      <c r="B421" s="140"/>
      <c r="C421" s="141"/>
      <c r="D421" s="142"/>
      <c r="E421" s="143"/>
      <c r="F421" s="142"/>
      <c r="G421" s="142"/>
      <c r="H421" s="143"/>
      <c r="I421" s="143"/>
      <c r="J421" s="144"/>
      <c r="K421" s="144"/>
      <c r="L421" s="142"/>
      <c r="M421" s="145"/>
    </row>
    <row r="422" spans="1:13" ht="12.75">
      <c r="A422" s="184" t="str">
        <f>'BM02'!A156</f>
        <v>1.12.6</v>
      </c>
      <c r="B422" s="211" t="str">
        <f>'BM02'!B156</f>
        <v>Ponto de esgoto com tubo de pvc rígido soldável de Ø 40 mm (lavatórios, mictórios, ralos sifonados, etc...)</v>
      </c>
      <c r="C422" s="212"/>
      <c r="D422" s="212"/>
      <c r="E422" s="212"/>
      <c r="F422" s="212"/>
      <c r="G422" s="212"/>
      <c r="H422" s="212"/>
      <c r="I422" s="212"/>
      <c r="J422" s="212"/>
      <c r="K422" s="213"/>
      <c r="L422" s="129">
        <f>SUM(L423:L424)</f>
        <v>10</v>
      </c>
      <c r="M422" s="130" t="str">
        <f>'BM02'!C156</f>
        <v>un</v>
      </c>
    </row>
    <row r="423" spans="1:13" s="131" customFormat="1" ht="12.75">
      <c r="A423" s="132"/>
      <c r="B423" s="209" t="s">
        <v>515</v>
      </c>
      <c r="C423" s="210"/>
      <c r="D423" s="134">
        <v>5</v>
      </c>
      <c r="E423" s="134"/>
      <c r="F423" s="134"/>
      <c r="G423" s="134"/>
      <c r="H423" s="134"/>
      <c r="I423" s="134"/>
      <c r="J423" s="135"/>
      <c r="K423" s="135">
        <f>D423</f>
        <v>5</v>
      </c>
      <c r="L423" s="134">
        <f>K423</f>
        <v>5</v>
      </c>
      <c r="M423" s="136"/>
    </row>
    <row r="424" spans="1:13" s="131" customFormat="1" ht="12.75">
      <c r="A424" s="132"/>
      <c r="B424" s="209" t="s">
        <v>520</v>
      </c>
      <c r="C424" s="210"/>
      <c r="D424" s="134">
        <v>5</v>
      </c>
      <c r="E424" s="134"/>
      <c r="F424" s="134"/>
      <c r="G424" s="134"/>
      <c r="H424" s="134"/>
      <c r="I424" s="134"/>
      <c r="J424" s="135"/>
      <c r="K424" s="135">
        <f>D424</f>
        <v>5</v>
      </c>
      <c r="L424" s="134">
        <f>K424</f>
        <v>5</v>
      </c>
      <c r="M424" s="136"/>
    </row>
    <row r="425" spans="1:13" s="131" customFormat="1" ht="12.75">
      <c r="A425" s="139"/>
      <c r="B425" s="140"/>
      <c r="C425" s="141"/>
      <c r="D425" s="142"/>
      <c r="E425" s="143"/>
      <c r="F425" s="142"/>
      <c r="G425" s="142"/>
      <c r="H425" s="143"/>
      <c r="I425" s="143"/>
      <c r="J425" s="144"/>
      <c r="K425" s="144"/>
      <c r="L425" s="142"/>
      <c r="M425" s="145"/>
    </row>
    <row r="426" spans="1:13" ht="12.75">
      <c r="A426" s="184" t="str">
        <f>'BM02'!A157</f>
        <v>1.12.7</v>
      </c>
      <c r="B426" s="211" t="str">
        <f>'BM02'!B157</f>
        <v>Ponto de esgoto com tubo de pvc rígido soldável de Ø 50 mm (pias de cozinha, máquinas de lavar, etc...)</v>
      </c>
      <c r="C426" s="212"/>
      <c r="D426" s="212"/>
      <c r="E426" s="212"/>
      <c r="F426" s="212"/>
      <c r="G426" s="212"/>
      <c r="H426" s="212"/>
      <c r="I426" s="212"/>
      <c r="J426" s="212"/>
      <c r="K426" s="213"/>
      <c r="L426" s="129">
        <f>SUM(L427:L428)</f>
        <v>2</v>
      </c>
      <c r="M426" s="130" t="str">
        <f>'BM02'!C157</f>
        <v>un</v>
      </c>
    </row>
    <row r="427" spans="1:13" s="131" customFormat="1" ht="12.75">
      <c r="A427" s="132"/>
      <c r="B427" s="209" t="s">
        <v>508</v>
      </c>
      <c r="C427" s="210"/>
      <c r="D427" s="134">
        <v>1</v>
      </c>
      <c r="E427" s="134"/>
      <c r="F427" s="134"/>
      <c r="G427" s="134"/>
      <c r="H427" s="134"/>
      <c r="I427" s="134"/>
      <c r="J427" s="135"/>
      <c r="K427" s="135">
        <f>D427</f>
        <v>1</v>
      </c>
      <c r="L427" s="134">
        <f>K427</f>
        <v>1</v>
      </c>
      <c r="M427" s="136"/>
    </row>
    <row r="428" spans="1:13" s="131" customFormat="1" ht="12.75">
      <c r="A428" s="132"/>
      <c r="B428" s="209" t="s">
        <v>510</v>
      </c>
      <c r="C428" s="210"/>
      <c r="D428" s="134">
        <v>1</v>
      </c>
      <c r="E428" s="134"/>
      <c r="F428" s="134"/>
      <c r="G428" s="134"/>
      <c r="H428" s="134"/>
      <c r="I428" s="134"/>
      <c r="J428" s="135"/>
      <c r="K428" s="135">
        <f>D428</f>
        <v>1</v>
      </c>
      <c r="L428" s="134">
        <f>K428</f>
        <v>1</v>
      </c>
      <c r="M428" s="136"/>
    </row>
    <row r="429" spans="1:13" s="131" customFormat="1" ht="12.75">
      <c r="A429" s="139"/>
      <c r="B429" s="140"/>
      <c r="C429" s="141"/>
      <c r="D429" s="142"/>
      <c r="E429" s="143"/>
      <c r="F429" s="142"/>
      <c r="G429" s="142"/>
      <c r="H429" s="143"/>
      <c r="I429" s="143"/>
      <c r="J429" s="144"/>
      <c r="K429" s="144"/>
      <c r="L429" s="142"/>
      <c r="M429" s="145"/>
    </row>
    <row r="430" spans="1:13" ht="12.75">
      <c r="A430" s="184" t="str">
        <f>'BM02'!A158</f>
        <v>1.12.8</v>
      </c>
      <c r="B430" s="211" t="str">
        <f>'BM02'!B158</f>
        <v>Ponto de esgoto com tubo de pvc rígido soldável de Ø 100 mm (vaso sanitário)</v>
      </c>
      <c r="C430" s="212"/>
      <c r="D430" s="212"/>
      <c r="E430" s="212"/>
      <c r="F430" s="212"/>
      <c r="G430" s="212"/>
      <c r="H430" s="212"/>
      <c r="I430" s="212"/>
      <c r="J430" s="212"/>
      <c r="K430" s="213"/>
      <c r="L430" s="129">
        <f>SUM(L431:L431)</f>
        <v>5</v>
      </c>
      <c r="M430" s="130" t="str">
        <f>'BM02'!C158</f>
        <v>pt</v>
      </c>
    </row>
    <row r="431" spans="1:13" s="131" customFormat="1" ht="12.75">
      <c r="A431" s="132"/>
      <c r="B431" s="209" t="s">
        <v>516</v>
      </c>
      <c r="C431" s="210"/>
      <c r="D431" s="134">
        <v>5</v>
      </c>
      <c r="E431" s="134"/>
      <c r="F431" s="134"/>
      <c r="G431" s="134"/>
      <c r="H431" s="134"/>
      <c r="I431" s="134"/>
      <c r="J431" s="135"/>
      <c r="K431" s="135">
        <f>D431</f>
        <v>5</v>
      </c>
      <c r="L431" s="134">
        <f>K431</f>
        <v>5</v>
      </c>
      <c r="M431" s="136"/>
    </row>
    <row r="432" spans="1:13" s="131" customFormat="1" ht="13.5" thickBot="1">
      <c r="A432" s="139"/>
      <c r="B432" s="140"/>
      <c r="C432" s="141"/>
      <c r="D432" s="142"/>
      <c r="E432" s="143"/>
      <c r="F432" s="142"/>
      <c r="G432" s="142"/>
      <c r="H432" s="143"/>
      <c r="I432" s="143"/>
      <c r="J432" s="144"/>
      <c r="K432" s="144"/>
      <c r="L432" s="142"/>
      <c r="M432" s="145"/>
    </row>
    <row r="433" spans="1:13" ht="13.5" thickBot="1">
      <c r="A433" s="121" t="str">
        <f>'BM02'!A160</f>
        <v>1.13</v>
      </c>
      <c r="B433" s="122" t="str">
        <f>'BM02'!B160</f>
        <v>INSTALAÇÕES ELÉTRICAS, TELEFONICAS E MECANICAS</v>
      </c>
      <c r="C433" s="122"/>
      <c r="D433" s="122"/>
      <c r="E433" s="122"/>
      <c r="F433" s="122"/>
      <c r="G433" s="122"/>
      <c r="H433" s="122"/>
      <c r="I433" s="122"/>
      <c r="J433" s="122"/>
      <c r="K433" s="122"/>
      <c r="L433" s="122"/>
      <c r="M433" s="123"/>
    </row>
    <row r="434" spans="1:13" ht="12.75">
      <c r="A434" s="124"/>
      <c r="B434" s="125"/>
      <c r="C434" s="125"/>
      <c r="D434" s="125"/>
      <c r="E434" s="125"/>
      <c r="F434" s="125"/>
      <c r="G434" s="125"/>
      <c r="H434" s="125"/>
      <c r="I434" s="125"/>
      <c r="J434" s="125"/>
      <c r="K434" s="126"/>
      <c r="L434" s="125"/>
      <c r="M434" s="127"/>
    </row>
    <row r="435" spans="1:13" ht="12.75">
      <c r="A435" s="184" t="str">
        <f>'BM02'!A162</f>
        <v>1.13.1</v>
      </c>
      <c r="B435" s="211" t="str">
        <f>'BM02'!B162</f>
        <v>Caixa de passagem em alvenaria de tijolos maciços esp. = 0,12m, dim. int. = 0.50 x 0.50 x 0.50m</v>
      </c>
      <c r="C435" s="212"/>
      <c r="D435" s="212"/>
      <c r="E435" s="212"/>
      <c r="F435" s="212"/>
      <c r="G435" s="212"/>
      <c r="H435" s="212"/>
      <c r="I435" s="212"/>
      <c r="J435" s="212"/>
      <c r="K435" s="213"/>
      <c r="L435" s="129">
        <f>K436</f>
        <v>0</v>
      </c>
      <c r="M435" s="185" t="str">
        <f>'BM02'!C162</f>
        <v>un</v>
      </c>
    </row>
    <row r="436" spans="1:13" s="131" customFormat="1" ht="12.75">
      <c r="A436" s="132"/>
      <c r="B436" s="209"/>
      <c r="C436" s="210"/>
      <c r="D436" s="134"/>
      <c r="E436" s="134"/>
      <c r="F436" s="134"/>
      <c r="G436" s="134"/>
      <c r="H436" s="134"/>
      <c r="I436" s="134"/>
      <c r="J436" s="135"/>
      <c r="K436" s="135"/>
      <c r="L436" s="134">
        <f>ROUND(D436*K436,2)</f>
        <v>0</v>
      </c>
      <c r="M436" s="136"/>
    </row>
    <row r="437" spans="1:13" s="131" customFormat="1" ht="12.75">
      <c r="A437" s="139"/>
      <c r="B437" s="140"/>
      <c r="C437" s="141"/>
      <c r="D437" s="142"/>
      <c r="E437" s="143"/>
      <c r="F437" s="142"/>
      <c r="G437" s="142"/>
      <c r="H437" s="143"/>
      <c r="I437" s="143"/>
      <c r="J437" s="144"/>
      <c r="K437" s="144"/>
      <c r="L437" s="142"/>
      <c r="M437" s="145"/>
    </row>
    <row r="438" spans="1:13" ht="12.75">
      <c r="A438" s="184" t="str">
        <f>'BM02'!A163</f>
        <v>1.13.2</v>
      </c>
      <c r="B438" s="211" t="str">
        <f>'BM02'!B163</f>
        <v>Caixa de passagem em alvenaria de tijolos maciços esp. = 0,12m, dim. int. = 0.60 x 0.60 x 0.60m</v>
      </c>
      <c r="C438" s="212"/>
      <c r="D438" s="212"/>
      <c r="E438" s="212"/>
      <c r="F438" s="212"/>
      <c r="G438" s="212"/>
      <c r="H438" s="212"/>
      <c r="I438" s="212"/>
      <c r="J438" s="212"/>
      <c r="K438" s="213"/>
      <c r="L438" s="129">
        <f>K439</f>
        <v>0</v>
      </c>
      <c r="M438" s="185" t="str">
        <f>'BM02'!C163</f>
        <v>un</v>
      </c>
    </row>
    <row r="439" spans="1:13" s="131" customFormat="1" ht="12.75">
      <c r="A439" s="132"/>
      <c r="B439" s="209"/>
      <c r="C439" s="210"/>
      <c r="D439" s="134"/>
      <c r="E439" s="134"/>
      <c r="F439" s="134"/>
      <c r="G439" s="134"/>
      <c r="H439" s="134"/>
      <c r="I439" s="134"/>
      <c r="J439" s="135"/>
      <c r="K439" s="135"/>
      <c r="L439" s="134">
        <f>ROUND(D439*K439,2)</f>
        <v>0</v>
      </c>
      <c r="M439" s="136"/>
    </row>
    <row r="440" spans="1:13" s="131" customFormat="1" ht="12.75">
      <c r="A440" s="139"/>
      <c r="B440" s="140"/>
      <c r="C440" s="141"/>
      <c r="D440" s="142"/>
      <c r="E440" s="143"/>
      <c r="F440" s="142"/>
      <c r="G440" s="142"/>
      <c r="H440" s="143"/>
      <c r="I440" s="143"/>
      <c r="J440" s="144"/>
      <c r="K440" s="144"/>
      <c r="L440" s="142"/>
      <c r="M440" s="145"/>
    </row>
    <row r="441" spans="1:13" ht="12.75">
      <c r="A441" s="184" t="str">
        <f>'BM02'!A164</f>
        <v>1.13.3</v>
      </c>
      <c r="B441" s="211" t="str">
        <f>'BM02'!B164</f>
        <v>DISJUNTOR TRIPOLAR TIPO DIN, CORRENTE NOMINAL DE 10A - FORNECIMENTO E INSTALAÇÃO. AF_10/2020</v>
      </c>
      <c r="C441" s="212"/>
      <c r="D441" s="212"/>
      <c r="E441" s="212"/>
      <c r="F441" s="212"/>
      <c r="G441" s="212"/>
      <c r="H441" s="212"/>
      <c r="I441" s="212"/>
      <c r="J441" s="212"/>
      <c r="K441" s="213"/>
      <c r="L441" s="129">
        <f>K442</f>
        <v>0</v>
      </c>
      <c r="M441" s="185" t="str">
        <f>'BM02'!C164</f>
        <v>un</v>
      </c>
    </row>
    <row r="442" spans="1:13" s="131" customFormat="1" ht="12.75">
      <c r="A442" s="132"/>
      <c r="B442" s="209"/>
      <c r="C442" s="210"/>
      <c r="D442" s="134"/>
      <c r="E442" s="134"/>
      <c r="F442" s="134"/>
      <c r="G442" s="134"/>
      <c r="H442" s="134"/>
      <c r="I442" s="134"/>
      <c r="J442" s="135"/>
      <c r="K442" s="135"/>
      <c r="L442" s="134">
        <f>ROUND(D442*K442,2)</f>
        <v>0</v>
      </c>
      <c r="M442" s="136"/>
    </row>
    <row r="443" spans="1:13" s="131" customFormat="1" ht="12.75">
      <c r="A443" s="139"/>
      <c r="B443" s="140"/>
      <c r="C443" s="141"/>
      <c r="D443" s="142"/>
      <c r="E443" s="143"/>
      <c r="F443" s="142"/>
      <c r="G443" s="142"/>
      <c r="H443" s="143"/>
      <c r="I443" s="143"/>
      <c r="J443" s="144"/>
      <c r="K443" s="144"/>
      <c r="L443" s="142"/>
      <c r="M443" s="145"/>
    </row>
    <row r="444" spans="1:13" ht="12.75">
      <c r="A444" s="184" t="str">
        <f>'BM02'!A165</f>
        <v>1.13.4</v>
      </c>
      <c r="B444" s="211" t="str">
        <f>'BM02'!B165</f>
        <v>DISJUNTOR TRIPOLAR TIPO DIN, CORRENTE NOMINAL DE 25A - FORNECIMENTO E INSTALAÇÃO. AF_10/2020</v>
      </c>
      <c r="C444" s="212"/>
      <c r="D444" s="212"/>
      <c r="E444" s="212"/>
      <c r="F444" s="212"/>
      <c r="G444" s="212"/>
      <c r="H444" s="212"/>
      <c r="I444" s="212"/>
      <c r="J444" s="212"/>
      <c r="K444" s="213"/>
      <c r="L444" s="129">
        <f>K445</f>
        <v>0</v>
      </c>
      <c r="M444" s="185" t="str">
        <f>'BM02'!C165</f>
        <v>un</v>
      </c>
    </row>
    <row r="445" spans="1:13" s="131" customFormat="1" ht="12.75">
      <c r="A445" s="132"/>
      <c r="B445" s="209"/>
      <c r="C445" s="210"/>
      <c r="D445" s="134"/>
      <c r="E445" s="134"/>
      <c r="F445" s="134"/>
      <c r="G445" s="134"/>
      <c r="H445" s="134"/>
      <c r="I445" s="134"/>
      <c r="J445" s="135"/>
      <c r="K445" s="135"/>
      <c r="L445" s="134">
        <f>ROUND(D445*K445,2)</f>
        <v>0</v>
      </c>
      <c r="M445" s="136"/>
    </row>
    <row r="446" spans="1:13" s="131" customFormat="1" ht="12.75">
      <c r="A446" s="139"/>
      <c r="B446" s="140"/>
      <c r="C446" s="141"/>
      <c r="D446" s="142"/>
      <c r="E446" s="143"/>
      <c r="F446" s="142"/>
      <c r="G446" s="142"/>
      <c r="H446" s="143"/>
      <c r="I446" s="143"/>
      <c r="J446" s="144"/>
      <c r="K446" s="144"/>
      <c r="L446" s="142"/>
      <c r="M446" s="145"/>
    </row>
    <row r="447" spans="1:13" ht="30" customHeight="1">
      <c r="A447" s="128" t="str">
        <f>'BM02'!A166</f>
        <v>1.13.5</v>
      </c>
      <c r="B447" s="211" t="str">
        <f>'BM02'!B166</f>
        <v>DISPOSITIVO DPS CLASSE II, 1 POLO, TENSÃO MAXIMA DE 220/380V, CORRENTE NOMINAL &gt; 20KA TIPO AC - SINAPI (74130/001)</v>
      </c>
      <c r="C447" s="212"/>
      <c r="D447" s="212"/>
      <c r="E447" s="212"/>
      <c r="F447" s="212"/>
      <c r="G447" s="212"/>
      <c r="H447" s="212"/>
      <c r="I447" s="212"/>
      <c r="J447" s="212"/>
      <c r="K447" s="213"/>
      <c r="L447" s="129">
        <f>K448</f>
        <v>0</v>
      </c>
      <c r="M447" s="185" t="str">
        <f>'BM02'!C166</f>
        <v>un</v>
      </c>
    </row>
    <row r="448" spans="1:13" s="131" customFormat="1" ht="12.75">
      <c r="A448" s="132"/>
      <c r="B448" s="209"/>
      <c r="C448" s="210"/>
      <c r="D448" s="134"/>
      <c r="E448" s="134"/>
      <c r="F448" s="134"/>
      <c r="G448" s="134"/>
      <c r="H448" s="134"/>
      <c r="I448" s="134"/>
      <c r="J448" s="135"/>
      <c r="K448" s="135"/>
      <c r="L448" s="134">
        <f>ROUND(D448*K448,2)</f>
        <v>0</v>
      </c>
      <c r="M448" s="136"/>
    </row>
    <row r="449" spans="1:13" s="131" customFormat="1" ht="12.75">
      <c r="A449" s="139"/>
      <c r="B449" s="140"/>
      <c r="C449" s="141"/>
      <c r="D449" s="142"/>
      <c r="E449" s="143"/>
      <c r="F449" s="142"/>
      <c r="G449" s="142"/>
      <c r="H449" s="143"/>
      <c r="I449" s="143"/>
      <c r="J449" s="144"/>
      <c r="K449" s="144"/>
      <c r="L449" s="142"/>
      <c r="M449" s="145"/>
    </row>
    <row r="450" spans="1:13" ht="12.75">
      <c r="A450" s="184" t="str">
        <f>'BM02'!A167</f>
        <v>1.13.6</v>
      </c>
      <c r="B450" s="211" t="str">
        <f>'BM02'!B167</f>
        <v>DISJUNTOR BIPOLAR TIPO DIN, CORRENTE NOMINAL DE 50A - FORNECIMENTO E INSTALAÇÃO. AF_10/2020</v>
      </c>
      <c r="C450" s="212"/>
      <c r="D450" s="212"/>
      <c r="E450" s="212"/>
      <c r="F450" s="212"/>
      <c r="G450" s="212"/>
      <c r="H450" s="212"/>
      <c r="I450" s="212"/>
      <c r="J450" s="212"/>
      <c r="K450" s="213"/>
      <c r="L450" s="129">
        <f>K451</f>
        <v>0</v>
      </c>
      <c r="M450" s="185" t="str">
        <f>'BM02'!C167</f>
        <v>un</v>
      </c>
    </row>
    <row r="451" spans="1:13" s="131" customFormat="1" ht="12.75">
      <c r="A451" s="132"/>
      <c r="B451" s="209"/>
      <c r="C451" s="210"/>
      <c r="D451" s="134"/>
      <c r="E451" s="134"/>
      <c r="F451" s="134"/>
      <c r="G451" s="134"/>
      <c r="H451" s="134"/>
      <c r="I451" s="134"/>
      <c r="J451" s="135"/>
      <c r="K451" s="135"/>
      <c r="L451" s="134">
        <f>ROUND(D451*K451,2)</f>
        <v>0</v>
      </c>
      <c r="M451" s="136"/>
    </row>
    <row r="452" spans="1:13" s="131" customFormat="1" ht="12.75">
      <c r="A452" s="139"/>
      <c r="B452" s="140"/>
      <c r="C452" s="141"/>
      <c r="D452" s="142"/>
      <c r="E452" s="143"/>
      <c r="F452" s="142"/>
      <c r="G452" s="142"/>
      <c r="H452" s="143"/>
      <c r="I452" s="143"/>
      <c r="J452" s="144"/>
      <c r="K452" s="144"/>
      <c r="L452" s="142"/>
      <c r="M452" s="145"/>
    </row>
    <row r="453" spans="1:13" ht="12.75">
      <c r="A453" s="184" t="str">
        <f>'BM02'!A168</f>
        <v>1.13.7</v>
      </c>
      <c r="B453" s="211" t="str">
        <f>'BM02'!B168</f>
        <v>DISJUNTOR TRIPOLAR TIPO NEMA, CORRENTE NOMINAL DE 10 ATÉ 50A - FORNECIMENTO E INSTALAÇÃO. AF_10/2020</v>
      </c>
      <c r="C453" s="212"/>
      <c r="D453" s="212"/>
      <c r="E453" s="212"/>
      <c r="F453" s="212"/>
      <c r="G453" s="212"/>
      <c r="H453" s="212"/>
      <c r="I453" s="212"/>
      <c r="J453" s="212"/>
      <c r="K453" s="213"/>
      <c r="L453" s="129">
        <f>K454</f>
        <v>0</v>
      </c>
      <c r="M453" s="185" t="str">
        <f>'BM02'!C168</f>
        <v>un</v>
      </c>
    </row>
    <row r="454" spans="1:13" s="131" customFormat="1" ht="12.75">
      <c r="A454" s="132"/>
      <c r="B454" s="209"/>
      <c r="C454" s="210"/>
      <c r="D454" s="134"/>
      <c r="E454" s="134"/>
      <c r="F454" s="134"/>
      <c r="G454" s="134"/>
      <c r="H454" s="134"/>
      <c r="I454" s="134"/>
      <c r="J454" s="135"/>
      <c r="K454" s="135"/>
      <c r="L454" s="134">
        <f>ROUND(D454*K454,2)</f>
        <v>0</v>
      </c>
      <c r="M454" s="136"/>
    </row>
    <row r="455" spans="1:13" s="131" customFormat="1" ht="12.75">
      <c r="A455" s="139"/>
      <c r="B455" s="140"/>
      <c r="C455" s="141"/>
      <c r="D455" s="142"/>
      <c r="E455" s="143"/>
      <c r="F455" s="142"/>
      <c r="G455" s="142"/>
      <c r="H455" s="143"/>
      <c r="I455" s="143"/>
      <c r="J455" s="144"/>
      <c r="K455" s="144"/>
      <c r="L455" s="142"/>
      <c r="M455" s="145"/>
    </row>
    <row r="456" spans="1:13" ht="30" customHeight="1">
      <c r="A456" s="128" t="str">
        <f>'BM02'!A169</f>
        <v>1.13.8</v>
      </c>
      <c r="B456" s="211" t="str">
        <f>'BM02'!B169</f>
        <v>INTERRUPTOR SIMPLES (1 MÓDULO), 10A/250V, INCLUINDO SUPORTE E PLACA - FORNECIMENTO E INSTALAÇÃO. AF_12/2015</v>
      </c>
      <c r="C456" s="212"/>
      <c r="D456" s="212"/>
      <c r="E456" s="212"/>
      <c r="F456" s="212"/>
      <c r="G456" s="212"/>
      <c r="H456" s="212"/>
      <c r="I456" s="212"/>
      <c r="J456" s="212"/>
      <c r="K456" s="213"/>
      <c r="L456" s="129">
        <f>K457</f>
        <v>0</v>
      </c>
      <c r="M456" s="185" t="str">
        <f>'BM02'!C169</f>
        <v>un</v>
      </c>
    </row>
    <row r="457" spans="1:13" s="131" customFormat="1" ht="12.75">
      <c r="A457" s="132"/>
      <c r="B457" s="209"/>
      <c r="C457" s="210"/>
      <c r="D457" s="134"/>
      <c r="E457" s="134"/>
      <c r="F457" s="134"/>
      <c r="G457" s="134"/>
      <c r="H457" s="134"/>
      <c r="I457" s="134"/>
      <c r="J457" s="135"/>
      <c r="K457" s="135"/>
      <c r="L457" s="134">
        <f>ROUND(D457*K457,2)</f>
        <v>0</v>
      </c>
      <c r="M457" s="136"/>
    </row>
    <row r="458" spans="1:13" s="131" customFormat="1" ht="12.75">
      <c r="A458" s="139"/>
      <c r="B458" s="140"/>
      <c r="C458" s="141"/>
      <c r="D458" s="142"/>
      <c r="E458" s="143"/>
      <c r="F458" s="142"/>
      <c r="G458" s="142"/>
      <c r="H458" s="143"/>
      <c r="I458" s="143"/>
      <c r="J458" s="144"/>
      <c r="K458" s="144"/>
      <c r="L458" s="142"/>
      <c r="M458" s="145"/>
    </row>
    <row r="459" spans="1:13" ht="30" customHeight="1">
      <c r="A459" s="128" t="str">
        <f>'BM02'!A170</f>
        <v>1.13.9</v>
      </c>
      <c r="B459" s="211" t="str">
        <f>'BM02'!B170</f>
        <v>INTERRUPTOR SIMPLES (2 MÓDULOS), 10A/250V, INCLUINDO SUPORTE E PLACA - FORNECIMENTO E INSTALAÇÃO. AF_12/2015</v>
      </c>
      <c r="C459" s="212"/>
      <c r="D459" s="212"/>
      <c r="E459" s="212"/>
      <c r="F459" s="212"/>
      <c r="G459" s="212"/>
      <c r="H459" s="212"/>
      <c r="I459" s="212"/>
      <c r="J459" s="212"/>
      <c r="K459" s="213"/>
      <c r="L459" s="129">
        <f>K460</f>
        <v>0</v>
      </c>
      <c r="M459" s="185" t="str">
        <f>'BM02'!C170</f>
        <v>un</v>
      </c>
    </row>
    <row r="460" spans="1:13" s="131" customFormat="1" ht="12.75">
      <c r="A460" s="132"/>
      <c r="B460" s="209"/>
      <c r="C460" s="210"/>
      <c r="D460" s="134"/>
      <c r="E460" s="134"/>
      <c r="F460" s="134"/>
      <c r="G460" s="134"/>
      <c r="H460" s="134"/>
      <c r="I460" s="134"/>
      <c r="J460" s="135"/>
      <c r="K460" s="135"/>
      <c r="L460" s="134">
        <f>ROUND(D460*K460,2)</f>
        <v>0</v>
      </c>
      <c r="M460" s="136"/>
    </row>
    <row r="461" spans="1:13" s="131" customFormat="1" ht="12.75">
      <c r="A461" s="139"/>
      <c r="B461" s="140"/>
      <c r="C461" s="141"/>
      <c r="D461" s="142"/>
      <c r="E461" s="143"/>
      <c r="F461" s="142"/>
      <c r="G461" s="142"/>
      <c r="H461" s="143"/>
      <c r="I461" s="143"/>
      <c r="J461" s="144"/>
      <c r="K461" s="144"/>
      <c r="L461" s="142"/>
      <c r="M461" s="145"/>
    </row>
    <row r="462" spans="1:13" ht="30" customHeight="1">
      <c r="A462" s="128" t="str">
        <f>'BM02'!A171</f>
        <v>1.13.10</v>
      </c>
      <c r="B462" s="211" t="str">
        <f>'BM02'!B171</f>
        <v>LUMINÁRIA TIPO CALHA, DE SOBREPOR, COM 2 LÂMPADAS TUBULARES FLUORESCENTES DE 18 W, COM REATOR DE PARTIDA RÁPIDA - FORNECIMENTO E INSTALAÇÃO. AF_02/2020</v>
      </c>
      <c r="C462" s="212"/>
      <c r="D462" s="212"/>
      <c r="E462" s="212"/>
      <c r="F462" s="212"/>
      <c r="G462" s="212"/>
      <c r="H462" s="212"/>
      <c r="I462" s="212"/>
      <c r="J462" s="212"/>
      <c r="K462" s="213"/>
      <c r="L462" s="129">
        <f>K463</f>
        <v>0</v>
      </c>
      <c r="M462" s="185" t="str">
        <f>'BM02'!C171</f>
        <v>un</v>
      </c>
    </row>
    <row r="463" spans="1:13" s="131" customFormat="1" ht="12.75">
      <c r="A463" s="132"/>
      <c r="B463" s="209"/>
      <c r="C463" s="210"/>
      <c r="D463" s="134"/>
      <c r="E463" s="134"/>
      <c r="F463" s="134"/>
      <c r="G463" s="134"/>
      <c r="H463" s="134"/>
      <c r="I463" s="134"/>
      <c r="J463" s="135"/>
      <c r="K463" s="135"/>
      <c r="L463" s="134">
        <f>ROUND(D463*K463,2)</f>
        <v>0</v>
      </c>
      <c r="M463" s="136"/>
    </row>
    <row r="464" spans="1:13" s="131" customFormat="1" ht="12.75">
      <c r="A464" s="139"/>
      <c r="B464" s="140"/>
      <c r="C464" s="141"/>
      <c r="D464" s="142"/>
      <c r="E464" s="143"/>
      <c r="F464" s="142"/>
      <c r="G464" s="142"/>
      <c r="H464" s="143"/>
      <c r="I464" s="143"/>
      <c r="J464" s="144"/>
      <c r="K464" s="144"/>
      <c r="L464" s="142"/>
      <c r="M464" s="145"/>
    </row>
    <row r="465" spans="1:13" ht="30" customHeight="1">
      <c r="A465" s="128" t="str">
        <f>'BM02'!A172</f>
        <v>1.13.11</v>
      </c>
      <c r="B465" s="211" t="str">
        <f>'BM02'!B172</f>
        <v>LUMINÁRIA TIPO CALHA, DE SOBREPOR, COM 2 LÂMPADAS TUBULARES FLUORESCENTES DE 36 W, COM REATOR DE PARTIDA RÁPIDA - FORNECIMENTO E INSTALAÇÃO. AF_02/2020</v>
      </c>
      <c r="C465" s="212"/>
      <c r="D465" s="212"/>
      <c r="E465" s="212"/>
      <c r="F465" s="212"/>
      <c r="G465" s="212"/>
      <c r="H465" s="212"/>
      <c r="I465" s="212"/>
      <c r="J465" s="212"/>
      <c r="K465" s="213"/>
      <c r="L465" s="129">
        <f>K466</f>
        <v>0</v>
      </c>
      <c r="M465" s="185" t="str">
        <f>'BM02'!C172</f>
        <v>un</v>
      </c>
    </row>
    <row r="466" spans="1:13" s="131" customFormat="1" ht="12.75">
      <c r="A466" s="132"/>
      <c r="B466" s="209"/>
      <c r="C466" s="210"/>
      <c r="D466" s="134"/>
      <c r="E466" s="134"/>
      <c r="F466" s="134"/>
      <c r="G466" s="134"/>
      <c r="H466" s="134"/>
      <c r="I466" s="134"/>
      <c r="J466" s="135"/>
      <c r="K466" s="135"/>
      <c r="L466" s="134">
        <f>ROUND(D466*K466,2)</f>
        <v>0</v>
      </c>
      <c r="M466" s="136"/>
    </row>
    <row r="467" spans="1:13" s="131" customFormat="1" ht="12.75">
      <c r="A467" s="139"/>
      <c r="B467" s="140"/>
      <c r="C467" s="141"/>
      <c r="D467" s="142"/>
      <c r="E467" s="143"/>
      <c r="F467" s="142"/>
      <c r="G467" s="142"/>
      <c r="H467" s="143"/>
      <c r="I467" s="143"/>
      <c r="J467" s="144"/>
      <c r="K467" s="144"/>
      <c r="L467" s="142"/>
      <c r="M467" s="145"/>
    </row>
    <row r="468" spans="1:13" ht="30" customHeight="1">
      <c r="A468" s="128" t="str">
        <f>'BM02'!A173</f>
        <v>1.13.12</v>
      </c>
      <c r="B468" s="211" t="str">
        <f>'BM02'!B173</f>
        <v>LUMINÁRIA DE EMERGÊNCIA, COM 30 LÂMPADAS LED DE 2 W, SEM REATOR - FORNECIMENTO E INSTALAÇÃO. AF_02/2020</v>
      </c>
      <c r="C468" s="212"/>
      <c r="D468" s="212"/>
      <c r="E468" s="212"/>
      <c r="F468" s="212"/>
      <c r="G468" s="212"/>
      <c r="H468" s="212"/>
      <c r="I468" s="212"/>
      <c r="J468" s="212"/>
      <c r="K468" s="213"/>
      <c r="L468" s="129">
        <f>K469</f>
        <v>0</v>
      </c>
      <c r="M468" s="185" t="str">
        <f>'BM02'!C173</f>
        <v>un</v>
      </c>
    </row>
    <row r="469" spans="1:13" s="131" customFormat="1" ht="12.75">
      <c r="A469" s="132"/>
      <c r="B469" s="209"/>
      <c r="C469" s="210"/>
      <c r="D469" s="134"/>
      <c r="E469" s="134"/>
      <c r="F469" s="134"/>
      <c r="G469" s="134"/>
      <c r="H469" s="134"/>
      <c r="I469" s="134"/>
      <c r="J469" s="135"/>
      <c r="K469" s="135"/>
      <c r="L469" s="134">
        <f>ROUND(D469*K469,2)</f>
        <v>0</v>
      </c>
      <c r="M469" s="136"/>
    </row>
    <row r="470" spans="1:13" s="131" customFormat="1" ht="12.75">
      <c r="A470" s="139"/>
      <c r="B470" s="140"/>
      <c r="C470" s="141"/>
      <c r="D470" s="142"/>
      <c r="E470" s="143"/>
      <c r="F470" s="142"/>
      <c r="G470" s="142"/>
      <c r="H470" s="143"/>
      <c r="I470" s="143"/>
      <c r="J470" s="144"/>
      <c r="K470" s="144"/>
      <c r="L470" s="142"/>
      <c r="M470" s="145"/>
    </row>
    <row r="471" spans="1:13" ht="30" customHeight="1">
      <c r="A471" s="128" t="str">
        <f>'BM02'!A174</f>
        <v>1.13.13</v>
      </c>
      <c r="B471" s="211" t="str">
        <f>'BM02'!B174</f>
        <v>PONTO DE ILUMINAÇÃO RESIDENCIAL INCLUINDO INTERRUPTOR SIMPLES, CAIXA ELÉTRICA, ELETRODUTO, CABO, RASGO, QUEBRA E CHUMBAMENTO (EXCLUINDO LUMINÁRIA E LÂMPADA). AF_01/2016</v>
      </c>
      <c r="C471" s="212"/>
      <c r="D471" s="212"/>
      <c r="E471" s="212"/>
      <c r="F471" s="212"/>
      <c r="G471" s="212"/>
      <c r="H471" s="212"/>
      <c r="I471" s="212"/>
      <c r="J471" s="212"/>
      <c r="K471" s="213"/>
      <c r="L471" s="129">
        <f>K472</f>
        <v>0</v>
      </c>
      <c r="M471" s="185" t="str">
        <f>'BM02'!C174</f>
        <v>un</v>
      </c>
    </row>
    <row r="472" spans="1:13" s="131" customFormat="1" ht="12.75">
      <c r="A472" s="132"/>
      <c r="B472" s="209"/>
      <c r="C472" s="210"/>
      <c r="D472" s="134"/>
      <c r="E472" s="134"/>
      <c r="F472" s="134"/>
      <c r="G472" s="134"/>
      <c r="H472" s="134"/>
      <c r="I472" s="134"/>
      <c r="J472" s="135"/>
      <c r="K472" s="135"/>
      <c r="L472" s="134">
        <f>ROUND(D472*K472,2)</f>
        <v>0</v>
      </c>
      <c r="M472" s="136"/>
    </row>
    <row r="473" spans="1:13" s="131" customFormat="1" ht="12.75">
      <c r="A473" s="139"/>
      <c r="B473" s="140"/>
      <c r="C473" s="141"/>
      <c r="D473" s="142"/>
      <c r="E473" s="143"/>
      <c r="F473" s="142"/>
      <c r="G473" s="142"/>
      <c r="H473" s="143"/>
      <c r="I473" s="143"/>
      <c r="J473" s="144"/>
      <c r="K473" s="144"/>
      <c r="L473" s="142"/>
      <c r="M473" s="145"/>
    </row>
    <row r="474" spans="1:13" ht="30" customHeight="1">
      <c r="A474" s="128" t="str">
        <f>'BM02'!A175</f>
        <v>1.13.14</v>
      </c>
      <c r="B474" s="211" t="str">
        <f>'BM02'!B175</f>
        <v>PONTO DE TOMADA RESIDENCIAL INCLUINDO TOMADA 10A/250V, CAIXA ELÉTRICA, ELETRODUTO, CABO, RASGO, QUEBRA E CHUMBAMENTO. AF_01/2016</v>
      </c>
      <c r="C474" s="212"/>
      <c r="D474" s="212"/>
      <c r="E474" s="212"/>
      <c r="F474" s="212"/>
      <c r="G474" s="212"/>
      <c r="H474" s="212"/>
      <c r="I474" s="212"/>
      <c r="J474" s="212"/>
      <c r="K474" s="213"/>
      <c r="L474" s="129">
        <f>K475</f>
        <v>0</v>
      </c>
      <c r="M474" s="185" t="str">
        <f>'BM02'!C175</f>
        <v>un</v>
      </c>
    </row>
    <row r="475" spans="1:13" s="131" customFormat="1" ht="12.75">
      <c r="A475" s="132"/>
      <c r="B475" s="209"/>
      <c r="C475" s="210"/>
      <c r="D475" s="134"/>
      <c r="E475" s="134"/>
      <c r="F475" s="134"/>
      <c r="G475" s="134"/>
      <c r="H475" s="134"/>
      <c r="I475" s="134"/>
      <c r="J475" s="135"/>
      <c r="K475" s="135"/>
      <c r="L475" s="134">
        <f>ROUND(D475*K475,2)</f>
        <v>0</v>
      </c>
      <c r="M475" s="136"/>
    </row>
    <row r="476" spans="1:13" s="131" customFormat="1" ht="12.75">
      <c r="A476" s="139"/>
      <c r="B476" s="140"/>
      <c r="C476" s="141"/>
      <c r="D476" s="142"/>
      <c r="E476" s="143"/>
      <c r="F476" s="142"/>
      <c r="G476" s="142"/>
      <c r="H476" s="143"/>
      <c r="I476" s="143"/>
      <c r="J476" s="144"/>
      <c r="K476" s="144"/>
      <c r="L476" s="142"/>
      <c r="M476" s="145"/>
    </row>
    <row r="477" spans="1:13" ht="30" customHeight="1">
      <c r="A477" s="128" t="str">
        <f>'BM02'!A176</f>
        <v>1.13.15</v>
      </c>
      <c r="B477" s="211" t="str">
        <f>'BM02'!B176</f>
        <v>PONTO DE TOMADA RESIDENCIAL INCLUINDO TOMADA 20A/250V, CAIXA ELÉTRICA, ELETRODUTO, CABO, RASGO, QUEBRA E CHUMBAMENTO. AF_01/2016</v>
      </c>
      <c r="C477" s="212"/>
      <c r="D477" s="212"/>
      <c r="E477" s="212"/>
      <c r="F477" s="212"/>
      <c r="G477" s="212"/>
      <c r="H477" s="212"/>
      <c r="I477" s="212"/>
      <c r="J477" s="212"/>
      <c r="K477" s="213"/>
      <c r="L477" s="129">
        <f>K478</f>
        <v>0</v>
      </c>
      <c r="M477" s="185" t="str">
        <f>'BM02'!C176</f>
        <v>un</v>
      </c>
    </row>
    <row r="478" spans="1:13" s="131" customFormat="1" ht="12.75">
      <c r="A478" s="132"/>
      <c r="B478" s="209"/>
      <c r="C478" s="210"/>
      <c r="D478" s="134"/>
      <c r="E478" s="134"/>
      <c r="F478" s="134"/>
      <c r="G478" s="134"/>
      <c r="H478" s="134"/>
      <c r="I478" s="134"/>
      <c r="J478" s="135"/>
      <c r="K478" s="135"/>
      <c r="L478" s="134">
        <f>ROUND(D478*K478,2)</f>
        <v>0</v>
      </c>
      <c r="M478" s="136"/>
    </row>
    <row r="479" spans="1:13" s="131" customFormat="1" ht="12.75">
      <c r="A479" s="139"/>
      <c r="B479" s="140"/>
      <c r="C479" s="141"/>
      <c r="D479" s="142"/>
      <c r="E479" s="143"/>
      <c r="F479" s="142"/>
      <c r="G479" s="142"/>
      <c r="H479" s="143"/>
      <c r="I479" s="143"/>
      <c r="J479" s="144"/>
      <c r="K479" s="144"/>
      <c r="L479" s="142"/>
      <c r="M479" s="145"/>
    </row>
    <row r="480" spans="1:13" ht="30" customHeight="1">
      <c r="A480" s="128" t="str">
        <f>'BM02'!A177</f>
        <v>1.13.16</v>
      </c>
      <c r="B480" s="211" t="str">
        <f>'BM02'!B177</f>
        <v>PONTO DE UTILIZAÇÃO DE EQUIPAMENTOS ELÉTRICOS, RESIDENCIAL, INCLUINDO SUPORTE E PLACA, CAIXA ELÉTRICA, ELETRODUTO, CABO, RASGO, QUEBRA E CHUMBAMENTO. AF_01/2016</v>
      </c>
      <c r="C480" s="212"/>
      <c r="D480" s="212"/>
      <c r="E480" s="212"/>
      <c r="F480" s="212"/>
      <c r="G480" s="212"/>
      <c r="H480" s="212"/>
      <c r="I480" s="212"/>
      <c r="J480" s="212"/>
      <c r="K480" s="213"/>
      <c r="L480" s="129">
        <f>K481</f>
        <v>0</v>
      </c>
      <c r="M480" s="185" t="str">
        <f>'BM02'!C177</f>
        <v>un</v>
      </c>
    </row>
    <row r="481" spans="1:13" s="131" customFormat="1" ht="12.75">
      <c r="A481" s="132"/>
      <c r="B481" s="209"/>
      <c r="C481" s="210"/>
      <c r="D481" s="134"/>
      <c r="E481" s="134"/>
      <c r="F481" s="134"/>
      <c r="G481" s="134"/>
      <c r="H481" s="134"/>
      <c r="I481" s="134"/>
      <c r="J481" s="135"/>
      <c r="K481" s="135"/>
      <c r="L481" s="134">
        <f>ROUND(D481*K481,2)</f>
        <v>0</v>
      </c>
      <c r="M481" s="136"/>
    </row>
    <row r="482" spans="1:13" s="131" customFormat="1" ht="12.75">
      <c r="A482" s="139"/>
      <c r="B482" s="140"/>
      <c r="C482" s="141"/>
      <c r="D482" s="142"/>
      <c r="E482" s="143"/>
      <c r="F482" s="142"/>
      <c r="G482" s="142"/>
      <c r="H482" s="143"/>
      <c r="I482" s="143"/>
      <c r="J482" s="144"/>
      <c r="K482" s="144"/>
      <c r="L482" s="142"/>
      <c r="M482" s="145"/>
    </row>
    <row r="483" spans="1:13" ht="30" customHeight="1">
      <c r="A483" s="128" t="str">
        <f>'BM02'!A178</f>
        <v>1.13.17</v>
      </c>
      <c r="B483" s="211" t="str">
        <f>'BM02'!B178</f>
        <v>PONTO DE UTILIZAÇÃO DE EQUIPAMENTOS ELÉTRICOS, RESIDENCIAL, INCLUINDO SUPORTE E PLACA, CAIXA ELÉTRICA, ELETRODUTO, CABO, RASGO, QUEBRA E CHUMBAMENTO. AF_01/2016</v>
      </c>
      <c r="C483" s="212"/>
      <c r="D483" s="212"/>
      <c r="E483" s="212"/>
      <c r="F483" s="212"/>
      <c r="G483" s="212"/>
      <c r="H483" s="212"/>
      <c r="I483" s="212"/>
      <c r="J483" s="212"/>
      <c r="K483" s="213"/>
      <c r="L483" s="129">
        <f>K484</f>
        <v>0</v>
      </c>
      <c r="M483" s="185" t="str">
        <f>'BM02'!C178</f>
        <v>un</v>
      </c>
    </row>
    <row r="484" spans="1:13" s="131" customFormat="1" ht="12.75">
      <c r="A484" s="132"/>
      <c r="B484" s="209"/>
      <c r="C484" s="210"/>
      <c r="D484" s="134"/>
      <c r="E484" s="134"/>
      <c r="F484" s="134"/>
      <c r="G484" s="134"/>
      <c r="H484" s="134"/>
      <c r="I484" s="134"/>
      <c r="J484" s="135"/>
      <c r="K484" s="135"/>
      <c r="L484" s="134">
        <f>ROUND(D484*K484,2)</f>
        <v>0</v>
      </c>
      <c r="M484" s="136"/>
    </row>
    <row r="485" spans="1:13" s="131" customFormat="1" ht="12.75">
      <c r="A485" s="139"/>
      <c r="B485" s="140"/>
      <c r="C485" s="141"/>
      <c r="D485" s="142"/>
      <c r="E485" s="143"/>
      <c r="F485" s="142"/>
      <c r="G485" s="142"/>
      <c r="H485" s="143"/>
      <c r="I485" s="143"/>
      <c r="J485" s="144"/>
      <c r="K485" s="144"/>
      <c r="L485" s="142"/>
      <c r="M485" s="145"/>
    </row>
    <row r="486" spans="1:13" ht="30" customHeight="1">
      <c r="A486" s="128" t="str">
        <f>'BM02'!A179</f>
        <v>1.13.18</v>
      </c>
      <c r="B486" s="211" t="str">
        <f>'BM02'!B179</f>
        <v>QUADRO DE DISTRIBUIÇÃO DE ENERGIA EM CHAPA DE AÇO GALVANIZADO, DE EMBUTIR, COM BARRAMENTO TRIFÁSICO, PARA 24 DISJUNTORES DIN 100A - FORNECIMENTO E INSTALAÇÃO. AF_10/2020</v>
      </c>
      <c r="C486" s="212"/>
      <c r="D486" s="212"/>
      <c r="E486" s="212"/>
      <c r="F486" s="212"/>
      <c r="G486" s="212"/>
      <c r="H486" s="212"/>
      <c r="I486" s="212"/>
      <c r="J486" s="212"/>
      <c r="K486" s="213"/>
      <c r="L486" s="129">
        <f>K487</f>
        <v>0</v>
      </c>
      <c r="M486" s="185" t="str">
        <f>'BM02'!C179</f>
        <v>un</v>
      </c>
    </row>
    <row r="487" spans="1:13" s="131" customFormat="1" ht="12.75">
      <c r="A487" s="132"/>
      <c r="B487" s="209"/>
      <c r="C487" s="210"/>
      <c r="D487" s="134"/>
      <c r="E487" s="134"/>
      <c r="F487" s="134"/>
      <c r="G487" s="134"/>
      <c r="H487" s="134"/>
      <c r="I487" s="134"/>
      <c r="J487" s="135"/>
      <c r="K487" s="135"/>
      <c r="L487" s="134">
        <f>ROUND(D487*K487,2)</f>
        <v>0</v>
      </c>
      <c r="M487" s="136"/>
    </row>
    <row r="488" spans="1:13" s="131" customFormat="1" ht="12.75">
      <c r="A488" s="139"/>
      <c r="B488" s="140"/>
      <c r="C488" s="141"/>
      <c r="D488" s="142"/>
      <c r="E488" s="143"/>
      <c r="F488" s="142"/>
      <c r="G488" s="142"/>
      <c r="H488" s="143"/>
      <c r="I488" s="143"/>
      <c r="J488" s="144"/>
      <c r="K488" s="144"/>
      <c r="L488" s="142"/>
      <c r="M488" s="145"/>
    </row>
    <row r="489" spans="1:13" ht="30" customHeight="1">
      <c r="A489" s="128" t="str">
        <f>'BM02'!A180</f>
        <v>1.13.19</v>
      </c>
      <c r="B489" s="211" t="str">
        <f>'BM02'!B180</f>
        <v>QUADRO DE DISTRIBUIÇÃO DE ENERGIA EM CHAPA DE AÇO GALVANIZADO, DE EMBUTIR, COM BARRAMENTO TRIFÁSICO, PARA 12 DISJUNTORES DIN 100A - FORNECIMENTO E INSTALAÇÃO. AF_10/2020</v>
      </c>
      <c r="C489" s="212"/>
      <c r="D489" s="212"/>
      <c r="E489" s="212"/>
      <c r="F489" s="212"/>
      <c r="G489" s="212"/>
      <c r="H489" s="212"/>
      <c r="I489" s="212"/>
      <c r="J489" s="212"/>
      <c r="K489" s="213"/>
      <c r="L489" s="129">
        <f>K490</f>
        <v>0</v>
      </c>
      <c r="M489" s="185" t="str">
        <f>'BM02'!C180</f>
        <v>un</v>
      </c>
    </row>
    <row r="490" spans="1:13" s="131" customFormat="1" ht="12.75">
      <c r="A490" s="132"/>
      <c r="B490" s="209"/>
      <c r="C490" s="210"/>
      <c r="D490" s="134"/>
      <c r="E490" s="134"/>
      <c r="F490" s="134"/>
      <c r="G490" s="134"/>
      <c r="H490" s="134"/>
      <c r="I490" s="134"/>
      <c r="J490" s="135"/>
      <c r="K490" s="135"/>
      <c r="L490" s="134">
        <f>ROUND(D490*K490,2)</f>
        <v>0</v>
      </c>
      <c r="M490" s="136"/>
    </row>
    <row r="491" spans="1:13" s="131" customFormat="1" ht="12.75">
      <c r="A491" s="139"/>
      <c r="B491" s="140"/>
      <c r="C491" s="141"/>
      <c r="D491" s="142"/>
      <c r="E491" s="143"/>
      <c r="F491" s="142"/>
      <c r="G491" s="142"/>
      <c r="H491" s="143"/>
      <c r="I491" s="143"/>
      <c r="J491" s="144"/>
      <c r="K491" s="144"/>
      <c r="L491" s="142"/>
      <c r="M491" s="145"/>
    </row>
    <row r="492" spans="1:13" ht="12.6" customHeight="1">
      <c r="A492" s="184" t="str">
        <f>'BM02'!A181</f>
        <v>1.13.20</v>
      </c>
      <c r="B492" s="211" t="str">
        <f>'BM02'!B181</f>
        <v>Ponto de telefone, com eletroduto de pvc rígido embutido Ø 3/4"</v>
      </c>
      <c r="C492" s="212"/>
      <c r="D492" s="212"/>
      <c r="E492" s="212"/>
      <c r="F492" s="212"/>
      <c r="G492" s="212"/>
      <c r="H492" s="212"/>
      <c r="I492" s="212"/>
      <c r="J492" s="212"/>
      <c r="K492" s="213"/>
      <c r="L492" s="129">
        <f>K493</f>
        <v>0</v>
      </c>
      <c r="M492" s="185" t="str">
        <f>'BM02'!C181</f>
        <v>un</v>
      </c>
    </row>
    <row r="493" spans="1:13" s="131" customFormat="1" ht="12.75">
      <c r="A493" s="132"/>
      <c r="B493" s="209"/>
      <c r="C493" s="210"/>
      <c r="D493" s="134"/>
      <c r="E493" s="134"/>
      <c r="F493" s="134"/>
      <c r="G493" s="134"/>
      <c r="H493" s="134"/>
      <c r="I493" s="134"/>
      <c r="J493" s="135"/>
      <c r="K493" s="135"/>
      <c r="L493" s="134">
        <f>ROUND(D493*K493,2)</f>
        <v>0</v>
      </c>
      <c r="M493" s="136"/>
    </row>
    <row r="494" spans="1:13" s="131" customFormat="1" ht="12.75">
      <c r="A494" s="139"/>
      <c r="B494" s="140"/>
      <c r="C494" s="141"/>
      <c r="D494" s="142"/>
      <c r="E494" s="143"/>
      <c r="F494" s="142"/>
      <c r="G494" s="142"/>
      <c r="H494" s="143"/>
      <c r="I494" s="143"/>
      <c r="J494" s="144"/>
      <c r="K494" s="144"/>
      <c r="L494" s="142"/>
      <c r="M494" s="145"/>
    </row>
    <row r="495" spans="1:13" ht="12.6" customHeight="1">
      <c r="A495" s="184" t="str">
        <f>'BM02'!A182</f>
        <v>1.13.21</v>
      </c>
      <c r="B495" s="211" t="str">
        <f>'BM02'!B182</f>
        <v>Ponto para cabeamento estruturado embutido, com eletroduto pvc rígido Ø 3/4" c/cabo UTP 4 pares cat. 6</v>
      </c>
      <c r="C495" s="212"/>
      <c r="D495" s="212"/>
      <c r="E495" s="212"/>
      <c r="F495" s="212"/>
      <c r="G495" s="212"/>
      <c r="H495" s="212"/>
      <c r="I495" s="212"/>
      <c r="J495" s="212"/>
      <c r="K495" s="213"/>
      <c r="L495" s="129">
        <f>K496</f>
        <v>0</v>
      </c>
      <c r="M495" s="185" t="str">
        <f>'BM02'!C182</f>
        <v>pt</v>
      </c>
    </row>
    <row r="496" spans="1:13" s="131" customFormat="1" ht="12.75">
      <c r="A496" s="132"/>
      <c r="B496" s="209"/>
      <c r="C496" s="210"/>
      <c r="D496" s="134"/>
      <c r="E496" s="134"/>
      <c r="F496" s="134"/>
      <c r="G496" s="134"/>
      <c r="H496" s="134"/>
      <c r="I496" s="134"/>
      <c r="J496" s="135"/>
      <c r="K496" s="135"/>
      <c r="L496" s="134">
        <f>ROUND(D496*K496,2)</f>
        <v>0</v>
      </c>
      <c r="M496" s="136"/>
    </row>
    <row r="497" spans="1:13" s="131" customFormat="1" ht="12.75">
      <c r="A497" s="139"/>
      <c r="B497" s="140"/>
      <c r="C497" s="141"/>
      <c r="D497" s="142"/>
      <c r="E497" s="143"/>
      <c r="F497" s="142"/>
      <c r="G497" s="142"/>
      <c r="H497" s="143"/>
      <c r="I497" s="143"/>
      <c r="J497" s="144"/>
      <c r="K497" s="144"/>
      <c r="L497" s="142"/>
      <c r="M497" s="145"/>
    </row>
    <row r="498" spans="1:13" ht="30" customHeight="1">
      <c r="A498" s="128" t="str">
        <f>'BM02'!A183</f>
        <v>1.13.22</v>
      </c>
      <c r="B498" s="211" t="str">
        <f>'BM02'!B183</f>
        <v>Conjunto moto-bomba com motor de 3/4 cv, trifásico, bomba centrífuga, sucção=1", recalque=1", pr. máx. 26 mca, alt. sucção 8 mca. faixas hm (m) - q (m3/h) : (23-3,4)(20-4,7)(17-5,7)(14-6,6)(11- 7,3), inclusive chave de partida direta</v>
      </c>
      <c r="C498" s="212"/>
      <c r="D498" s="212"/>
      <c r="E498" s="212"/>
      <c r="F498" s="212"/>
      <c r="G498" s="212"/>
      <c r="H498" s="212"/>
      <c r="I498" s="212"/>
      <c r="J498" s="212"/>
      <c r="K498" s="213"/>
      <c r="L498" s="129">
        <f>K499</f>
        <v>0</v>
      </c>
      <c r="M498" s="185" t="str">
        <f>'BM02'!C183</f>
        <v>un</v>
      </c>
    </row>
    <row r="499" spans="1:13" s="131" customFormat="1" ht="12.75">
      <c r="A499" s="132"/>
      <c r="B499" s="209"/>
      <c r="C499" s="210"/>
      <c r="D499" s="134"/>
      <c r="E499" s="134"/>
      <c r="F499" s="134"/>
      <c r="G499" s="134"/>
      <c r="H499" s="134"/>
      <c r="I499" s="134"/>
      <c r="J499" s="135"/>
      <c r="K499" s="135"/>
      <c r="L499" s="134">
        <f>ROUND(D499*K499,2)</f>
        <v>0</v>
      </c>
      <c r="M499" s="136"/>
    </row>
    <row r="500" spans="1:13" s="131" customFormat="1" ht="12.75">
      <c r="A500" s="139"/>
      <c r="B500" s="140"/>
      <c r="C500" s="141"/>
      <c r="D500" s="142"/>
      <c r="E500" s="143"/>
      <c r="F500" s="142"/>
      <c r="G500" s="142"/>
      <c r="H500" s="143"/>
      <c r="I500" s="143"/>
      <c r="J500" s="144"/>
      <c r="K500" s="144"/>
      <c r="L500" s="142"/>
      <c r="M500" s="145"/>
    </row>
    <row r="501" spans="1:13" ht="30" customHeight="1">
      <c r="A501" s="128" t="str">
        <f>'BM02'!A184</f>
        <v>1.13.23</v>
      </c>
      <c r="B501" s="211" t="str">
        <f>'BM02'!B184</f>
        <v>INTERRUPTOR PULSADOR CAMPAINHA (1 MÓDULO), 10A/250V, INCLUINDO SUPORTE E PLACA - FORNECIMENTO E INSTALAÇÃO. AF_09/2017</v>
      </c>
      <c r="C501" s="212"/>
      <c r="D501" s="212"/>
      <c r="E501" s="212"/>
      <c r="F501" s="212"/>
      <c r="G501" s="212"/>
      <c r="H501" s="212"/>
      <c r="I501" s="212"/>
      <c r="J501" s="212"/>
      <c r="K501" s="213"/>
      <c r="L501" s="129">
        <f>K502</f>
        <v>0</v>
      </c>
      <c r="M501" s="185" t="str">
        <f>'BM02'!C184</f>
        <v>un</v>
      </c>
    </row>
    <row r="502" spans="1:13" s="131" customFormat="1" ht="12.75">
      <c r="A502" s="132"/>
      <c r="B502" s="209"/>
      <c r="C502" s="210"/>
      <c r="D502" s="134"/>
      <c r="E502" s="134"/>
      <c r="F502" s="134"/>
      <c r="G502" s="134"/>
      <c r="H502" s="134"/>
      <c r="I502" s="134"/>
      <c r="J502" s="135"/>
      <c r="K502" s="135"/>
      <c r="L502" s="134">
        <f>ROUND(D502*K502,2)</f>
        <v>0</v>
      </c>
      <c r="M502" s="136"/>
    </row>
    <row r="503" spans="1:13" s="131" customFormat="1" ht="12.75">
      <c r="A503" s="139"/>
      <c r="B503" s="140"/>
      <c r="C503" s="141"/>
      <c r="D503" s="142"/>
      <c r="E503" s="143"/>
      <c r="F503" s="142"/>
      <c r="G503" s="142"/>
      <c r="H503" s="143"/>
      <c r="I503" s="143"/>
      <c r="J503" s="144"/>
      <c r="K503" s="144"/>
      <c r="L503" s="142"/>
      <c r="M503" s="145"/>
    </row>
    <row r="504" spans="1:13" ht="30" customHeight="1">
      <c r="A504" s="128" t="str">
        <f>'BM02'!A185</f>
        <v>1.13.24</v>
      </c>
      <c r="B504" s="211" t="str">
        <f>'BM02'!B185</f>
        <v>ENTRADA DE ENERGIA ELÉTRICA, AÉREA, TRIFÁSICA, COM CAIXA DE EMBUTIR, CABO DE 10 MM2 E DISJUNTOR DIN 50A (NÃO INCLUSO O POSTE DE CONCRETO). AF_07/2020</v>
      </c>
      <c r="C504" s="212"/>
      <c r="D504" s="212"/>
      <c r="E504" s="212"/>
      <c r="F504" s="212"/>
      <c r="G504" s="212"/>
      <c r="H504" s="212"/>
      <c r="I504" s="212"/>
      <c r="J504" s="212"/>
      <c r="K504" s="213"/>
      <c r="L504" s="129">
        <f>K505</f>
        <v>0</v>
      </c>
      <c r="M504" s="185" t="str">
        <f>'BM02'!C185</f>
        <v>un</v>
      </c>
    </row>
    <row r="505" spans="1:13" s="131" customFormat="1" ht="12.75">
      <c r="A505" s="132"/>
      <c r="B505" s="209"/>
      <c r="C505" s="210"/>
      <c r="D505" s="134"/>
      <c r="E505" s="134"/>
      <c r="F505" s="134"/>
      <c r="G505" s="134"/>
      <c r="H505" s="134"/>
      <c r="I505" s="134"/>
      <c r="J505" s="135"/>
      <c r="K505" s="135"/>
      <c r="L505" s="134">
        <f>ROUND(D505*K505,2)</f>
        <v>0</v>
      </c>
      <c r="M505" s="136"/>
    </row>
    <row r="506" spans="1:13" s="131" customFormat="1" ht="13.5" thickBot="1">
      <c r="A506" s="139"/>
      <c r="B506" s="140"/>
      <c r="C506" s="141"/>
      <c r="D506" s="142"/>
      <c r="E506" s="143"/>
      <c r="F506" s="142"/>
      <c r="G506" s="142"/>
      <c r="H506" s="143"/>
      <c r="I506" s="143"/>
      <c r="J506" s="144"/>
      <c r="K506" s="144"/>
      <c r="L506" s="142"/>
      <c r="M506" s="145"/>
    </row>
    <row r="507" spans="1:13" ht="13.5" thickBot="1">
      <c r="A507" s="121" t="str">
        <f>'BM02'!A187</f>
        <v>1.14</v>
      </c>
      <c r="B507" s="122" t="str">
        <f>'BM02'!B187</f>
        <v>ELEMENTOS DECORATIVOS MOBILIARIO</v>
      </c>
      <c r="C507" s="122"/>
      <c r="D507" s="122"/>
      <c r="E507" s="122"/>
      <c r="F507" s="122"/>
      <c r="G507" s="122"/>
      <c r="H507" s="122"/>
      <c r="I507" s="122"/>
      <c r="J507" s="122"/>
      <c r="K507" s="122"/>
      <c r="L507" s="122"/>
      <c r="M507" s="123"/>
    </row>
    <row r="508" spans="1:13" ht="12.75">
      <c r="A508" s="124"/>
      <c r="B508" s="125"/>
      <c r="C508" s="125"/>
      <c r="D508" s="125"/>
      <c r="E508" s="125"/>
      <c r="F508" s="125"/>
      <c r="G508" s="125"/>
      <c r="H508" s="125"/>
      <c r="I508" s="125"/>
      <c r="J508" s="125"/>
      <c r="K508" s="126"/>
      <c r="L508" s="125"/>
      <c r="M508" s="127"/>
    </row>
    <row r="509" spans="1:13" ht="30" customHeight="1">
      <c r="A509" s="128" t="str">
        <f>'BM02'!A189</f>
        <v>1.14.1</v>
      </c>
      <c r="B509" s="211" t="str">
        <f>'BM02'!B189</f>
        <v>Pintura de Letras - letreiro, sobre paredes, com lixamento, aplicação de 01 demão de líquido selador acrílico, 02 demãos de massa acrílica e 02 demãos de tinta pva latex convencional para exteriores</v>
      </c>
      <c r="C509" s="212"/>
      <c r="D509" s="212"/>
      <c r="E509" s="212"/>
      <c r="F509" s="212"/>
      <c r="G509" s="212"/>
      <c r="H509" s="212"/>
      <c r="I509" s="212"/>
      <c r="J509" s="212"/>
      <c r="K509" s="213"/>
      <c r="L509" s="129">
        <f>K510</f>
        <v>0</v>
      </c>
      <c r="M509" s="130" t="str">
        <f>'BM02'!C189</f>
        <v>un</v>
      </c>
    </row>
    <row r="510" spans="1:13" s="131" customFormat="1" ht="12.75">
      <c r="A510" s="132"/>
      <c r="B510" s="209"/>
      <c r="C510" s="210"/>
      <c r="D510" s="134"/>
      <c r="E510" s="134"/>
      <c r="F510" s="134"/>
      <c r="G510" s="134"/>
      <c r="H510" s="134"/>
      <c r="I510" s="134"/>
      <c r="J510" s="135"/>
      <c r="K510" s="135"/>
      <c r="L510" s="134">
        <f>ROUND(D510*K510,2)</f>
        <v>0</v>
      </c>
      <c r="M510" s="136"/>
    </row>
    <row r="511" spans="1:13" s="131" customFormat="1" ht="12.75">
      <c r="A511" s="139"/>
      <c r="B511" s="140"/>
      <c r="C511" s="141"/>
      <c r="D511" s="142"/>
      <c r="E511" s="143"/>
      <c r="F511" s="142"/>
      <c r="G511" s="142"/>
      <c r="H511" s="143"/>
      <c r="I511" s="143"/>
      <c r="J511" s="144"/>
      <c r="K511" s="144"/>
      <c r="L511" s="142"/>
      <c r="M511" s="145"/>
    </row>
    <row r="512" spans="1:13" ht="12.6" customHeight="1">
      <c r="A512" s="184" t="str">
        <f>'BM02'!A190</f>
        <v>1.14.2</v>
      </c>
      <c r="B512" s="211" t="str">
        <f>'BM02'!B190</f>
        <v>Placa de inauguração em alumínio com Acrilico, 80x60cm,com logomarca e moldura</v>
      </c>
      <c r="C512" s="212"/>
      <c r="D512" s="212"/>
      <c r="E512" s="212"/>
      <c r="F512" s="212"/>
      <c r="G512" s="212"/>
      <c r="H512" s="212"/>
      <c r="I512" s="212"/>
      <c r="J512" s="212"/>
      <c r="K512" s="213"/>
      <c r="L512" s="129">
        <f>K513</f>
        <v>0</v>
      </c>
      <c r="M512" s="130" t="str">
        <f>'BM02'!C190</f>
        <v>un</v>
      </c>
    </row>
    <row r="513" spans="1:13" s="131" customFormat="1" ht="12.75">
      <c r="A513" s="132"/>
      <c r="B513" s="209"/>
      <c r="C513" s="210"/>
      <c r="D513" s="134"/>
      <c r="E513" s="134"/>
      <c r="F513" s="134"/>
      <c r="G513" s="134"/>
      <c r="H513" s="134"/>
      <c r="I513" s="134"/>
      <c r="J513" s="135"/>
      <c r="K513" s="135"/>
      <c r="L513" s="134">
        <f>ROUND(D513*K513,2)</f>
        <v>0</v>
      </c>
      <c r="M513" s="136"/>
    </row>
    <row r="514" spans="1:13" s="131" customFormat="1" ht="12.75">
      <c r="A514" s="139"/>
      <c r="B514" s="140"/>
      <c r="C514" s="141"/>
      <c r="D514" s="142"/>
      <c r="E514" s="143"/>
      <c r="F514" s="142"/>
      <c r="G514" s="142"/>
      <c r="H514" s="143"/>
      <c r="I514" s="143"/>
      <c r="J514" s="144"/>
      <c r="K514" s="144"/>
      <c r="L514" s="142"/>
      <c r="M514" s="145"/>
    </row>
    <row r="515" spans="1:13" ht="12.6" customHeight="1">
      <c r="A515" s="184" t="str">
        <f>'BM02'!A191</f>
        <v>1.14.3</v>
      </c>
      <c r="B515" s="211" t="str">
        <f>'BM02'!B191</f>
        <v>Mastro simples em tubo ferro galvanizado, alt (útil)= 6m (3,80m x 2" + 2,20m x 1 1/2")</v>
      </c>
      <c r="C515" s="212"/>
      <c r="D515" s="212"/>
      <c r="E515" s="212"/>
      <c r="F515" s="212"/>
      <c r="G515" s="212"/>
      <c r="H515" s="212"/>
      <c r="I515" s="212"/>
      <c r="J515" s="212"/>
      <c r="K515" s="213"/>
      <c r="L515" s="129">
        <f>K516</f>
        <v>0</v>
      </c>
      <c r="M515" s="130" t="str">
        <f>'BM02'!C191</f>
        <v>un</v>
      </c>
    </row>
    <row r="516" spans="1:13" s="131" customFormat="1" ht="12.75">
      <c r="A516" s="132"/>
      <c r="B516" s="209"/>
      <c r="C516" s="210"/>
      <c r="D516" s="134"/>
      <c r="E516" s="134"/>
      <c r="F516" s="134"/>
      <c r="G516" s="134"/>
      <c r="H516" s="134"/>
      <c r="I516" s="134"/>
      <c r="J516" s="135"/>
      <c r="K516" s="135"/>
      <c r="L516" s="134">
        <f>ROUND(D516*K516,2)</f>
        <v>0</v>
      </c>
      <c r="M516" s="136"/>
    </row>
    <row r="517" spans="1:13" s="131" customFormat="1" ht="12.75">
      <c r="A517" s="139"/>
      <c r="B517" s="140"/>
      <c r="C517" s="141"/>
      <c r="D517" s="142"/>
      <c r="E517" s="143"/>
      <c r="F517" s="142"/>
      <c r="G517" s="142"/>
      <c r="H517" s="143"/>
      <c r="I517" s="143"/>
      <c r="J517" s="144"/>
      <c r="K517" s="144"/>
      <c r="L517" s="142"/>
      <c r="M517" s="145"/>
    </row>
    <row r="518" spans="1:13" ht="12.6" customHeight="1">
      <c r="A518" s="184" t="str">
        <f>'BM02'!A192</f>
        <v>1.14.4</v>
      </c>
      <c r="B518" s="211" t="str">
        <f>'BM02'!B192</f>
        <v>Mastro simples em tubo ferro galvanizado, alt (útil)= 6m (3,80m x 2" + 2,20m x 1 1/2")</v>
      </c>
      <c r="C518" s="212"/>
      <c r="D518" s="212"/>
      <c r="E518" s="212"/>
      <c r="F518" s="212"/>
      <c r="G518" s="212"/>
      <c r="H518" s="212"/>
      <c r="I518" s="212"/>
      <c r="J518" s="212"/>
      <c r="K518" s="213"/>
      <c r="L518" s="129">
        <f>K519</f>
        <v>0</v>
      </c>
      <c r="M518" s="130" t="str">
        <f>'BM02'!C192</f>
        <v>un</v>
      </c>
    </row>
    <row r="519" spans="1:13" s="131" customFormat="1" ht="12.75">
      <c r="A519" s="132"/>
      <c r="B519" s="209"/>
      <c r="C519" s="210"/>
      <c r="D519" s="134"/>
      <c r="E519" s="134"/>
      <c r="F519" s="134"/>
      <c r="G519" s="134"/>
      <c r="H519" s="134"/>
      <c r="I519" s="134"/>
      <c r="J519" s="135"/>
      <c r="K519" s="135"/>
      <c r="L519" s="134">
        <f>ROUND(D519*K519,2)</f>
        <v>0</v>
      </c>
      <c r="M519" s="136"/>
    </row>
    <row r="520" spans="1:13" s="131" customFormat="1" ht="12.75">
      <c r="A520" s="139"/>
      <c r="B520" s="140"/>
      <c r="C520" s="141"/>
      <c r="D520" s="142"/>
      <c r="E520" s="143"/>
      <c r="F520" s="142"/>
      <c r="G520" s="142"/>
      <c r="H520" s="143"/>
      <c r="I520" s="143"/>
      <c r="J520" s="144"/>
      <c r="K520" s="144"/>
      <c r="L520" s="142"/>
      <c r="M520" s="145"/>
    </row>
    <row r="521" spans="1:13" ht="12.6" customHeight="1">
      <c r="A521" s="184" t="str">
        <f>'BM02'!A193</f>
        <v>1.14.5</v>
      </c>
      <c r="B521" s="211" t="str">
        <f>'BM02'!B193</f>
        <v>Quadro escolar em fórmica branca com moldura</v>
      </c>
      <c r="C521" s="212"/>
      <c r="D521" s="212"/>
      <c r="E521" s="212"/>
      <c r="F521" s="212"/>
      <c r="G521" s="212"/>
      <c r="H521" s="212"/>
      <c r="I521" s="212"/>
      <c r="J521" s="212"/>
      <c r="K521" s="213"/>
      <c r="L521" s="129">
        <f>K522</f>
        <v>0</v>
      </c>
      <c r="M521" s="130" t="str">
        <f>'BM02'!C193</f>
        <v>m²</v>
      </c>
    </row>
    <row r="522" spans="1:13" s="131" customFormat="1" ht="12.75">
      <c r="A522" s="132"/>
      <c r="B522" s="209"/>
      <c r="C522" s="210"/>
      <c r="D522" s="134"/>
      <c r="E522" s="134"/>
      <c r="F522" s="134"/>
      <c r="G522" s="134"/>
      <c r="H522" s="134"/>
      <c r="I522" s="134"/>
      <c r="J522" s="135"/>
      <c r="K522" s="135"/>
      <c r="L522" s="134">
        <f>ROUND(D522*K522,2)</f>
        <v>0</v>
      </c>
      <c r="M522" s="136"/>
    </row>
    <row r="523" spans="1:13" s="131" customFormat="1" ht="12.75">
      <c r="A523" s="139"/>
      <c r="B523" s="140"/>
      <c r="C523" s="141"/>
      <c r="D523" s="142"/>
      <c r="E523" s="143"/>
      <c r="F523" s="142"/>
      <c r="G523" s="142"/>
      <c r="H523" s="143"/>
      <c r="I523" s="143"/>
      <c r="J523" s="144"/>
      <c r="K523" s="144"/>
      <c r="L523" s="142"/>
      <c r="M523" s="145"/>
    </row>
    <row r="524" spans="1:13" ht="30" customHeight="1">
      <c r="A524" s="128" t="str">
        <f>'BM02'!A194</f>
        <v>1.14.6</v>
      </c>
      <c r="B524" s="211" t="str">
        <f>'BM02'!B194</f>
        <v>EXTINTOR DE INCÊNDIO PORTÁTIL COM CARGA DE ÁGUA PRESSURIZADA DE 10 L, CLASSE A - FORNECIMENTO E INSTALAÇÃO. AF_10/2020_P</v>
      </c>
      <c r="C524" s="212"/>
      <c r="D524" s="212"/>
      <c r="E524" s="212"/>
      <c r="F524" s="212"/>
      <c r="G524" s="212"/>
      <c r="H524" s="212"/>
      <c r="I524" s="212"/>
      <c r="J524" s="212"/>
      <c r="K524" s="213"/>
      <c r="L524" s="129">
        <f>K525</f>
        <v>0</v>
      </c>
      <c r="M524" s="130" t="str">
        <f>'BM02'!C194</f>
        <v>un</v>
      </c>
    </row>
    <row r="525" spans="1:13" s="131" customFormat="1" ht="12.75">
      <c r="A525" s="132"/>
      <c r="B525" s="209"/>
      <c r="C525" s="210"/>
      <c r="D525" s="134"/>
      <c r="E525" s="134"/>
      <c r="F525" s="134"/>
      <c r="G525" s="134"/>
      <c r="H525" s="134"/>
      <c r="I525" s="134"/>
      <c r="J525" s="135"/>
      <c r="K525" s="135"/>
      <c r="L525" s="134">
        <f>ROUND(D525*K525,2)</f>
        <v>0</v>
      </c>
      <c r="M525" s="136"/>
    </row>
    <row r="526" spans="1:13" s="131" customFormat="1" ht="12.75">
      <c r="A526" s="139"/>
      <c r="B526" s="140"/>
      <c r="C526" s="141"/>
      <c r="D526" s="142"/>
      <c r="E526" s="143"/>
      <c r="F526" s="142"/>
      <c r="G526" s="142"/>
      <c r="H526" s="143"/>
      <c r="I526" s="143"/>
      <c r="J526" s="144"/>
      <c r="K526" s="144"/>
      <c r="L526" s="142"/>
      <c r="M526" s="145"/>
    </row>
    <row r="527" spans="1:13" ht="30" customHeight="1">
      <c r="A527" s="128" t="str">
        <f>'BM02'!A195</f>
        <v>1.14.7</v>
      </c>
      <c r="B527" s="211" t="str">
        <f>'BM02'!B195</f>
        <v>EXTINTOR DE INCÊNDIO PORTÁTIL COM CARGA DE PQS DE 4 KG, CLASSE BC - FORNECIMENTO E INSTALAÇÃO. AF_10/2020_P</v>
      </c>
      <c r="C527" s="212"/>
      <c r="D527" s="212"/>
      <c r="E527" s="212"/>
      <c r="F527" s="212"/>
      <c r="G527" s="212"/>
      <c r="H527" s="212"/>
      <c r="I527" s="212"/>
      <c r="J527" s="212"/>
      <c r="K527" s="213"/>
      <c r="L527" s="129">
        <f>K528</f>
        <v>0</v>
      </c>
      <c r="M527" s="130" t="str">
        <f>'BM02'!C195</f>
        <v>un</v>
      </c>
    </row>
    <row r="528" spans="1:13" s="131" customFormat="1" ht="12.75">
      <c r="A528" s="132"/>
      <c r="B528" s="209"/>
      <c r="C528" s="210"/>
      <c r="D528" s="134"/>
      <c r="E528" s="134"/>
      <c r="F528" s="134"/>
      <c r="G528" s="134"/>
      <c r="H528" s="134"/>
      <c r="I528" s="134"/>
      <c r="J528" s="135"/>
      <c r="K528" s="135"/>
      <c r="L528" s="134">
        <f>ROUND(D528*K528,2)</f>
        <v>0</v>
      </c>
      <c r="M528" s="136"/>
    </row>
    <row r="529" spans="1:13" s="131" customFormat="1" ht="13.5" thickBot="1">
      <c r="A529" s="139"/>
      <c r="B529" s="140"/>
      <c r="C529" s="141"/>
      <c r="D529" s="142"/>
      <c r="E529" s="143"/>
      <c r="F529" s="142"/>
      <c r="G529" s="142"/>
      <c r="H529" s="143"/>
      <c r="I529" s="143"/>
      <c r="J529" s="144"/>
      <c r="K529" s="144"/>
      <c r="L529" s="142"/>
      <c r="M529" s="145"/>
    </row>
    <row r="530" spans="1:13" ht="13.5" thickBot="1">
      <c r="A530" s="121" t="str">
        <f>'BM02'!A197</f>
        <v>1.15</v>
      </c>
      <c r="B530" s="122" t="str">
        <f>'BM02'!B197</f>
        <v>LIMPEZA, ENTREGA DA OBRA</v>
      </c>
      <c r="C530" s="122"/>
      <c r="D530" s="122"/>
      <c r="E530" s="122"/>
      <c r="F530" s="122"/>
      <c r="G530" s="122"/>
      <c r="H530" s="122"/>
      <c r="I530" s="122"/>
      <c r="J530" s="122"/>
      <c r="K530" s="122"/>
      <c r="L530" s="122"/>
      <c r="M530" s="123"/>
    </row>
    <row r="531" spans="1:13" ht="12.75">
      <c r="A531" s="124"/>
      <c r="B531" s="125"/>
      <c r="C531" s="125"/>
      <c r="D531" s="125"/>
      <c r="E531" s="125"/>
      <c r="F531" s="125"/>
      <c r="G531" s="125"/>
      <c r="H531" s="125"/>
      <c r="I531" s="125"/>
      <c r="J531" s="125"/>
      <c r="K531" s="126"/>
      <c r="L531" s="125"/>
      <c r="M531" s="127"/>
    </row>
    <row r="532" spans="1:13" ht="12.6" customHeight="1">
      <c r="A532" s="184" t="str">
        <f>'BM02'!A199</f>
        <v>1.15.1</v>
      </c>
      <c r="B532" s="211" t="str">
        <f>'BM02'!B199</f>
        <v>Limpeza geral</v>
      </c>
      <c r="C532" s="212"/>
      <c r="D532" s="212"/>
      <c r="E532" s="212"/>
      <c r="F532" s="212"/>
      <c r="G532" s="212"/>
      <c r="H532" s="212"/>
      <c r="I532" s="212"/>
      <c r="J532" s="212"/>
      <c r="K532" s="213"/>
      <c r="L532" s="129">
        <f>K533</f>
        <v>0</v>
      </c>
      <c r="M532" s="185" t="str">
        <f>'BM02'!C199</f>
        <v>m²</v>
      </c>
    </row>
    <row r="533" spans="1:13" s="131" customFormat="1" ht="12.75">
      <c r="A533" s="132"/>
      <c r="B533" s="209"/>
      <c r="C533" s="210"/>
      <c r="D533" s="134"/>
      <c r="E533" s="134"/>
      <c r="F533" s="134"/>
      <c r="G533" s="134"/>
      <c r="H533" s="134"/>
      <c r="I533" s="134"/>
      <c r="J533" s="135"/>
      <c r="K533" s="135"/>
      <c r="L533" s="134">
        <f>ROUND(D533*K533,2)</f>
        <v>0</v>
      </c>
      <c r="M533" s="136"/>
    </row>
    <row r="534" spans="1:13" s="131" customFormat="1" ht="12.75">
      <c r="A534" s="139"/>
      <c r="B534" s="140"/>
      <c r="C534" s="141"/>
      <c r="D534" s="142"/>
      <c r="E534" s="143"/>
      <c r="F534" s="142"/>
      <c r="G534" s="142"/>
      <c r="H534" s="143"/>
      <c r="I534" s="143"/>
      <c r="J534" s="144"/>
      <c r="K534" s="144"/>
      <c r="L534" s="142"/>
      <c r="M534" s="145"/>
    </row>
    <row r="535" spans="1:13" ht="12.6" customHeight="1">
      <c r="A535" s="184" t="str">
        <f>'BM02'!A200</f>
        <v>1.15.2</v>
      </c>
      <c r="B535" s="211" t="str">
        <f>'BM02'!B200</f>
        <v>bota-fora (carga manual, transporte e descarga mecanica, caminhão basculante de 10m³) ate 5,00km</v>
      </c>
      <c r="C535" s="212"/>
      <c r="D535" s="212"/>
      <c r="E535" s="212"/>
      <c r="F535" s="212"/>
      <c r="G535" s="212"/>
      <c r="H535" s="212"/>
      <c r="I535" s="212"/>
      <c r="J535" s="212"/>
      <c r="K535" s="213"/>
      <c r="L535" s="129">
        <f>K536</f>
        <v>0</v>
      </c>
      <c r="M535" s="185" t="str">
        <f>'BM02'!C200</f>
        <v>m³</v>
      </c>
    </row>
    <row r="536" spans="1:13" s="131" customFormat="1" ht="12.75">
      <c r="A536" s="132"/>
      <c r="B536" s="209"/>
      <c r="C536" s="210"/>
      <c r="D536" s="134"/>
      <c r="E536" s="134"/>
      <c r="F536" s="134"/>
      <c r="G536" s="134"/>
      <c r="H536" s="134"/>
      <c r="I536" s="134"/>
      <c r="J536" s="135"/>
      <c r="K536" s="135"/>
      <c r="L536" s="134">
        <f>ROUND(D536*K536,2)</f>
        <v>0</v>
      </c>
      <c r="M536" s="136"/>
    </row>
    <row r="537" spans="1:13" s="131" customFormat="1" ht="13.5" thickBot="1">
      <c r="A537" s="139"/>
      <c r="B537" s="140"/>
      <c r="C537" s="141"/>
      <c r="D537" s="142"/>
      <c r="E537" s="143"/>
      <c r="F537" s="142"/>
      <c r="G537" s="142"/>
      <c r="H537" s="143"/>
      <c r="I537" s="143"/>
      <c r="J537" s="144"/>
      <c r="K537" s="144"/>
      <c r="L537" s="142"/>
      <c r="M537" s="145"/>
    </row>
    <row r="538" spans="1:13" ht="13.9" customHeight="1" thickBot="1">
      <c r="A538" s="272" t="str">
        <f>'BM02'!A202</f>
        <v>ETAPA 02: RECREIO COBERTO</v>
      </c>
      <c r="B538" s="273"/>
      <c r="C538" s="273"/>
      <c r="D538" s="273"/>
      <c r="E538" s="273"/>
      <c r="F538" s="273"/>
      <c r="G538" s="273"/>
      <c r="H538" s="273"/>
      <c r="I538" s="273"/>
      <c r="J538" s="273"/>
      <c r="K538" s="273"/>
      <c r="L538" s="273"/>
      <c r="M538" s="274"/>
    </row>
    <row r="539" spans="1:13" s="131" customFormat="1" ht="13.5" thickBot="1">
      <c r="A539" s="139"/>
      <c r="B539" s="140"/>
      <c r="C539" s="141"/>
      <c r="D539" s="142"/>
      <c r="E539" s="143"/>
      <c r="F539" s="142"/>
      <c r="G539" s="142"/>
      <c r="H539" s="143"/>
      <c r="I539" s="143"/>
      <c r="J539" s="144"/>
      <c r="K539" s="144"/>
      <c r="L539" s="142"/>
      <c r="M539" s="145"/>
    </row>
    <row r="540" spans="1:13" ht="13.5" thickBot="1">
      <c r="A540" s="121" t="str">
        <f>'BM02'!A204</f>
        <v>2.1</v>
      </c>
      <c r="B540" s="122" t="str">
        <f>'BM02'!B204</f>
        <v>SERVIÇOS PRELIMINARES</v>
      </c>
      <c r="C540" s="122"/>
      <c r="D540" s="122"/>
      <c r="E540" s="122"/>
      <c r="F540" s="122"/>
      <c r="G540" s="122"/>
      <c r="H540" s="122"/>
      <c r="I540" s="122"/>
      <c r="J540" s="122"/>
      <c r="K540" s="122"/>
      <c r="L540" s="122"/>
      <c r="M540" s="123"/>
    </row>
    <row r="541" spans="1:13" ht="12.75">
      <c r="A541" s="124"/>
      <c r="B541" s="125"/>
      <c r="C541" s="125"/>
      <c r="D541" s="125"/>
      <c r="E541" s="125"/>
      <c r="F541" s="125"/>
      <c r="G541" s="125"/>
      <c r="H541" s="125"/>
      <c r="I541" s="125"/>
      <c r="J541" s="125"/>
      <c r="K541" s="126"/>
      <c r="L541" s="125"/>
      <c r="M541" s="127"/>
    </row>
    <row r="542" spans="1:13" ht="30" customHeight="1">
      <c r="A542" s="128" t="str">
        <f>'BM02'!A206</f>
        <v>2.1.1</v>
      </c>
      <c r="B542" s="211" t="str">
        <f>'BM02'!B206</f>
        <v>LOCACAO CONVENCIONAL DE OBRA, UTILIZANDO GABARITO DE TÁBUAS CORRIDAS PONTALETADAS A CADA 2,00M - 2 UTILIZAÇÕES. AF_10/2018</v>
      </c>
      <c r="C542" s="212"/>
      <c r="D542" s="212"/>
      <c r="E542" s="212"/>
      <c r="F542" s="212"/>
      <c r="G542" s="212"/>
      <c r="H542" s="212"/>
      <c r="I542" s="212"/>
      <c r="J542" s="212"/>
      <c r="K542" s="213"/>
      <c r="L542" s="129">
        <f>SUM(L543:L543)</f>
        <v>32</v>
      </c>
      <c r="M542" s="130" t="str">
        <f>'BM02'!C206</f>
        <v>m</v>
      </c>
    </row>
    <row r="543" spans="1:13" s="131" customFormat="1" ht="12.75">
      <c r="A543" s="132"/>
      <c r="B543" s="209"/>
      <c r="C543" s="210"/>
      <c r="D543" s="134">
        <v>1</v>
      </c>
      <c r="E543" s="134">
        <v>5</v>
      </c>
      <c r="F543" s="134">
        <v>5</v>
      </c>
      <c r="G543" s="134">
        <v>11</v>
      </c>
      <c r="H543" s="134">
        <v>11</v>
      </c>
      <c r="I543" s="134"/>
      <c r="J543" s="135"/>
      <c r="K543" s="135">
        <f>ROUND(E543+F543+G543+H543,2)</f>
        <v>32</v>
      </c>
      <c r="L543" s="134">
        <f>ROUND(D543*K543,2)</f>
        <v>32</v>
      </c>
      <c r="M543" s="136"/>
    </row>
    <row r="544" spans="1:13" s="131" customFormat="1" ht="13.5" thickBot="1">
      <c r="A544" s="139"/>
      <c r="B544" s="140"/>
      <c r="C544" s="141"/>
      <c r="D544" s="142"/>
      <c r="E544" s="143"/>
      <c r="F544" s="142"/>
      <c r="G544" s="142"/>
      <c r="H544" s="143"/>
      <c r="I544" s="143"/>
      <c r="J544" s="144"/>
      <c r="K544" s="144"/>
      <c r="L544" s="142"/>
      <c r="M544" s="145"/>
    </row>
    <row r="545" spans="1:13" ht="13.5" thickBot="1">
      <c r="A545" s="121" t="str">
        <f>'BM02'!A208</f>
        <v>2.2</v>
      </c>
      <c r="B545" s="122" t="str">
        <f>'BM02'!B208</f>
        <v>MOVIMENTO DE TERRA</v>
      </c>
      <c r="C545" s="122"/>
      <c r="D545" s="122"/>
      <c r="E545" s="122"/>
      <c r="F545" s="122"/>
      <c r="G545" s="122"/>
      <c r="H545" s="122"/>
      <c r="I545" s="122"/>
      <c r="J545" s="122"/>
      <c r="K545" s="122"/>
      <c r="L545" s="122"/>
      <c r="M545" s="123"/>
    </row>
    <row r="546" spans="1:13" ht="12.75">
      <c r="A546" s="124"/>
      <c r="B546" s="125"/>
      <c r="C546" s="125"/>
      <c r="D546" s="125"/>
      <c r="E546" s="125"/>
      <c r="F546" s="125"/>
      <c r="G546" s="125"/>
      <c r="H546" s="125"/>
      <c r="I546" s="125"/>
      <c r="J546" s="125"/>
      <c r="K546" s="126"/>
      <c r="L546" s="125"/>
      <c r="M546" s="127"/>
    </row>
    <row r="547" spans="1:13" ht="30" customHeight="1">
      <c r="A547" s="128" t="str">
        <f>'BM02'!A210</f>
        <v>2.2.1</v>
      </c>
      <c r="B547" s="211" t="str">
        <f>'BM02'!B210</f>
        <v>ESCAVACAO MECANICA DE VALA EM MATERIAL DE 2A. CATEGORIA ATE 2 M DE PROFUNDIDADE COM UTILIZACAO DE ESCAVADEIRA HIDRAULICA</v>
      </c>
      <c r="C547" s="212"/>
      <c r="D547" s="212"/>
      <c r="E547" s="212"/>
      <c r="F547" s="212"/>
      <c r="G547" s="212"/>
      <c r="H547" s="212"/>
      <c r="I547" s="212"/>
      <c r="J547" s="212"/>
      <c r="K547" s="213"/>
      <c r="L547" s="129">
        <f>SUM(L548:L550)</f>
        <v>18.2</v>
      </c>
      <c r="M547" s="130" t="str">
        <f>'BM02'!C210</f>
        <v>m³</v>
      </c>
    </row>
    <row r="548" spans="1:13" s="131" customFormat="1" ht="12.75">
      <c r="A548" s="132"/>
      <c r="B548" s="209" t="s">
        <v>521</v>
      </c>
      <c r="C548" s="210"/>
      <c r="D548" s="134">
        <v>11</v>
      </c>
      <c r="E548" s="134">
        <v>0.8</v>
      </c>
      <c r="F548" s="134"/>
      <c r="G548" s="134">
        <v>0.8</v>
      </c>
      <c r="H548" s="134"/>
      <c r="I548" s="134">
        <v>1.2</v>
      </c>
      <c r="J548" s="135"/>
      <c r="K548" s="135">
        <f>E548*G548*I548</f>
        <v>0.76800000000000013</v>
      </c>
      <c r="L548" s="134">
        <f>ROUND(D548*K548,2)</f>
        <v>8.4499999999999993</v>
      </c>
      <c r="M548" s="136"/>
    </row>
    <row r="549" spans="1:13" s="131" customFormat="1" ht="14.45" customHeight="1">
      <c r="A549" s="263"/>
      <c r="B549" s="275" t="s">
        <v>522</v>
      </c>
      <c r="C549" s="276"/>
      <c r="D549" s="134">
        <v>3</v>
      </c>
      <c r="E549" s="134">
        <v>5.8</v>
      </c>
      <c r="F549" s="134"/>
      <c r="G549" s="134">
        <v>0.4</v>
      </c>
      <c r="H549" s="134"/>
      <c r="I549" s="134">
        <v>0.6</v>
      </c>
      <c r="J549" s="135"/>
      <c r="K549" s="135">
        <f t="shared" ref="K549:K550" si="22">E549*G549*I549</f>
        <v>1.3919999999999999</v>
      </c>
      <c r="L549" s="134">
        <f t="shared" ref="L549:L550" si="23">ROUND(D549*K549,2)</f>
        <v>4.18</v>
      </c>
      <c r="M549" s="136"/>
    </row>
    <row r="550" spans="1:13" s="131" customFormat="1" ht="14.45" customHeight="1">
      <c r="A550" s="264"/>
      <c r="B550" s="277"/>
      <c r="C550" s="278"/>
      <c r="D550" s="134">
        <v>2</v>
      </c>
      <c r="E550" s="134">
        <v>11.6</v>
      </c>
      <c r="F550" s="134"/>
      <c r="G550" s="134">
        <v>0.4</v>
      </c>
      <c r="H550" s="134"/>
      <c r="I550" s="134">
        <v>0.6</v>
      </c>
      <c r="J550" s="135"/>
      <c r="K550" s="135">
        <f t="shared" si="22"/>
        <v>2.7839999999999998</v>
      </c>
      <c r="L550" s="134">
        <f t="shared" si="23"/>
        <v>5.57</v>
      </c>
      <c r="M550" s="136"/>
    </row>
    <row r="551" spans="1:13" s="131" customFormat="1" ht="12.75">
      <c r="A551" s="139"/>
      <c r="B551" s="140"/>
      <c r="C551" s="141"/>
      <c r="D551" s="142"/>
      <c r="E551" s="143"/>
      <c r="F551" s="142"/>
      <c r="G551" s="142"/>
      <c r="H551" s="143"/>
      <c r="I551" s="143"/>
      <c r="J551" s="144"/>
      <c r="K551" s="144"/>
      <c r="L551" s="142"/>
      <c r="M551" s="145"/>
    </row>
    <row r="552" spans="1:13" ht="12.75">
      <c r="A552" s="128" t="str">
        <f>'BM02'!A211</f>
        <v>2.2.2</v>
      </c>
      <c r="B552" s="211" t="str">
        <f>'BM02'!B211</f>
        <v>EMBASAMENTO C/PEDRA ARGAMASSADA UTILIZADO ARG.CIM/AREIA 1:4 (ADAPTADO SINAPI 95467)</v>
      </c>
      <c r="C552" s="212"/>
      <c r="D552" s="212"/>
      <c r="E552" s="212"/>
      <c r="F552" s="212"/>
      <c r="G552" s="212"/>
      <c r="H552" s="212"/>
      <c r="I552" s="212"/>
      <c r="J552" s="212"/>
      <c r="K552" s="213"/>
      <c r="L552" s="129">
        <f>SUM(L553:L554)-0.02</f>
        <v>2.5</v>
      </c>
      <c r="M552" s="130" t="str">
        <f>'BM02'!C211</f>
        <v>m³</v>
      </c>
    </row>
    <row r="553" spans="1:13" s="131" customFormat="1" ht="12.75">
      <c r="A553" s="132"/>
      <c r="B553" s="209"/>
      <c r="C553" s="210"/>
      <c r="D553" s="134">
        <v>3</v>
      </c>
      <c r="E553" s="134">
        <v>6</v>
      </c>
      <c r="F553" s="134"/>
      <c r="G553" s="134">
        <v>0.2</v>
      </c>
      <c r="H553" s="134"/>
      <c r="I553" s="134">
        <v>0.3</v>
      </c>
      <c r="J553" s="135"/>
      <c r="K553" s="135">
        <f>E553*G553*I553</f>
        <v>0.36000000000000004</v>
      </c>
      <c r="L553" s="134">
        <f>ROUND(D553*K553,2)</f>
        <v>1.08</v>
      </c>
      <c r="M553" s="136"/>
    </row>
    <row r="554" spans="1:13" s="131" customFormat="1" ht="12.75">
      <c r="A554" s="132"/>
      <c r="B554" s="209"/>
      <c r="C554" s="210"/>
      <c r="D554" s="134">
        <v>2</v>
      </c>
      <c r="E554" s="134">
        <v>12</v>
      </c>
      <c r="F554" s="134"/>
      <c r="G554" s="134">
        <v>0.2</v>
      </c>
      <c r="H554" s="134"/>
      <c r="I554" s="134">
        <v>0.3</v>
      </c>
      <c r="J554" s="135"/>
      <c r="K554" s="135">
        <f t="shared" ref="K554" si="24">E554*G554*I554</f>
        <v>0.72000000000000008</v>
      </c>
      <c r="L554" s="134">
        <f t="shared" ref="L554" si="25">ROUND(D554*K554,2)</f>
        <v>1.44</v>
      </c>
      <c r="M554" s="136"/>
    </row>
    <row r="555" spans="1:13" s="131" customFormat="1" ht="13.5" thickBot="1">
      <c r="A555" s="139"/>
      <c r="B555" s="140"/>
      <c r="C555" s="141"/>
      <c r="D555" s="142"/>
      <c r="E555" s="143"/>
      <c r="F555" s="142"/>
      <c r="G555" s="142"/>
      <c r="H555" s="143"/>
      <c r="I555" s="143"/>
      <c r="J555" s="144"/>
      <c r="K555" s="144"/>
      <c r="L555" s="142"/>
      <c r="M555" s="145"/>
    </row>
    <row r="556" spans="1:13" ht="13.5" thickBot="1">
      <c r="A556" s="121" t="str">
        <f>'BM02'!A213</f>
        <v>2.3</v>
      </c>
      <c r="B556" s="122" t="str">
        <f>'BM02'!B213</f>
        <v>FUNDAÇÃO</v>
      </c>
      <c r="C556" s="122"/>
      <c r="D556" s="122"/>
      <c r="E556" s="122"/>
      <c r="F556" s="122"/>
      <c r="G556" s="122"/>
      <c r="H556" s="122"/>
      <c r="I556" s="122"/>
      <c r="J556" s="122"/>
      <c r="K556" s="122"/>
      <c r="L556" s="122"/>
      <c r="M556" s="123"/>
    </row>
    <row r="557" spans="1:13" ht="12.75">
      <c r="A557" s="124"/>
      <c r="B557" s="125"/>
      <c r="C557" s="125"/>
      <c r="D557" s="125"/>
      <c r="E557" s="125"/>
      <c r="F557" s="125"/>
      <c r="G557" s="125"/>
      <c r="H557" s="125"/>
      <c r="I557" s="125"/>
      <c r="J557" s="125"/>
      <c r="K557" s="126"/>
      <c r="L557" s="125"/>
      <c r="M557" s="127"/>
    </row>
    <row r="558" spans="1:13" ht="12.6" customHeight="1">
      <c r="A558" s="184" t="str">
        <f>'BM02'!A215</f>
        <v>2.3.1</v>
      </c>
      <c r="B558" s="211" t="str">
        <f>'BM02'!B215</f>
        <v>LASTRO DE CONCRETO MAGRO, APLICADO EM BLOCOS DE COROAMENTO OU SAPATAS. AF_08/2017</v>
      </c>
      <c r="C558" s="212"/>
      <c r="D558" s="212"/>
      <c r="E558" s="212"/>
      <c r="F558" s="212"/>
      <c r="G558" s="212"/>
      <c r="H558" s="212"/>
      <c r="I558" s="212"/>
      <c r="J558" s="212"/>
      <c r="K558" s="213"/>
      <c r="L558" s="129">
        <f>SUM(L559:L559)</f>
        <v>0.7</v>
      </c>
      <c r="M558" s="185" t="str">
        <f>'BM02'!C215</f>
        <v>m³</v>
      </c>
    </row>
    <row r="559" spans="1:13" s="131" customFormat="1" ht="12.75">
      <c r="A559" s="132"/>
      <c r="B559" s="209" t="s">
        <v>521</v>
      </c>
      <c r="C559" s="210"/>
      <c r="D559" s="134">
        <v>11</v>
      </c>
      <c r="E559" s="134">
        <v>0.8</v>
      </c>
      <c r="F559" s="134"/>
      <c r="G559" s="134">
        <v>0.8</v>
      </c>
      <c r="H559" s="134"/>
      <c r="I559" s="134">
        <v>0.1</v>
      </c>
      <c r="J559" s="135"/>
      <c r="K559" s="135">
        <f>E559*G559*I559</f>
        <v>6.4000000000000015E-2</v>
      </c>
      <c r="L559" s="134">
        <f>ROUND(D559*K559,2)</f>
        <v>0.7</v>
      </c>
      <c r="M559" s="136"/>
    </row>
    <row r="560" spans="1:13" s="131" customFormat="1" ht="12.75">
      <c r="A560" s="139"/>
      <c r="B560" s="140"/>
      <c r="C560" s="141"/>
      <c r="D560" s="142"/>
      <c r="E560" s="143"/>
      <c r="F560" s="142"/>
      <c r="G560" s="142"/>
      <c r="H560" s="143"/>
      <c r="I560" s="143"/>
      <c r="J560" s="144"/>
      <c r="K560" s="144"/>
      <c r="L560" s="142"/>
      <c r="M560" s="145"/>
    </row>
    <row r="561" spans="1:13" ht="30" customHeight="1">
      <c r="A561" s="128" t="str">
        <f>'BM02'!A216</f>
        <v>2.3.2</v>
      </c>
      <c r="B561" s="211" t="str">
        <f>'BM02'!B216</f>
        <v>LOCACAO CONVENCIONAL DE OBRA, UTILIZANDO GABARITO DE TÁBUAS CORRIDAS PONTALETADAS A CADA 2,00M - 2 UTILIZAÇÕES. AF_10/2020</v>
      </c>
      <c r="C561" s="212"/>
      <c r="D561" s="212"/>
      <c r="E561" s="212"/>
      <c r="F561" s="212"/>
      <c r="G561" s="212"/>
      <c r="H561" s="212"/>
      <c r="I561" s="212"/>
      <c r="J561" s="212"/>
      <c r="K561" s="213"/>
      <c r="L561" s="129">
        <f>SUM(L562:L562)</f>
        <v>1.5</v>
      </c>
      <c r="M561" s="185" t="str">
        <f>'BM02'!C216</f>
        <v>m³</v>
      </c>
    </row>
    <row r="562" spans="1:13" s="131" customFormat="1" ht="12.75">
      <c r="A562" s="132"/>
      <c r="B562" s="209" t="s">
        <v>521</v>
      </c>
      <c r="C562" s="210"/>
      <c r="D562" s="134">
        <v>11</v>
      </c>
      <c r="E562" s="134">
        <v>0.75</v>
      </c>
      <c r="F562" s="134"/>
      <c r="G562" s="134">
        <v>0.75</v>
      </c>
      <c r="H562" s="134"/>
      <c r="I562" s="134">
        <v>0.25</v>
      </c>
      <c r="J562" s="135"/>
      <c r="K562" s="135">
        <f>E562*G562*I562</f>
        <v>0.140625</v>
      </c>
      <c r="L562" s="134">
        <f>ROUND(D562*K562,1)</f>
        <v>1.5</v>
      </c>
      <c r="M562" s="136"/>
    </row>
    <row r="563" spans="1:13" s="131" customFormat="1" ht="12.75">
      <c r="A563" s="139"/>
      <c r="B563" s="140"/>
      <c r="C563" s="141"/>
      <c r="D563" s="142"/>
      <c r="E563" s="143"/>
      <c r="F563" s="142"/>
      <c r="G563" s="142"/>
      <c r="H563" s="143"/>
      <c r="I563" s="143"/>
      <c r="J563" s="144"/>
      <c r="K563" s="144"/>
      <c r="L563" s="142"/>
      <c r="M563" s="145"/>
    </row>
    <row r="564" spans="1:13" ht="30" customHeight="1">
      <c r="A564" s="128" t="str">
        <f>'BM02'!A217</f>
        <v>2.3.3</v>
      </c>
      <c r="B564" s="211" t="str">
        <f>'BM02'!B217</f>
        <v>(COMPOSIÇÃO REPRESENTATIVA) EXECUÇÃO DE ESTRUTURAS DE CONCRETO ARMADO CONVENCIONAL, PARA EDIFICAÇÃO HABITACIONAL MULTIFAMILIAR (PRÉDIO), FCK = 25 MPA. AF_01/2017</v>
      </c>
      <c r="C564" s="212"/>
      <c r="D564" s="212"/>
      <c r="E564" s="212"/>
      <c r="F564" s="212"/>
      <c r="G564" s="212"/>
      <c r="H564" s="212"/>
      <c r="I564" s="212"/>
      <c r="J564" s="212"/>
      <c r="K564" s="213"/>
      <c r="L564" s="129">
        <f>SUM(L565:L566)</f>
        <v>0.7</v>
      </c>
      <c r="M564" s="185" t="str">
        <f>'BM02'!C217</f>
        <v>m³</v>
      </c>
    </row>
    <row r="565" spans="1:13" s="131" customFormat="1" ht="14.45" customHeight="1">
      <c r="A565" s="263"/>
      <c r="B565" s="275" t="s">
        <v>523</v>
      </c>
      <c r="C565" s="276"/>
      <c r="D565" s="134">
        <f>3*0.5</f>
        <v>1.5</v>
      </c>
      <c r="E565" s="134">
        <v>5.8</v>
      </c>
      <c r="F565" s="134"/>
      <c r="G565" s="134">
        <v>0.19</v>
      </c>
      <c r="H565" s="134"/>
      <c r="I565" s="134">
        <v>0.2</v>
      </c>
      <c r="J565" s="135"/>
      <c r="K565" s="135">
        <f>E565*G565*I565</f>
        <v>0.22039999999999998</v>
      </c>
      <c r="L565" s="134">
        <f>ROUND(D565*K565,1)</f>
        <v>0.3</v>
      </c>
      <c r="M565" s="136"/>
    </row>
    <row r="566" spans="1:13" s="131" customFormat="1" ht="14.45" customHeight="1">
      <c r="A566" s="264"/>
      <c r="B566" s="277"/>
      <c r="C566" s="278"/>
      <c r="D566" s="134">
        <f>2*0.5</f>
        <v>1</v>
      </c>
      <c r="E566" s="134">
        <v>11.6</v>
      </c>
      <c r="F566" s="134"/>
      <c r="G566" s="134">
        <v>0.19</v>
      </c>
      <c r="H566" s="134"/>
      <c r="I566" s="134">
        <v>0.2</v>
      </c>
      <c r="J566" s="135"/>
      <c r="K566" s="135">
        <f>E566*G566*I566</f>
        <v>0.44079999999999997</v>
      </c>
      <c r="L566" s="134">
        <f>ROUND(D566*K566,1)</f>
        <v>0.4</v>
      </c>
      <c r="M566" s="136"/>
    </row>
    <row r="567" spans="1:13" s="131" customFormat="1" ht="13.5" thickBot="1">
      <c r="A567" s="139"/>
      <c r="B567" s="140"/>
      <c r="C567" s="141"/>
      <c r="D567" s="142"/>
      <c r="E567" s="143"/>
      <c r="F567" s="142"/>
      <c r="G567" s="142"/>
      <c r="H567" s="143"/>
      <c r="I567" s="143"/>
      <c r="J567" s="144"/>
      <c r="K567" s="144"/>
      <c r="L567" s="142"/>
      <c r="M567" s="145"/>
    </row>
    <row r="568" spans="1:13" ht="13.5" thickBot="1">
      <c r="A568" s="121" t="str">
        <f>'BM02'!A219</f>
        <v>2.4</v>
      </c>
      <c r="B568" s="122" t="str">
        <f>'BM02'!B219</f>
        <v>ESTRUTURA</v>
      </c>
      <c r="C568" s="122"/>
      <c r="D568" s="122"/>
      <c r="E568" s="122"/>
      <c r="F568" s="122"/>
      <c r="G568" s="122"/>
      <c r="H568" s="122"/>
      <c r="I568" s="122"/>
      <c r="J568" s="122"/>
      <c r="K568" s="122"/>
      <c r="L568" s="122"/>
      <c r="M568" s="123"/>
    </row>
    <row r="569" spans="1:13" ht="12.75">
      <c r="A569" s="124"/>
      <c r="B569" s="125">
        <f>'BM02'!B220</f>
        <v>0</v>
      </c>
      <c r="C569" s="125"/>
      <c r="D569" s="125"/>
      <c r="E569" s="125"/>
      <c r="F569" s="125"/>
      <c r="G569" s="125"/>
      <c r="H569" s="125"/>
      <c r="I569" s="125"/>
      <c r="J569" s="125"/>
      <c r="K569" s="126"/>
      <c r="L569" s="125"/>
      <c r="M569" s="127"/>
    </row>
    <row r="570" spans="1:13" ht="30" customHeight="1">
      <c r="A570" s="128" t="str">
        <f>'BM02'!A221</f>
        <v>2.4.1</v>
      </c>
      <c r="B570" s="211" t="str">
        <f>'BM02'!B221</f>
        <v>(COMPOSIÇÃO REPRESENTATIVA) EXECUÇÃO DE ESTRUTURAS DE CONCRETO ARMADO, PARA EDIFICAÇÃO HABITACIONAL UNIFAMILIAR COM DOIS PAVIMENTOS (CASA EM EMPREENDIMENTOS), FCK = 25 MPA. AF_01/2017</v>
      </c>
      <c r="C570" s="212"/>
      <c r="D570" s="212"/>
      <c r="E570" s="212"/>
      <c r="F570" s="212"/>
      <c r="G570" s="212"/>
      <c r="H570" s="212"/>
      <c r="I570" s="212"/>
      <c r="J570" s="212"/>
      <c r="K570" s="213"/>
      <c r="L570" s="129">
        <f>SUM(L571:L571)</f>
        <v>0.7</v>
      </c>
      <c r="M570" s="185" t="str">
        <f>'BM02'!C221</f>
        <v>m³</v>
      </c>
    </row>
    <row r="571" spans="1:13" s="131" customFormat="1" ht="12.75">
      <c r="A571" s="132"/>
      <c r="B571" s="209" t="s">
        <v>524</v>
      </c>
      <c r="C571" s="210"/>
      <c r="D571" s="134">
        <v>11</v>
      </c>
      <c r="E571" s="134">
        <v>0.2</v>
      </c>
      <c r="F571" s="134"/>
      <c r="G571" s="134">
        <v>0.2</v>
      </c>
      <c r="H571" s="134"/>
      <c r="I571" s="134">
        <v>1.6</v>
      </c>
      <c r="J571" s="135"/>
      <c r="K571" s="135">
        <f>E571*G571*I571</f>
        <v>6.4000000000000015E-2</v>
      </c>
      <c r="L571" s="134">
        <f>ROUND(D571*K571,2)</f>
        <v>0.7</v>
      </c>
      <c r="M571" s="136"/>
    </row>
    <row r="572" spans="1:13" s="131" customFormat="1" ht="13.5" thickBot="1">
      <c r="A572" s="139"/>
      <c r="B572" s="140"/>
      <c r="C572" s="141"/>
      <c r="D572" s="142"/>
      <c r="E572" s="143"/>
      <c r="F572" s="142"/>
      <c r="G572" s="142"/>
      <c r="H572" s="143"/>
      <c r="I572" s="143"/>
      <c r="J572" s="144"/>
      <c r="K572" s="144"/>
      <c r="L572" s="142"/>
      <c r="M572" s="145"/>
    </row>
    <row r="573" spans="1:13" ht="13.5" thickBot="1">
      <c r="A573" s="121" t="str">
        <f>'BM02'!A223</f>
        <v>2.5</v>
      </c>
      <c r="B573" s="122" t="str">
        <f>'BM02'!B223</f>
        <v>ALVENARIA</v>
      </c>
      <c r="C573" s="122"/>
      <c r="D573" s="122"/>
      <c r="E573" s="122"/>
      <c r="F573" s="122"/>
      <c r="G573" s="122"/>
      <c r="H573" s="122"/>
      <c r="I573" s="122"/>
      <c r="J573" s="122"/>
      <c r="K573" s="122"/>
      <c r="L573" s="122"/>
      <c r="M573" s="123"/>
    </row>
    <row r="574" spans="1:13" ht="12.75">
      <c r="A574" s="124"/>
      <c r="B574" s="125"/>
      <c r="C574" s="125"/>
      <c r="D574" s="125"/>
      <c r="E574" s="125"/>
      <c r="F574" s="125"/>
      <c r="G574" s="125"/>
      <c r="H574" s="125"/>
      <c r="I574" s="125"/>
      <c r="J574" s="125"/>
      <c r="K574" s="126"/>
      <c r="L574" s="125"/>
      <c r="M574" s="127"/>
    </row>
    <row r="575" spans="1:13" ht="43.15" customHeight="1">
      <c r="A575" s="128" t="str">
        <f>'BM02'!A225</f>
        <v>2.5.1</v>
      </c>
      <c r="B575" s="211" t="str">
        <f>'BM02'!B225</f>
        <v>ALVENARIA DE VEDAÇÃO DE BLOCOS CERÂMICOS FURADOS NA HORIZONTAL DE 9X19X19CM (ESPESSURA 9CM) DE PAREDES COM ÁREA LÍQUIDA MAIOR OU IGUAL A 6M² SEM VÃOS E ARGAMASSA DE ASSENTAMENTO COM PREPARO MANUAL. AF_06/2014</v>
      </c>
      <c r="C575" s="212"/>
      <c r="D575" s="212"/>
      <c r="E575" s="212"/>
      <c r="F575" s="212"/>
      <c r="G575" s="212"/>
      <c r="H575" s="212"/>
      <c r="I575" s="212"/>
      <c r="J575" s="212"/>
      <c r="K575" s="213"/>
      <c r="L575" s="129">
        <f>K576</f>
        <v>0</v>
      </c>
      <c r="M575" s="185" t="str">
        <f>'BM02'!C225</f>
        <v>m²</v>
      </c>
    </row>
    <row r="576" spans="1:13" s="131" customFormat="1" ht="12.75">
      <c r="A576" s="132"/>
      <c r="B576" s="209"/>
      <c r="C576" s="210"/>
      <c r="D576" s="134"/>
      <c r="E576" s="134"/>
      <c r="F576" s="134"/>
      <c r="G576" s="134"/>
      <c r="H576" s="134"/>
      <c r="I576" s="134"/>
      <c r="J576" s="135"/>
      <c r="K576" s="135"/>
      <c r="L576" s="134">
        <f>ROUND(D576*K576,2)</f>
        <v>0</v>
      </c>
      <c r="M576" s="136"/>
    </row>
    <row r="577" spans="1:13" s="131" customFormat="1" ht="13.5" thickBot="1">
      <c r="A577" s="139"/>
      <c r="B577" s="140"/>
      <c r="C577" s="141"/>
      <c r="D577" s="142"/>
      <c r="E577" s="143"/>
      <c r="F577" s="142"/>
      <c r="G577" s="142"/>
      <c r="H577" s="143"/>
      <c r="I577" s="143"/>
      <c r="J577" s="144"/>
      <c r="K577" s="144"/>
      <c r="L577" s="142"/>
      <c r="M577" s="145"/>
    </row>
    <row r="578" spans="1:13" ht="13.5" thickBot="1">
      <c r="A578" s="121" t="str">
        <f>'BM02'!A227</f>
        <v>2.6</v>
      </c>
      <c r="B578" s="122" t="str">
        <f>'BM02'!B227</f>
        <v>COBERTURA</v>
      </c>
      <c r="C578" s="122"/>
      <c r="D578" s="122"/>
      <c r="E578" s="122"/>
      <c r="F578" s="122"/>
      <c r="G578" s="122"/>
      <c r="H578" s="122"/>
      <c r="I578" s="122"/>
      <c r="J578" s="122"/>
      <c r="K578" s="122"/>
      <c r="L578" s="122"/>
      <c r="M578" s="123"/>
    </row>
    <row r="579" spans="1:13" ht="12.75">
      <c r="A579" s="124"/>
      <c r="B579" s="125"/>
      <c r="C579" s="125"/>
      <c r="D579" s="125"/>
      <c r="E579" s="125"/>
      <c r="F579" s="125"/>
      <c r="G579" s="125"/>
      <c r="H579" s="125"/>
      <c r="I579" s="125"/>
      <c r="J579" s="125"/>
      <c r="K579" s="126"/>
      <c r="L579" s="125"/>
      <c r="M579" s="127"/>
    </row>
    <row r="580" spans="1:13" ht="30" customHeight="1">
      <c r="A580" s="128" t="str">
        <f>'BM02'!A229</f>
        <v>2.6.1</v>
      </c>
      <c r="B580" s="211" t="str">
        <f>'BM02'!B229</f>
        <v>FABRICAÇÃO E INSTALAÇÃO DE ESTRUTURA PONTALETADA DE MADEIRA NÃO APARELHADA PARA TELHADOS COM ATÉ 2 ÁGUAS E PARA TELHA CERÂMICA OU DE CONCRETO, INCLUSO TRANSPORTE VERTICAL. AF_12/2015</v>
      </c>
      <c r="C580" s="212"/>
      <c r="D580" s="212"/>
      <c r="E580" s="212"/>
      <c r="F580" s="212"/>
      <c r="G580" s="212"/>
      <c r="H580" s="212"/>
      <c r="I580" s="212"/>
      <c r="J580" s="212"/>
      <c r="K580" s="213"/>
      <c r="L580" s="129">
        <f>K581</f>
        <v>0</v>
      </c>
      <c r="M580" s="130" t="str">
        <f>'BM02'!C229</f>
        <v>m²</v>
      </c>
    </row>
    <row r="581" spans="1:13" s="131" customFormat="1" ht="12.75">
      <c r="A581" s="132"/>
      <c r="B581" s="209"/>
      <c r="C581" s="210"/>
      <c r="D581" s="134"/>
      <c r="E581" s="134"/>
      <c r="F581" s="134"/>
      <c r="G581" s="134"/>
      <c r="H581" s="134"/>
      <c r="I581" s="134"/>
      <c r="J581" s="135"/>
      <c r="K581" s="135"/>
      <c r="L581" s="134">
        <f>ROUND(D581*K581,2)</f>
        <v>0</v>
      </c>
      <c r="M581" s="136"/>
    </row>
    <row r="582" spans="1:13" s="131" customFormat="1" ht="12.75">
      <c r="A582" s="139"/>
      <c r="B582" s="140"/>
      <c r="C582" s="141"/>
      <c r="D582" s="142"/>
      <c r="E582" s="143"/>
      <c r="F582" s="142"/>
      <c r="G582" s="142"/>
      <c r="H582" s="143"/>
      <c r="I582" s="143"/>
      <c r="J582" s="144"/>
      <c r="K582" s="144"/>
      <c r="L582" s="142"/>
      <c r="M582" s="145"/>
    </row>
    <row r="583" spans="1:13" ht="30" customHeight="1">
      <c r="A583" s="128" t="str">
        <f>'BM02'!A230</f>
        <v>2.6.2</v>
      </c>
      <c r="B583" s="211" t="str">
        <f>'BM02'!B230</f>
        <v>INSTALAÇÃO DE TESOURA (INTEIRA OU MEIA), BIAPOIADA, EM MADEIRA NÃO APARELHADA, PARA VÃOS MAIORES OU IGUAIS A 6,0 M E MENORES QUE 8,0 M, INCLUSO IÇAMENTO. AF_07/2019</v>
      </c>
      <c r="C583" s="212"/>
      <c r="D583" s="212"/>
      <c r="E583" s="212"/>
      <c r="F583" s="212"/>
      <c r="G583" s="212"/>
      <c r="H583" s="212"/>
      <c r="I583" s="212"/>
      <c r="J583" s="212"/>
      <c r="K583" s="213"/>
      <c r="L583" s="129">
        <f>K584</f>
        <v>0</v>
      </c>
      <c r="M583" s="130" t="str">
        <f>'BM02'!C230</f>
        <v>un</v>
      </c>
    </row>
    <row r="584" spans="1:13" s="131" customFormat="1" ht="12.75">
      <c r="A584" s="132"/>
      <c r="B584" s="209"/>
      <c r="C584" s="210"/>
      <c r="D584" s="134"/>
      <c r="E584" s="134"/>
      <c r="F584" s="134"/>
      <c r="G584" s="134"/>
      <c r="H584" s="134"/>
      <c r="I584" s="134"/>
      <c r="J584" s="135"/>
      <c r="K584" s="135"/>
      <c r="L584" s="134">
        <f>ROUND(D584*K584,2)</f>
        <v>0</v>
      </c>
      <c r="M584" s="136"/>
    </row>
    <row r="585" spans="1:13" s="131" customFormat="1" ht="12.75">
      <c r="A585" s="139"/>
      <c r="B585" s="140"/>
      <c r="C585" s="141"/>
      <c r="D585" s="142"/>
      <c r="E585" s="143"/>
      <c r="F585" s="142"/>
      <c r="G585" s="142"/>
      <c r="H585" s="143"/>
      <c r="I585" s="143"/>
      <c r="J585" s="144"/>
      <c r="K585" s="144"/>
      <c r="L585" s="142"/>
      <c r="M585" s="145"/>
    </row>
    <row r="586" spans="1:13" ht="30" customHeight="1">
      <c r="A586" s="128" t="str">
        <f>'BM02'!A231</f>
        <v>2.6.3</v>
      </c>
      <c r="B586" s="211" t="str">
        <f>'BM02'!B231</f>
        <v>TELHAMENTO COM TELHA CERÂMICA CAPA-CANAL, TIPO PLAN, COM ATÉ 2 ÁGUAS, INCLUSO TRANSPORTE VERTICAL. AF_07/2019</v>
      </c>
      <c r="C586" s="212"/>
      <c r="D586" s="212"/>
      <c r="E586" s="212"/>
      <c r="F586" s="212"/>
      <c r="G586" s="212"/>
      <c r="H586" s="212"/>
      <c r="I586" s="212"/>
      <c r="J586" s="212"/>
      <c r="K586" s="213"/>
      <c r="L586" s="129">
        <f>K587</f>
        <v>0</v>
      </c>
      <c r="M586" s="130" t="str">
        <f>'BM02'!C231</f>
        <v>m²</v>
      </c>
    </row>
    <row r="587" spans="1:13" s="131" customFormat="1" ht="12.75">
      <c r="A587" s="132"/>
      <c r="B587" s="209"/>
      <c r="C587" s="210"/>
      <c r="D587" s="134"/>
      <c r="E587" s="134"/>
      <c r="F587" s="134"/>
      <c r="G587" s="134"/>
      <c r="H587" s="134"/>
      <c r="I587" s="134"/>
      <c r="J587" s="135"/>
      <c r="K587" s="135"/>
      <c r="L587" s="134">
        <f>ROUND(D587*K587,2)</f>
        <v>0</v>
      </c>
      <c r="M587" s="136"/>
    </row>
    <row r="588" spans="1:13" s="131" customFormat="1" ht="12.75">
      <c r="A588" s="139"/>
      <c r="B588" s="140"/>
      <c r="C588" s="141"/>
      <c r="D588" s="142"/>
      <c r="E588" s="143"/>
      <c r="F588" s="142"/>
      <c r="G588" s="142"/>
      <c r="H588" s="143"/>
      <c r="I588" s="143"/>
      <c r="J588" s="144"/>
      <c r="K588" s="144"/>
      <c r="L588" s="142"/>
      <c r="M588" s="145"/>
    </row>
    <row r="589" spans="1:13" ht="30" customHeight="1">
      <c r="A589" s="128" t="str">
        <f>'BM02'!A232</f>
        <v>2.6.4</v>
      </c>
      <c r="B589" s="211" t="str">
        <f>'BM02'!B232</f>
        <v>CUMEEIRA PARA TELHA CERÂMICA EMBOÇADA COM ARGAMASSA TRAÇO 1:2:9 (CIMENTO, CAL E AREIA) PARA TELHADOS COM ATÉ 2 ÁGUAS, INCLUSO TRANSPORTE VERTICAL. AF_07/2019</v>
      </c>
      <c r="C589" s="212"/>
      <c r="D589" s="212"/>
      <c r="E589" s="212"/>
      <c r="F589" s="212"/>
      <c r="G589" s="212"/>
      <c r="H589" s="212"/>
      <c r="I589" s="212"/>
      <c r="J589" s="212"/>
      <c r="K589" s="213"/>
      <c r="L589" s="129">
        <f>K590</f>
        <v>0</v>
      </c>
      <c r="M589" s="130" t="str">
        <f>'BM02'!C232</f>
        <v xml:space="preserve">m </v>
      </c>
    </row>
    <row r="590" spans="1:13" s="131" customFormat="1" ht="12.75">
      <c r="A590" s="132"/>
      <c r="B590" s="209"/>
      <c r="C590" s="210"/>
      <c r="D590" s="134"/>
      <c r="E590" s="134"/>
      <c r="F590" s="134"/>
      <c r="G590" s="134"/>
      <c r="H590" s="134"/>
      <c r="I590" s="134"/>
      <c r="J590" s="135"/>
      <c r="K590" s="135"/>
      <c r="L590" s="134">
        <f>ROUND(D590*K590,2)</f>
        <v>0</v>
      </c>
      <c r="M590" s="136"/>
    </row>
    <row r="591" spans="1:13" s="131" customFormat="1" ht="13.5" thickBot="1">
      <c r="A591" s="139"/>
      <c r="B591" s="140"/>
      <c r="C591" s="141"/>
      <c r="D591" s="142"/>
      <c r="E591" s="143"/>
      <c r="F591" s="142"/>
      <c r="G591" s="142"/>
      <c r="H591" s="143"/>
      <c r="I591" s="143"/>
      <c r="J591" s="144"/>
      <c r="K591" s="144"/>
      <c r="L591" s="142"/>
      <c r="M591" s="145"/>
    </row>
    <row r="592" spans="1:13" ht="13.5" thickBot="1">
      <c r="A592" s="121" t="str">
        <f>'BM02'!A234</f>
        <v>2.7</v>
      </c>
      <c r="B592" s="122" t="str">
        <f>'BM02'!B234</f>
        <v>REVESTIMENTO</v>
      </c>
      <c r="C592" s="122"/>
      <c r="D592" s="122"/>
      <c r="E592" s="122"/>
      <c r="F592" s="122"/>
      <c r="G592" s="122"/>
      <c r="H592" s="122"/>
      <c r="I592" s="122"/>
      <c r="J592" s="122"/>
      <c r="K592" s="122"/>
      <c r="L592" s="122"/>
      <c r="M592" s="123"/>
    </row>
    <row r="593" spans="1:13" ht="12.75">
      <c r="A593" s="124"/>
      <c r="B593" s="125"/>
      <c r="C593" s="125"/>
      <c r="D593" s="125"/>
      <c r="E593" s="125"/>
      <c r="F593" s="125"/>
      <c r="G593" s="125"/>
      <c r="H593" s="125"/>
      <c r="I593" s="125"/>
      <c r="J593" s="125"/>
      <c r="K593" s="126"/>
      <c r="L593" s="125"/>
      <c r="M593" s="127"/>
    </row>
    <row r="594" spans="1:13" ht="30" customHeight="1">
      <c r="A594" s="128" t="str">
        <f>'BM02'!A236</f>
        <v>2.7.1</v>
      </c>
      <c r="B594" s="211" t="str">
        <f>'BM02'!B236</f>
        <v>CHAPISCO APLICADO EM ALVENARIAS E ESTRUTURAS DE CONCRETO INTERNAS, COM COLHER DE PEDREIRO. ARGAMASSA TRAÇO 1:3 COM PREPARO EM BETONEIRA 400L. AF_06/2014</v>
      </c>
      <c r="C594" s="212"/>
      <c r="D594" s="212"/>
      <c r="E594" s="212"/>
      <c r="F594" s="212"/>
      <c r="G594" s="212"/>
      <c r="H594" s="212"/>
      <c r="I594" s="212"/>
      <c r="J594" s="212"/>
      <c r="K594" s="213"/>
      <c r="L594" s="129">
        <f>K595</f>
        <v>0</v>
      </c>
      <c r="M594" s="130" t="str">
        <f>'BM02'!C236</f>
        <v>m²</v>
      </c>
    </row>
    <row r="595" spans="1:13" s="131" customFormat="1" ht="12.75">
      <c r="A595" s="132"/>
      <c r="B595" s="209"/>
      <c r="C595" s="210"/>
      <c r="D595" s="134"/>
      <c r="E595" s="134"/>
      <c r="F595" s="134"/>
      <c r="G595" s="134"/>
      <c r="H595" s="134"/>
      <c r="I595" s="134"/>
      <c r="J595" s="135"/>
      <c r="K595" s="135"/>
      <c r="L595" s="134">
        <f>ROUND(D595*K595,2)</f>
        <v>0</v>
      </c>
      <c r="M595" s="136"/>
    </row>
    <row r="596" spans="1:13" s="131" customFormat="1" ht="12.75">
      <c r="A596" s="139"/>
      <c r="B596" s="140"/>
      <c r="C596" s="141"/>
      <c r="D596" s="142"/>
      <c r="E596" s="143"/>
      <c r="F596" s="142"/>
      <c r="G596" s="142"/>
      <c r="H596" s="143"/>
      <c r="I596" s="143"/>
      <c r="J596" s="144"/>
      <c r="K596" s="144"/>
      <c r="L596" s="142"/>
      <c r="M596" s="145"/>
    </row>
    <row r="597" spans="1:13" ht="43.15" customHeight="1">
      <c r="A597" s="128" t="str">
        <f>'BM02'!A237</f>
        <v>2.7.2</v>
      </c>
      <c r="B597" s="211" t="str">
        <f>'BM02'!B237</f>
        <v>MASSA ÚNICA, PARA RECEBIMENTO DE PINTURA, EM ARGAMASSA TRAÇO 1:2:8, PREPARO MECÂNICO COM BETONEIRA 400L, APLICADA MANUALMENTE EM FACES INTERNAS DE PAREDES, ESPESSURA DE 20MM, COM EXECUÇÃO DE TALISCAS. AF_06/2014</v>
      </c>
      <c r="C597" s="212"/>
      <c r="D597" s="212"/>
      <c r="E597" s="212"/>
      <c r="F597" s="212"/>
      <c r="G597" s="212"/>
      <c r="H597" s="212"/>
      <c r="I597" s="212"/>
      <c r="J597" s="212"/>
      <c r="K597" s="213"/>
      <c r="L597" s="129">
        <f>K598</f>
        <v>0</v>
      </c>
      <c r="M597" s="130" t="str">
        <f>'BM02'!C237</f>
        <v>m²</v>
      </c>
    </row>
    <row r="598" spans="1:13" s="131" customFormat="1" ht="12.75">
      <c r="A598" s="132"/>
      <c r="B598" s="209"/>
      <c r="C598" s="210"/>
      <c r="D598" s="134"/>
      <c r="E598" s="134"/>
      <c r="F598" s="134"/>
      <c r="G598" s="134"/>
      <c r="H598" s="134"/>
      <c r="I598" s="134"/>
      <c r="J598" s="135"/>
      <c r="K598" s="135"/>
      <c r="L598" s="134">
        <f>ROUND(D598*K598,2)</f>
        <v>0</v>
      </c>
      <c r="M598" s="136"/>
    </row>
    <row r="599" spans="1:13" s="131" customFormat="1" ht="12.75">
      <c r="A599" s="139"/>
      <c r="B599" s="140"/>
      <c r="C599" s="141"/>
      <c r="D599" s="142"/>
      <c r="E599" s="143"/>
      <c r="F599" s="142"/>
      <c r="G599" s="142"/>
      <c r="H599" s="143"/>
      <c r="I599" s="143"/>
      <c r="J599" s="144"/>
      <c r="K599" s="144"/>
      <c r="L599" s="142"/>
      <c r="M599" s="145"/>
    </row>
    <row r="600" spans="1:13" ht="12.6" customHeight="1">
      <c r="A600" s="128" t="str">
        <f>'BM02'!A238</f>
        <v>2.7.3</v>
      </c>
      <c r="B600" s="211" t="str">
        <f>'BM02'!B238</f>
        <v>Revestimento cerâmico para parede, 10 x 10 cm, Eliane, linha galeria chumbo mesh ou similar, pei - 2, aplicado com argamassa industrializada ac-ii, rejuntado, exclusive regularização de base ou emboço - Rev 01</v>
      </c>
      <c r="C600" s="212"/>
      <c r="D600" s="212"/>
      <c r="E600" s="212"/>
      <c r="F600" s="212"/>
      <c r="G600" s="212"/>
      <c r="H600" s="212"/>
      <c r="I600" s="212"/>
      <c r="J600" s="212"/>
      <c r="K600" s="213"/>
      <c r="L600" s="129">
        <f>K601</f>
        <v>0</v>
      </c>
      <c r="M600" s="130" t="str">
        <f>'BM02'!C238</f>
        <v>m²</v>
      </c>
    </row>
    <row r="601" spans="1:13" s="131" customFormat="1" ht="12.75">
      <c r="A601" s="132"/>
      <c r="B601" s="209"/>
      <c r="C601" s="210"/>
      <c r="D601" s="134"/>
      <c r="E601" s="134"/>
      <c r="F601" s="134"/>
      <c r="G601" s="134"/>
      <c r="H601" s="134"/>
      <c r="I601" s="134"/>
      <c r="J601" s="135"/>
      <c r="K601" s="135"/>
      <c r="L601" s="134">
        <f>ROUND(D601*K601,2)</f>
        <v>0</v>
      </c>
      <c r="M601" s="136"/>
    </row>
    <row r="602" spans="1:13" s="131" customFormat="1" ht="13.5" thickBot="1">
      <c r="A602" s="139"/>
      <c r="B602" s="140"/>
      <c r="C602" s="141"/>
      <c r="D602" s="142"/>
      <c r="E602" s="143"/>
      <c r="F602" s="142"/>
      <c r="G602" s="142"/>
      <c r="H602" s="143"/>
      <c r="I602" s="143"/>
      <c r="J602" s="144"/>
      <c r="K602" s="144"/>
      <c r="L602" s="142"/>
      <c r="M602" s="145"/>
    </row>
    <row r="603" spans="1:13" ht="13.5" thickBot="1">
      <c r="A603" s="121" t="str">
        <f>'BM02'!A240</f>
        <v>2.8</v>
      </c>
      <c r="B603" s="122" t="str">
        <f>'BM02'!B240</f>
        <v>PISOS</v>
      </c>
      <c r="C603" s="122"/>
      <c r="D603" s="122"/>
      <c r="E603" s="122"/>
      <c r="F603" s="122"/>
      <c r="G603" s="122"/>
      <c r="H603" s="122"/>
      <c r="I603" s="122"/>
      <c r="J603" s="122"/>
      <c r="K603" s="122"/>
      <c r="L603" s="122"/>
      <c r="M603" s="123"/>
    </row>
    <row r="604" spans="1:13" ht="12.75">
      <c r="A604" s="124"/>
      <c r="B604" s="125"/>
      <c r="C604" s="125"/>
      <c r="D604" s="125"/>
      <c r="E604" s="125"/>
      <c r="F604" s="125"/>
      <c r="G604" s="125"/>
      <c r="H604" s="125"/>
      <c r="I604" s="125"/>
      <c r="J604" s="125"/>
      <c r="K604" s="126"/>
      <c r="L604" s="125"/>
      <c r="M604" s="127"/>
    </row>
    <row r="605" spans="1:13" ht="12.6" customHeight="1">
      <c r="A605" s="128" t="str">
        <f>'BM02'!A242</f>
        <v>2.8.1</v>
      </c>
      <c r="B605" s="211" t="str">
        <f>'BM02'!B242</f>
        <v>LASTRO DE CONCRETO MAGRO, APLICADO EM PISOS OU RADIERS, ESPESSURA DE 5 CM. AF_07/2016</v>
      </c>
      <c r="C605" s="212"/>
      <c r="D605" s="212"/>
      <c r="E605" s="212"/>
      <c r="F605" s="212"/>
      <c r="G605" s="212"/>
      <c r="H605" s="212"/>
      <c r="I605" s="212"/>
      <c r="J605" s="212"/>
      <c r="K605" s="213"/>
      <c r="L605" s="129">
        <f>K606</f>
        <v>0</v>
      </c>
      <c r="M605" s="130" t="str">
        <f>'BM02'!C242</f>
        <v>m²</v>
      </c>
    </row>
    <row r="606" spans="1:13" s="131" customFormat="1" ht="12.75">
      <c r="A606" s="132"/>
      <c r="B606" s="209"/>
      <c r="C606" s="210"/>
      <c r="D606" s="134"/>
      <c r="E606" s="134"/>
      <c r="F606" s="134"/>
      <c r="G606" s="134"/>
      <c r="H606" s="134"/>
      <c r="I606" s="134"/>
      <c r="J606" s="135"/>
      <c r="K606" s="135"/>
      <c r="L606" s="134">
        <f>ROUND(D606*K606,2)</f>
        <v>0</v>
      </c>
      <c r="M606" s="136"/>
    </row>
    <row r="607" spans="1:13" s="131" customFormat="1" ht="12.75">
      <c r="A607" s="139"/>
      <c r="B607" s="140"/>
      <c r="C607" s="141"/>
      <c r="D607" s="142"/>
      <c r="E607" s="143"/>
      <c r="F607" s="142"/>
      <c r="G607" s="142"/>
      <c r="H607" s="143"/>
      <c r="I607" s="143"/>
      <c r="J607" s="144"/>
      <c r="K607" s="144"/>
      <c r="L607" s="142"/>
      <c r="M607" s="145"/>
    </row>
    <row r="608" spans="1:13" ht="12.6" customHeight="1">
      <c r="A608" s="128" t="str">
        <f>'BM02'!A243</f>
        <v>2.8.2</v>
      </c>
      <c r="B608" s="211" t="str">
        <f>'BM02'!B243</f>
        <v>Regularização de base para revest. de pisos com arg. traço t4, esp. média = 2,5cm</v>
      </c>
      <c r="C608" s="212"/>
      <c r="D608" s="212"/>
      <c r="E608" s="212"/>
      <c r="F608" s="212"/>
      <c r="G608" s="212"/>
      <c r="H608" s="212"/>
      <c r="I608" s="212"/>
      <c r="J608" s="212"/>
      <c r="K608" s="213"/>
      <c r="L608" s="129">
        <f>K609</f>
        <v>0</v>
      </c>
      <c r="M608" s="130" t="str">
        <f>'BM02'!C243</f>
        <v>m²</v>
      </c>
    </row>
    <row r="609" spans="1:13" s="131" customFormat="1" ht="12.75">
      <c r="A609" s="132"/>
      <c r="B609" s="209"/>
      <c r="C609" s="210"/>
      <c r="D609" s="134"/>
      <c r="E609" s="134"/>
      <c r="F609" s="134"/>
      <c r="G609" s="134"/>
      <c r="H609" s="134"/>
      <c r="I609" s="134"/>
      <c r="J609" s="135"/>
      <c r="K609" s="135"/>
      <c r="L609" s="134">
        <f>ROUND(D609*K609,2)</f>
        <v>0</v>
      </c>
      <c r="M609" s="136"/>
    </row>
    <row r="610" spans="1:13" s="131" customFormat="1" ht="12.75">
      <c r="A610" s="139"/>
      <c r="B610" s="140"/>
      <c r="C610" s="141"/>
      <c r="D610" s="142"/>
      <c r="E610" s="143"/>
      <c r="F610" s="142"/>
      <c r="G610" s="142"/>
      <c r="H610" s="143"/>
      <c r="I610" s="143"/>
      <c r="J610" s="144"/>
      <c r="K610" s="144"/>
      <c r="L610" s="142"/>
      <c r="M610" s="145"/>
    </row>
    <row r="611" spans="1:13" ht="12.6" customHeight="1">
      <c r="A611" s="128" t="str">
        <f>'BM02'!A244</f>
        <v>2.8.3</v>
      </c>
      <c r="B611" s="211" t="str">
        <f>'BM02'!B244</f>
        <v>PISO EM GRANILITE, MARMORITE OU GRANITINA EM AMBIENTES INTERNOS. AF_09/2020</v>
      </c>
      <c r="C611" s="212"/>
      <c r="D611" s="212"/>
      <c r="E611" s="212"/>
      <c r="F611" s="212"/>
      <c r="G611" s="212"/>
      <c r="H611" s="212"/>
      <c r="I611" s="212"/>
      <c r="J611" s="212"/>
      <c r="K611" s="213"/>
      <c r="L611" s="129">
        <f>K612</f>
        <v>0</v>
      </c>
      <c r="M611" s="130" t="str">
        <f>'BM02'!C244</f>
        <v>m²</v>
      </c>
    </row>
    <row r="612" spans="1:13" s="131" customFormat="1" ht="12.75">
      <c r="A612" s="132"/>
      <c r="B612" s="209"/>
      <c r="C612" s="210"/>
      <c r="D612" s="134"/>
      <c r="E612" s="134"/>
      <c r="F612" s="134"/>
      <c r="G612" s="134"/>
      <c r="H612" s="134"/>
      <c r="I612" s="134"/>
      <c r="J612" s="135"/>
      <c r="K612" s="135"/>
      <c r="L612" s="134">
        <f>ROUND(D612*K612,2)</f>
        <v>0</v>
      </c>
      <c r="M612" s="136"/>
    </row>
    <row r="613" spans="1:13" s="131" customFormat="1" ht="13.5" thickBot="1">
      <c r="A613" s="139"/>
      <c r="B613" s="140"/>
      <c r="C613" s="141"/>
      <c r="D613" s="142"/>
      <c r="E613" s="143"/>
      <c r="F613" s="142"/>
      <c r="G613" s="142"/>
      <c r="H613" s="143"/>
      <c r="I613" s="143"/>
      <c r="J613" s="144"/>
      <c r="K613" s="144"/>
      <c r="L613" s="142"/>
      <c r="M613" s="145"/>
    </row>
    <row r="614" spans="1:13" ht="13.5" thickBot="1">
      <c r="A614" s="121" t="str">
        <f>'BM02'!A246</f>
        <v>2.9</v>
      </c>
      <c r="B614" s="122" t="str">
        <f>'BM02'!B246</f>
        <v>INSTALAÇÃO ELÉTRICA</v>
      </c>
      <c r="C614" s="122"/>
      <c r="D614" s="122"/>
      <c r="E614" s="122"/>
      <c r="F614" s="122"/>
      <c r="G614" s="122"/>
      <c r="H614" s="122"/>
      <c r="I614" s="122"/>
      <c r="J614" s="122"/>
      <c r="K614" s="122"/>
      <c r="L614" s="122"/>
      <c r="M614" s="123"/>
    </row>
    <row r="615" spans="1:13" ht="12.75">
      <c r="A615" s="124"/>
      <c r="B615" s="125"/>
      <c r="C615" s="125"/>
      <c r="D615" s="125"/>
      <c r="E615" s="125"/>
      <c r="F615" s="125"/>
      <c r="G615" s="125"/>
      <c r="H615" s="125"/>
      <c r="I615" s="125"/>
      <c r="J615" s="125"/>
      <c r="K615" s="126"/>
      <c r="L615" s="125"/>
      <c r="M615" s="127"/>
    </row>
    <row r="616" spans="1:13" ht="30" customHeight="1">
      <c r="A616" s="128" t="str">
        <f>'BM02'!A248</f>
        <v>2.9.1</v>
      </c>
      <c r="B616" s="211" t="str">
        <f>'BM02'!B248</f>
        <v>PONTO DE TOMADA RESIDENCIAL INCLUINDO TOMADA 10A/250V, CAIXA ELÉTRICA, ELETRODUTO, CABO, RASGO, QUEBRA E CHUMBAMENTO. AF_01/2016</v>
      </c>
      <c r="C616" s="212"/>
      <c r="D616" s="212"/>
      <c r="E616" s="212"/>
      <c r="F616" s="212"/>
      <c r="G616" s="212"/>
      <c r="H616" s="212"/>
      <c r="I616" s="212"/>
      <c r="J616" s="212"/>
      <c r="K616" s="213"/>
      <c r="L616" s="129">
        <f>K617</f>
        <v>0</v>
      </c>
      <c r="M616" s="130" t="str">
        <f>'BM02'!C248</f>
        <v>un</v>
      </c>
    </row>
    <row r="617" spans="1:13" s="131" customFormat="1" ht="12.75">
      <c r="A617" s="132"/>
      <c r="B617" s="209"/>
      <c r="C617" s="210"/>
      <c r="D617" s="134"/>
      <c r="E617" s="134"/>
      <c r="F617" s="134"/>
      <c r="G617" s="134"/>
      <c r="H617" s="134"/>
      <c r="I617" s="134"/>
      <c r="J617" s="135"/>
      <c r="K617" s="135"/>
      <c r="L617" s="134">
        <f>ROUND(D617*K617,2)</f>
        <v>0</v>
      </c>
      <c r="M617" s="136"/>
    </row>
    <row r="618" spans="1:13" s="131" customFormat="1" ht="12.75">
      <c r="A618" s="139"/>
      <c r="B618" s="140"/>
      <c r="C618" s="141"/>
      <c r="D618" s="142"/>
      <c r="E618" s="143"/>
      <c r="F618" s="142"/>
      <c r="G618" s="142"/>
      <c r="H618" s="143"/>
      <c r="I618" s="143"/>
      <c r="J618" s="144"/>
      <c r="K618" s="144"/>
      <c r="L618" s="142"/>
      <c r="M618" s="145"/>
    </row>
    <row r="619" spans="1:13" ht="30" customHeight="1">
      <c r="A619" s="128" t="str">
        <f>'BM02'!A249</f>
        <v>2.9.2</v>
      </c>
      <c r="B619" s="211" t="str">
        <f>'BM02'!B249</f>
        <v>PONTO DE ILUMINAÇÃO RESIDENCIAL INCLUINDO INTERRUPTOR SIMPLES, CAIXA ELÉTRICA, ELETRODUTO, CABO, RASGO, QUEBRA E CHUMBAMENTO (EXCLUINDO LUMINÁRIA E LÂMPADA). AF_01/2016</v>
      </c>
      <c r="C619" s="212"/>
      <c r="D619" s="212"/>
      <c r="E619" s="212"/>
      <c r="F619" s="212"/>
      <c r="G619" s="212"/>
      <c r="H619" s="212"/>
      <c r="I619" s="212"/>
      <c r="J619" s="212"/>
      <c r="K619" s="213"/>
      <c r="L619" s="129">
        <f>K620</f>
        <v>0</v>
      </c>
      <c r="M619" s="130" t="str">
        <f>'BM02'!C249</f>
        <v>un</v>
      </c>
    </row>
    <row r="620" spans="1:13" s="131" customFormat="1" ht="12.75">
      <c r="A620" s="132"/>
      <c r="B620" s="209"/>
      <c r="C620" s="210"/>
      <c r="D620" s="134"/>
      <c r="E620" s="134"/>
      <c r="F620" s="134"/>
      <c r="G620" s="134"/>
      <c r="H620" s="134"/>
      <c r="I620" s="134"/>
      <c r="J620" s="135"/>
      <c r="K620" s="135"/>
      <c r="L620" s="134">
        <f>ROUND(D620*K620,2)</f>
        <v>0</v>
      </c>
      <c r="M620" s="136"/>
    </row>
    <row r="621" spans="1:13" s="131" customFormat="1" ht="12.75">
      <c r="A621" s="139"/>
      <c r="B621" s="140"/>
      <c r="C621" s="141"/>
      <c r="D621" s="142"/>
      <c r="E621" s="143"/>
      <c r="F621" s="142"/>
      <c r="G621" s="142"/>
      <c r="H621" s="143"/>
      <c r="I621" s="143"/>
      <c r="J621" s="144"/>
      <c r="K621" s="144"/>
      <c r="L621" s="142"/>
      <c r="M621" s="145"/>
    </row>
    <row r="622" spans="1:13" ht="12.6" customHeight="1">
      <c r="A622" s="128" t="str">
        <f>'BM02'!A250</f>
        <v>2.9.3</v>
      </c>
      <c r="B622" s="211" t="str">
        <f>'BM02'!B250</f>
        <v>Refletor Slim LED 150W de potência, branco Frio, 6500k, Autovolt, marca G-light ou similar - Rev 01</v>
      </c>
      <c r="C622" s="212"/>
      <c r="D622" s="212"/>
      <c r="E622" s="212"/>
      <c r="F622" s="212"/>
      <c r="G622" s="212"/>
      <c r="H622" s="212"/>
      <c r="I622" s="212"/>
      <c r="J622" s="212"/>
      <c r="K622" s="213"/>
      <c r="L622" s="129">
        <f>K623</f>
        <v>0</v>
      </c>
      <c r="M622" s="130" t="str">
        <f>'BM02'!C250</f>
        <v>un</v>
      </c>
    </row>
    <row r="623" spans="1:13" s="131" customFormat="1" ht="12.75">
      <c r="A623" s="132"/>
      <c r="B623" s="209"/>
      <c r="C623" s="210"/>
      <c r="D623" s="134"/>
      <c r="E623" s="134"/>
      <c r="F623" s="134"/>
      <c r="G623" s="134"/>
      <c r="H623" s="134"/>
      <c r="I623" s="134"/>
      <c r="J623" s="135"/>
      <c r="K623" s="135"/>
      <c r="L623" s="134">
        <f>ROUND(D623*K623,2)</f>
        <v>0</v>
      </c>
      <c r="M623" s="136"/>
    </row>
    <row r="624" spans="1:13" s="131" customFormat="1" ht="12.75">
      <c r="A624" s="139"/>
      <c r="B624" s="140"/>
      <c r="C624" s="141"/>
      <c r="D624" s="142"/>
      <c r="E624" s="143"/>
      <c r="F624" s="142"/>
      <c r="G624" s="142"/>
      <c r="H624" s="143"/>
      <c r="I624" s="143"/>
      <c r="J624" s="144"/>
      <c r="K624" s="144"/>
      <c r="L624" s="142"/>
      <c r="M624" s="145"/>
    </row>
    <row r="625" spans="1:13" ht="30" customHeight="1">
      <c r="A625" s="128" t="str">
        <f>'BM02'!A251</f>
        <v>2.9.4</v>
      </c>
      <c r="B625" s="211" t="str">
        <f>'BM02'!B251</f>
        <v>CAIXA RETANGULAR 4" X 4" MÉDIA (1,30 M DO PISO), PVC, INSTALADA EM PAREDE - FORNECIMENTO E INSTALAÇÃO. AF_12/2015</v>
      </c>
      <c r="C625" s="212"/>
      <c r="D625" s="212"/>
      <c r="E625" s="212"/>
      <c r="F625" s="212"/>
      <c r="G625" s="212"/>
      <c r="H625" s="212"/>
      <c r="I625" s="212"/>
      <c r="J625" s="212"/>
      <c r="K625" s="213"/>
      <c r="L625" s="129">
        <f>K626</f>
        <v>0</v>
      </c>
      <c r="M625" s="130" t="str">
        <f>'BM02'!C251</f>
        <v>un</v>
      </c>
    </row>
    <row r="626" spans="1:13" s="131" customFormat="1" ht="12.75">
      <c r="A626" s="132"/>
      <c r="B626" s="209"/>
      <c r="C626" s="210"/>
      <c r="D626" s="134"/>
      <c r="E626" s="134"/>
      <c r="F626" s="134"/>
      <c r="G626" s="134"/>
      <c r="H626" s="134"/>
      <c r="I626" s="134"/>
      <c r="J626" s="135"/>
      <c r="K626" s="135"/>
      <c r="L626" s="134">
        <f>ROUND(D626*K626,2)</f>
        <v>0</v>
      </c>
      <c r="M626" s="136"/>
    </row>
    <row r="627" spans="1:13" s="131" customFormat="1" ht="12.75">
      <c r="A627" s="139"/>
      <c r="B627" s="140"/>
      <c r="C627" s="141"/>
      <c r="D627" s="142"/>
      <c r="E627" s="143"/>
      <c r="F627" s="142"/>
      <c r="G627" s="142"/>
      <c r="H627" s="143"/>
      <c r="I627" s="143"/>
      <c r="J627" s="144"/>
      <c r="K627" s="144"/>
      <c r="L627" s="142"/>
      <c r="M627" s="145"/>
    </row>
    <row r="628" spans="1:13" ht="30" customHeight="1">
      <c r="A628" s="128" t="str">
        <f>'BM02'!A252</f>
        <v>2.9.5</v>
      </c>
      <c r="B628" s="211" t="str">
        <f>'BM02'!B252</f>
        <v>CABO DE COBRE FLEXÍVEL ISOLADO, 2,5 MM², ANTI-CHAMA 0,6/1,0 KV, PARA CIRCUITOS TERMINAIS - FORNECIMENTO E INSTALAÇÃO. AF_12/2015</v>
      </c>
      <c r="C628" s="212"/>
      <c r="D628" s="212"/>
      <c r="E628" s="212"/>
      <c r="F628" s="212"/>
      <c r="G628" s="212"/>
      <c r="H628" s="212"/>
      <c r="I628" s="212"/>
      <c r="J628" s="212"/>
      <c r="K628" s="213"/>
      <c r="L628" s="129">
        <f>K629</f>
        <v>0</v>
      </c>
      <c r="M628" s="130" t="str">
        <f>'BM02'!C252</f>
        <v>m²</v>
      </c>
    </row>
    <row r="629" spans="1:13" s="131" customFormat="1" ht="12.75">
      <c r="A629" s="132"/>
      <c r="B629" s="209"/>
      <c r="C629" s="210"/>
      <c r="D629" s="134"/>
      <c r="E629" s="134"/>
      <c r="F629" s="134"/>
      <c r="G629" s="134"/>
      <c r="H629" s="134"/>
      <c r="I629" s="134"/>
      <c r="J629" s="135"/>
      <c r="K629" s="135"/>
      <c r="L629" s="134">
        <f>ROUND(D629*K629,2)</f>
        <v>0</v>
      </c>
      <c r="M629" s="136"/>
    </row>
    <row r="630" spans="1:13" s="131" customFormat="1" ht="12.75">
      <c r="A630" s="139"/>
      <c r="B630" s="140"/>
      <c r="C630" s="141"/>
      <c r="D630" s="142"/>
      <c r="E630" s="143"/>
      <c r="F630" s="142"/>
      <c r="G630" s="142"/>
      <c r="H630" s="143"/>
      <c r="I630" s="143"/>
      <c r="J630" s="144"/>
      <c r="K630" s="144"/>
      <c r="L630" s="142"/>
      <c r="M630" s="145"/>
    </row>
  </sheetData>
  <protectedRanges>
    <protectedRange sqref="L7 L9:L54 L56:L629" name="Intervalo1_1"/>
  </protectedRanges>
  <mergeCells count="422">
    <mergeCell ref="B302:C302"/>
    <mergeCell ref="B303:C303"/>
    <mergeCell ref="B304:C304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M7:M8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B14:K14"/>
    <mergeCell ref="B15:C15"/>
    <mergeCell ref="B17:K17"/>
    <mergeCell ref="B18:C18"/>
    <mergeCell ref="B20:K20"/>
    <mergeCell ref="B21:C21"/>
    <mergeCell ref="A7:A8"/>
    <mergeCell ref="B7:C8"/>
    <mergeCell ref="D7:D8"/>
    <mergeCell ref="E7:J7"/>
    <mergeCell ref="K7:L7"/>
    <mergeCell ref="B43:K43"/>
    <mergeCell ref="B32:K32"/>
    <mergeCell ref="B33:C33"/>
    <mergeCell ref="B35:K35"/>
    <mergeCell ref="B36:C36"/>
    <mergeCell ref="B40:K40"/>
    <mergeCell ref="B41:C41"/>
    <mergeCell ref="B23:K23"/>
    <mergeCell ref="B24:C24"/>
    <mergeCell ref="B26:K26"/>
    <mergeCell ref="B27:C27"/>
    <mergeCell ref="B29:K29"/>
    <mergeCell ref="B30:C30"/>
    <mergeCell ref="B60:K60"/>
    <mergeCell ref="B57:K57"/>
    <mergeCell ref="B54:K54"/>
    <mergeCell ref="B74:C74"/>
    <mergeCell ref="B75:C75"/>
    <mergeCell ref="B76:C76"/>
    <mergeCell ref="B77:C77"/>
    <mergeCell ref="B51:K51"/>
    <mergeCell ref="B44:C44"/>
    <mergeCell ref="B47:C47"/>
    <mergeCell ref="B63:K63"/>
    <mergeCell ref="B68:K68"/>
    <mergeCell ref="B69:C69"/>
    <mergeCell ref="B70:C70"/>
    <mergeCell ref="B71:C71"/>
    <mergeCell ref="B72:C72"/>
    <mergeCell ref="B73:C73"/>
    <mergeCell ref="B88:C88"/>
    <mergeCell ref="B89:C89"/>
    <mergeCell ref="B78:C78"/>
    <mergeCell ref="B79:C79"/>
    <mergeCell ref="B80:C80"/>
    <mergeCell ref="B81:C81"/>
    <mergeCell ref="B82:C82"/>
    <mergeCell ref="B83:C83"/>
    <mergeCell ref="B96:C96"/>
    <mergeCell ref="B84:C84"/>
    <mergeCell ref="B85:C85"/>
    <mergeCell ref="B86:C86"/>
    <mergeCell ref="B87:C87"/>
    <mergeCell ref="B259:K259"/>
    <mergeCell ref="B182:C182"/>
    <mergeCell ref="B119:K119"/>
    <mergeCell ref="B146:K146"/>
    <mergeCell ref="B154:K154"/>
    <mergeCell ref="B164:C164"/>
    <mergeCell ref="B167:C167"/>
    <mergeCell ref="B201:K201"/>
    <mergeCell ref="B170:C170"/>
    <mergeCell ref="B173:C173"/>
    <mergeCell ref="B198:K198"/>
    <mergeCell ref="B204:K204"/>
    <mergeCell ref="B207:K207"/>
    <mergeCell ref="B210:K210"/>
    <mergeCell ref="B227:C227"/>
    <mergeCell ref="B181:K181"/>
    <mergeCell ref="B161:C161"/>
    <mergeCell ref="B172:K172"/>
    <mergeCell ref="B175:K175"/>
    <mergeCell ref="B178:K178"/>
    <mergeCell ref="B237:C237"/>
    <mergeCell ref="B238:C238"/>
    <mergeCell ref="B184:K184"/>
    <mergeCell ref="B239:C239"/>
    <mergeCell ref="B290:K290"/>
    <mergeCell ref="B306:K306"/>
    <mergeCell ref="B309:K309"/>
    <mergeCell ref="B312:K312"/>
    <mergeCell ref="B225:C225"/>
    <mergeCell ref="B242:C242"/>
    <mergeCell ref="B260:C260"/>
    <mergeCell ref="B265:C265"/>
    <mergeCell ref="B273:K273"/>
    <mergeCell ref="B276:K276"/>
    <mergeCell ref="B279:K279"/>
    <mergeCell ref="B282:K282"/>
    <mergeCell ref="B285:K285"/>
    <mergeCell ref="B264:K264"/>
    <mergeCell ref="B267:K267"/>
    <mergeCell ref="B270:K270"/>
    <mergeCell ref="B268:C268"/>
    <mergeCell ref="B229:C229"/>
    <mergeCell ref="B230:C230"/>
    <mergeCell ref="B231:C231"/>
    <mergeCell ref="B241:K241"/>
    <mergeCell ref="B232:C232"/>
    <mergeCell ref="B233:C233"/>
    <mergeCell ref="B234:C234"/>
    <mergeCell ref="B362:K362"/>
    <mergeCell ref="B365:K365"/>
    <mergeCell ref="B368:K368"/>
    <mergeCell ref="B371:K371"/>
    <mergeCell ref="B374:K374"/>
    <mergeCell ref="B377:K377"/>
    <mergeCell ref="B344:K344"/>
    <mergeCell ref="B347:K347"/>
    <mergeCell ref="B350:K350"/>
    <mergeCell ref="B353:K353"/>
    <mergeCell ref="B356:K356"/>
    <mergeCell ref="B359:K359"/>
    <mergeCell ref="B348:C348"/>
    <mergeCell ref="B351:C351"/>
    <mergeCell ref="B354:C354"/>
    <mergeCell ref="B357:C357"/>
    <mergeCell ref="B366:C366"/>
    <mergeCell ref="B369:C369"/>
    <mergeCell ref="B360:C360"/>
    <mergeCell ref="B363:C363"/>
    <mergeCell ref="B402:K402"/>
    <mergeCell ref="B407:K407"/>
    <mergeCell ref="B410:K410"/>
    <mergeCell ref="B380:K380"/>
    <mergeCell ref="B383:K383"/>
    <mergeCell ref="B386:K386"/>
    <mergeCell ref="B389:K389"/>
    <mergeCell ref="B396:K396"/>
    <mergeCell ref="B399:K399"/>
    <mergeCell ref="B384:C384"/>
    <mergeCell ref="B387:C387"/>
    <mergeCell ref="B413:K413"/>
    <mergeCell ref="B416:K416"/>
    <mergeCell ref="B419:K419"/>
    <mergeCell ref="B422:K422"/>
    <mergeCell ref="B426:K426"/>
    <mergeCell ref="B430:K430"/>
    <mergeCell ref="B420:C420"/>
    <mergeCell ref="B423:C423"/>
    <mergeCell ref="B427:C427"/>
    <mergeCell ref="B414:C414"/>
    <mergeCell ref="B417:C417"/>
    <mergeCell ref="B489:K489"/>
    <mergeCell ref="B492:K492"/>
    <mergeCell ref="B495:K495"/>
    <mergeCell ref="B459:K459"/>
    <mergeCell ref="B451:C451"/>
    <mergeCell ref="B454:C454"/>
    <mergeCell ref="B457:C457"/>
    <mergeCell ref="B435:K435"/>
    <mergeCell ref="B438:K438"/>
    <mergeCell ref="B441:K441"/>
    <mergeCell ref="B471:K471"/>
    <mergeCell ref="B474:K474"/>
    <mergeCell ref="B480:K480"/>
    <mergeCell ref="B483:K483"/>
    <mergeCell ref="B486:K486"/>
    <mergeCell ref="B561:K561"/>
    <mergeCell ref="B564:K564"/>
    <mergeCell ref="B570:K570"/>
    <mergeCell ref="B558:K558"/>
    <mergeCell ref="B400:C400"/>
    <mergeCell ref="B403:C403"/>
    <mergeCell ref="B397:C397"/>
    <mergeCell ref="B547:K547"/>
    <mergeCell ref="B552:K552"/>
    <mergeCell ref="B553:C553"/>
    <mergeCell ref="B549:C550"/>
    <mergeCell ref="B542:K542"/>
    <mergeCell ref="B527:K527"/>
    <mergeCell ref="B468:K468"/>
    <mergeCell ref="B453:K453"/>
    <mergeCell ref="B456:K456"/>
    <mergeCell ref="A538:M538"/>
    <mergeCell ref="A549:A550"/>
    <mergeCell ref="B554:C554"/>
    <mergeCell ref="B565:C566"/>
    <mergeCell ref="A565:A566"/>
    <mergeCell ref="B469:C469"/>
    <mergeCell ref="B472:C472"/>
    <mergeCell ref="B475:C475"/>
    <mergeCell ref="B378:C378"/>
    <mergeCell ref="B381:C381"/>
    <mergeCell ref="B519:C519"/>
    <mergeCell ref="B522:C522"/>
    <mergeCell ref="B498:K498"/>
    <mergeCell ref="B501:K501"/>
    <mergeCell ref="B504:K504"/>
    <mergeCell ref="B372:C372"/>
    <mergeCell ref="B375:C375"/>
    <mergeCell ref="B390:C390"/>
    <mergeCell ref="B408:C408"/>
    <mergeCell ref="B493:C493"/>
    <mergeCell ref="B460:C460"/>
    <mergeCell ref="B463:C463"/>
    <mergeCell ref="B466:C466"/>
    <mergeCell ref="B411:C411"/>
    <mergeCell ref="B431:C431"/>
    <mergeCell ref="B436:C436"/>
    <mergeCell ref="B439:C439"/>
    <mergeCell ref="B442:C442"/>
    <mergeCell ref="B445:C445"/>
    <mergeCell ref="B448:C448"/>
    <mergeCell ref="B462:K462"/>
    <mergeCell ref="B465:K465"/>
    <mergeCell ref="B575:K575"/>
    <mergeCell ref="B594:K594"/>
    <mergeCell ref="B597:K597"/>
    <mergeCell ref="B600:K600"/>
    <mergeCell ref="B532:K532"/>
    <mergeCell ref="B535:K535"/>
    <mergeCell ref="B509:K509"/>
    <mergeCell ref="B512:K512"/>
    <mergeCell ref="B515:K515"/>
    <mergeCell ref="B518:K518"/>
    <mergeCell ref="B521:K521"/>
    <mergeCell ref="B524:K524"/>
    <mergeCell ref="B516:C516"/>
    <mergeCell ref="B580:K580"/>
    <mergeCell ref="B583:K583"/>
    <mergeCell ref="B571:C571"/>
    <mergeCell ref="B576:C576"/>
    <mergeCell ref="B581:C581"/>
    <mergeCell ref="B525:C525"/>
    <mergeCell ref="B528:C528"/>
    <mergeCell ref="B533:C533"/>
    <mergeCell ref="B536:C536"/>
    <mergeCell ref="B543:C543"/>
    <mergeCell ref="B548:C548"/>
    <mergeCell ref="B271:C271"/>
    <mergeCell ref="B274:C274"/>
    <mergeCell ref="B277:C277"/>
    <mergeCell ref="B280:C280"/>
    <mergeCell ref="B283:C283"/>
    <mergeCell ref="B286:C286"/>
    <mergeCell ref="A10:M10"/>
    <mergeCell ref="B185:C185"/>
    <mergeCell ref="B188:C188"/>
    <mergeCell ref="B191:C191"/>
    <mergeCell ref="B196:C196"/>
    <mergeCell ref="B199:C199"/>
    <mergeCell ref="B147:C147"/>
    <mergeCell ref="B155:C155"/>
    <mergeCell ref="B202:C202"/>
    <mergeCell ref="B205:C205"/>
    <mergeCell ref="B208:C208"/>
    <mergeCell ref="B211:C211"/>
    <mergeCell ref="B214:C214"/>
    <mergeCell ref="B217:C217"/>
    <mergeCell ref="B222:C222"/>
    <mergeCell ref="B213:K213"/>
    <mergeCell ref="B216:K216"/>
    <mergeCell ref="B224:K224"/>
    <mergeCell ref="B330:C330"/>
    <mergeCell ref="B333:C333"/>
    <mergeCell ref="B336:C336"/>
    <mergeCell ref="B339:C339"/>
    <mergeCell ref="B342:C342"/>
    <mergeCell ref="B345:C345"/>
    <mergeCell ref="B291:C291"/>
    <mergeCell ref="B307:C307"/>
    <mergeCell ref="B310:C310"/>
    <mergeCell ref="B313:C313"/>
    <mergeCell ref="B316:C316"/>
    <mergeCell ref="B319:C319"/>
    <mergeCell ref="B329:K329"/>
    <mergeCell ref="B332:K332"/>
    <mergeCell ref="B335:K335"/>
    <mergeCell ref="B338:K338"/>
    <mergeCell ref="B341:K341"/>
    <mergeCell ref="B315:K315"/>
    <mergeCell ref="B318:K318"/>
    <mergeCell ref="B321:K321"/>
    <mergeCell ref="B324:K324"/>
    <mergeCell ref="B322:C322"/>
    <mergeCell ref="B325:C325"/>
    <mergeCell ref="B292:C292"/>
    <mergeCell ref="B626:C626"/>
    <mergeCell ref="B629:C629"/>
    <mergeCell ref="B606:C606"/>
    <mergeCell ref="B609:C609"/>
    <mergeCell ref="B612:C612"/>
    <mergeCell ref="B617:C617"/>
    <mergeCell ref="B620:C620"/>
    <mergeCell ref="B623:C623"/>
    <mergeCell ref="B584:C584"/>
    <mergeCell ref="B587:C587"/>
    <mergeCell ref="B590:C590"/>
    <mergeCell ref="B595:C595"/>
    <mergeCell ref="B598:C598"/>
    <mergeCell ref="B601:C601"/>
    <mergeCell ref="B628:K628"/>
    <mergeCell ref="B616:K616"/>
    <mergeCell ref="B619:K619"/>
    <mergeCell ref="B622:K622"/>
    <mergeCell ref="B625:K625"/>
    <mergeCell ref="B605:K605"/>
    <mergeCell ref="B608:K608"/>
    <mergeCell ref="B611:K611"/>
    <mergeCell ref="B586:K586"/>
    <mergeCell ref="B589:K589"/>
    <mergeCell ref="A140:A141"/>
    <mergeCell ref="B140:C141"/>
    <mergeCell ref="B142:C142"/>
    <mergeCell ref="B143:C143"/>
    <mergeCell ref="B144:C144"/>
    <mergeCell ref="B120:C121"/>
    <mergeCell ref="A120:A121"/>
    <mergeCell ref="A122:A123"/>
    <mergeCell ref="B122:C123"/>
    <mergeCell ref="A124:A125"/>
    <mergeCell ref="B124:C125"/>
    <mergeCell ref="A126:A127"/>
    <mergeCell ref="B126:C127"/>
    <mergeCell ref="A128:A135"/>
    <mergeCell ref="B128:C135"/>
    <mergeCell ref="A136:A139"/>
    <mergeCell ref="B136:C139"/>
    <mergeCell ref="B101:C101"/>
    <mergeCell ref="B90:C90"/>
    <mergeCell ref="B91:C91"/>
    <mergeCell ref="B92:C92"/>
    <mergeCell ref="B93:C93"/>
    <mergeCell ref="B94:C94"/>
    <mergeCell ref="B95:C95"/>
    <mergeCell ref="B236:C236"/>
    <mergeCell ref="B221:K221"/>
    <mergeCell ref="B179:C179"/>
    <mergeCell ref="B114:K114"/>
    <mergeCell ref="B115:C115"/>
    <mergeCell ref="B106:K106"/>
    <mergeCell ref="B107:C107"/>
    <mergeCell ref="B108:C108"/>
    <mergeCell ref="B109:C109"/>
    <mergeCell ref="B112:C112"/>
    <mergeCell ref="B169:K169"/>
    <mergeCell ref="B176:C176"/>
    <mergeCell ref="B97:C97"/>
    <mergeCell ref="B98:C98"/>
    <mergeCell ref="B99:C99"/>
    <mergeCell ref="B100:C100"/>
    <mergeCell ref="B243:C243"/>
    <mergeCell ref="B244:C244"/>
    <mergeCell ref="B102:C102"/>
    <mergeCell ref="B103:C103"/>
    <mergeCell ref="B104:C104"/>
    <mergeCell ref="B156:C156"/>
    <mergeCell ref="B226:C226"/>
    <mergeCell ref="B228:C228"/>
    <mergeCell ref="B148:C148"/>
    <mergeCell ref="B149:C149"/>
    <mergeCell ref="B150:C150"/>
    <mergeCell ref="B151:C151"/>
    <mergeCell ref="B152:C152"/>
    <mergeCell ref="B235:C235"/>
    <mergeCell ref="B187:K187"/>
    <mergeCell ref="B190:K190"/>
    <mergeCell ref="B195:K195"/>
    <mergeCell ref="B160:K160"/>
    <mergeCell ref="B163:K163"/>
    <mergeCell ref="B166:K166"/>
    <mergeCell ref="B251:C251"/>
    <mergeCell ref="B252:C252"/>
    <mergeCell ref="B253:C253"/>
    <mergeCell ref="B254:C254"/>
    <mergeCell ref="B255:C255"/>
    <mergeCell ref="B256:C256"/>
    <mergeCell ref="B245:C245"/>
    <mergeCell ref="B246:C246"/>
    <mergeCell ref="B247:C247"/>
    <mergeCell ref="B248:C248"/>
    <mergeCell ref="B249:C249"/>
    <mergeCell ref="B250:C250"/>
    <mergeCell ref="B257:C257"/>
    <mergeCell ref="B391:C391"/>
    <mergeCell ref="B392:C392"/>
    <mergeCell ref="B393:C393"/>
    <mergeCell ref="B394:C394"/>
    <mergeCell ref="B428:C428"/>
    <mergeCell ref="B424:C424"/>
    <mergeCell ref="B559:C559"/>
    <mergeCell ref="B562:C562"/>
    <mergeCell ref="B496:C496"/>
    <mergeCell ref="B499:C499"/>
    <mergeCell ref="B502:C502"/>
    <mergeCell ref="B505:C505"/>
    <mergeCell ref="B510:C510"/>
    <mergeCell ref="B513:C513"/>
    <mergeCell ref="B478:C478"/>
    <mergeCell ref="B481:C481"/>
    <mergeCell ref="B484:C484"/>
    <mergeCell ref="B487:C487"/>
    <mergeCell ref="B490:C490"/>
    <mergeCell ref="B477:K477"/>
    <mergeCell ref="B444:K444"/>
    <mergeCell ref="B447:K447"/>
    <mergeCell ref="B450:K450"/>
  </mergeCells>
  <printOptions horizontalCentered="1"/>
  <pageMargins left="0.70866141732283472" right="0.70866141732283472" top="0.92519685039370081" bottom="0.92519685039370081" header="0.31496062992125984" footer="0.31496062992125984"/>
  <pageSetup paperSize="9" scale="66" fitToHeight="0" orientation="portrait" r:id="rId1"/>
  <rowBreaks count="1" manualBreakCount="1">
    <brk id="42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N296"/>
  <sheetViews>
    <sheetView view="pageBreakPreview" topLeftCell="A103" zoomScale="80" zoomScaleNormal="85" zoomScaleSheetLayoutView="80" workbookViewId="0">
      <selection activeCell="B58" sqref="B58"/>
    </sheetView>
  </sheetViews>
  <sheetFormatPr defaultColWidth="11" defaultRowHeight="15.75"/>
  <cols>
    <col min="1" max="1" width="8.5703125" style="104" customWidth="1"/>
    <col min="2" max="2" width="88.42578125" style="105" customWidth="1"/>
    <col min="3" max="3" width="6" style="106" bestFit="1" customWidth="1"/>
    <col min="4" max="4" width="10.140625" style="106" bestFit="1" customWidth="1"/>
    <col min="5" max="5" width="12.5703125" style="23" bestFit="1" customWidth="1"/>
    <col min="6" max="6" width="17.5703125" style="23" bestFit="1" customWidth="1"/>
    <col min="7" max="7" width="16.42578125" style="23" customWidth="1"/>
    <col min="8" max="8" width="15" style="107" bestFit="1" customWidth="1"/>
    <col min="9" max="9" width="18.28515625" style="23" customWidth="1"/>
    <col min="10" max="10" width="16.28515625" style="23" customWidth="1"/>
    <col min="11" max="11" width="15" style="23" customWidth="1"/>
    <col min="12" max="12" width="18.42578125" style="23" customWidth="1"/>
    <col min="13" max="13" width="15.5703125" style="24" bestFit="1" customWidth="1"/>
    <col min="14" max="14" width="11.28515625" style="14" bestFit="1" customWidth="1"/>
    <col min="15" max="15" width="10.42578125" style="15" customWidth="1"/>
    <col min="16" max="16" width="11.42578125" style="7" customWidth="1"/>
    <col min="17" max="17" width="18.7109375" style="24" bestFit="1" customWidth="1"/>
    <col min="18" max="18" width="19.85546875" style="24" bestFit="1" customWidth="1"/>
    <col min="19" max="19" width="7.42578125" style="24" customWidth="1"/>
    <col min="20" max="20" width="6" style="8" bestFit="1" customWidth="1"/>
    <col min="21" max="21" width="6.5703125" style="9" bestFit="1" customWidth="1"/>
    <col min="22" max="23" width="11" style="9"/>
    <col min="24" max="24" width="6" style="10" bestFit="1" customWidth="1"/>
    <col min="25" max="25" width="11" style="9"/>
    <col min="26" max="16384" width="11" style="12"/>
  </cols>
  <sheetData>
    <row r="1" spans="1:62" ht="60" hidden="1" customHeight="1">
      <c r="A1" s="249"/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4"/>
      <c r="N1" s="5"/>
      <c r="O1" s="6"/>
      <c r="Q1" s="4"/>
      <c r="R1" s="4"/>
      <c r="S1" s="4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</row>
    <row r="2" spans="1:62" ht="18.75" hidden="1" customHeight="1">
      <c r="A2" s="250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13"/>
      <c r="Q2" s="13"/>
      <c r="R2" s="13"/>
      <c r="S2" s="13"/>
      <c r="T2" s="16"/>
      <c r="X2" s="17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</row>
    <row r="3" spans="1:62" hidden="1">
      <c r="A3" s="251" t="s">
        <v>14</v>
      </c>
      <c r="B3" s="252" t="s">
        <v>26</v>
      </c>
      <c r="C3" s="252" t="s">
        <v>27</v>
      </c>
      <c r="D3" s="252" t="s">
        <v>28</v>
      </c>
      <c r="E3" s="252" t="s">
        <v>15</v>
      </c>
      <c r="F3" s="252"/>
      <c r="G3" s="252"/>
      <c r="H3" s="252" t="s">
        <v>29</v>
      </c>
      <c r="I3" s="252" t="s">
        <v>30</v>
      </c>
      <c r="J3" s="252"/>
      <c r="K3" s="252" t="s">
        <v>29</v>
      </c>
      <c r="L3" s="252" t="s">
        <v>30</v>
      </c>
      <c r="M3" s="13"/>
      <c r="Q3" s="13"/>
      <c r="R3" s="13"/>
      <c r="S3" s="13"/>
      <c r="T3" s="16"/>
      <c r="X3" s="17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</row>
    <row r="4" spans="1:62" ht="16.5" hidden="1" thickBot="1">
      <c r="A4" s="18"/>
      <c r="B4" s="19"/>
      <c r="C4" s="20"/>
      <c r="D4" s="20"/>
      <c r="E4" s="21"/>
      <c r="F4" s="21"/>
      <c r="G4" s="21"/>
      <c r="H4" s="22"/>
      <c r="I4" s="2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</row>
    <row r="5" spans="1:62" ht="16.5" hidden="1" thickBot="1">
      <c r="A5" s="25"/>
      <c r="B5" s="19"/>
      <c r="C5" s="20"/>
      <c r="D5" s="20"/>
      <c r="E5" s="21"/>
      <c r="F5" s="21"/>
      <c r="G5" s="21"/>
      <c r="H5" s="22"/>
      <c r="I5" s="21"/>
      <c r="J5" s="21"/>
      <c r="K5" s="21"/>
      <c r="L5" s="2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</row>
    <row r="6" spans="1:62" ht="16.5" hidden="1" thickBot="1">
      <c r="A6" s="26"/>
      <c r="B6" s="27"/>
      <c r="C6" s="28"/>
      <c r="D6" s="21"/>
      <c r="E6" s="29"/>
      <c r="F6" s="29"/>
      <c r="G6" s="29"/>
      <c r="H6" s="30"/>
      <c r="I6" s="29"/>
      <c r="J6" s="29"/>
      <c r="K6" s="21"/>
      <c r="L6" s="21"/>
      <c r="M6" s="31"/>
      <c r="Q6" s="32"/>
      <c r="R6" s="12"/>
      <c r="S6" s="12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</row>
    <row r="7" spans="1:62" ht="16.5" hidden="1" thickBot="1">
      <c r="A7" s="26"/>
      <c r="B7" s="33"/>
      <c r="C7" s="34"/>
      <c r="D7" s="35"/>
      <c r="E7" s="36"/>
      <c r="F7" s="36"/>
      <c r="G7" s="36"/>
      <c r="H7" s="37"/>
      <c r="I7" s="36"/>
      <c r="J7" s="36"/>
      <c r="K7" s="21"/>
      <c r="L7" s="21"/>
      <c r="Q7" s="12"/>
      <c r="R7" s="12"/>
      <c r="S7" s="12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</row>
    <row r="8" spans="1:62" ht="16.5" hidden="1" thickBot="1">
      <c r="A8" s="38"/>
      <c r="B8" s="39"/>
      <c r="C8" s="29"/>
      <c r="D8" s="29"/>
      <c r="E8" s="253" t="s">
        <v>32</v>
      </c>
      <c r="F8" s="254"/>
      <c r="G8" s="254"/>
      <c r="H8" s="254"/>
      <c r="I8" s="254"/>
      <c r="J8" s="254"/>
      <c r="K8" s="254"/>
      <c r="L8" s="254"/>
      <c r="M8" s="13"/>
      <c r="Q8" s="13"/>
      <c r="R8" s="13"/>
      <c r="S8" s="13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</row>
    <row r="9" spans="1:62" hidden="1">
      <c r="A9" s="40"/>
      <c r="B9" s="41"/>
      <c r="C9" s="42"/>
      <c r="D9" s="42"/>
      <c r="E9" s="255" t="s">
        <v>31</v>
      </c>
      <c r="F9" s="256"/>
      <c r="G9" s="256"/>
      <c r="H9" s="256"/>
      <c r="I9" s="256"/>
      <c r="J9" s="186"/>
      <c r="K9" s="256"/>
      <c r="L9" s="256"/>
      <c r="M9" s="13"/>
      <c r="Q9" s="13"/>
      <c r="R9" s="13"/>
      <c r="S9" s="13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</row>
    <row r="10" spans="1:62">
      <c r="A10" s="43"/>
      <c r="B10" s="44"/>
      <c r="C10" s="45"/>
      <c r="D10" s="45"/>
      <c r="E10" s="46"/>
      <c r="F10" s="46"/>
      <c r="G10" s="46"/>
      <c r="H10" s="46"/>
      <c r="I10" s="46"/>
      <c r="J10" s="46"/>
      <c r="K10" s="46"/>
      <c r="L10" s="46"/>
      <c r="M10" s="13"/>
      <c r="Q10" s="13"/>
      <c r="R10" s="13"/>
      <c r="S10" s="13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</row>
    <row r="11" spans="1:62">
      <c r="A11" s="47"/>
      <c r="B11" s="44"/>
      <c r="C11" s="45"/>
      <c r="D11" s="45"/>
      <c r="E11" s="46"/>
      <c r="F11" s="46"/>
      <c r="G11" s="46"/>
      <c r="H11" s="46"/>
      <c r="I11" s="46"/>
      <c r="J11" s="46"/>
      <c r="M11" s="13"/>
      <c r="Q11" s="13"/>
      <c r="R11" s="13"/>
      <c r="S11" s="13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</row>
    <row r="12" spans="1:62">
      <c r="A12" s="43"/>
      <c r="B12" s="44"/>
      <c r="C12" s="45"/>
      <c r="D12" s="45"/>
      <c r="E12" s="46"/>
      <c r="F12" s="46"/>
      <c r="G12" s="46"/>
      <c r="H12" s="46"/>
      <c r="I12" s="46"/>
      <c r="J12" s="46"/>
      <c r="K12" s="46"/>
      <c r="L12" s="46"/>
      <c r="M12" s="13"/>
      <c r="Q12" s="13"/>
      <c r="R12" s="13"/>
      <c r="S12" s="13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</row>
    <row r="13" spans="1:62">
      <c r="A13" s="43"/>
      <c r="B13" s="44"/>
      <c r="C13" s="45"/>
      <c r="D13" s="45"/>
      <c r="E13" s="46"/>
      <c r="F13" s="46"/>
      <c r="G13" s="46"/>
      <c r="H13" s="46"/>
      <c r="I13" s="46"/>
      <c r="J13" s="46"/>
      <c r="M13" s="13"/>
      <c r="Q13" s="13"/>
      <c r="R13" s="13"/>
      <c r="S13" s="13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</row>
    <row r="14" spans="1:62">
      <c r="A14" s="43"/>
      <c r="B14" s="44"/>
      <c r="C14" s="45"/>
      <c r="D14" s="45"/>
      <c r="E14" s="46"/>
      <c r="F14" s="46"/>
      <c r="G14" s="46"/>
      <c r="H14" s="46"/>
      <c r="I14" s="46"/>
      <c r="J14" s="46"/>
      <c r="M14" s="13"/>
      <c r="Q14" s="13"/>
      <c r="R14" s="13"/>
      <c r="S14" s="13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</row>
    <row r="15" spans="1:62">
      <c r="A15" s="246" t="s">
        <v>425</v>
      </c>
      <c r="B15" s="246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13"/>
      <c r="Q15" s="13"/>
      <c r="R15" s="13"/>
      <c r="S15" s="13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</row>
    <row r="16" spans="1:62">
      <c r="A16" s="246" t="s">
        <v>427</v>
      </c>
      <c r="B16" s="246"/>
      <c r="C16" s="246"/>
      <c r="D16" s="246"/>
      <c r="E16" s="246"/>
      <c r="F16" s="246"/>
      <c r="G16" s="246"/>
      <c r="H16" s="246"/>
      <c r="I16" s="246"/>
      <c r="J16" s="246"/>
      <c r="K16" s="246"/>
      <c r="L16" s="246"/>
      <c r="M16" s="13"/>
      <c r="Q16" s="13"/>
      <c r="R16" s="13"/>
      <c r="S16" s="13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</row>
    <row r="17" spans="1:62">
      <c r="A17" s="43"/>
      <c r="B17" s="44"/>
      <c r="C17" s="45"/>
      <c r="D17" s="45"/>
      <c r="E17" s="46"/>
      <c r="F17" s="46"/>
      <c r="G17" s="46"/>
      <c r="H17" s="46"/>
      <c r="I17" s="46"/>
      <c r="J17" s="46"/>
      <c r="M17" s="13"/>
      <c r="Q17" s="13"/>
      <c r="R17" s="13"/>
      <c r="S17" s="13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</row>
    <row r="18" spans="1:62" s="54" customFormat="1">
      <c r="A18" s="48"/>
      <c r="B18" s="49"/>
      <c r="C18" s="50"/>
      <c r="D18" s="51"/>
      <c r="E18" s="52"/>
      <c r="F18" s="52"/>
      <c r="G18" s="52"/>
      <c r="H18" s="52"/>
      <c r="I18" s="52"/>
      <c r="J18" s="52"/>
      <c r="K18" s="52"/>
      <c r="L18" s="53"/>
    </row>
    <row r="19" spans="1:62" s="54" customFormat="1" ht="18">
      <c r="A19" s="48"/>
      <c r="B19" s="48"/>
      <c r="C19" s="48"/>
      <c r="E19" s="48"/>
      <c r="F19" s="48"/>
      <c r="G19" s="48"/>
      <c r="H19" s="48"/>
      <c r="I19" s="285" t="s">
        <v>525</v>
      </c>
      <c r="J19" s="285"/>
      <c r="K19" s="285"/>
      <c r="L19" s="285"/>
    </row>
    <row r="20" spans="1:62" s="54" customFormat="1">
      <c r="A20" s="260"/>
      <c r="B20" s="260"/>
      <c r="C20" s="260"/>
      <c r="D20" s="260"/>
      <c r="E20" s="260"/>
      <c r="F20" s="260"/>
      <c r="G20" s="260"/>
      <c r="H20" s="260"/>
      <c r="I20" s="55" t="s">
        <v>33</v>
      </c>
      <c r="J20" s="56"/>
      <c r="K20" s="56"/>
      <c r="L20" s="57">
        <v>44763</v>
      </c>
    </row>
    <row r="21" spans="1:62" s="54" customFormat="1">
      <c r="A21" s="1"/>
      <c r="B21" s="53"/>
      <c r="C21" s="1"/>
      <c r="D21" s="1"/>
      <c r="E21" s="1"/>
      <c r="F21" s="1"/>
      <c r="G21" s="1"/>
      <c r="H21" s="1"/>
      <c r="I21" s="55" t="s">
        <v>420</v>
      </c>
      <c r="J21" s="56"/>
      <c r="K21" s="56"/>
      <c r="L21" s="2">
        <f>F254</f>
        <v>648279.26860000018</v>
      </c>
      <c r="M21" s="58">
        <v>719635.08</v>
      </c>
      <c r="N21" s="59">
        <v>719635.08</v>
      </c>
      <c r="O21" s="60">
        <v>0.23880000000000001</v>
      </c>
    </row>
    <row r="22" spans="1:62" s="54" customFormat="1">
      <c r="A22" s="1"/>
      <c r="B22" s="53"/>
      <c r="C22" s="1"/>
      <c r="D22" s="1"/>
      <c r="E22" s="1"/>
      <c r="F22" s="1"/>
      <c r="G22" s="1"/>
      <c r="H22" s="1"/>
      <c r="I22" s="55" t="s">
        <v>34</v>
      </c>
      <c r="J22" s="56"/>
      <c r="K22" s="56"/>
      <c r="L22" s="2">
        <f>L21-L23-L24</f>
        <v>408486.06010000018</v>
      </c>
      <c r="M22" s="61" t="e">
        <f>SUM(L21+#REF!)</f>
        <v>#REF!</v>
      </c>
      <c r="N22" s="59">
        <f>SUM(N21*O21+N21)</f>
        <v>891483.93710400001</v>
      </c>
      <c r="O22" s="59"/>
    </row>
    <row r="23" spans="1:62" s="54" customFormat="1">
      <c r="C23" s="1"/>
      <c r="D23" s="1"/>
      <c r="E23" s="1"/>
      <c r="F23" s="1"/>
      <c r="G23" s="1"/>
      <c r="H23" s="1"/>
      <c r="I23" s="55" t="s">
        <v>35</v>
      </c>
      <c r="J23" s="56"/>
      <c r="K23" s="56"/>
      <c r="L23" s="2">
        <f>'BM01'!J24</f>
        <v>76880.458400000003</v>
      </c>
      <c r="M23" s="61"/>
      <c r="N23" s="62"/>
      <c r="O23" s="62"/>
    </row>
    <row r="24" spans="1:62" s="54" customFormat="1">
      <c r="A24" s="247" t="s">
        <v>428</v>
      </c>
      <c r="B24" s="247"/>
      <c r="C24" s="49"/>
      <c r="D24" s="50"/>
      <c r="E24" s="49"/>
      <c r="F24" s="49"/>
      <c r="G24" s="49"/>
      <c r="H24" s="49"/>
      <c r="I24" s="63" t="s">
        <v>36</v>
      </c>
      <c r="J24" s="64"/>
      <c r="K24" s="64"/>
      <c r="L24" s="3">
        <f>K254</f>
        <v>162912.7501</v>
      </c>
    </row>
    <row r="25" spans="1:62" s="54" customFormat="1">
      <c r="A25" s="247" t="s">
        <v>526</v>
      </c>
      <c r="B25" s="247"/>
      <c r="C25" s="49"/>
      <c r="D25" s="50"/>
      <c r="E25" s="49"/>
      <c r="F25" s="49"/>
      <c r="G25" s="49"/>
      <c r="H25" s="49"/>
    </row>
    <row r="26" spans="1:62" s="54" customFormat="1">
      <c r="A26" s="48" t="s">
        <v>429</v>
      </c>
      <c r="B26" s="49"/>
      <c r="C26" s="50"/>
      <c r="D26" s="51"/>
      <c r="E26" s="52"/>
      <c r="F26" s="52"/>
      <c r="G26" s="52"/>
      <c r="H26" s="52"/>
      <c r="AN26" s="54" t="str">
        <f>IF(AL26=100%,"à medir","medido")</f>
        <v>medido</v>
      </c>
    </row>
    <row r="27" spans="1:62" s="54" customFormat="1" ht="16.5" thickBot="1">
      <c r="A27" s="48"/>
      <c r="B27" s="49"/>
      <c r="C27" s="50"/>
      <c r="D27" s="51"/>
      <c r="E27" s="52"/>
      <c r="F27" s="52"/>
      <c r="G27" s="52"/>
      <c r="H27" s="52"/>
      <c r="I27" s="65"/>
      <c r="J27" s="65"/>
      <c r="K27" s="66"/>
      <c r="L27" s="67"/>
    </row>
    <row r="28" spans="1:62" ht="50.25" customHeight="1" thickBot="1">
      <c r="A28" s="68" t="s">
        <v>14</v>
      </c>
      <c r="B28" s="69" t="s">
        <v>26</v>
      </c>
      <c r="C28" s="70" t="s">
        <v>27</v>
      </c>
      <c r="D28" s="70" t="s">
        <v>15</v>
      </c>
      <c r="E28" s="71" t="s">
        <v>28</v>
      </c>
      <c r="F28" s="71" t="s">
        <v>38</v>
      </c>
      <c r="G28" s="71" t="s">
        <v>533</v>
      </c>
      <c r="H28" s="71" t="s">
        <v>37</v>
      </c>
      <c r="I28" s="71" t="s">
        <v>39</v>
      </c>
      <c r="J28" s="71" t="s">
        <v>533</v>
      </c>
      <c r="K28" s="71" t="s">
        <v>37</v>
      </c>
      <c r="L28" s="71" t="s">
        <v>39</v>
      </c>
      <c r="M28" s="72"/>
      <c r="N28" s="73"/>
      <c r="O28" s="74"/>
      <c r="Q28" s="73"/>
      <c r="R28" s="73"/>
      <c r="S28" s="72"/>
      <c r="T28" s="16"/>
      <c r="X28" s="17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</row>
    <row r="29" spans="1:62" ht="24.6" customHeight="1">
      <c r="A29" s="282" t="s">
        <v>40</v>
      </c>
      <c r="B29" s="283"/>
      <c r="C29" s="283"/>
      <c r="D29" s="283"/>
      <c r="E29" s="283"/>
      <c r="F29" s="283"/>
      <c r="G29" s="283"/>
      <c r="H29" s="283"/>
      <c r="I29" s="283"/>
      <c r="J29" s="283"/>
      <c r="K29" s="283"/>
      <c r="L29" s="284"/>
      <c r="M29" s="72"/>
      <c r="N29" s="73"/>
      <c r="O29" s="74"/>
      <c r="Q29" s="73"/>
      <c r="R29" s="73"/>
      <c r="S29" s="72"/>
      <c r="T29" s="16"/>
      <c r="X29" s="17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</row>
    <row r="30" spans="1:62" s="87" customFormat="1">
      <c r="A30" s="148" t="s">
        <v>1</v>
      </c>
      <c r="B30" s="149" t="s">
        <v>0</v>
      </c>
      <c r="C30" s="150"/>
      <c r="D30" s="151"/>
      <c r="E30" s="150"/>
      <c r="F30" s="150">
        <f>SUM(F31:F39)</f>
        <v>16737.77</v>
      </c>
      <c r="G30" s="150"/>
      <c r="H30" s="150"/>
      <c r="I30" s="150"/>
      <c r="J30" s="150">
        <f>SUM(J31:J39)</f>
        <v>7213.12</v>
      </c>
      <c r="K30" s="150">
        <f>SUM(K31:K39)</f>
        <v>0</v>
      </c>
      <c r="L30" s="150">
        <f>SUM(L31:L39)</f>
        <v>7213.12</v>
      </c>
      <c r="M30" s="79"/>
      <c r="N30" s="80"/>
      <c r="O30" s="81"/>
      <c r="P30" s="7"/>
      <c r="Q30" s="79"/>
      <c r="R30" s="79"/>
      <c r="S30" s="79"/>
      <c r="T30" s="16"/>
      <c r="U30" s="82"/>
      <c r="V30" s="14"/>
      <c r="W30" s="83"/>
      <c r="X30" s="84"/>
      <c r="Y30" s="83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</row>
    <row r="31" spans="1:62">
      <c r="A31" s="88"/>
      <c r="B31" s="89"/>
      <c r="C31" s="88"/>
      <c r="D31" s="90"/>
      <c r="E31" s="152"/>
      <c r="F31" s="152"/>
      <c r="G31" s="152"/>
      <c r="H31" s="152"/>
      <c r="I31" s="152"/>
      <c r="J31" s="152"/>
      <c r="K31" s="152"/>
      <c r="L31" s="152"/>
      <c r="M31" s="91"/>
      <c r="N31" s="80"/>
      <c r="O31" s="81"/>
      <c r="Q31" s="80"/>
      <c r="R31" s="80"/>
      <c r="S31" s="91"/>
      <c r="U31" s="82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</row>
    <row r="32" spans="1:62">
      <c r="A32" s="153" t="s">
        <v>41</v>
      </c>
      <c r="B32" s="154" t="s">
        <v>366</v>
      </c>
      <c r="C32" s="155" t="s">
        <v>16</v>
      </c>
      <c r="D32" s="156">
        <v>6</v>
      </c>
      <c r="E32" s="156">
        <v>297.62</v>
      </c>
      <c r="F32" s="156">
        <f>D32*E32</f>
        <v>1785.72</v>
      </c>
      <c r="G32" s="156">
        <v>6</v>
      </c>
      <c r="H32" s="156"/>
      <c r="I32" s="156">
        <f>G32+H32</f>
        <v>6</v>
      </c>
      <c r="J32" s="156">
        <f>E32*G32</f>
        <v>1785.72</v>
      </c>
      <c r="K32" s="156">
        <f t="shared" ref="K32:K39" si="0">H32*E32</f>
        <v>0</v>
      </c>
      <c r="L32" s="156">
        <f>J32+K32</f>
        <v>1785.72</v>
      </c>
      <c r="M32" s="91"/>
      <c r="N32" s="92"/>
      <c r="O32" s="81"/>
      <c r="Q32" s="92"/>
      <c r="R32" s="92"/>
      <c r="S32" s="93"/>
      <c r="U32" s="82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</row>
    <row r="33" spans="1:62" ht="28.5">
      <c r="A33" s="153" t="s">
        <v>42</v>
      </c>
      <c r="B33" s="154" t="s">
        <v>305</v>
      </c>
      <c r="C33" s="155" t="s">
        <v>43</v>
      </c>
      <c r="D33" s="156">
        <v>140</v>
      </c>
      <c r="E33" s="156">
        <v>36.409999999999997</v>
      </c>
      <c r="F33" s="156">
        <f t="shared" ref="F33:F39" si="1">D33*E33</f>
        <v>5097.3999999999996</v>
      </c>
      <c r="G33" s="156">
        <v>140</v>
      </c>
      <c r="H33" s="156"/>
      <c r="I33" s="156">
        <f t="shared" ref="I33:I39" si="2">G33+H33</f>
        <v>140</v>
      </c>
      <c r="J33" s="156">
        <f t="shared" ref="J33:J38" si="3">E33*G33</f>
        <v>5097.3999999999996</v>
      </c>
      <c r="K33" s="156">
        <f t="shared" si="0"/>
        <v>0</v>
      </c>
      <c r="L33" s="156">
        <f t="shared" ref="L33:L39" si="4">J33+K33</f>
        <v>5097.3999999999996</v>
      </c>
      <c r="M33" s="91"/>
      <c r="N33" s="80"/>
      <c r="O33" s="81"/>
      <c r="Q33" s="80"/>
      <c r="R33" s="80"/>
      <c r="S33" s="91"/>
      <c r="U33" s="82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</row>
    <row r="34" spans="1:62" ht="42.75">
      <c r="A34" s="153" t="s">
        <v>44</v>
      </c>
      <c r="B34" s="154" t="s">
        <v>367</v>
      </c>
      <c r="C34" s="155" t="s">
        <v>16</v>
      </c>
      <c r="D34" s="156">
        <v>1500</v>
      </c>
      <c r="E34" s="156">
        <v>0.22</v>
      </c>
      <c r="F34" s="156">
        <f t="shared" si="1"/>
        <v>330</v>
      </c>
      <c r="G34" s="156">
        <v>1500</v>
      </c>
      <c r="H34" s="156"/>
      <c r="I34" s="156">
        <f t="shared" si="2"/>
        <v>1500</v>
      </c>
      <c r="J34" s="156">
        <f t="shared" si="3"/>
        <v>330</v>
      </c>
      <c r="K34" s="156">
        <f t="shared" si="0"/>
        <v>0</v>
      </c>
      <c r="L34" s="156">
        <f t="shared" si="4"/>
        <v>330</v>
      </c>
      <c r="M34" s="91"/>
      <c r="N34" s="80"/>
      <c r="O34" s="81"/>
      <c r="Q34" s="80"/>
      <c r="R34" s="80"/>
      <c r="S34" s="91"/>
      <c r="U34" s="82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</row>
    <row r="35" spans="1:62" s="87" customFormat="1" ht="42.75">
      <c r="A35" s="153" t="s">
        <v>45</v>
      </c>
      <c r="B35" s="154" t="s">
        <v>368</v>
      </c>
      <c r="C35" s="155" t="s">
        <v>7</v>
      </c>
      <c r="D35" s="156">
        <v>1</v>
      </c>
      <c r="E35" s="156">
        <v>414.92</v>
      </c>
      <c r="F35" s="156">
        <f t="shared" si="1"/>
        <v>414.92</v>
      </c>
      <c r="G35" s="156">
        <v>0</v>
      </c>
      <c r="H35" s="156"/>
      <c r="I35" s="156">
        <f t="shared" si="2"/>
        <v>0</v>
      </c>
      <c r="J35" s="156">
        <f t="shared" si="3"/>
        <v>0</v>
      </c>
      <c r="K35" s="156">
        <f t="shared" si="0"/>
        <v>0</v>
      </c>
      <c r="L35" s="156">
        <f t="shared" si="4"/>
        <v>0</v>
      </c>
      <c r="M35" s="79"/>
      <c r="N35" s="80"/>
      <c r="O35" s="81"/>
      <c r="P35" s="7"/>
      <c r="Q35" s="79"/>
      <c r="R35" s="79"/>
      <c r="S35" s="79"/>
      <c r="T35" s="16"/>
      <c r="U35" s="82"/>
      <c r="V35" s="14"/>
      <c r="W35" s="83"/>
      <c r="X35" s="84"/>
      <c r="Y35" s="83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</row>
    <row r="36" spans="1:62" s="87" customFormat="1" ht="34.5" customHeight="1">
      <c r="A36" s="153" t="s">
        <v>46</v>
      </c>
      <c r="B36" s="157" t="s">
        <v>369</v>
      </c>
      <c r="C36" s="155" t="s">
        <v>7</v>
      </c>
      <c r="D36" s="156">
        <v>1</v>
      </c>
      <c r="E36" s="156">
        <v>1100.67</v>
      </c>
      <c r="F36" s="156">
        <f t="shared" si="1"/>
        <v>1100.67</v>
      </c>
      <c r="G36" s="156">
        <v>0</v>
      </c>
      <c r="H36" s="156"/>
      <c r="I36" s="156">
        <f t="shared" si="2"/>
        <v>0</v>
      </c>
      <c r="J36" s="156">
        <f t="shared" si="3"/>
        <v>0</v>
      </c>
      <c r="K36" s="156">
        <f t="shared" si="0"/>
        <v>0</v>
      </c>
      <c r="L36" s="156">
        <f t="shared" si="4"/>
        <v>0</v>
      </c>
      <c r="M36" s="79"/>
      <c r="N36" s="80"/>
      <c r="O36" s="81"/>
      <c r="P36" s="7"/>
      <c r="Q36" s="79"/>
      <c r="R36" s="79"/>
      <c r="S36" s="79"/>
      <c r="T36" s="16"/>
      <c r="U36" s="82"/>
      <c r="V36" s="14"/>
      <c r="W36" s="83"/>
      <c r="X36" s="84"/>
      <c r="Y36" s="83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</row>
    <row r="37" spans="1:62" s="87" customFormat="1" ht="42.75">
      <c r="A37" s="153" t="s">
        <v>47</v>
      </c>
      <c r="B37" s="157" t="s">
        <v>370</v>
      </c>
      <c r="C37" s="155" t="s">
        <v>7</v>
      </c>
      <c r="D37" s="156">
        <v>1</v>
      </c>
      <c r="E37" s="156">
        <v>467.94</v>
      </c>
      <c r="F37" s="156">
        <f t="shared" si="1"/>
        <v>467.94</v>
      </c>
      <c r="G37" s="156">
        <v>0</v>
      </c>
      <c r="H37" s="156"/>
      <c r="I37" s="156">
        <f t="shared" si="2"/>
        <v>0</v>
      </c>
      <c r="J37" s="156">
        <f t="shared" si="3"/>
        <v>0</v>
      </c>
      <c r="K37" s="156">
        <f t="shared" si="0"/>
        <v>0</v>
      </c>
      <c r="L37" s="156">
        <f t="shared" si="4"/>
        <v>0</v>
      </c>
      <c r="M37" s="79"/>
      <c r="N37" s="80"/>
      <c r="O37" s="81"/>
      <c r="P37" s="7"/>
      <c r="Q37" s="79"/>
      <c r="R37" s="79"/>
      <c r="S37" s="79"/>
      <c r="T37" s="16"/>
      <c r="U37" s="82"/>
      <c r="V37" s="14"/>
      <c r="W37" s="83"/>
      <c r="X37" s="84"/>
      <c r="Y37" s="83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</row>
    <row r="38" spans="1:62" s="87" customFormat="1">
      <c r="A38" s="153" t="s">
        <v>48</v>
      </c>
      <c r="B38" s="158" t="s">
        <v>371</v>
      </c>
      <c r="C38" s="155" t="s">
        <v>50</v>
      </c>
      <c r="D38" s="156">
        <v>8</v>
      </c>
      <c r="E38" s="156">
        <v>490.5</v>
      </c>
      <c r="F38" s="156">
        <f t="shared" si="1"/>
        <v>3924</v>
      </c>
      <c r="G38" s="156"/>
      <c r="H38" s="156"/>
      <c r="I38" s="156">
        <f t="shared" si="2"/>
        <v>0</v>
      </c>
      <c r="J38" s="156">
        <f t="shared" si="3"/>
        <v>0</v>
      </c>
      <c r="K38" s="156">
        <f t="shared" si="0"/>
        <v>0</v>
      </c>
      <c r="L38" s="156">
        <f t="shared" si="4"/>
        <v>0</v>
      </c>
      <c r="M38" s="79"/>
      <c r="N38" s="80"/>
      <c r="O38" s="81"/>
      <c r="P38" s="7"/>
      <c r="Q38" s="79"/>
      <c r="R38" s="79"/>
      <c r="S38" s="79"/>
      <c r="T38" s="16"/>
      <c r="U38" s="82"/>
      <c r="V38" s="14"/>
      <c r="W38" s="83"/>
      <c r="X38" s="84"/>
      <c r="Y38" s="83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</row>
    <row r="39" spans="1:62" s="87" customFormat="1">
      <c r="A39" s="153" t="s">
        <v>49</v>
      </c>
      <c r="B39" s="158" t="s">
        <v>372</v>
      </c>
      <c r="C39" s="155" t="s">
        <v>50</v>
      </c>
      <c r="D39" s="156">
        <v>8</v>
      </c>
      <c r="E39" s="156">
        <v>452.14</v>
      </c>
      <c r="F39" s="156">
        <f t="shared" si="1"/>
        <v>3617.12</v>
      </c>
      <c r="G39" s="156"/>
      <c r="H39" s="156"/>
      <c r="I39" s="156">
        <f t="shared" si="2"/>
        <v>0</v>
      </c>
      <c r="J39" s="156">
        <f>E39*G39</f>
        <v>0</v>
      </c>
      <c r="K39" s="156">
        <f t="shared" si="0"/>
        <v>0</v>
      </c>
      <c r="L39" s="156">
        <f t="shared" si="4"/>
        <v>0</v>
      </c>
      <c r="M39" s="79"/>
      <c r="N39" s="80"/>
      <c r="O39" s="81"/>
      <c r="P39" s="7"/>
      <c r="Q39" s="79"/>
      <c r="R39" s="79"/>
      <c r="S39" s="79"/>
      <c r="T39" s="16"/>
      <c r="U39" s="82"/>
      <c r="V39" s="14"/>
      <c r="W39" s="83"/>
      <c r="X39" s="84"/>
      <c r="Y39" s="83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</row>
    <row r="40" spans="1:62">
      <c r="A40" s="156"/>
      <c r="B40" s="159"/>
      <c r="C40" s="155"/>
      <c r="D40" s="156"/>
      <c r="E40" s="156"/>
      <c r="F40" s="156"/>
      <c r="G40" s="156"/>
      <c r="H40" s="156"/>
      <c r="I40" s="156"/>
      <c r="J40" s="156"/>
      <c r="K40" s="156"/>
      <c r="L40" s="156"/>
      <c r="M40" s="91"/>
      <c r="N40" s="80"/>
      <c r="O40" s="81"/>
      <c r="Q40" s="80"/>
      <c r="R40" s="80"/>
      <c r="S40" s="91"/>
      <c r="U40" s="82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</row>
    <row r="41" spans="1:62" s="87" customFormat="1">
      <c r="A41" s="160" t="s">
        <v>19</v>
      </c>
      <c r="B41" s="161" t="s">
        <v>12</v>
      </c>
      <c r="C41" s="162"/>
      <c r="D41" s="163"/>
      <c r="E41" s="162"/>
      <c r="F41" s="162">
        <f>SUM(F42:F46)</f>
        <v>7361.0879999999997</v>
      </c>
      <c r="G41" s="162"/>
      <c r="H41" s="162"/>
      <c r="I41" s="162"/>
      <c r="J41" s="162">
        <f>SUM(J42:J45)</f>
        <v>5249.1596</v>
      </c>
      <c r="K41" s="162">
        <f>SUM(K42:K45)</f>
        <v>0</v>
      </c>
      <c r="L41" s="162">
        <f>SUM(L42:L46)</f>
        <v>5249.1596</v>
      </c>
      <c r="M41" s="79"/>
      <c r="N41" s="80"/>
      <c r="O41" s="81"/>
      <c r="P41" s="7"/>
      <c r="Q41" s="79"/>
      <c r="R41" s="79"/>
      <c r="S41" s="79"/>
      <c r="T41" s="16"/>
      <c r="U41" s="82"/>
      <c r="V41" s="14"/>
      <c r="W41" s="83"/>
      <c r="X41" s="84"/>
      <c r="Y41" s="83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</row>
    <row r="42" spans="1:62">
      <c r="A42" s="156"/>
      <c r="B42" s="159" t="s">
        <v>25</v>
      </c>
      <c r="C42" s="155"/>
      <c r="D42" s="156"/>
      <c r="E42" s="156"/>
      <c r="F42" s="156"/>
      <c r="G42" s="156"/>
      <c r="H42" s="156"/>
      <c r="I42" s="156"/>
      <c r="J42" s="156"/>
      <c r="K42" s="156"/>
      <c r="L42" s="156"/>
      <c r="M42" s="91"/>
      <c r="N42" s="80"/>
      <c r="O42" s="81"/>
      <c r="Q42" s="80"/>
      <c r="R42" s="80"/>
      <c r="S42" s="91"/>
      <c r="U42" s="82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</row>
    <row r="43" spans="1:62" ht="28.5">
      <c r="A43" s="156" t="s">
        <v>51</v>
      </c>
      <c r="B43" s="157" t="s">
        <v>52</v>
      </c>
      <c r="C43" s="155" t="s">
        <v>17</v>
      </c>
      <c r="D43" s="156">
        <v>122.16</v>
      </c>
      <c r="E43" s="156">
        <v>8.32</v>
      </c>
      <c r="F43" s="156">
        <f t="shared" ref="F43:F45" si="5">D43*E43</f>
        <v>1016.3712</v>
      </c>
      <c r="G43" s="156">
        <v>83.940000000000012</v>
      </c>
      <c r="H43" s="156"/>
      <c r="I43" s="156">
        <f t="shared" ref="I43" si="6">G43+H43</f>
        <v>83.940000000000012</v>
      </c>
      <c r="J43" s="156">
        <f>E43*G43</f>
        <v>698.38080000000014</v>
      </c>
      <c r="K43" s="156">
        <f>H43*E43</f>
        <v>0</v>
      </c>
      <c r="L43" s="156">
        <f t="shared" ref="L43" si="7">J43+K43</f>
        <v>698.38080000000014</v>
      </c>
      <c r="M43" s="80"/>
      <c r="N43" s="81"/>
      <c r="O43" s="7"/>
      <c r="P43" s="80"/>
      <c r="Q43" s="80"/>
      <c r="R43" s="91"/>
      <c r="S43" s="8"/>
      <c r="T43" s="82"/>
      <c r="W43" s="10"/>
      <c r="X43" s="9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</row>
    <row r="44" spans="1:62">
      <c r="A44" s="156" t="s">
        <v>53</v>
      </c>
      <c r="B44" s="157" t="s">
        <v>54</v>
      </c>
      <c r="C44" s="155" t="s">
        <v>17</v>
      </c>
      <c r="D44" s="156">
        <v>122.16</v>
      </c>
      <c r="E44" s="156">
        <v>17.899999999999999</v>
      </c>
      <c r="F44" s="156">
        <f t="shared" si="5"/>
        <v>2186.6639999999998</v>
      </c>
      <c r="G44" s="156">
        <v>21.940000000000005</v>
      </c>
      <c r="H44" s="156"/>
      <c r="I44" s="156">
        <f t="shared" ref="I44:I45" si="8">G44+H44</f>
        <v>21.940000000000005</v>
      </c>
      <c r="J44" s="156">
        <f t="shared" ref="J44:J45" si="9">E44*G44</f>
        <v>392.72600000000006</v>
      </c>
      <c r="K44" s="156">
        <f t="shared" ref="K44:K45" si="10">H44*E44</f>
        <v>0</v>
      </c>
      <c r="L44" s="156">
        <f t="shared" ref="L44:L45" si="11">J44+K44</f>
        <v>392.72600000000006</v>
      </c>
      <c r="M44" s="80"/>
      <c r="N44" s="81"/>
      <c r="O44" s="7"/>
      <c r="P44" s="80"/>
      <c r="Q44" s="80"/>
      <c r="R44" s="91"/>
      <c r="S44" s="8"/>
      <c r="T44" s="82"/>
      <c r="W44" s="10"/>
      <c r="X44" s="9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</row>
    <row r="45" spans="1:62" ht="28.5">
      <c r="A45" s="156" t="s">
        <v>55</v>
      </c>
      <c r="B45" s="157" t="s">
        <v>56</v>
      </c>
      <c r="C45" s="155" t="s">
        <v>17</v>
      </c>
      <c r="D45" s="156">
        <v>142.01</v>
      </c>
      <c r="E45" s="156">
        <v>29.28</v>
      </c>
      <c r="F45" s="156">
        <f t="shared" si="5"/>
        <v>4158.0527999999995</v>
      </c>
      <c r="G45" s="156">
        <v>142.01</v>
      </c>
      <c r="H45" s="156"/>
      <c r="I45" s="156">
        <f t="shared" si="8"/>
        <v>142.01</v>
      </c>
      <c r="J45" s="156">
        <f t="shared" si="9"/>
        <v>4158.0527999999995</v>
      </c>
      <c r="K45" s="156">
        <f t="shared" si="10"/>
        <v>0</v>
      </c>
      <c r="L45" s="156">
        <f t="shared" si="11"/>
        <v>4158.0527999999995</v>
      </c>
      <c r="M45" s="80"/>
      <c r="N45" s="81"/>
      <c r="O45" s="7"/>
      <c r="P45" s="80"/>
      <c r="Q45" s="80"/>
      <c r="R45" s="91"/>
      <c r="S45" s="8"/>
      <c r="T45" s="82"/>
      <c r="W45" s="10"/>
      <c r="X45" s="9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</row>
    <row r="46" spans="1:62">
      <c r="A46" s="156"/>
      <c r="B46" s="154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2"/>
      <c r="N46" s="80"/>
      <c r="O46" s="81"/>
      <c r="Q46" s="80"/>
      <c r="R46" s="80"/>
      <c r="S46" s="91"/>
      <c r="U46" s="82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</row>
    <row r="47" spans="1:62" s="87" customFormat="1">
      <c r="A47" s="160" t="s">
        <v>20</v>
      </c>
      <c r="B47" s="161" t="s">
        <v>57</v>
      </c>
      <c r="C47" s="162"/>
      <c r="D47" s="163"/>
      <c r="E47" s="162"/>
      <c r="F47" s="162">
        <f>SUM(F48:F53)</f>
        <v>72072.818199999994</v>
      </c>
      <c r="G47" s="162"/>
      <c r="H47" s="162"/>
      <c r="I47" s="162"/>
      <c r="J47" s="162">
        <f>SUM(J48:J53)</f>
        <v>57065.177300000003</v>
      </c>
      <c r="K47" s="162">
        <f>SUM(K48:K53)</f>
        <v>0</v>
      </c>
      <c r="L47" s="162">
        <f>SUM(L48:L53)</f>
        <v>57065.177300000003</v>
      </c>
      <c r="M47" s="79"/>
      <c r="N47" s="80"/>
      <c r="O47" s="81"/>
      <c r="P47" s="7"/>
      <c r="Q47" s="79"/>
      <c r="R47" s="79"/>
      <c r="S47" s="79"/>
      <c r="T47" s="16"/>
      <c r="U47" s="82"/>
      <c r="V47" s="14"/>
      <c r="W47" s="83"/>
      <c r="X47" s="84"/>
      <c r="Y47" s="83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  <c r="AY47" s="86"/>
      <c r="AZ47" s="86"/>
      <c r="BA47" s="86"/>
      <c r="BB47" s="86"/>
      <c r="BC47" s="86"/>
      <c r="BD47" s="86"/>
      <c r="BE47" s="86"/>
      <c r="BF47" s="86"/>
      <c r="BG47" s="86"/>
      <c r="BH47" s="86"/>
      <c r="BI47" s="86"/>
      <c r="BJ47" s="86"/>
    </row>
    <row r="48" spans="1:62">
      <c r="A48" s="156"/>
      <c r="B48" s="154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80"/>
      <c r="N48" s="81"/>
      <c r="O48" s="7"/>
      <c r="P48" s="80"/>
      <c r="Q48" s="80"/>
      <c r="R48" s="91"/>
      <c r="S48" s="8"/>
      <c r="T48" s="82"/>
      <c r="U48" s="95"/>
      <c r="V48" s="95"/>
      <c r="W48" s="10"/>
      <c r="X48" s="9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</row>
    <row r="49" spans="1:62" ht="28.5">
      <c r="A49" s="156" t="s">
        <v>58</v>
      </c>
      <c r="B49" s="157" t="s">
        <v>59</v>
      </c>
      <c r="C49" s="156" t="s">
        <v>17</v>
      </c>
      <c r="D49" s="156">
        <v>84.24</v>
      </c>
      <c r="E49" s="156">
        <v>339.77</v>
      </c>
      <c r="F49" s="156">
        <f t="shared" ref="F49:F53" si="12">D49*E49</f>
        <v>28622.224799999996</v>
      </c>
      <c r="G49" s="156">
        <v>40.07</v>
      </c>
      <c r="H49" s="156"/>
      <c r="I49" s="156">
        <f t="shared" ref="I49" si="13">G49+H49</f>
        <v>40.07</v>
      </c>
      <c r="J49" s="156">
        <f t="shared" ref="J49" si="14">E49*G49</f>
        <v>13614.5839</v>
      </c>
      <c r="K49" s="156">
        <f t="shared" ref="K49" si="15">H49*E49</f>
        <v>0</v>
      </c>
      <c r="L49" s="156">
        <f t="shared" ref="L49" si="16">J49+K49</f>
        <v>13614.5839</v>
      </c>
      <c r="M49" s="80"/>
      <c r="N49" s="81"/>
      <c r="O49" s="7"/>
      <c r="P49" s="80"/>
      <c r="Q49" s="80"/>
      <c r="R49" s="91"/>
      <c r="S49" s="8"/>
      <c r="T49" s="82"/>
      <c r="U49" s="95"/>
      <c r="V49" s="95"/>
      <c r="W49" s="10"/>
      <c r="X49" s="9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</row>
    <row r="50" spans="1:62" ht="63.75" customHeight="1">
      <c r="A50" s="156" t="s">
        <v>60</v>
      </c>
      <c r="B50" s="157" t="s">
        <v>61</v>
      </c>
      <c r="C50" s="156" t="s">
        <v>16</v>
      </c>
      <c r="D50" s="156">
        <v>28.19</v>
      </c>
      <c r="E50" s="156">
        <v>55.26</v>
      </c>
      <c r="F50" s="156">
        <f t="shared" si="12"/>
        <v>1557.7794000000001</v>
      </c>
      <c r="G50" s="156">
        <v>28.19</v>
      </c>
      <c r="H50" s="156"/>
      <c r="I50" s="156">
        <f t="shared" ref="I50:I53" si="17">G50+H50</f>
        <v>28.19</v>
      </c>
      <c r="J50" s="156">
        <f t="shared" ref="J50:J53" si="18">E50*G50</f>
        <v>1557.7794000000001</v>
      </c>
      <c r="K50" s="156">
        <f t="shared" ref="K50:K53" si="19">H50*E50</f>
        <v>0</v>
      </c>
      <c r="L50" s="156">
        <f t="shared" ref="L50:L53" si="20">J50+K50</f>
        <v>1557.7794000000001</v>
      </c>
      <c r="M50" s="96"/>
      <c r="N50" s="81"/>
      <c r="O50" s="7"/>
      <c r="P50" s="80"/>
      <c r="Q50" s="80"/>
      <c r="R50" s="91"/>
      <c r="S50" s="8"/>
      <c r="T50" s="82"/>
      <c r="U50" s="95"/>
      <c r="V50" s="95"/>
      <c r="W50" s="10"/>
      <c r="X50" s="9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</row>
    <row r="51" spans="1:62" ht="29.25" customHeight="1">
      <c r="A51" s="156" t="s">
        <v>62</v>
      </c>
      <c r="B51" s="157" t="s">
        <v>63</v>
      </c>
      <c r="C51" s="156" t="s">
        <v>17</v>
      </c>
      <c r="D51" s="156">
        <v>5</v>
      </c>
      <c r="E51" s="156">
        <v>394.47</v>
      </c>
      <c r="F51" s="156">
        <f t="shared" si="12"/>
        <v>1972.3500000000001</v>
      </c>
      <c r="G51" s="156">
        <v>5</v>
      </c>
      <c r="H51" s="156"/>
      <c r="I51" s="156">
        <f t="shared" si="17"/>
        <v>5</v>
      </c>
      <c r="J51" s="156">
        <f t="shared" si="18"/>
        <v>1972.3500000000001</v>
      </c>
      <c r="K51" s="156">
        <f t="shared" si="19"/>
        <v>0</v>
      </c>
      <c r="L51" s="156">
        <f t="shared" si="20"/>
        <v>1972.3500000000001</v>
      </c>
      <c r="M51" s="80"/>
      <c r="N51" s="81"/>
      <c r="O51" s="7"/>
      <c r="P51" s="80"/>
      <c r="Q51" s="80"/>
      <c r="R51" s="91"/>
      <c r="S51" s="8"/>
      <c r="T51" s="82"/>
      <c r="U51" s="95"/>
      <c r="V51" s="95"/>
      <c r="W51" s="10"/>
      <c r="X51" s="9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</row>
    <row r="52" spans="1:62" ht="36.75" customHeight="1">
      <c r="A52" s="156" t="s">
        <v>64</v>
      </c>
      <c r="B52" s="157" t="s">
        <v>65</v>
      </c>
      <c r="C52" s="156" t="s">
        <v>17</v>
      </c>
      <c r="D52" s="156">
        <v>15.01</v>
      </c>
      <c r="E52" s="156">
        <v>1613.6</v>
      </c>
      <c r="F52" s="156">
        <f t="shared" si="12"/>
        <v>24220.135999999999</v>
      </c>
      <c r="G52" s="156">
        <v>15.01</v>
      </c>
      <c r="H52" s="156"/>
      <c r="I52" s="156">
        <f t="shared" si="17"/>
        <v>15.01</v>
      </c>
      <c r="J52" s="156">
        <f t="shared" si="18"/>
        <v>24220.135999999999</v>
      </c>
      <c r="K52" s="156">
        <f t="shared" si="19"/>
        <v>0</v>
      </c>
      <c r="L52" s="156">
        <f t="shared" si="20"/>
        <v>24220.135999999999</v>
      </c>
      <c r="M52" s="80"/>
      <c r="N52" s="81"/>
      <c r="O52" s="7"/>
      <c r="P52" s="80"/>
      <c r="Q52" s="80"/>
      <c r="R52" s="91"/>
      <c r="S52" s="8"/>
      <c r="T52" s="82"/>
      <c r="U52" s="95"/>
      <c r="V52" s="95"/>
      <c r="W52" s="10"/>
      <c r="X52" s="9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</row>
    <row r="53" spans="1:62" ht="28.5">
      <c r="A53" s="156" t="s">
        <v>66</v>
      </c>
      <c r="B53" s="157" t="s">
        <v>67</v>
      </c>
      <c r="C53" s="156" t="s">
        <v>17</v>
      </c>
      <c r="D53" s="156">
        <v>9.73</v>
      </c>
      <c r="E53" s="156">
        <v>1613.6</v>
      </c>
      <c r="F53" s="156">
        <f t="shared" si="12"/>
        <v>15700.328</v>
      </c>
      <c r="G53" s="156">
        <v>9.73</v>
      </c>
      <c r="H53" s="156"/>
      <c r="I53" s="156">
        <f t="shared" si="17"/>
        <v>9.73</v>
      </c>
      <c r="J53" s="156">
        <f t="shared" si="18"/>
        <v>15700.328</v>
      </c>
      <c r="K53" s="156">
        <f t="shared" si="19"/>
        <v>0</v>
      </c>
      <c r="L53" s="156">
        <f t="shared" si="20"/>
        <v>15700.328</v>
      </c>
      <c r="M53" s="80"/>
      <c r="N53" s="81"/>
      <c r="O53" s="7"/>
      <c r="P53" s="80"/>
      <c r="Q53" s="80"/>
      <c r="R53" s="91"/>
      <c r="S53" s="8"/>
      <c r="T53" s="82"/>
      <c r="U53" s="95"/>
      <c r="V53" s="95"/>
      <c r="W53" s="10"/>
      <c r="X53" s="9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</row>
    <row r="54" spans="1:62">
      <c r="A54" s="156"/>
      <c r="B54" s="154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91"/>
      <c r="N54" s="80"/>
      <c r="O54" s="81"/>
      <c r="Q54" s="80"/>
      <c r="R54" s="80"/>
      <c r="S54" s="91"/>
      <c r="U54" s="82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</row>
    <row r="55" spans="1:62" s="87" customFormat="1">
      <c r="A55" s="160" t="s">
        <v>21</v>
      </c>
      <c r="B55" s="161" t="s">
        <v>68</v>
      </c>
      <c r="C55" s="162"/>
      <c r="D55" s="163"/>
      <c r="E55" s="162"/>
      <c r="F55" s="162">
        <f>SUM(F56:F60)</f>
        <v>114480.3824</v>
      </c>
      <c r="G55" s="162"/>
      <c r="H55" s="162"/>
      <c r="I55" s="162"/>
      <c r="J55" s="162">
        <f>SUM(J56:J60)</f>
        <v>5278.8989999999994</v>
      </c>
      <c r="K55" s="162">
        <f>SUM(K56:K60)</f>
        <v>47036.27199999999</v>
      </c>
      <c r="L55" s="162">
        <f>SUM(L56:L60)</f>
        <v>52315.170999999988</v>
      </c>
      <c r="M55" s="79"/>
      <c r="N55" s="80"/>
      <c r="O55" s="81"/>
      <c r="P55" s="7"/>
      <c r="Q55" s="79"/>
      <c r="R55" s="79"/>
      <c r="S55" s="79"/>
      <c r="T55" s="16"/>
      <c r="U55" s="82"/>
      <c r="V55" s="14"/>
      <c r="W55" s="83"/>
      <c r="X55" s="84"/>
      <c r="Y55" s="83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6"/>
      <c r="AM55" s="86"/>
      <c r="AN55" s="86"/>
      <c r="AO55" s="86"/>
      <c r="AP55" s="86"/>
      <c r="AQ55" s="86"/>
      <c r="AR55" s="86"/>
      <c r="AS55" s="86"/>
      <c r="AT55" s="86"/>
      <c r="AU55" s="86"/>
      <c r="AV55" s="86"/>
      <c r="AW55" s="86"/>
      <c r="AX55" s="86"/>
      <c r="AY55" s="86"/>
      <c r="AZ55" s="86"/>
      <c r="BA55" s="86"/>
      <c r="BB55" s="86"/>
      <c r="BC55" s="86"/>
      <c r="BD55" s="86"/>
      <c r="BE55" s="86"/>
      <c r="BF55" s="86"/>
      <c r="BG55" s="86"/>
      <c r="BH55" s="86"/>
      <c r="BI55" s="86"/>
      <c r="BJ55" s="86"/>
    </row>
    <row r="56" spans="1:62">
      <c r="A56" s="156"/>
      <c r="B56" s="154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91"/>
      <c r="N56" s="80"/>
      <c r="O56" s="81"/>
      <c r="Q56" s="80"/>
      <c r="R56" s="80"/>
      <c r="S56" s="91"/>
      <c r="U56" s="82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</row>
    <row r="57" spans="1:62" ht="48" customHeight="1">
      <c r="A57" s="156" t="s">
        <v>69</v>
      </c>
      <c r="B57" s="157" t="s">
        <v>70</v>
      </c>
      <c r="C57" s="156" t="s">
        <v>16</v>
      </c>
      <c r="D57" s="156">
        <v>18.920000000000002</v>
      </c>
      <c r="E57" s="156">
        <v>1806.13</v>
      </c>
      <c r="F57" s="156">
        <f t="shared" ref="F57" si="21">D57*E57</f>
        <v>34171.979600000006</v>
      </c>
      <c r="G57" s="156"/>
      <c r="H57" s="156">
        <f>'MEMORIA BM 02'!L68</f>
        <v>18.009999999999994</v>
      </c>
      <c r="I57" s="156">
        <f t="shared" ref="I57" si="22">G57+H57</f>
        <v>18.009999999999994</v>
      </c>
      <c r="J57" s="156">
        <f t="shared" ref="J57" si="23">E57*G57</f>
        <v>0</v>
      </c>
      <c r="K57" s="156">
        <f t="shared" ref="K57" si="24">H57*E57</f>
        <v>32528.40129999999</v>
      </c>
      <c r="L57" s="156">
        <f t="shared" ref="L57" si="25">J57+K57</f>
        <v>32528.40129999999</v>
      </c>
      <c r="M57" s="80"/>
      <c r="N57" s="81"/>
      <c r="O57" s="7"/>
      <c r="P57" s="80"/>
      <c r="Q57" s="80"/>
      <c r="R57" s="91"/>
      <c r="S57" s="8"/>
      <c r="T57" s="82"/>
      <c r="W57" s="10"/>
      <c r="X57" s="9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</row>
    <row r="58" spans="1:62" ht="42.75">
      <c r="A58" s="156" t="s">
        <v>71</v>
      </c>
      <c r="B58" s="157" t="s">
        <v>72</v>
      </c>
      <c r="C58" s="156" t="s">
        <v>17</v>
      </c>
      <c r="D58" s="156">
        <v>14.4</v>
      </c>
      <c r="E58" s="156">
        <v>1820.31</v>
      </c>
      <c r="F58" s="156">
        <f>D58*E58</f>
        <v>26212.464</v>
      </c>
      <c r="G58" s="156">
        <v>2.9</v>
      </c>
      <c r="H58" s="156">
        <f>'MEMORIA BM 02'!L106</f>
        <v>7.97</v>
      </c>
      <c r="I58" s="156">
        <f t="shared" ref="I58:I60" si="26">G58+H58</f>
        <v>10.87</v>
      </c>
      <c r="J58" s="156">
        <f t="shared" ref="J58:J60" si="27">E58*G58</f>
        <v>5278.8989999999994</v>
      </c>
      <c r="K58" s="156">
        <f t="shared" ref="K58:K60" si="28">H58*E58</f>
        <v>14507.870699999999</v>
      </c>
      <c r="L58" s="156">
        <f t="shared" ref="L58:L60" si="29">J58+K58</f>
        <v>19786.769699999997</v>
      </c>
      <c r="M58" s="80"/>
      <c r="N58" s="81"/>
      <c r="O58" s="7"/>
      <c r="P58" s="80"/>
      <c r="Q58" s="80"/>
      <c r="R58" s="91"/>
      <c r="S58" s="8"/>
      <c r="T58" s="82"/>
      <c r="W58" s="10"/>
      <c r="X58" s="9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</row>
    <row r="59" spans="1:62">
      <c r="A59" s="156" t="s">
        <v>73</v>
      </c>
      <c r="B59" s="158" t="s">
        <v>74</v>
      </c>
      <c r="C59" s="156" t="s">
        <v>16</v>
      </c>
      <c r="D59" s="156">
        <v>12.36</v>
      </c>
      <c r="E59" s="156">
        <v>313.83</v>
      </c>
      <c r="F59" s="156">
        <f>D59*E59</f>
        <v>3878.9387999999994</v>
      </c>
      <c r="G59" s="156"/>
      <c r="H59" s="156"/>
      <c r="I59" s="156">
        <f t="shared" si="26"/>
        <v>0</v>
      </c>
      <c r="J59" s="156">
        <f t="shared" si="27"/>
        <v>0</v>
      </c>
      <c r="K59" s="156">
        <f t="shared" si="28"/>
        <v>0</v>
      </c>
      <c r="L59" s="156">
        <f t="shared" si="29"/>
        <v>0</v>
      </c>
      <c r="M59" s="80"/>
      <c r="N59" s="81"/>
      <c r="O59" s="7"/>
      <c r="P59" s="80"/>
      <c r="Q59" s="80"/>
      <c r="R59" s="91"/>
      <c r="S59" s="8"/>
      <c r="T59" s="82"/>
      <c r="W59" s="10"/>
      <c r="X59" s="9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</row>
    <row r="60" spans="1:62" ht="42.75">
      <c r="A60" s="156" t="s">
        <v>75</v>
      </c>
      <c r="B60" s="157" t="s">
        <v>76</v>
      </c>
      <c r="C60" s="156" t="s">
        <v>16</v>
      </c>
      <c r="D60" s="156">
        <v>475</v>
      </c>
      <c r="E60" s="156">
        <v>105.72</v>
      </c>
      <c r="F60" s="156">
        <f>D60*E60</f>
        <v>50217</v>
      </c>
      <c r="G60" s="156"/>
      <c r="H60" s="156"/>
      <c r="I60" s="156">
        <f t="shared" si="26"/>
        <v>0</v>
      </c>
      <c r="J60" s="156">
        <f t="shared" si="27"/>
        <v>0</v>
      </c>
      <c r="K60" s="156">
        <f t="shared" si="28"/>
        <v>0</v>
      </c>
      <c r="L60" s="156">
        <f t="shared" si="29"/>
        <v>0</v>
      </c>
      <c r="M60" s="80"/>
      <c r="N60" s="81"/>
      <c r="O60" s="7"/>
      <c r="P60" s="80"/>
      <c r="Q60" s="80"/>
      <c r="R60" s="91"/>
      <c r="S60" s="8"/>
      <c r="T60" s="82"/>
      <c r="W60" s="10"/>
      <c r="X60" s="9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</row>
    <row r="61" spans="1:62">
      <c r="A61" s="156"/>
      <c r="B61" s="154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80"/>
      <c r="N61" s="81"/>
      <c r="O61" s="7"/>
      <c r="P61" s="80"/>
      <c r="Q61" s="80"/>
      <c r="R61" s="91"/>
      <c r="S61" s="8"/>
      <c r="T61" s="82"/>
      <c r="W61" s="10"/>
      <c r="X61" s="9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</row>
    <row r="62" spans="1:62" s="87" customFormat="1">
      <c r="A62" s="160" t="s">
        <v>77</v>
      </c>
      <c r="B62" s="161" t="s">
        <v>78</v>
      </c>
      <c r="C62" s="162"/>
      <c r="D62" s="163"/>
      <c r="E62" s="162"/>
      <c r="F62" s="162">
        <f>SUM(F63:F66)</f>
        <v>86529.282800000001</v>
      </c>
      <c r="G62" s="162"/>
      <c r="H62" s="162"/>
      <c r="I62" s="162"/>
      <c r="J62" s="162">
        <f>SUM(J63:J66)</f>
        <v>0</v>
      </c>
      <c r="K62" s="162">
        <f>SUM(K63:K66)</f>
        <v>75854.648300000015</v>
      </c>
      <c r="L62" s="162">
        <f>SUM(L63:L66)</f>
        <v>75854.648300000015</v>
      </c>
      <c r="M62" s="79"/>
      <c r="N62" s="80"/>
      <c r="O62" s="81"/>
      <c r="P62" s="7"/>
      <c r="Q62" s="79"/>
      <c r="R62" s="79"/>
      <c r="S62" s="79"/>
      <c r="T62" s="16"/>
      <c r="U62" s="82"/>
      <c r="V62" s="14"/>
      <c r="W62" s="83"/>
      <c r="X62" s="84"/>
      <c r="Y62" s="83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6"/>
      <c r="AM62" s="86"/>
      <c r="AN62" s="86"/>
      <c r="AO62" s="86"/>
      <c r="AP62" s="86"/>
      <c r="AQ62" s="86"/>
      <c r="AR62" s="86"/>
      <c r="AS62" s="86"/>
      <c r="AT62" s="86"/>
      <c r="AU62" s="86"/>
      <c r="AV62" s="86"/>
      <c r="AW62" s="86"/>
      <c r="AX62" s="86"/>
      <c r="AY62" s="86"/>
      <c r="AZ62" s="86"/>
      <c r="BA62" s="86"/>
      <c r="BB62" s="86"/>
      <c r="BC62" s="86"/>
      <c r="BD62" s="86"/>
      <c r="BE62" s="86"/>
      <c r="BF62" s="86"/>
      <c r="BG62" s="86"/>
      <c r="BH62" s="86"/>
      <c r="BI62" s="86"/>
      <c r="BJ62" s="86"/>
    </row>
    <row r="63" spans="1:62">
      <c r="A63" s="156"/>
      <c r="B63" s="154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80"/>
      <c r="N63" s="81"/>
      <c r="O63" s="7"/>
      <c r="P63" s="80"/>
      <c r="Q63" s="80"/>
      <c r="R63" s="91"/>
      <c r="S63" s="8"/>
      <c r="T63" s="82"/>
      <c r="W63" s="10"/>
      <c r="X63" s="9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</row>
    <row r="64" spans="1:62" ht="57">
      <c r="A64" s="156" t="s">
        <v>79</v>
      </c>
      <c r="B64" s="157" t="s">
        <v>80</v>
      </c>
      <c r="C64" s="156" t="s">
        <v>16</v>
      </c>
      <c r="D64" s="156">
        <v>784.04</v>
      </c>
      <c r="E64" s="156">
        <v>49.23</v>
      </c>
      <c r="F64" s="156">
        <f t="shared" ref="F64:F80" si="30">D64*E64</f>
        <v>38598.289199999999</v>
      </c>
      <c r="G64" s="156"/>
      <c r="H64" s="156">
        <f>'MEMORIA BM 02'!L119</f>
        <v>569.93000000000029</v>
      </c>
      <c r="I64" s="156">
        <f t="shared" ref="I64" si="31">G64+H64</f>
        <v>569.93000000000029</v>
      </c>
      <c r="J64" s="156">
        <f t="shared" ref="J64" si="32">E64*G64</f>
        <v>0</v>
      </c>
      <c r="K64" s="156">
        <f t="shared" ref="K64" si="33">H64*E64</f>
        <v>28057.653900000012</v>
      </c>
      <c r="L64" s="156">
        <f t="shared" ref="L64" si="34">J64+K64</f>
        <v>28057.653900000012</v>
      </c>
      <c r="M64" s="80"/>
      <c r="N64" s="81"/>
      <c r="O64" s="7"/>
      <c r="P64" s="80"/>
      <c r="Q64" s="80"/>
      <c r="R64" s="91"/>
      <c r="S64" s="8"/>
      <c r="T64" s="82"/>
      <c r="W64" s="10"/>
      <c r="X64" s="9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</row>
    <row r="65" spans="1:61" ht="42.75">
      <c r="A65" s="156" t="s">
        <v>82</v>
      </c>
      <c r="B65" s="157" t="s">
        <v>83</v>
      </c>
      <c r="C65" s="156" t="s">
        <v>16</v>
      </c>
      <c r="D65" s="156">
        <v>35.76</v>
      </c>
      <c r="E65" s="156">
        <v>186.11</v>
      </c>
      <c r="F65" s="156">
        <f t="shared" si="30"/>
        <v>6655.2936</v>
      </c>
      <c r="G65" s="156"/>
      <c r="H65" s="156">
        <f>'MEMORIA BM 02'!L146</f>
        <v>35.040000000000006</v>
      </c>
      <c r="I65" s="156">
        <f t="shared" ref="I65:I66" si="35">G65+H65</f>
        <v>35.040000000000006</v>
      </c>
      <c r="J65" s="156">
        <f t="shared" ref="J65:J66" si="36">E65*G65</f>
        <v>0</v>
      </c>
      <c r="K65" s="156">
        <f t="shared" ref="K65:K66" si="37">H65*E65</f>
        <v>6521.2944000000016</v>
      </c>
      <c r="L65" s="156">
        <f t="shared" ref="L65:L66" si="38">J65+K65</f>
        <v>6521.2944000000016</v>
      </c>
      <c r="M65" s="80"/>
      <c r="N65" s="81"/>
      <c r="O65" s="7"/>
      <c r="P65" s="80"/>
      <c r="Q65" s="80"/>
      <c r="R65" s="91"/>
      <c r="S65" s="8"/>
      <c r="T65" s="82"/>
      <c r="W65" s="10"/>
      <c r="X65" s="9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</row>
    <row r="66" spans="1:61" ht="48.75" customHeight="1">
      <c r="A66" s="156" t="s">
        <v>84</v>
      </c>
      <c r="B66" s="157" t="s">
        <v>22</v>
      </c>
      <c r="C66" s="156" t="s">
        <v>16</v>
      </c>
      <c r="D66" s="156">
        <v>290</v>
      </c>
      <c r="E66" s="156">
        <v>142.33000000000001</v>
      </c>
      <c r="F66" s="156">
        <f t="shared" si="30"/>
        <v>41275.700000000004</v>
      </c>
      <c r="G66" s="156"/>
      <c r="H66" s="156">
        <f>'MEMORIA BM 02'!L154</f>
        <v>290</v>
      </c>
      <c r="I66" s="156">
        <f t="shared" si="35"/>
        <v>290</v>
      </c>
      <c r="J66" s="156">
        <f t="shared" si="36"/>
        <v>0</v>
      </c>
      <c r="K66" s="156">
        <f t="shared" si="37"/>
        <v>41275.700000000004</v>
      </c>
      <c r="L66" s="156">
        <f t="shared" si="38"/>
        <v>41275.700000000004</v>
      </c>
      <c r="M66" s="80"/>
      <c r="N66" s="81"/>
      <c r="O66" s="7"/>
      <c r="P66" s="80"/>
      <c r="Q66" s="80"/>
      <c r="R66" s="91"/>
      <c r="S66" s="8"/>
      <c r="T66" s="82"/>
      <c r="W66" s="10"/>
      <c r="X66" s="9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</row>
    <row r="67" spans="1:61">
      <c r="A67" s="156"/>
      <c r="B67" s="154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80"/>
      <c r="N67" s="81"/>
      <c r="O67" s="7"/>
      <c r="P67" s="80"/>
      <c r="Q67" s="80"/>
      <c r="R67" s="91"/>
      <c r="S67" s="8"/>
      <c r="T67" s="82"/>
      <c r="W67" s="10"/>
      <c r="X67" s="9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</row>
    <row r="68" spans="1:61" s="87" customFormat="1">
      <c r="A68" s="164" t="s">
        <v>85</v>
      </c>
      <c r="B68" s="165" t="s">
        <v>86</v>
      </c>
      <c r="C68" s="166"/>
      <c r="D68" s="167"/>
      <c r="E68" s="166"/>
      <c r="F68" s="166">
        <f>SUM(F70:F80)</f>
        <v>72799.623299999992</v>
      </c>
      <c r="G68" s="166"/>
      <c r="H68" s="166"/>
      <c r="I68" s="166"/>
      <c r="J68" s="166">
        <f>SUM(J70:J80)</f>
        <v>0</v>
      </c>
      <c r="K68" s="166">
        <f>SUM(K70:K80)</f>
        <v>0</v>
      </c>
      <c r="L68" s="166">
        <f>SUM(L70:L80)</f>
        <v>0</v>
      </c>
      <c r="M68" s="97"/>
      <c r="N68" s="98"/>
      <c r="O68" s="7"/>
      <c r="P68" s="97"/>
      <c r="Q68" s="97"/>
      <c r="R68" s="79"/>
      <c r="S68" s="16"/>
      <c r="T68" s="82"/>
      <c r="U68" s="14"/>
      <c r="V68" s="14"/>
      <c r="W68" s="84"/>
      <c r="X68" s="83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  <c r="AJ68" s="85"/>
      <c r="AK68" s="86"/>
      <c r="AL68" s="86"/>
      <c r="AM68" s="86"/>
      <c r="AN68" s="86"/>
      <c r="AO68" s="86"/>
      <c r="AP68" s="86"/>
      <c r="AQ68" s="86"/>
      <c r="AR68" s="86"/>
      <c r="AS68" s="86"/>
      <c r="AT68" s="86"/>
      <c r="AU68" s="86"/>
      <c r="AV68" s="86"/>
      <c r="AW68" s="86"/>
      <c r="AX68" s="86"/>
      <c r="AY68" s="86"/>
      <c r="AZ68" s="86"/>
      <c r="BA68" s="86"/>
      <c r="BB68" s="86"/>
      <c r="BC68" s="86"/>
      <c r="BD68" s="86"/>
      <c r="BE68" s="86"/>
      <c r="BF68" s="86"/>
      <c r="BG68" s="86"/>
      <c r="BH68" s="86"/>
      <c r="BI68" s="86"/>
    </row>
    <row r="69" spans="1:61" s="87" customFormat="1">
      <c r="A69" s="168"/>
      <c r="B69" s="169"/>
      <c r="C69" s="170"/>
      <c r="D69" s="171"/>
      <c r="E69" s="170"/>
      <c r="F69" s="170"/>
      <c r="G69" s="170"/>
      <c r="H69" s="170"/>
      <c r="I69" s="170"/>
      <c r="J69" s="170"/>
      <c r="K69" s="170"/>
      <c r="L69" s="170"/>
      <c r="M69" s="97"/>
      <c r="N69" s="98"/>
      <c r="O69" s="7"/>
      <c r="P69" s="97"/>
      <c r="Q69" s="97"/>
      <c r="R69" s="79"/>
      <c r="S69" s="16"/>
      <c r="T69" s="82"/>
      <c r="U69" s="14"/>
      <c r="V69" s="14"/>
      <c r="W69" s="84"/>
      <c r="X69" s="83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5"/>
      <c r="AJ69" s="85"/>
      <c r="AK69" s="86"/>
      <c r="AL69" s="86"/>
      <c r="AM69" s="86"/>
      <c r="AN69" s="86"/>
      <c r="AO69" s="86"/>
      <c r="AP69" s="86"/>
      <c r="AQ69" s="86"/>
      <c r="AR69" s="86"/>
      <c r="AS69" s="86"/>
      <c r="AT69" s="86"/>
      <c r="AU69" s="86"/>
      <c r="AV69" s="86"/>
      <c r="AW69" s="86"/>
      <c r="AX69" s="86"/>
      <c r="AY69" s="86"/>
      <c r="AZ69" s="86"/>
      <c r="BA69" s="86"/>
      <c r="BB69" s="86"/>
      <c r="BC69" s="86"/>
      <c r="BD69" s="86"/>
      <c r="BE69" s="86"/>
      <c r="BF69" s="86"/>
      <c r="BG69" s="86"/>
      <c r="BH69" s="86"/>
      <c r="BI69" s="86"/>
    </row>
    <row r="70" spans="1:61" ht="57">
      <c r="A70" s="156" t="s">
        <v>87</v>
      </c>
      <c r="B70" s="157" t="s">
        <v>88</v>
      </c>
      <c r="C70" s="156" t="s">
        <v>7</v>
      </c>
      <c r="D70" s="156">
        <v>9</v>
      </c>
      <c r="E70" s="156">
        <v>478.15</v>
      </c>
      <c r="F70" s="156">
        <f t="shared" si="30"/>
        <v>4303.3499999999995</v>
      </c>
      <c r="G70" s="156"/>
      <c r="H70" s="156"/>
      <c r="I70" s="156">
        <f t="shared" ref="I70" si="39">G70+H70</f>
        <v>0</v>
      </c>
      <c r="J70" s="156">
        <f t="shared" ref="J70" si="40">E70*G70</f>
        <v>0</v>
      </c>
      <c r="K70" s="156">
        <f t="shared" ref="K70" si="41">H70*E70</f>
        <v>0</v>
      </c>
      <c r="L70" s="156">
        <f t="shared" ref="L70" si="42">J70+K70</f>
        <v>0</v>
      </c>
      <c r="M70" s="80"/>
      <c r="N70" s="81"/>
      <c r="O70" s="7"/>
      <c r="P70" s="80"/>
      <c r="Q70" s="80"/>
      <c r="R70" s="91"/>
      <c r="S70" s="8"/>
      <c r="T70" s="82"/>
      <c r="W70" s="10"/>
      <c r="X70" s="12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</row>
    <row r="71" spans="1:61" ht="56.25" customHeight="1">
      <c r="A71" s="156" t="s">
        <v>89</v>
      </c>
      <c r="B71" s="157" t="s">
        <v>90</v>
      </c>
      <c r="C71" s="156" t="s">
        <v>7</v>
      </c>
      <c r="D71" s="156">
        <v>10</v>
      </c>
      <c r="E71" s="156">
        <v>546.86</v>
      </c>
      <c r="F71" s="156">
        <f t="shared" si="30"/>
        <v>5468.6</v>
      </c>
      <c r="G71" s="156"/>
      <c r="H71" s="156"/>
      <c r="I71" s="156">
        <f t="shared" ref="I71:I80" si="43">G71+H71</f>
        <v>0</v>
      </c>
      <c r="J71" s="156">
        <f t="shared" ref="J71:J80" si="44">E71*G71</f>
        <v>0</v>
      </c>
      <c r="K71" s="156">
        <f t="shared" ref="K71:K80" si="45">H71*E71</f>
        <v>0</v>
      </c>
      <c r="L71" s="156">
        <f t="shared" ref="L71:L80" si="46">J71+K71</f>
        <v>0</v>
      </c>
      <c r="M71" s="80"/>
      <c r="N71" s="81"/>
      <c r="O71" s="7"/>
      <c r="P71" s="80"/>
      <c r="Q71" s="80"/>
      <c r="R71" s="91"/>
      <c r="S71" s="8"/>
      <c r="T71" s="82"/>
      <c r="W71" s="10"/>
      <c r="X71" s="12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</row>
    <row r="72" spans="1:61" ht="56.25" customHeight="1">
      <c r="A72" s="156" t="s">
        <v>91</v>
      </c>
      <c r="B72" s="157" t="s">
        <v>92</v>
      </c>
      <c r="C72" s="156" t="s">
        <v>7</v>
      </c>
      <c r="D72" s="156">
        <v>2</v>
      </c>
      <c r="E72" s="156">
        <v>546.86</v>
      </c>
      <c r="F72" s="156">
        <f t="shared" si="30"/>
        <v>1093.72</v>
      </c>
      <c r="G72" s="156"/>
      <c r="H72" s="156"/>
      <c r="I72" s="156">
        <f t="shared" si="43"/>
        <v>0</v>
      </c>
      <c r="J72" s="156">
        <f t="shared" si="44"/>
        <v>0</v>
      </c>
      <c r="K72" s="156">
        <f t="shared" si="45"/>
        <v>0</v>
      </c>
      <c r="L72" s="156">
        <f t="shared" si="46"/>
        <v>0</v>
      </c>
      <c r="M72" s="80"/>
      <c r="N72" s="81"/>
      <c r="O72" s="7"/>
      <c r="P72" s="80"/>
      <c r="Q72" s="80"/>
      <c r="R72" s="91"/>
      <c r="S72" s="8"/>
      <c r="T72" s="82"/>
      <c r="W72" s="10"/>
      <c r="X72" s="12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</row>
    <row r="73" spans="1:61" ht="42.75">
      <c r="A73" s="156" t="s">
        <v>93</v>
      </c>
      <c r="B73" s="157" t="s">
        <v>94</v>
      </c>
      <c r="C73" s="156" t="s">
        <v>16</v>
      </c>
      <c r="D73" s="156">
        <v>60.17</v>
      </c>
      <c r="E73" s="156">
        <v>483.07</v>
      </c>
      <c r="F73" s="156">
        <f t="shared" si="30"/>
        <v>29066.321899999999</v>
      </c>
      <c r="G73" s="156"/>
      <c r="H73" s="156"/>
      <c r="I73" s="156">
        <f t="shared" si="43"/>
        <v>0</v>
      </c>
      <c r="J73" s="156">
        <f t="shared" si="44"/>
        <v>0</v>
      </c>
      <c r="K73" s="156">
        <f t="shared" si="45"/>
        <v>0</v>
      </c>
      <c r="L73" s="156">
        <f t="shared" si="46"/>
        <v>0</v>
      </c>
      <c r="M73" s="80"/>
      <c r="N73" s="81"/>
      <c r="O73" s="7"/>
      <c r="P73" s="80"/>
      <c r="Q73" s="80"/>
      <c r="R73" s="91"/>
      <c r="S73" s="8"/>
      <c r="T73" s="82"/>
      <c r="W73" s="10"/>
      <c r="X73" s="12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</row>
    <row r="74" spans="1:61" ht="28.5">
      <c r="A74" s="156" t="s">
        <v>95</v>
      </c>
      <c r="B74" s="157" t="s">
        <v>96</v>
      </c>
      <c r="C74" s="156" t="s">
        <v>16</v>
      </c>
      <c r="D74" s="156">
        <v>3</v>
      </c>
      <c r="E74" s="156">
        <v>348.93</v>
      </c>
      <c r="F74" s="156">
        <f t="shared" si="30"/>
        <v>1046.79</v>
      </c>
      <c r="G74" s="156"/>
      <c r="H74" s="156"/>
      <c r="I74" s="156">
        <f t="shared" si="43"/>
        <v>0</v>
      </c>
      <c r="J74" s="156">
        <f t="shared" si="44"/>
        <v>0</v>
      </c>
      <c r="K74" s="156">
        <f t="shared" si="45"/>
        <v>0</v>
      </c>
      <c r="L74" s="156">
        <f t="shared" si="46"/>
        <v>0</v>
      </c>
      <c r="M74" s="80"/>
      <c r="N74" s="81"/>
      <c r="O74" s="7"/>
      <c r="P74" s="80"/>
      <c r="Q74" s="80"/>
      <c r="R74" s="91"/>
      <c r="S74" s="8"/>
      <c r="T74" s="82"/>
      <c r="W74" s="10"/>
      <c r="X74" s="12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</row>
    <row r="75" spans="1:61">
      <c r="A75" s="156" t="s">
        <v>97</v>
      </c>
      <c r="B75" s="157" t="s">
        <v>98</v>
      </c>
      <c r="C75" s="156" t="s">
        <v>16</v>
      </c>
      <c r="D75" s="156">
        <v>67.010000000000005</v>
      </c>
      <c r="E75" s="156">
        <v>348.93</v>
      </c>
      <c r="F75" s="156">
        <f t="shared" si="30"/>
        <v>23381.799300000002</v>
      </c>
      <c r="G75" s="156"/>
      <c r="H75" s="156"/>
      <c r="I75" s="156">
        <f t="shared" si="43"/>
        <v>0</v>
      </c>
      <c r="J75" s="156">
        <f t="shared" si="44"/>
        <v>0</v>
      </c>
      <c r="K75" s="156">
        <f t="shared" si="45"/>
        <v>0</v>
      </c>
      <c r="L75" s="156">
        <f t="shared" si="46"/>
        <v>0</v>
      </c>
      <c r="M75" s="80"/>
      <c r="N75" s="81"/>
      <c r="O75" s="7"/>
      <c r="P75" s="80"/>
      <c r="Q75" s="80"/>
      <c r="R75" s="91"/>
      <c r="S75" s="8"/>
      <c r="T75" s="82"/>
      <c r="W75" s="10"/>
      <c r="X75" s="12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</row>
    <row r="76" spans="1:61" ht="28.5">
      <c r="A76" s="156" t="s">
        <v>99</v>
      </c>
      <c r="B76" s="157" t="s">
        <v>96</v>
      </c>
      <c r="C76" s="156" t="s">
        <v>16</v>
      </c>
      <c r="D76" s="156">
        <v>1.57</v>
      </c>
      <c r="E76" s="156">
        <v>687.84</v>
      </c>
      <c r="F76" s="156">
        <f t="shared" si="30"/>
        <v>1079.9088000000002</v>
      </c>
      <c r="G76" s="156"/>
      <c r="H76" s="156"/>
      <c r="I76" s="156">
        <f t="shared" si="43"/>
        <v>0</v>
      </c>
      <c r="J76" s="156">
        <f t="shared" si="44"/>
        <v>0</v>
      </c>
      <c r="K76" s="156">
        <f t="shared" si="45"/>
        <v>0</v>
      </c>
      <c r="L76" s="156">
        <f t="shared" si="46"/>
        <v>0</v>
      </c>
      <c r="M76" s="80"/>
      <c r="N76" s="81"/>
      <c r="O76" s="7"/>
      <c r="P76" s="80"/>
      <c r="Q76" s="80"/>
      <c r="R76" s="91"/>
      <c r="S76" s="8"/>
      <c r="T76" s="82"/>
      <c r="W76" s="10"/>
      <c r="X76" s="12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</row>
    <row r="77" spans="1:61">
      <c r="A77" s="156" t="s">
        <v>101</v>
      </c>
      <c r="B77" s="157" t="s">
        <v>100</v>
      </c>
      <c r="C77" s="156" t="s">
        <v>7</v>
      </c>
      <c r="D77" s="156">
        <v>4</v>
      </c>
      <c r="E77" s="156">
        <v>266.2</v>
      </c>
      <c r="F77" s="156">
        <f t="shared" si="30"/>
        <v>1064.8</v>
      </c>
      <c r="G77" s="156"/>
      <c r="H77" s="156"/>
      <c r="I77" s="156">
        <f t="shared" si="43"/>
        <v>0</v>
      </c>
      <c r="J77" s="156">
        <f t="shared" si="44"/>
        <v>0</v>
      </c>
      <c r="K77" s="156">
        <f t="shared" si="45"/>
        <v>0</v>
      </c>
      <c r="L77" s="156">
        <f t="shared" si="46"/>
        <v>0</v>
      </c>
      <c r="M77" s="80"/>
      <c r="N77" s="81"/>
      <c r="O77" s="7"/>
      <c r="P77" s="80"/>
      <c r="Q77" s="80"/>
      <c r="R77" s="91"/>
      <c r="S77" s="8"/>
      <c r="T77" s="82"/>
      <c r="W77" s="10"/>
      <c r="X77" s="12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</row>
    <row r="78" spans="1:61">
      <c r="A78" s="156" t="s">
        <v>102</v>
      </c>
      <c r="B78" s="157" t="s">
        <v>103</v>
      </c>
      <c r="C78" s="156" t="s">
        <v>81</v>
      </c>
      <c r="D78" s="156">
        <v>41.59</v>
      </c>
      <c r="E78" s="156">
        <v>101.87</v>
      </c>
      <c r="F78" s="156">
        <f t="shared" si="30"/>
        <v>4236.7733000000007</v>
      </c>
      <c r="G78" s="156"/>
      <c r="H78" s="156"/>
      <c r="I78" s="156">
        <f t="shared" si="43"/>
        <v>0</v>
      </c>
      <c r="J78" s="156">
        <f t="shared" si="44"/>
        <v>0</v>
      </c>
      <c r="K78" s="156">
        <f t="shared" si="45"/>
        <v>0</v>
      </c>
      <c r="L78" s="156">
        <f t="shared" si="46"/>
        <v>0</v>
      </c>
      <c r="M78" s="80"/>
      <c r="N78" s="81"/>
      <c r="O78" s="7"/>
      <c r="P78" s="80"/>
      <c r="Q78" s="80"/>
      <c r="R78" s="91"/>
      <c r="S78" s="8"/>
      <c r="T78" s="82"/>
      <c r="W78" s="10"/>
      <c r="X78" s="12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</row>
    <row r="79" spans="1:61" ht="42.75">
      <c r="A79" s="156" t="s">
        <v>104</v>
      </c>
      <c r="B79" s="157" t="s">
        <v>105</v>
      </c>
      <c r="C79" s="156" t="s">
        <v>7</v>
      </c>
      <c r="D79" s="156">
        <v>20</v>
      </c>
      <c r="E79" s="156">
        <v>96.95</v>
      </c>
      <c r="F79" s="156">
        <f t="shared" si="30"/>
        <v>1939</v>
      </c>
      <c r="G79" s="156"/>
      <c r="H79" s="156"/>
      <c r="I79" s="156">
        <f t="shared" si="43"/>
        <v>0</v>
      </c>
      <c r="J79" s="156">
        <f t="shared" si="44"/>
        <v>0</v>
      </c>
      <c r="K79" s="156">
        <f t="shared" si="45"/>
        <v>0</v>
      </c>
      <c r="L79" s="156">
        <f t="shared" si="46"/>
        <v>0</v>
      </c>
      <c r="M79" s="80"/>
      <c r="N79" s="81"/>
      <c r="O79" s="7"/>
      <c r="P79" s="80"/>
      <c r="Q79" s="80"/>
      <c r="R79" s="91"/>
      <c r="S79" s="8"/>
      <c r="T79" s="82"/>
      <c r="W79" s="10"/>
      <c r="X79" s="12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</row>
    <row r="80" spans="1:61" ht="42.75">
      <c r="A80" s="156" t="s">
        <v>106</v>
      </c>
      <c r="B80" s="157" t="s">
        <v>107</v>
      </c>
      <c r="C80" s="156" t="s">
        <v>7</v>
      </c>
      <c r="D80" s="156">
        <v>2</v>
      </c>
      <c r="E80" s="156">
        <v>59.28</v>
      </c>
      <c r="F80" s="156">
        <f t="shared" si="30"/>
        <v>118.56</v>
      </c>
      <c r="G80" s="156"/>
      <c r="H80" s="156"/>
      <c r="I80" s="156">
        <f t="shared" si="43"/>
        <v>0</v>
      </c>
      <c r="J80" s="156">
        <f t="shared" si="44"/>
        <v>0</v>
      </c>
      <c r="K80" s="156">
        <f t="shared" si="45"/>
        <v>0</v>
      </c>
      <c r="L80" s="156">
        <f t="shared" si="46"/>
        <v>0</v>
      </c>
      <c r="M80" s="80"/>
      <c r="N80" s="81"/>
      <c r="O80" s="7"/>
      <c r="P80" s="80"/>
      <c r="Q80" s="80"/>
      <c r="R80" s="91"/>
      <c r="S80" s="8"/>
      <c r="T80" s="82"/>
      <c r="W80" s="10"/>
      <c r="X80" s="12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</row>
    <row r="81" spans="1:61">
      <c r="A81" s="156"/>
      <c r="B81" s="154"/>
      <c r="C81" s="156"/>
      <c r="D81" s="156"/>
      <c r="E81" s="156"/>
      <c r="F81" s="156"/>
      <c r="G81" s="156"/>
      <c r="H81" s="156"/>
      <c r="I81" s="156"/>
      <c r="J81" s="156"/>
      <c r="K81" s="156"/>
      <c r="L81" s="156"/>
      <c r="M81" s="80"/>
      <c r="N81" s="81"/>
      <c r="O81" s="7"/>
      <c r="P81" s="80"/>
      <c r="Q81" s="80"/>
      <c r="R81" s="91"/>
      <c r="S81" s="8"/>
      <c r="T81" s="82"/>
      <c r="W81" s="10"/>
      <c r="X81" s="12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</row>
    <row r="82" spans="1:61" s="87" customFormat="1">
      <c r="A82" s="164" t="s">
        <v>108</v>
      </c>
      <c r="B82" s="165" t="s">
        <v>3</v>
      </c>
      <c r="C82" s="166"/>
      <c r="D82" s="167"/>
      <c r="E82" s="166"/>
      <c r="F82" s="166">
        <f>SUM(F84:F91)</f>
        <v>50835.063999999998</v>
      </c>
      <c r="G82" s="166"/>
      <c r="H82" s="166"/>
      <c r="I82" s="166"/>
      <c r="J82" s="166">
        <f>SUM(J84:J91)</f>
        <v>0</v>
      </c>
      <c r="K82" s="166">
        <f>SUM(K84:K91)</f>
        <v>0</v>
      </c>
      <c r="L82" s="166">
        <f>SUM(L84:L91)</f>
        <v>0</v>
      </c>
      <c r="M82" s="97"/>
      <c r="N82" s="98"/>
      <c r="O82" s="7"/>
      <c r="P82" s="97"/>
      <c r="Q82" s="97"/>
      <c r="R82" s="79"/>
      <c r="S82" s="16"/>
      <c r="T82" s="82"/>
      <c r="U82" s="14"/>
      <c r="V82" s="14"/>
      <c r="W82" s="84"/>
      <c r="X82" s="83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85"/>
      <c r="AJ82" s="85"/>
      <c r="AK82" s="86"/>
      <c r="AL82" s="86"/>
      <c r="AM82" s="86"/>
      <c r="AN82" s="86"/>
      <c r="AO82" s="86"/>
      <c r="AP82" s="86"/>
      <c r="AQ82" s="86"/>
      <c r="AR82" s="86"/>
      <c r="AS82" s="86"/>
      <c r="AT82" s="86"/>
      <c r="AU82" s="86"/>
      <c r="AV82" s="86"/>
      <c r="AW82" s="86"/>
      <c r="AX82" s="86"/>
      <c r="AY82" s="86"/>
      <c r="AZ82" s="86"/>
      <c r="BA82" s="86"/>
      <c r="BB82" s="86"/>
      <c r="BC82" s="86"/>
      <c r="BD82" s="86"/>
      <c r="BE82" s="86"/>
      <c r="BF82" s="86"/>
      <c r="BG82" s="86"/>
      <c r="BH82" s="86"/>
      <c r="BI82" s="86"/>
    </row>
    <row r="83" spans="1:61">
      <c r="A83" s="156"/>
      <c r="B83" s="154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80"/>
      <c r="N83" s="81"/>
      <c r="O83" s="7"/>
      <c r="P83" s="80"/>
      <c r="Q83" s="80"/>
      <c r="R83" s="91"/>
      <c r="S83" s="8"/>
      <c r="T83" s="82"/>
      <c r="W83" s="10"/>
      <c r="X83" s="12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</row>
    <row r="84" spans="1:61" ht="42.75">
      <c r="A84" s="156" t="s">
        <v>109</v>
      </c>
      <c r="B84" s="157" t="s">
        <v>110</v>
      </c>
      <c r="C84" s="156" t="s">
        <v>16</v>
      </c>
      <c r="D84" s="156">
        <v>453.35</v>
      </c>
      <c r="E84" s="156">
        <v>22.8</v>
      </c>
      <c r="F84" s="156">
        <f t="shared" ref="F84:F91" si="47">D84*E84</f>
        <v>10336.380000000001</v>
      </c>
      <c r="G84" s="156"/>
      <c r="H84" s="156"/>
      <c r="I84" s="156">
        <f t="shared" ref="I84" si="48">G84+H84</f>
        <v>0</v>
      </c>
      <c r="J84" s="156">
        <f t="shared" ref="J84" si="49">E84*G84</f>
        <v>0</v>
      </c>
      <c r="K84" s="156">
        <f t="shared" ref="K84" si="50">H84*E84</f>
        <v>0</v>
      </c>
      <c r="L84" s="156">
        <f t="shared" ref="L84" si="51">J84+K84</f>
        <v>0</v>
      </c>
      <c r="M84" s="80"/>
      <c r="N84" s="81"/>
      <c r="O84" s="7"/>
      <c r="P84" s="80"/>
      <c r="Q84" s="80"/>
      <c r="R84" s="91"/>
      <c r="S84" s="8"/>
      <c r="T84" s="82"/>
      <c r="W84" s="10"/>
      <c r="X84" s="12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</row>
    <row r="85" spans="1:61" ht="42.75">
      <c r="A85" s="156" t="s">
        <v>111</v>
      </c>
      <c r="B85" s="157" t="s">
        <v>112</v>
      </c>
      <c r="C85" s="156" t="s">
        <v>16</v>
      </c>
      <c r="D85" s="156">
        <v>57.8</v>
      </c>
      <c r="E85" s="156">
        <v>48.73</v>
      </c>
      <c r="F85" s="156">
        <f t="shared" si="47"/>
        <v>2816.5939999999996</v>
      </c>
      <c r="G85" s="156"/>
      <c r="H85" s="156"/>
      <c r="I85" s="156">
        <f t="shared" ref="I85:I91" si="52">G85+H85</f>
        <v>0</v>
      </c>
      <c r="J85" s="156">
        <f t="shared" ref="J85:J91" si="53">E85*G85</f>
        <v>0</v>
      </c>
      <c r="K85" s="156">
        <f t="shared" ref="K85:K91" si="54">H85*E85</f>
        <v>0</v>
      </c>
      <c r="L85" s="156">
        <f t="shared" ref="L85:L91" si="55">J85+K85</f>
        <v>0</v>
      </c>
      <c r="M85" s="80"/>
      <c r="N85" s="81"/>
      <c r="O85" s="7"/>
      <c r="P85" s="80"/>
      <c r="Q85" s="80"/>
      <c r="R85" s="91"/>
      <c r="S85" s="8"/>
      <c r="T85" s="82"/>
      <c r="W85" s="10"/>
      <c r="X85" s="9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</row>
    <row r="86" spans="1:61" ht="28.5">
      <c r="A86" s="156" t="s">
        <v>113</v>
      </c>
      <c r="B86" s="157" t="s">
        <v>114</v>
      </c>
      <c r="C86" s="156" t="s">
        <v>16</v>
      </c>
      <c r="D86" s="156">
        <v>511.15</v>
      </c>
      <c r="E86" s="156">
        <v>25.93</v>
      </c>
      <c r="F86" s="156">
        <f t="shared" si="47"/>
        <v>13254.119499999999</v>
      </c>
      <c r="G86" s="156"/>
      <c r="H86" s="156"/>
      <c r="I86" s="156">
        <f t="shared" si="52"/>
        <v>0</v>
      </c>
      <c r="J86" s="156">
        <f t="shared" si="53"/>
        <v>0</v>
      </c>
      <c r="K86" s="156">
        <f t="shared" si="54"/>
        <v>0</v>
      </c>
      <c r="L86" s="156">
        <f t="shared" si="55"/>
        <v>0</v>
      </c>
      <c r="M86" s="80"/>
      <c r="N86" s="81"/>
      <c r="O86" s="7"/>
      <c r="P86" s="80"/>
      <c r="Q86" s="80"/>
      <c r="R86" s="91"/>
      <c r="S86" s="8"/>
      <c r="T86" s="82"/>
      <c r="W86" s="10"/>
      <c r="X86" s="9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</row>
    <row r="87" spans="1:61" ht="42" customHeight="1">
      <c r="A87" s="156" t="s">
        <v>115</v>
      </c>
      <c r="B87" s="157" t="s">
        <v>116</v>
      </c>
      <c r="C87" s="156" t="s">
        <v>6</v>
      </c>
      <c r="D87" s="156">
        <v>70.63</v>
      </c>
      <c r="E87" s="156">
        <v>14.2</v>
      </c>
      <c r="F87" s="156">
        <f t="shared" si="47"/>
        <v>1002.9459999999999</v>
      </c>
      <c r="G87" s="156"/>
      <c r="H87" s="156"/>
      <c r="I87" s="156">
        <f t="shared" si="52"/>
        <v>0</v>
      </c>
      <c r="J87" s="156">
        <f t="shared" si="53"/>
        <v>0</v>
      </c>
      <c r="K87" s="156">
        <f t="shared" si="54"/>
        <v>0</v>
      </c>
      <c r="L87" s="156">
        <f t="shared" si="55"/>
        <v>0</v>
      </c>
      <c r="M87" s="80"/>
      <c r="N87" s="81"/>
      <c r="O87" s="7"/>
      <c r="P87" s="80"/>
      <c r="Q87" s="80"/>
      <c r="R87" s="91"/>
      <c r="S87" s="8"/>
      <c r="T87" s="82"/>
      <c r="W87" s="10"/>
      <c r="X87" s="9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</row>
    <row r="88" spans="1:61" ht="28.5">
      <c r="A88" s="156" t="s">
        <v>117</v>
      </c>
      <c r="B88" s="157" t="s">
        <v>118</v>
      </c>
      <c r="C88" s="156" t="s">
        <v>5</v>
      </c>
      <c r="D88" s="156">
        <v>41.57</v>
      </c>
      <c r="E88" s="156">
        <v>26.11</v>
      </c>
      <c r="F88" s="156">
        <f t="shared" si="47"/>
        <v>1085.3926999999999</v>
      </c>
      <c r="G88" s="156"/>
      <c r="H88" s="156"/>
      <c r="I88" s="156">
        <f t="shared" si="52"/>
        <v>0</v>
      </c>
      <c r="J88" s="156">
        <f t="shared" si="53"/>
        <v>0</v>
      </c>
      <c r="K88" s="156">
        <f t="shared" si="54"/>
        <v>0</v>
      </c>
      <c r="L88" s="156">
        <f t="shared" si="55"/>
        <v>0</v>
      </c>
      <c r="M88" s="80"/>
      <c r="N88" s="81"/>
      <c r="O88" s="7"/>
      <c r="P88" s="80"/>
      <c r="Q88" s="80"/>
      <c r="R88" s="91"/>
      <c r="S88" s="8"/>
      <c r="T88" s="82"/>
      <c r="W88" s="10"/>
      <c r="X88" s="9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</row>
    <row r="89" spans="1:61" ht="28.5">
      <c r="A89" s="156" t="s">
        <v>119</v>
      </c>
      <c r="B89" s="157" t="s">
        <v>120</v>
      </c>
      <c r="C89" s="156" t="s">
        <v>5</v>
      </c>
      <c r="D89" s="156">
        <v>8.7799999999999994</v>
      </c>
      <c r="E89" s="156">
        <v>15.87</v>
      </c>
      <c r="F89" s="156">
        <f t="shared" si="47"/>
        <v>139.33859999999999</v>
      </c>
      <c r="G89" s="156"/>
      <c r="H89" s="156"/>
      <c r="I89" s="156">
        <f t="shared" si="52"/>
        <v>0</v>
      </c>
      <c r="J89" s="156">
        <f t="shared" si="53"/>
        <v>0</v>
      </c>
      <c r="K89" s="156">
        <f t="shared" si="54"/>
        <v>0</v>
      </c>
      <c r="L89" s="156">
        <f t="shared" si="55"/>
        <v>0</v>
      </c>
      <c r="M89" s="80"/>
      <c r="N89" s="81"/>
      <c r="O89" s="7"/>
      <c r="P89" s="80"/>
      <c r="Q89" s="80"/>
      <c r="R89" s="91"/>
      <c r="S89" s="8"/>
      <c r="T89" s="82"/>
      <c r="W89" s="10"/>
      <c r="X89" s="9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</row>
    <row r="90" spans="1:61">
      <c r="A90" s="156" t="s">
        <v>121</v>
      </c>
      <c r="B90" s="157" t="s">
        <v>122</v>
      </c>
      <c r="C90" s="172" t="s">
        <v>16</v>
      </c>
      <c r="D90" s="156">
        <v>8.31</v>
      </c>
      <c r="E90" s="156">
        <v>26.72</v>
      </c>
      <c r="F90" s="156">
        <f t="shared" si="47"/>
        <v>222.04320000000001</v>
      </c>
      <c r="G90" s="156"/>
      <c r="H90" s="156"/>
      <c r="I90" s="156">
        <f t="shared" si="52"/>
        <v>0</v>
      </c>
      <c r="J90" s="156">
        <f t="shared" si="53"/>
        <v>0</v>
      </c>
      <c r="K90" s="156">
        <f t="shared" si="54"/>
        <v>0</v>
      </c>
      <c r="L90" s="156">
        <f t="shared" si="55"/>
        <v>0</v>
      </c>
      <c r="M90" s="80"/>
      <c r="N90" s="81"/>
      <c r="O90" s="7"/>
      <c r="P90" s="80"/>
      <c r="Q90" s="80"/>
      <c r="R90" s="91"/>
      <c r="S90" s="8"/>
      <c r="T90" s="82"/>
      <c r="W90" s="10"/>
      <c r="X90" s="9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</row>
    <row r="91" spans="1:61" s="87" customFormat="1" ht="30.75" customHeight="1">
      <c r="A91" s="156" t="s">
        <v>123</v>
      </c>
      <c r="B91" s="157" t="s">
        <v>124</v>
      </c>
      <c r="C91" s="172" t="s">
        <v>16</v>
      </c>
      <c r="D91" s="155">
        <v>475</v>
      </c>
      <c r="E91" s="155">
        <v>46.27</v>
      </c>
      <c r="F91" s="156">
        <f t="shared" si="47"/>
        <v>21978.25</v>
      </c>
      <c r="G91" s="156"/>
      <c r="H91" s="156"/>
      <c r="I91" s="156">
        <f t="shared" si="52"/>
        <v>0</v>
      </c>
      <c r="J91" s="156">
        <f t="shared" si="53"/>
        <v>0</v>
      </c>
      <c r="K91" s="156">
        <f t="shared" si="54"/>
        <v>0</v>
      </c>
      <c r="L91" s="156">
        <f t="shared" si="55"/>
        <v>0</v>
      </c>
      <c r="M91" s="80"/>
      <c r="N91" s="81"/>
      <c r="O91" s="7"/>
      <c r="P91" s="79"/>
      <c r="Q91" s="79"/>
      <c r="R91" s="79"/>
      <c r="S91" s="16"/>
      <c r="T91" s="82"/>
      <c r="U91" s="14"/>
      <c r="V91" s="14"/>
      <c r="W91" s="84"/>
      <c r="X91" s="83"/>
      <c r="Y91" s="85"/>
      <c r="Z91" s="85"/>
      <c r="AA91" s="85"/>
      <c r="AB91" s="85"/>
      <c r="AC91" s="85"/>
      <c r="AD91" s="85"/>
      <c r="AE91" s="86"/>
      <c r="AF91" s="86"/>
      <c r="AG91" s="86"/>
      <c r="AH91" s="86"/>
      <c r="AI91" s="86"/>
      <c r="AJ91" s="86"/>
      <c r="AK91" s="86"/>
      <c r="AL91" s="86"/>
      <c r="AM91" s="86"/>
      <c r="AN91" s="86"/>
      <c r="AO91" s="86"/>
      <c r="AP91" s="86"/>
      <c r="AQ91" s="86"/>
      <c r="AR91" s="86"/>
      <c r="AS91" s="86"/>
      <c r="AT91" s="86"/>
      <c r="AU91" s="86"/>
      <c r="AV91" s="86"/>
      <c r="AW91" s="86"/>
      <c r="AX91" s="86"/>
      <c r="AY91" s="86"/>
      <c r="AZ91" s="86"/>
      <c r="BA91" s="86"/>
      <c r="BB91" s="86"/>
      <c r="BC91" s="86"/>
      <c r="BD91" s="86"/>
      <c r="BE91" s="86"/>
      <c r="BF91" s="86"/>
      <c r="BG91" s="86"/>
      <c r="BH91" s="86"/>
      <c r="BI91" s="86"/>
    </row>
    <row r="92" spans="1:61">
      <c r="A92" s="156"/>
      <c r="B92" s="154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80"/>
      <c r="N92" s="81"/>
      <c r="O92" s="7"/>
      <c r="P92" s="80"/>
      <c r="Q92" s="80"/>
      <c r="R92" s="91"/>
      <c r="S92" s="8"/>
      <c r="T92" s="82"/>
      <c r="W92" s="10"/>
      <c r="X92" s="9"/>
      <c r="Y92" s="99"/>
      <c r="Z92" s="100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</row>
    <row r="93" spans="1:61" s="87" customFormat="1">
      <c r="A93" s="164" t="s">
        <v>125</v>
      </c>
      <c r="B93" s="165" t="s">
        <v>126</v>
      </c>
      <c r="C93" s="166"/>
      <c r="D93" s="167"/>
      <c r="E93" s="166"/>
      <c r="F93" s="166">
        <f>SUM(F95:F98)</f>
        <v>66961.275599999994</v>
      </c>
      <c r="G93" s="166"/>
      <c r="H93" s="166"/>
      <c r="I93" s="166"/>
      <c r="J93" s="166">
        <f>SUM(J95:J98)</f>
        <v>0</v>
      </c>
      <c r="K93" s="166">
        <f>SUM(K95:K98)</f>
        <v>26318.881800000006</v>
      </c>
      <c r="L93" s="166">
        <f>SUM(L95:L98)</f>
        <v>26318.881800000006</v>
      </c>
      <c r="M93" s="97"/>
      <c r="N93" s="98"/>
      <c r="O93" s="7"/>
      <c r="P93" s="97"/>
      <c r="Q93" s="97"/>
      <c r="R93" s="79"/>
      <c r="S93" s="16"/>
      <c r="T93" s="82"/>
      <c r="U93" s="14"/>
      <c r="V93" s="14"/>
      <c r="W93" s="84"/>
      <c r="X93" s="83"/>
      <c r="Y93" s="85"/>
      <c r="Z93" s="85"/>
      <c r="AA93" s="85"/>
      <c r="AB93" s="85"/>
      <c r="AC93" s="85"/>
      <c r="AD93" s="85"/>
      <c r="AE93" s="85"/>
      <c r="AF93" s="85"/>
      <c r="AG93" s="85"/>
      <c r="AH93" s="85"/>
      <c r="AI93" s="85"/>
      <c r="AJ93" s="85"/>
      <c r="AK93" s="86"/>
      <c r="AL93" s="86"/>
      <c r="AM93" s="86"/>
      <c r="AN93" s="86"/>
      <c r="AO93" s="86"/>
      <c r="AP93" s="86"/>
      <c r="AQ93" s="86"/>
      <c r="AR93" s="86"/>
      <c r="AS93" s="86"/>
      <c r="AT93" s="86"/>
      <c r="AU93" s="86"/>
      <c r="AV93" s="86"/>
      <c r="AW93" s="86"/>
      <c r="AX93" s="86"/>
      <c r="AY93" s="86"/>
      <c r="AZ93" s="86"/>
      <c r="BA93" s="86"/>
      <c r="BB93" s="86"/>
      <c r="BC93" s="86"/>
      <c r="BD93" s="86"/>
      <c r="BE93" s="86"/>
      <c r="BF93" s="86"/>
      <c r="BG93" s="86"/>
      <c r="BH93" s="86"/>
      <c r="BI93" s="86"/>
    </row>
    <row r="94" spans="1:61" s="87" customFormat="1">
      <c r="A94" s="156"/>
      <c r="B94" s="154"/>
      <c r="C94" s="156"/>
      <c r="D94" s="156"/>
      <c r="E94" s="156"/>
      <c r="F94" s="156"/>
      <c r="G94" s="156"/>
      <c r="H94" s="156"/>
      <c r="I94" s="156"/>
      <c r="J94" s="156"/>
      <c r="K94" s="156"/>
      <c r="L94" s="156"/>
      <c r="M94" s="80"/>
      <c r="N94" s="81"/>
      <c r="O94" s="7"/>
      <c r="P94" s="79"/>
      <c r="Q94" s="79"/>
      <c r="R94" s="79"/>
      <c r="S94" s="16"/>
      <c r="T94" s="82"/>
      <c r="U94" s="14"/>
      <c r="V94" s="14"/>
      <c r="W94" s="84"/>
      <c r="X94" s="83"/>
      <c r="Y94" s="85"/>
      <c r="Z94" s="85"/>
      <c r="AA94" s="85"/>
      <c r="AB94" s="85"/>
      <c r="AC94" s="85"/>
      <c r="AD94" s="85"/>
      <c r="AE94" s="85"/>
      <c r="AF94" s="85"/>
      <c r="AG94" s="85"/>
      <c r="AH94" s="85"/>
      <c r="AI94" s="85"/>
      <c r="AJ94" s="85"/>
      <c r="AK94" s="86"/>
      <c r="AL94" s="86"/>
      <c r="AM94" s="86"/>
      <c r="AN94" s="86"/>
      <c r="AO94" s="86"/>
      <c r="AP94" s="86"/>
      <c r="AQ94" s="86"/>
      <c r="AR94" s="86"/>
      <c r="AS94" s="86"/>
      <c r="AT94" s="86"/>
      <c r="AU94" s="86"/>
      <c r="AV94" s="86"/>
      <c r="AW94" s="86"/>
      <c r="AX94" s="86"/>
      <c r="AY94" s="86"/>
      <c r="AZ94" s="86"/>
      <c r="BA94" s="86"/>
      <c r="BB94" s="86"/>
      <c r="BC94" s="86"/>
      <c r="BD94" s="86"/>
      <c r="BE94" s="86"/>
      <c r="BF94" s="86"/>
      <c r="BG94" s="86"/>
      <c r="BH94" s="86"/>
      <c r="BI94" s="86"/>
    </row>
    <row r="95" spans="1:61" ht="42.75">
      <c r="A95" s="156" t="s">
        <v>127</v>
      </c>
      <c r="B95" s="157" t="s">
        <v>128</v>
      </c>
      <c r="C95" s="156" t="s">
        <v>16</v>
      </c>
      <c r="D95" s="156">
        <v>1663.44</v>
      </c>
      <c r="E95" s="156">
        <v>2.92</v>
      </c>
      <c r="F95" s="156">
        <f t="shared" ref="F95:F98" si="56">D95*E95</f>
        <v>4857.2448000000004</v>
      </c>
      <c r="G95" s="156"/>
      <c r="H95" s="156">
        <f>'MEMORIA BM 02'!L221</f>
        <v>1139.8599999999999</v>
      </c>
      <c r="I95" s="156">
        <f t="shared" ref="I95" si="57">G95+H95</f>
        <v>1139.8599999999999</v>
      </c>
      <c r="J95" s="156">
        <f t="shared" ref="J95" si="58">E95*G95</f>
        <v>0</v>
      </c>
      <c r="K95" s="156">
        <f t="shared" ref="K95" si="59">H95*E95</f>
        <v>3328.3911999999996</v>
      </c>
      <c r="L95" s="156">
        <f t="shared" ref="L95" si="60">J95+K95</f>
        <v>3328.3911999999996</v>
      </c>
      <c r="M95" s="80"/>
      <c r="N95" s="81"/>
      <c r="O95" s="7"/>
      <c r="P95" s="80"/>
      <c r="Q95" s="80"/>
      <c r="R95" s="91"/>
      <c r="S95" s="8"/>
      <c r="T95" s="82"/>
      <c r="W95" s="10"/>
      <c r="X95" s="9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</row>
    <row r="96" spans="1:61" ht="57.75" customHeight="1">
      <c r="A96" s="156" t="s">
        <v>129</v>
      </c>
      <c r="B96" s="157" t="s">
        <v>130</v>
      </c>
      <c r="C96" s="156" t="s">
        <v>16</v>
      </c>
      <c r="D96" s="156">
        <v>1146.79</v>
      </c>
      <c r="E96" s="156">
        <v>21.42</v>
      </c>
      <c r="F96" s="156">
        <f t="shared" si="56"/>
        <v>24564.2418</v>
      </c>
      <c r="G96" s="156"/>
      <c r="H96" s="156">
        <f>'MEMORIA BM 02'!L224</f>
        <v>558.5300000000002</v>
      </c>
      <c r="I96" s="156">
        <f t="shared" ref="I96:I98" si="61">G96+H96</f>
        <v>558.5300000000002</v>
      </c>
      <c r="J96" s="156">
        <f t="shared" ref="J96:J98" si="62">E96*G96</f>
        <v>0</v>
      </c>
      <c r="K96" s="156">
        <f t="shared" ref="K96:K98" si="63">H96*E96</f>
        <v>11963.712600000004</v>
      </c>
      <c r="L96" s="156">
        <f t="shared" ref="L96:L98" si="64">J96+K96</f>
        <v>11963.712600000004</v>
      </c>
      <c r="M96" s="80"/>
      <c r="N96" s="81"/>
      <c r="O96" s="7"/>
      <c r="P96" s="80"/>
      <c r="Q96" s="80"/>
      <c r="R96" s="91"/>
      <c r="S96" s="8"/>
      <c r="T96" s="82"/>
      <c r="W96" s="10"/>
      <c r="X96" s="9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</row>
    <row r="97" spans="1:66" ht="57">
      <c r="A97" s="156" t="s">
        <v>131</v>
      </c>
      <c r="B97" s="157" t="s">
        <v>132</v>
      </c>
      <c r="C97" s="156" t="s">
        <v>16</v>
      </c>
      <c r="D97" s="156">
        <v>516.65</v>
      </c>
      <c r="E97" s="156">
        <v>21.4</v>
      </c>
      <c r="F97" s="156">
        <f t="shared" si="56"/>
        <v>11056.31</v>
      </c>
      <c r="G97" s="156"/>
      <c r="H97" s="156">
        <f>'MEMORIA BM 02'!L241</f>
        <v>515.2700000000001</v>
      </c>
      <c r="I97" s="156">
        <f t="shared" si="61"/>
        <v>515.2700000000001</v>
      </c>
      <c r="J97" s="156">
        <f t="shared" si="62"/>
        <v>0</v>
      </c>
      <c r="K97" s="156">
        <f t="shared" si="63"/>
        <v>11026.778000000002</v>
      </c>
      <c r="L97" s="156">
        <f t="shared" si="64"/>
        <v>11026.778000000002</v>
      </c>
      <c r="M97" s="80"/>
      <c r="N97" s="81"/>
      <c r="O97" s="7"/>
      <c r="P97" s="80"/>
      <c r="Q97" s="80"/>
      <c r="R97" s="91"/>
      <c r="S97" s="8"/>
      <c r="T97" s="82"/>
      <c r="W97" s="10"/>
      <c r="X97" s="9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</row>
    <row r="98" spans="1:66" ht="42.75">
      <c r="A98" s="156" t="s">
        <v>133</v>
      </c>
      <c r="B98" s="157" t="s">
        <v>134</v>
      </c>
      <c r="C98" s="156" t="s">
        <v>16</v>
      </c>
      <c r="D98" s="156">
        <v>516.65</v>
      </c>
      <c r="E98" s="156">
        <v>51.26</v>
      </c>
      <c r="F98" s="156">
        <f t="shared" si="56"/>
        <v>26483.478999999999</v>
      </c>
      <c r="G98" s="156"/>
      <c r="H98" s="156"/>
      <c r="I98" s="156">
        <f t="shared" si="61"/>
        <v>0</v>
      </c>
      <c r="J98" s="156">
        <f t="shared" si="62"/>
        <v>0</v>
      </c>
      <c r="K98" s="156">
        <f t="shared" si="63"/>
        <v>0</v>
      </c>
      <c r="L98" s="156">
        <f t="shared" si="64"/>
        <v>0</v>
      </c>
      <c r="M98" s="80"/>
      <c r="N98" s="81"/>
      <c r="O98" s="7"/>
      <c r="P98" s="80"/>
      <c r="Q98" s="80"/>
      <c r="R98" s="91"/>
      <c r="S98" s="8"/>
      <c r="T98" s="82"/>
      <c r="W98" s="10"/>
      <c r="X98" s="9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</row>
    <row r="99" spans="1:66">
      <c r="A99" s="156"/>
      <c r="B99" s="154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80"/>
      <c r="N99" s="81"/>
      <c r="O99" s="7"/>
      <c r="P99" s="80"/>
      <c r="Q99" s="80"/>
      <c r="R99" s="91"/>
      <c r="S99" s="8"/>
      <c r="T99" s="82"/>
      <c r="W99" s="10"/>
      <c r="X99" s="9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</row>
    <row r="100" spans="1:66" s="87" customFormat="1">
      <c r="A100" s="164" t="s">
        <v>135</v>
      </c>
      <c r="B100" s="165" t="s">
        <v>8</v>
      </c>
      <c r="C100" s="166"/>
      <c r="D100" s="167"/>
      <c r="E100" s="166"/>
      <c r="F100" s="166">
        <f>SUM(F102:F109)</f>
        <v>38162.8027</v>
      </c>
      <c r="G100" s="166"/>
      <c r="H100" s="166"/>
      <c r="I100" s="166"/>
      <c r="J100" s="166">
        <f>SUM(J102:J109)</f>
        <v>0</v>
      </c>
      <c r="K100" s="166">
        <f>SUM(K102:K109)</f>
        <v>0</v>
      </c>
      <c r="L100" s="166">
        <f>SUM(L102:L109)</f>
        <v>0</v>
      </c>
      <c r="M100" s="97"/>
      <c r="N100" s="98"/>
      <c r="O100" s="7"/>
      <c r="P100" s="97"/>
      <c r="Q100" s="97"/>
      <c r="R100" s="79"/>
      <c r="S100" s="16"/>
      <c r="T100" s="82"/>
      <c r="U100" s="14"/>
      <c r="V100" s="14"/>
      <c r="W100" s="84"/>
      <c r="X100" s="83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86"/>
      <c r="AL100" s="86"/>
      <c r="AM100" s="86"/>
      <c r="AN100" s="86"/>
      <c r="AO100" s="86"/>
      <c r="AP100" s="86"/>
      <c r="AQ100" s="86"/>
      <c r="AR100" s="86"/>
      <c r="AS100" s="86"/>
      <c r="AT100" s="86"/>
      <c r="AU100" s="86"/>
      <c r="AV100" s="86"/>
      <c r="AW100" s="86"/>
      <c r="AX100" s="86"/>
      <c r="AY100" s="86"/>
      <c r="AZ100" s="86"/>
      <c r="BA100" s="86"/>
      <c r="BB100" s="86"/>
      <c r="BC100" s="86"/>
      <c r="BD100" s="86"/>
      <c r="BE100" s="86"/>
      <c r="BF100" s="86"/>
      <c r="BG100" s="86"/>
      <c r="BH100" s="86"/>
      <c r="BI100" s="86"/>
    </row>
    <row r="101" spans="1:66" s="87" customFormat="1">
      <c r="A101" s="156"/>
      <c r="B101" s="154"/>
      <c r="C101" s="156"/>
      <c r="D101" s="155"/>
      <c r="E101" s="155"/>
      <c r="F101" s="155"/>
      <c r="G101" s="155"/>
      <c r="H101" s="155"/>
      <c r="I101" s="155"/>
      <c r="J101" s="155"/>
      <c r="K101" s="155"/>
      <c r="L101" s="155"/>
      <c r="M101" s="80"/>
      <c r="N101" s="81"/>
      <c r="O101" s="7"/>
      <c r="P101" s="79"/>
      <c r="Q101" s="79"/>
      <c r="R101" s="79"/>
      <c r="S101" s="16"/>
      <c r="T101" s="82"/>
      <c r="U101" s="14"/>
      <c r="V101" s="14"/>
      <c r="W101" s="84"/>
      <c r="X101" s="83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6"/>
      <c r="AJ101" s="86"/>
      <c r="AK101" s="86"/>
      <c r="AL101" s="86"/>
      <c r="AM101" s="86"/>
      <c r="AN101" s="86"/>
      <c r="AO101" s="86"/>
      <c r="AP101" s="86"/>
      <c r="AQ101" s="86"/>
      <c r="AR101" s="86"/>
      <c r="AS101" s="86"/>
      <c r="AT101" s="86"/>
      <c r="AU101" s="86"/>
      <c r="AV101" s="86"/>
      <c r="AW101" s="86"/>
      <c r="AX101" s="86"/>
      <c r="AY101" s="86"/>
      <c r="AZ101" s="86"/>
      <c r="BA101" s="86"/>
      <c r="BB101" s="86"/>
      <c r="BC101" s="86"/>
      <c r="BD101" s="86"/>
      <c r="BE101" s="86"/>
      <c r="BF101" s="86"/>
      <c r="BG101" s="86"/>
      <c r="BH101" s="86"/>
      <c r="BI101" s="86"/>
    </row>
    <row r="102" spans="1:66">
      <c r="A102" s="156" t="s">
        <v>136</v>
      </c>
      <c r="B102" s="157" t="s">
        <v>137</v>
      </c>
      <c r="C102" s="156" t="s">
        <v>16</v>
      </c>
      <c r="D102" s="156">
        <v>1146.79</v>
      </c>
      <c r="E102" s="156">
        <v>1.79</v>
      </c>
      <c r="F102" s="156">
        <f t="shared" ref="F102:F109" si="65">D102*E102</f>
        <v>2052.7541000000001</v>
      </c>
      <c r="G102" s="156"/>
      <c r="H102" s="156"/>
      <c r="I102" s="156">
        <f t="shared" ref="I102" si="66">G102+H102</f>
        <v>0</v>
      </c>
      <c r="J102" s="156">
        <f t="shared" ref="J102" si="67">E102*G102</f>
        <v>0</v>
      </c>
      <c r="K102" s="156">
        <f t="shared" ref="K102" si="68">H102*E102</f>
        <v>0</v>
      </c>
      <c r="L102" s="156">
        <f t="shared" ref="L102" si="69">J102+K102</f>
        <v>0</v>
      </c>
      <c r="M102" s="80"/>
      <c r="N102" s="81"/>
      <c r="O102" s="7"/>
      <c r="P102" s="80"/>
      <c r="Q102" s="80"/>
      <c r="R102" s="91"/>
      <c r="S102" s="8"/>
      <c r="T102" s="82"/>
      <c r="W102" s="10"/>
      <c r="X102" s="9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</row>
    <row r="103" spans="1:66" s="87" customFormat="1" ht="28.5">
      <c r="A103" s="156" t="s">
        <v>138</v>
      </c>
      <c r="B103" s="157" t="s">
        <v>139</v>
      </c>
      <c r="C103" s="156" t="s">
        <v>16</v>
      </c>
      <c r="D103" s="156">
        <v>1146.79</v>
      </c>
      <c r="E103" s="156">
        <v>9.23</v>
      </c>
      <c r="F103" s="156">
        <f t="shared" si="65"/>
        <v>10584.8717</v>
      </c>
      <c r="G103" s="156"/>
      <c r="H103" s="156"/>
      <c r="I103" s="156">
        <f t="shared" ref="I103:I109" si="70">G103+H103</f>
        <v>0</v>
      </c>
      <c r="J103" s="156">
        <f t="shared" ref="J103:J109" si="71">E103*G103</f>
        <v>0</v>
      </c>
      <c r="K103" s="156">
        <f t="shared" ref="K103:K109" si="72">H103*E103</f>
        <v>0</v>
      </c>
      <c r="L103" s="156">
        <f t="shared" ref="L103:L109" si="73">J103+K103</f>
        <v>0</v>
      </c>
      <c r="M103" s="80"/>
      <c r="N103" s="81"/>
      <c r="O103" s="7"/>
      <c r="P103" s="80"/>
      <c r="Q103" s="80"/>
      <c r="R103" s="79"/>
      <c r="S103" s="16"/>
      <c r="T103" s="82"/>
      <c r="U103" s="14"/>
      <c r="V103" s="14"/>
      <c r="W103" s="84"/>
      <c r="X103" s="83"/>
      <c r="Y103" s="85"/>
      <c r="Z103" s="85"/>
      <c r="AA103" s="85"/>
      <c r="AB103" s="85"/>
      <c r="AC103" s="85"/>
      <c r="AD103" s="85"/>
      <c r="AE103" s="85"/>
      <c r="AF103" s="85"/>
      <c r="AG103" s="85"/>
      <c r="AH103" s="85"/>
      <c r="AI103" s="86"/>
      <c r="AJ103" s="86"/>
      <c r="AK103" s="86"/>
      <c r="AL103" s="86"/>
      <c r="AM103" s="86"/>
      <c r="AN103" s="86"/>
      <c r="AO103" s="86"/>
      <c r="AP103" s="86"/>
      <c r="AQ103" s="86"/>
      <c r="AR103" s="86"/>
      <c r="AS103" s="86"/>
      <c r="AT103" s="86"/>
      <c r="AU103" s="86"/>
      <c r="AV103" s="86"/>
      <c r="AW103" s="86"/>
      <c r="AX103" s="86"/>
      <c r="AY103" s="86"/>
      <c r="AZ103" s="86"/>
      <c r="BA103" s="86"/>
      <c r="BB103" s="86"/>
      <c r="BC103" s="86"/>
      <c r="BD103" s="86"/>
      <c r="BE103" s="86"/>
      <c r="BF103" s="86"/>
      <c r="BG103" s="86"/>
      <c r="BH103" s="86"/>
      <c r="BI103" s="86"/>
    </row>
    <row r="104" spans="1:66" s="87" customFormat="1" ht="28.5">
      <c r="A104" s="156" t="s">
        <v>140</v>
      </c>
      <c r="B104" s="157" t="s">
        <v>141</v>
      </c>
      <c r="C104" s="156" t="s">
        <v>16</v>
      </c>
      <c r="D104" s="156">
        <v>358.74</v>
      </c>
      <c r="E104" s="156">
        <v>11.88</v>
      </c>
      <c r="F104" s="156">
        <f t="shared" si="65"/>
        <v>4261.8312000000005</v>
      </c>
      <c r="G104" s="156"/>
      <c r="H104" s="155"/>
      <c r="I104" s="156">
        <f t="shared" si="70"/>
        <v>0</v>
      </c>
      <c r="J104" s="156">
        <f t="shared" si="71"/>
        <v>0</v>
      </c>
      <c r="K104" s="156">
        <f t="shared" si="72"/>
        <v>0</v>
      </c>
      <c r="L104" s="156">
        <f t="shared" si="73"/>
        <v>0</v>
      </c>
      <c r="M104" s="80"/>
      <c r="N104" s="81"/>
      <c r="O104" s="7"/>
      <c r="P104" s="80"/>
      <c r="Q104" s="80"/>
      <c r="R104" s="79"/>
      <c r="S104" s="16"/>
      <c r="T104" s="82"/>
      <c r="U104" s="14"/>
      <c r="V104" s="14"/>
      <c r="W104" s="84"/>
      <c r="X104" s="83"/>
      <c r="Y104" s="85"/>
      <c r="Z104" s="85"/>
      <c r="AA104" s="85"/>
      <c r="AB104" s="85"/>
      <c r="AC104" s="85"/>
      <c r="AD104" s="85"/>
      <c r="AE104" s="85"/>
      <c r="AF104" s="85"/>
      <c r="AG104" s="85"/>
      <c r="AH104" s="85"/>
      <c r="AI104" s="86"/>
      <c r="AJ104" s="86"/>
      <c r="AK104" s="86"/>
      <c r="AL104" s="86"/>
      <c r="AM104" s="86"/>
      <c r="AN104" s="86"/>
      <c r="AO104" s="86"/>
      <c r="AP104" s="86"/>
      <c r="AQ104" s="86"/>
      <c r="AR104" s="86"/>
      <c r="AS104" s="86"/>
      <c r="AT104" s="86"/>
      <c r="AU104" s="86"/>
      <c r="AV104" s="86"/>
      <c r="AW104" s="86"/>
      <c r="AX104" s="86"/>
      <c r="AY104" s="86"/>
      <c r="AZ104" s="86"/>
      <c r="BA104" s="86"/>
      <c r="BB104" s="86"/>
      <c r="BC104" s="86"/>
      <c r="BD104" s="86"/>
      <c r="BE104" s="86"/>
      <c r="BF104" s="86"/>
      <c r="BG104" s="86"/>
      <c r="BH104" s="86"/>
      <c r="BI104" s="86"/>
    </row>
    <row r="105" spans="1:66" s="87" customFormat="1" ht="28.5">
      <c r="A105" s="156" t="s">
        <v>142</v>
      </c>
      <c r="B105" s="157" t="s">
        <v>143</v>
      </c>
      <c r="C105" s="156" t="s">
        <v>16</v>
      </c>
      <c r="D105" s="156">
        <v>358.74</v>
      </c>
      <c r="E105" s="156">
        <v>10.61</v>
      </c>
      <c r="F105" s="156">
        <f t="shared" si="65"/>
        <v>3806.2313999999997</v>
      </c>
      <c r="G105" s="156"/>
      <c r="H105" s="155"/>
      <c r="I105" s="156">
        <f t="shared" si="70"/>
        <v>0</v>
      </c>
      <c r="J105" s="156">
        <f t="shared" si="71"/>
        <v>0</v>
      </c>
      <c r="K105" s="156">
        <f t="shared" si="72"/>
        <v>0</v>
      </c>
      <c r="L105" s="156">
        <f t="shared" si="73"/>
        <v>0</v>
      </c>
      <c r="M105" s="80"/>
      <c r="N105" s="81"/>
      <c r="O105" s="7"/>
      <c r="P105" s="80"/>
      <c r="Q105" s="80"/>
      <c r="R105" s="79"/>
      <c r="S105" s="16"/>
      <c r="T105" s="82"/>
      <c r="U105" s="14"/>
      <c r="V105" s="14"/>
      <c r="W105" s="84"/>
      <c r="X105" s="83"/>
      <c r="Y105" s="85"/>
      <c r="Z105" s="85"/>
      <c r="AA105" s="85"/>
      <c r="AB105" s="85"/>
      <c r="AC105" s="85"/>
      <c r="AD105" s="85"/>
      <c r="AE105" s="85"/>
      <c r="AF105" s="85"/>
      <c r="AG105" s="85"/>
      <c r="AH105" s="85"/>
      <c r="AI105" s="86"/>
      <c r="AJ105" s="86"/>
      <c r="AK105" s="86"/>
      <c r="AL105" s="86"/>
      <c r="AM105" s="86"/>
      <c r="AN105" s="86"/>
      <c r="AO105" s="86"/>
      <c r="AP105" s="86"/>
      <c r="AQ105" s="86"/>
      <c r="AR105" s="86"/>
      <c r="AS105" s="86"/>
      <c r="AT105" s="86"/>
      <c r="AU105" s="86"/>
      <c r="AV105" s="86"/>
      <c r="AW105" s="86"/>
      <c r="AX105" s="86"/>
      <c r="AY105" s="86"/>
      <c r="AZ105" s="86"/>
      <c r="BA105" s="86"/>
      <c r="BB105" s="86"/>
      <c r="BC105" s="86"/>
      <c r="BD105" s="86"/>
      <c r="BE105" s="86"/>
      <c r="BF105" s="86"/>
      <c r="BG105" s="86"/>
      <c r="BH105" s="86"/>
      <c r="BI105" s="86"/>
    </row>
    <row r="106" spans="1:66" s="87" customFormat="1" ht="28.5">
      <c r="A106" s="156" t="s">
        <v>144</v>
      </c>
      <c r="B106" s="157" t="s">
        <v>145</v>
      </c>
      <c r="C106" s="156" t="s">
        <v>16</v>
      </c>
      <c r="D106" s="156">
        <v>81.38</v>
      </c>
      <c r="E106" s="156">
        <v>13.51</v>
      </c>
      <c r="F106" s="156">
        <f t="shared" si="65"/>
        <v>1099.4438</v>
      </c>
      <c r="G106" s="156"/>
      <c r="H106" s="155"/>
      <c r="I106" s="156">
        <f t="shared" si="70"/>
        <v>0</v>
      </c>
      <c r="J106" s="156">
        <f t="shared" si="71"/>
        <v>0</v>
      </c>
      <c r="K106" s="156">
        <f t="shared" si="72"/>
        <v>0</v>
      </c>
      <c r="L106" s="156">
        <f t="shared" si="73"/>
        <v>0</v>
      </c>
      <c r="M106" s="80"/>
      <c r="N106" s="81"/>
      <c r="O106" s="7"/>
      <c r="P106" s="80"/>
      <c r="Q106" s="80"/>
      <c r="R106" s="79"/>
      <c r="S106" s="16"/>
      <c r="T106" s="82"/>
      <c r="U106" s="14"/>
      <c r="V106" s="14"/>
      <c r="W106" s="84"/>
      <c r="X106" s="83"/>
      <c r="Y106" s="85"/>
      <c r="Z106" s="85"/>
      <c r="AA106" s="85"/>
      <c r="AB106" s="85"/>
      <c r="AC106" s="85"/>
      <c r="AD106" s="85"/>
      <c r="AE106" s="85"/>
      <c r="AF106" s="85"/>
      <c r="AG106" s="85"/>
      <c r="AH106" s="85"/>
      <c r="AI106" s="86"/>
      <c r="AJ106" s="86"/>
      <c r="AK106" s="86"/>
      <c r="AL106" s="86"/>
      <c r="AM106" s="86"/>
      <c r="AN106" s="86"/>
      <c r="AO106" s="86"/>
      <c r="AP106" s="86"/>
      <c r="AQ106" s="86"/>
      <c r="AR106" s="86"/>
      <c r="AS106" s="86"/>
      <c r="AT106" s="86"/>
      <c r="AU106" s="86"/>
      <c r="AV106" s="86"/>
      <c r="AW106" s="86"/>
      <c r="AX106" s="86"/>
      <c r="AY106" s="86"/>
      <c r="AZ106" s="86"/>
      <c r="BA106" s="86"/>
      <c r="BB106" s="86"/>
      <c r="BC106" s="86"/>
      <c r="BD106" s="86"/>
      <c r="BE106" s="86"/>
      <c r="BF106" s="86"/>
      <c r="BG106" s="86"/>
      <c r="BH106" s="86"/>
      <c r="BI106" s="86"/>
    </row>
    <row r="107" spans="1:66" s="87" customFormat="1" ht="42.75">
      <c r="A107" s="156" t="s">
        <v>146</v>
      </c>
      <c r="B107" s="157" t="s">
        <v>147</v>
      </c>
      <c r="C107" s="156" t="s">
        <v>16</v>
      </c>
      <c r="D107" s="156">
        <v>83.17</v>
      </c>
      <c r="E107" s="156">
        <v>15.22</v>
      </c>
      <c r="F107" s="156">
        <f t="shared" si="65"/>
        <v>1265.8474000000001</v>
      </c>
      <c r="G107" s="156"/>
      <c r="H107" s="155"/>
      <c r="I107" s="156">
        <f t="shared" si="70"/>
        <v>0</v>
      </c>
      <c r="J107" s="156">
        <f t="shared" si="71"/>
        <v>0</v>
      </c>
      <c r="K107" s="156">
        <f t="shared" si="72"/>
        <v>0</v>
      </c>
      <c r="L107" s="156">
        <f t="shared" si="73"/>
        <v>0</v>
      </c>
      <c r="M107" s="80"/>
      <c r="N107" s="81"/>
      <c r="O107" s="7"/>
      <c r="P107" s="79"/>
      <c r="Q107" s="79"/>
      <c r="R107" s="79"/>
      <c r="S107" s="16"/>
      <c r="T107" s="82"/>
      <c r="U107" s="14"/>
      <c r="V107" s="14"/>
      <c r="W107" s="84"/>
      <c r="X107" s="83"/>
      <c r="Y107" s="85"/>
      <c r="Z107" s="85"/>
      <c r="AA107" s="85"/>
      <c r="AB107" s="85"/>
      <c r="AC107" s="85"/>
      <c r="AD107" s="85"/>
      <c r="AE107" s="85"/>
      <c r="AF107" s="85"/>
      <c r="AG107" s="85"/>
      <c r="AH107" s="85"/>
      <c r="AI107" s="85"/>
      <c r="AJ107" s="85"/>
      <c r="AK107" s="85"/>
      <c r="AL107" s="85"/>
      <c r="AM107" s="85"/>
      <c r="AN107" s="85"/>
      <c r="AO107" s="85"/>
      <c r="AP107" s="85"/>
      <c r="AQ107" s="85"/>
      <c r="AR107" s="85"/>
      <c r="AS107" s="85"/>
      <c r="AT107" s="85"/>
      <c r="AU107" s="85"/>
      <c r="AV107" s="85"/>
      <c r="AW107" s="85"/>
      <c r="AX107" s="85"/>
      <c r="AY107" s="85"/>
      <c r="AZ107" s="85"/>
      <c r="BA107" s="85"/>
      <c r="BB107" s="85"/>
      <c r="BC107" s="85"/>
      <c r="BD107" s="85"/>
      <c r="BE107" s="85"/>
      <c r="BF107" s="85"/>
      <c r="BG107" s="85"/>
      <c r="BH107" s="85"/>
      <c r="BI107" s="85"/>
      <c r="BJ107" s="101"/>
      <c r="BK107" s="101"/>
      <c r="BL107" s="101"/>
      <c r="BM107" s="101"/>
      <c r="BN107" s="101"/>
    </row>
    <row r="108" spans="1:66" s="87" customFormat="1" ht="28.5">
      <c r="A108" s="156" t="s">
        <v>148</v>
      </c>
      <c r="B108" s="157" t="s">
        <v>149</v>
      </c>
      <c r="C108" s="156" t="s">
        <v>16</v>
      </c>
      <c r="D108" s="156">
        <v>1146.79</v>
      </c>
      <c r="E108" s="156">
        <v>8.5</v>
      </c>
      <c r="F108" s="156">
        <f t="shared" si="65"/>
        <v>9747.7150000000001</v>
      </c>
      <c r="G108" s="156"/>
      <c r="H108" s="155"/>
      <c r="I108" s="156">
        <f t="shared" si="70"/>
        <v>0</v>
      </c>
      <c r="J108" s="156">
        <f t="shared" si="71"/>
        <v>0</v>
      </c>
      <c r="K108" s="156">
        <f t="shared" si="72"/>
        <v>0</v>
      </c>
      <c r="L108" s="156">
        <f t="shared" si="73"/>
        <v>0</v>
      </c>
      <c r="M108" s="80"/>
      <c r="N108" s="81"/>
      <c r="O108" s="7"/>
      <c r="P108" s="79"/>
      <c r="Q108" s="79"/>
      <c r="R108" s="79"/>
      <c r="S108" s="16"/>
      <c r="T108" s="82"/>
      <c r="U108" s="14"/>
      <c r="V108" s="14"/>
      <c r="W108" s="84"/>
      <c r="X108" s="83"/>
      <c r="Y108" s="85"/>
      <c r="Z108" s="85"/>
      <c r="AA108" s="85"/>
      <c r="AB108" s="85"/>
      <c r="AC108" s="85"/>
      <c r="AD108" s="85"/>
      <c r="AE108" s="85"/>
      <c r="AF108" s="85"/>
      <c r="AG108" s="85"/>
      <c r="AH108" s="85"/>
      <c r="AI108" s="85"/>
      <c r="AJ108" s="85"/>
      <c r="AK108" s="85"/>
      <c r="AL108" s="85"/>
      <c r="AM108" s="85"/>
      <c r="AN108" s="85"/>
      <c r="AO108" s="85"/>
      <c r="AP108" s="85"/>
      <c r="AQ108" s="85"/>
      <c r="AR108" s="85"/>
      <c r="AS108" s="85"/>
      <c r="AT108" s="85"/>
      <c r="AU108" s="85"/>
      <c r="AV108" s="85"/>
      <c r="AW108" s="85"/>
      <c r="AX108" s="85"/>
      <c r="AY108" s="85"/>
      <c r="AZ108" s="85"/>
      <c r="BA108" s="85"/>
      <c r="BB108" s="85"/>
      <c r="BC108" s="85"/>
      <c r="BD108" s="85"/>
      <c r="BE108" s="85"/>
      <c r="BF108" s="85"/>
      <c r="BG108" s="85"/>
      <c r="BH108" s="85"/>
      <c r="BI108" s="85"/>
      <c r="BJ108" s="101"/>
      <c r="BK108" s="101"/>
      <c r="BL108" s="101"/>
      <c r="BM108" s="101"/>
      <c r="BN108" s="101"/>
    </row>
    <row r="109" spans="1:66" s="87" customFormat="1">
      <c r="A109" s="156" t="s">
        <v>150</v>
      </c>
      <c r="B109" s="158" t="s">
        <v>151</v>
      </c>
      <c r="C109" s="156" t="s">
        <v>16</v>
      </c>
      <c r="D109" s="156">
        <v>766.73</v>
      </c>
      <c r="E109" s="156">
        <v>6.97</v>
      </c>
      <c r="F109" s="156">
        <f t="shared" si="65"/>
        <v>5344.1081000000004</v>
      </c>
      <c r="G109" s="156"/>
      <c r="H109" s="155"/>
      <c r="I109" s="156">
        <f t="shared" si="70"/>
        <v>0</v>
      </c>
      <c r="J109" s="156">
        <f t="shared" si="71"/>
        <v>0</v>
      </c>
      <c r="K109" s="156">
        <f t="shared" si="72"/>
        <v>0</v>
      </c>
      <c r="L109" s="156">
        <f t="shared" si="73"/>
        <v>0</v>
      </c>
      <c r="M109" s="80"/>
      <c r="N109" s="81"/>
      <c r="O109" s="7"/>
      <c r="P109" s="79"/>
      <c r="Q109" s="79"/>
      <c r="R109" s="79"/>
      <c r="S109" s="16"/>
      <c r="T109" s="82"/>
      <c r="U109" s="14"/>
      <c r="V109" s="14"/>
      <c r="W109" s="84"/>
      <c r="X109" s="83"/>
      <c r="Y109" s="85"/>
      <c r="Z109" s="85"/>
      <c r="AA109" s="85"/>
      <c r="AB109" s="85"/>
      <c r="AC109" s="85"/>
      <c r="AD109" s="85"/>
      <c r="AE109" s="85"/>
      <c r="AF109" s="85"/>
      <c r="AG109" s="85"/>
      <c r="AH109" s="85"/>
      <c r="AI109" s="85"/>
      <c r="AJ109" s="85"/>
      <c r="AK109" s="85"/>
      <c r="AL109" s="85"/>
      <c r="AM109" s="85"/>
      <c r="AN109" s="85"/>
      <c r="AO109" s="85"/>
      <c r="AP109" s="85"/>
      <c r="AQ109" s="85"/>
      <c r="AR109" s="85"/>
      <c r="AS109" s="85"/>
      <c r="AT109" s="85"/>
      <c r="AU109" s="85"/>
      <c r="AV109" s="85"/>
      <c r="AW109" s="85"/>
      <c r="AX109" s="85"/>
      <c r="AY109" s="85"/>
      <c r="AZ109" s="85"/>
      <c r="BA109" s="85"/>
      <c r="BB109" s="85"/>
      <c r="BC109" s="85"/>
      <c r="BD109" s="85"/>
      <c r="BE109" s="85"/>
      <c r="BF109" s="85"/>
      <c r="BG109" s="85"/>
      <c r="BH109" s="85"/>
      <c r="BI109" s="85"/>
      <c r="BJ109" s="101"/>
      <c r="BK109" s="101"/>
      <c r="BL109" s="101"/>
      <c r="BM109" s="101"/>
      <c r="BN109" s="101"/>
    </row>
    <row r="110" spans="1:66" s="87" customFormat="1">
      <c r="A110" s="156"/>
      <c r="B110" s="154"/>
      <c r="C110" s="156"/>
      <c r="D110" s="156"/>
      <c r="E110" s="156"/>
      <c r="F110" s="156"/>
      <c r="G110" s="156"/>
      <c r="H110" s="155"/>
      <c r="I110" s="156"/>
      <c r="J110" s="156"/>
      <c r="K110" s="156"/>
      <c r="L110" s="156"/>
      <c r="M110" s="80"/>
      <c r="N110" s="81"/>
      <c r="O110" s="7"/>
      <c r="P110" s="79"/>
      <c r="Q110" s="79"/>
      <c r="R110" s="79"/>
      <c r="S110" s="16"/>
      <c r="T110" s="82"/>
      <c r="U110" s="14"/>
      <c r="V110" s="14"/>
      <c r="W110" s="84"/>
      <c r="X110" s="83"/>
      <c r="Y110" s="85"/>
      <c r="Z110" s="85"/>
      <c r="AA110" s="85"/>
      <c r="AB110" s="85"/>
      <c r="AC110" s="85"/>
      <c r="AD110" s="85"/>
      <c r="AE110" s="85"/>
      <c r="AF110" s="85"/>
      <c r="AG110" s="85"/>
      <c r="AH110" s="85"/>
      <c r="AI110" s="85"/>
      <c r="AJ110" s="85"/>
      <c r="AK110" s="85"/>
      <c r="AL110" s="85"/>
      <c r="AM110" s="85"/>
      <c r="AN110" s="85"/>
      <c r="AO110" s="85"/>
      <c r="AP110" s="85"/>
      <c r="AQ110" s="85"/>
      <c r="AR110" s="85"/>
      <c r="AS110" s="85"/>
      <c r="AT110" s="85"/>
      <c r="AU110" s="85"/>
      <c r="AV110" s="85"/>
      <c r="AW110" s="85"/>
      <c r="AX110" s="85"/>
      <c r="AY110" s="85"/>
      <c r="AZ110" s="85"/>
      <c r="BA110" s="85"/>
      <c r="BB110" s="85"/>
      <c r="BC110" s="85"/>
      <c r="BD110" s="85"/>
      <c r="BE110" s="85"/>
      <c r="BF110" s="85"/>
      <c r="BG110" s="85"/>
      <c r="BH110" s="85"/>
      <c r="BI110" s="85"/>
      <c r="BJ110" s="101"/>
      <c r="BK110" s="101"/>
      <c r="BL110" s="101"/>
      <c r="BM110" s="101"/>
      <c r="BN110" s="101"/>
    </row>
    <row r="111" spans="1:66" s="87" customFormat="1">
      <c r="A111" s="164" t="s">
        <v>152</v>
      </c>
      <c r="B111" s="165" t="s">
        <v>4</v>
      </c>
      <c r="C111" s="166"/>
      <c r="D111" s="167"/>
      <c r="E111" s="166"/>
      <c r="F111" s="166">
        <f>SUM(F113:F120)</f>
        <v>38334.375400000004</v>
      </c>
      <c r="G111" s="166"/>
      <c r="H111" s="166"/>
      <c r="I111" s="166"/>
      <c r="J111" s="166">
        <f>SUM(J113:J120)</f>
        <v>2074.1025</v>
      </c>
      <c r="K111" s="166">
        <f>SUM(K113:K120)</f>
        <v>4038.110000000001</v>
      </c>
      <c r="L111" s="166">
        <f>SUM(L113:L120)</f>
        <v>6112.2125000000015</v>
      </c>
      <c r="M111" s="97"/>
      <c r="N111" s="98"/>
      <c r="O111" s="7"/>
      <c r="P111" s="97"/>
      <c r="Q111" s="97"/>
      <c r="R111" s="79"/>
      <c r="S111" s="16"/>
      <c r="T111" s="82"/>
      <c r="U111" s="14"/>
      <c r="V111" s="14"/>
      <c r="W111" s="84"/>
      <c r="X111" s="83"/>
      <c r="Y111" s="85"/>
      <c r="Z111" s="85"/>
      <c r="AA111" s="85"/>
      <c r="AB111" s="85"/>
      <c r="AC111" s="85"/>
      <c r="AD111" s="85"/>
      <c r="AE111" s="85"/>
      <c r="AF111" s="85"/>
      <c r="AG111" s="85"/>
      <c r="AH111" s="85"/>
      <c r="AI111" s="85"/>
      <c r="AJ111" s="85"/>
      <c r="AK111" s="86"/>
      <c r="AL111" s="86"/>
      <c r="AM111" s="86"/>
      <c r="AN111" s="86"/>
      <c r="AO111" s="86"/>
      <c r="AP111" s="86"/>
      <c r="AQ111" s="86"/>
      <c r="AR111" s="86"/>
      <c r="AS111" s="86"/>
      <c r="AT111" s="86"/>
      <c r="AU111" s="86"/>
      <c r="AV111" s="86"/>
      <c r="AW111" s="86"/>
      <c r="AX111" s="86"/>
      <c r="AY111" s="86"/>
      <c r="AZ111" s="86"/>
      <c r="BA111" s="86"/>
      <c r="BB111" s="86"/>
      <c r="BC111" s="86"/>
      <c r="BD111" s="86"/>
      <c r="BE111" s="86"/>
      <c r="BF111" s="86"/>
      <c r="BG111" s="86"/>
      <c r="BH111" s="86"/>
      <c r="BI111" s="86"/>
    </row>
    <row r="112" spans="1:66" s="87" customFormat="1">
      <c r="A112" s="173"/>
      <c r="B112" s="154"/>
      <c r="C112" s="156"/>
      <c r="D112" s="155"/>
      <c r="E112" s="155"/>
      <c r="F112" s="155"/>
      <c r="G112" s="155"/>
      <c r="H112" s="155"/>
      <c r="I112" s="155"/>
      <c r="J112" s="155"/>
      <c r="K112" s="155"/>
      <c r="L112" s="155"/>
      <c r="M112" s="80"/>
      <c r="N112" s="81"/>
      <c r="O112" s="7"/>
      <c r="P112" s="79"/>
      <c r="Q112" s="79"/>
      <c r="R112" s="79"/>
      <c r="S112" s="16"/>
      <c r="T112" s="82"/>
      <c r="U112" s="14"/>
      <c r="V112" s="14"/>
      <c r="W112" s="84"/>
      <c r="X112" s="83"/>
      <c r="Y112" s="85"/>
      <c r="Z112" s="85"/>
      <c r="AA112" s="85"/>
      <c r="AB112" s="85"/>
      <c r="AC112" s="85"/>
      <c r="AD112" s="85"/>
      <c r="AE112" s="85"/>
      <c r="AF112" s="85"/>
      <c r="AG112" s="85"/>
      <c r="AH112" s="85"/>
      <c r="AI112" s="85"/>
      <c r="AJ112" s="85"/>
      <c r="AK112" s="85"/>
      <c r="AL112" s="85"/>
      <c r="AM112" s="85"/>
      <c r="AN112" s="85"/>
      <c r="AO112" s="85"/>
      <c r="AP112" s="85"/>
      <c r="AQ112" s="85"/>
      <c r="AR112" s="85"/>
      <c r="AS112" s="85"/>
      <c r="AT112" s="85"/>
      <c r="AU112" s="85"/>
      <c r="AV112" s="85"/>
      <c r="AW112" s="85"/>
      <c r="AX112" s="85"/>
      <c r="AY112" s="85"/>
      <c r="AZ112" s="85"/>
      <c r="BA112" s="85"/>
      <c r="BB112" s="85"/>
      <c r="BC112" s="85"/>
      <c r="BD112" s="85"/>
      <c r="BE112" s="85"/>
      <c r="BF112" s="85"/>
      <c r="BG112" s="85"/>
      <c r="BH112" s="85"/>
      <c r="BI112" s="85"/>
      <c r="BJ112" s="101"/>
      <c r="BK112" s="101"/>
      <c r="BL112" s="101"/>
      <c r="BM112" s="101"/>
      <c r="BN112" s="101"/>
    </row>
    <row r="113" spans="1:66" s="87" customFormat="1" ht="28.5">
      <c r="A113" s="156" t="s">
        <v>153</v>
      </c>
      <c r="B113" s="157" t="s">
        <v>154</v>
      </c>
      <c r="C113" s="156" t="s">
        <v>16</v>
      </c>
      <c r="D113" s="156">
        <v>427.65</v>
      </c>
      <c r="E113" s="156">
        <v>19.399999999999999</v>
      </c>
      <c r="F113" s="156">
        <f t="shared" ref="F113:F120" si="74">D113*E113</f>
        <v>8296.41</v>
      </c>
      <c r="G113" s="156">
        <v>106.91249999999999</v>
      </c>
      <c r="H113" s="155">
        <f>'MEMORIA BM 02'!L290</f>
        <v>208.15000000000006</v>
      </c>
      <c r="I113" s="156">
        <f t="shared" ref="I113" si="75">G113+H113</f>
        <v>315.06250000000006</v>
      </c>
      <c r="J113" s="156">
        <f t="shared" ref="J113" si="76">E113*G113</f>
        <v>2074.1025</v>
      </c>
      <c r="K113" s="156">
        <f t="shared" ref="K113" si="77">H113*E113</f>
        <v>4038.110000000001</v>
      </c>
      <c r="L113" s="156">
        <f t="shared" ref="L113" si="78">J113+K113</f>
        <v>6112.2125000000015</v>
      </c>
      <c r="M113" s="80"/>
      <c r="N113" s="81"/>
      <c r="O113" s="7"/>
      <c r="P113" s="79"/>
      <c r="Q113" s="79"/>
      <c r="R113" s="79"/>
      <c r="S113" s="16"/>
      <c r="T113" s="82"/>
      <c r="U113" s="14"/>
      <c r="V113" s="14"/>
      <c r="W113" s="84"/>
      <c r="X113" s="83"/>
      <c r="Y113" s="85"/>
      <c r="Z113" s="85"/>
      <c r="AA113" s="85"/>
      <c r="AB113" s="85"/>
      <c r="AC113" s="85"/>
      <c r="AD113" s="85"/>
      <c r="AE113" s="85"/>
      <c r="AF113" s="85"/>
      <c r="AG113" s="85"/>
      <c r="AH113" s="85"/>
      <c r="AI113" s="85"/>
      <c r="AJ113" s="85"/>
      <c r="AK113" s="85"/>
      <c r="AL113" s="85"/>
      <c r="AM113" s="85"/>
      <c r="AN113" s="85"/>
      <c r="AO113" s="85"/>
      <c r="AP113" s="85"/>
      <c r="AQ113" s="85"/>
      <c r="AR113" s="85"/>
      <c r="AS113" s="85"/>
      <c r="AT113" s="85"/>
      <c r="AU113" s="85"/>
      <c r="AV113" s="85"/>
      <c r="AW113" s="85"/>
      <c r="AX113" s="85"/>
      <c r="AY113" s="85"/>
      <c r="AZ113" s="85"/>
      <c r="BA113" s="85"/>
      <c r="BB113" s="85"/>
      <c r="BC113" s="85"/>
      <c r="BD113" s="85"/>
      <c r="BE113" s="85"/>
      <c r="BF113" s="85"/>
      <c r="BG113" s="85"/>
      <c r="BH113" s="85"/>
      <c r="BI113" s="85"/>
      <c r="BJ113" s="101"/>
      <c r="BK113" s="101"/>
      <c r="BL113" s="101"/>
      <c r="BM113" s="101"/>
      <c r="BN113" s="101"/>
    </row>
    <row r="114" spans="1:66" s="87" customFormat="1">
      <c r="A114" s="156" t="s">
        <v>155</v>
      </c>
      <c r="B114" s="157" t="s">
        <v>156</v>
      </c>
      <c r="C114" s="156" t="s">
        <v>16</v>
      </c>
      <c r="D114" s="156">
        <v>427.65</v>
      </c>
      <c r="E114" s="156">
        <v>18.36</v>
      </c>
      <c r="F114" s="156">
        <f t="shared" si="74"/>
        <v>7851.6539999999995</v>
      </c>
      <c r="G114" s="156"/>
      <c r="H114" s="155"/>
      <c r="I114" s="156">
        <f t="shared" ref="I114:I120" si="79">G114+H114</f>
        <v>0</v>
      </c>
      <c r="J114" s="156">
        <f t="shared" ref="J114:J120" si="80">E114*G114</f>
        <v>0</v>
      </c>
      <c r="K114" s="156">
        <f t="shared" ref="K114:K120" si="81">H114*E114</f>
        <v>0</v>
      </c>
      <c r="L114" s="156">
        <f t="shared" ref="L114:L120" si="82">J114+K114</f>
        <v>0</v>
      </c>
      <c r="M114" s="80"/>
      <c r="N114" s="81"/>
      <c r="O114" s="7"/>
      <c r="P114" s="79"/>
      <c r="Q114" s="79"/>
      <c r="R114" s="79"/>
      <c r="S114" s="16"/>
      <c r="T114" s="82"/>
      <c r="U114" s="14"/>
      <c r="V114" s="14"/>
      <c r="W114" s="84"/>
      <c r="X114" s="83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85"/>
      <c r="AL114" s="85"/>
      <c r="AM114" s="85"/>
      <c r="AN114" s="85"/>
      <c r="AO114" s="85"/>
      <c r="AP114" s="85"/>
      <c r="AQ114" s="85"/>
      <c r="AR114" s="85"/>
      <c r="AS114" s="85"/>
      <c r="AT114" s="85"/>
      <c r="AU114" s="85"/>
      <c r="AV114" s="85"/>
      <c r="AW114" s="85"/>
      <c r="AX114" s="85"/>
      <c r="AY114" s="85"/>
      <c r="AZ114" s="85"/>
      <c r="BA114" s="85"/>
      <c r="BB114" s="85"/>
      <c r="BC114" s="85"/>
      <c r="BD114" s="85"/>
      <c r="BE114" s="85"/>
      <c r="BF114" s="85"/>
      <c r="BG114" s="85"/>
      <c r="BH114" s="85"/>
      <c r="BI114" s="85"/>
      <c r="BJ114" s="101"/>
      <c r="BK114" s="101"/>
      <c r="BL114" s="101"/>
      <c r="BM114" s="101"/>
      <c r="BN114" s="101"/>
    </row>
    <row r="115" spans="1:66" s="87" customFormat="1" ht="42.75">
      <c r="A115" s="156" t="s">
        <v>157</v>
      </c>
      <c r="B115" s="157" t="s">
        <v>158</v>
      </c>
      <c r="C115" s="156" t="s">
        <v>16</v>
      </c>
      <c r="D115" s="156">
        <v>45.74</v>
      </c>
      <c r="E115" s="156">
        <v>46.2</v>
      </c>
      <c r="F115" s="156">
        <f t="shared" si="74"/>
        <v>2113.1880000000001</v>
      </c>
      <c r="G115" s="156"/>
      <c r="H115" s="155"/>
      <c r="I115" s="156">
        <f t="shared" si="79"/>
        <v>0</v>
      </c>
      <c r="J115" s="156">
        <f t="shared" si="80"/>
        <v>0</v>
      </c>
      <c r="K115" s="156">
        <f t="shared" si="81"/>
        <v>0</v>
      </c>
      <c r="L115" s="156">
        <f t="shared" si="82"/>
        <v>0</v>
      </c>
      <c r="M115" s="80"/>
      <c r="N115" s="81"/>
      <c r="O115" s="7"/>
      <c r="P115" s="79"/>
      <c r="Q115" s="79"/>
      <c r="R115" s="79"/>
      <c r="S115" s="16"/>
      <c r="T115" s="82"/>
      <c r="U115" s="14"/>
      <c r="V115" s="14"/>
      <c r="W115" s="84"/>
      <c r="X115" s="83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  <c r="AJ115" s="85"/>
      <c r="AK115" s="85"/>
      <c r="AL115" s="85"/>
      <c r="AM115" s="85"/>
      <c r="AN115" s="85"/>
      <c r="AO115" s="85"/>
      <c r="AP115" s="85"/>
      <c r="AQ115" s="85"/>
      <c r="AR115" s="85"/>
      <c r="AS115" s="85"/>
      <c r="AT115" s="85"/>
      <c r="AU115" s="85"/>
      <c r="AV115" s="85"/>
      <c r="AW115" s="85"/>
      <c r="AX115" s="85"/>
      <c r="AY115" s="85"/>
      <c r="AZ115" s="85"/>
      <c r="BA115" s="85"/>
      <c r="BB115" s="85"/>
      <c r="BC115" s="85"/>
      <c r="BD115" s="85"/>
      <c r="BE115" s="85"/>
      <c r="BF115" s="85"/>
      <c r="BG115" s="85"/>
      <c r="BH115" s="85"/>
      <c r="BI115" s="85"/>
      <c r="BJ115" s="101"/>
      <c r="BK115" s="101"/>
      <c r="BL115" s="101"/>
      <c r="BM115" s="101"/>
      <c r="BN115" s="101"/>
    </row>
    <row r="116" spans="1:66" s="87" customFormat="1" ht="28.5">
      <c r="A116" s="156" t="s">
        <v>159</v>
      </c>
      <c r="B116" s="157" t="s">
        <v>160</v>
      </c>
      <c r="C116" s="156" t="s">
        <v>16</v>
      </c>
      <c r="D116" s="156">
        <v>381.91</v>
      </c>
      <c r="E116" s="156">
        <v>24.63</v>
      </c>
      <c r="F116" s="156">
        <f t="shared" si="74"/>
        <v>9406.4433000000008</v>
      </c>
      <c r="G116" s="156"/>
      <c r="H116" s="155"/>
      <c r="I116" s="156">
        <f t="shared" si="79"/>
        <v>0</v>
      </c>
      <c r="J116" s="156">
        <f t="shared" si="80"/>
        <v>0</v>
      </c>
      <c r="K116" s="156">
        <f t="shared" si="81"/>
        <v>0</v>
      </c>
      <c r="L116" s="156">
        <f t="shared" si="82"/>
        <v>0</v>
      </c>
      <c r="M116" s="80"/>
      <c r="N116" s="81"/>
      <c r="O116" s="7"/>
      <c r="P116" s="79"/>
      <c r="Q116" s="79"/>
      <c r="R116" s="79"/>
      <c r="S116" s="16"/>
      <c r="T116" s="82"/>
      <c r="U116" s="14"/>
      <c r="V116" s="14"/>
      <c r="W116" s="84"/>
      <c r="X116" s="83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85"/>
      <c r="AQ116" s="85"/>
      <c r="AR116" s="85"/>
      <c r="AS116" s="85"/>
      <c r="AT116" s="85"/>
      <c r="AU116" s="85"/>
      <c r="AV116" s="85"/>
      <c r="AW116" s="85"/>
      <c r="AX116" s="85"/>
      <c r="AY116" s="85"/>
      <c r="AZ116" s="85"/>
      <c r="BA116" s="85"/>
      <c r="BB116" s="85"/>
      <c r="BC116" s="85"/>
      <c r="BD116" s="85"/>
      <c r="BE116" s="85"/>
      <c r="BF116" s="85"/>
      <c r="BG116" s="85"/>
      <c r="BH116" s="85"/>
      <c r="BI116" s="85"/>
      <c r="BJ116" s="101"/>
      <c r="BK116" s="101"/>
      <c r="BL116" s="101"/>
      <c r="BM116" s="101"/>
      <c r="BN116" s="101"/>
    </row>
    <row r="117" spans="1:66" s="87" customFormat="1" ht="42" customHeight="1">
      <c r="A117" s="156" t="s">
        <v>161</v>
      </c>
      <c r="B117" s="157" t="s">
        <v>162</v>
      </c>
      <c r="C117" s="156" t="s">
        <v>16</v>
      </c>
      <c r="D117" s="156">
        <v>99.37</v>
      </c>
      <c r="E117" s="156">
        <v>59.23</v>
      </c>
      <c r="F117" s="156">
        <f t="shared" si="74"/>
        <v>5885.6850999999997</v>
      </c>
      <c r="G117" s="156"/>
      <c r="H117" s="155"/>
      <c r="I117" s="156">
        <f t="shared" si="79"/>
        <v>0</v>
      </c>
      <c r="J117" s="156">
        <f t="shared" si="80"/>
        <v>0</v>
      </c>
      <c r="K117" s="156">
        <f t="shared" si="81"/>
        <v>0</v>
      </c>
      <c r="L117" s="156">
        <f t="shared" si="82"/>
        <v>0</v>
      </c>
      <c r="M117" s="80"/>
      <c r="N117" s="81"/>
      <c r="O117" s="7"/>
      <c r="P117" s="79"/>
      <c r="Q117" s="79"/>
      <c r="R117" s="79"/>
      <c r="S117" s="16"/>
      <c r="T117" s="82"/>
      <c r="U117" s="14"/>
      <c r="V117" s="14"/>
      <c r="W117" s="84"/>
      <c r="X117" s="83"/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85"/>
      <c r="AJ117" s="85"/>
      <c r="AK117" s="85"/>
      <c r="AL117" s="85"/>
      <c r="AM117" s="85"/>
      <c r="AN117" s="85"/>
      <c r="AO117" s="85"/>
      <c r="AP117" s="85"/>
      <c r="AQ117" s="85"/>
      <c r="AR117" s="85"/>
      <c r="AS117" s="85"/>
      <c r="AT117" s="85"/>
      <c r="AU117" s="85"/>
      <c r="AV117" s="85"/>
      <c r="AW117" s="85"/>
      <c r="AX117" s="85"/>
      <c r="AY117" s="85"/>
      <c r="AZ117" s="85"/>
      <c r="BA117" s="85"/>
      <c r="BB117" s="85"/>
      <c r="BC117" s="85"/>
      <c r="BD117" s="85"/>
      <c r="BE117" s="85"/>
      <c r="BF117" s="85"/>
      <c r="BG117" s="85"/>
      <c r="BH117" s="85"/>
      <c r="BI117" s="85"/>
      <c r="BJ117" s="101"/>
      <c r="BK117" s="101"/>
      <c r="BL117" s="101"/>
      <c r="BM117" s="101"/>
      <c r="BN117" s="101"/>
    </row>
    <row r="118" spans="1:66" s="87" customFormat="1" ht="42.75">
      <c r="A118" s="156" t="s">
        <v>163</v>
      </c>
      <c r="B118" s="157" t="s">
        <v>162</v>
      </c>
      <c r="C118" s="156" t="s">
        <v>16</v>
      </c>
      <c r="D118" s="156">
        <v>6.5</v>
      </c>
      <c r="E118" s="156">
        <v>59.23</v>
      </c>
      <c r="F118" s="156">
        <f t="shared" si="74"/>
        <v>384.995</v>
      </c>
      <c r="G118" s="156"/>
      <c r="H118" s="155"/>
      <c r="I118" s="156">
        <f t="shared" si="79"/>
        <v>0</v>
      </c>
      <c r="J118" s="156">
        <f t="shared" si="80"/>
        <v>0</v>
      </c>
      <c r="K118" s="156">
        <f t="shared" si="81"/>
        <v>0</v>
      </c>
      <c r="L118" s="156">
        <f t="shared" si="82"/>
        <v>0</v>
      </c>
      <c r="M118" s="80"/>
      <c r="N118" s="81"/>
      <c r="O118" s="7"/>
      <c r="P118" s="79"/>
      <c r="Q118" s="79"/>
      <c r="R118" s="79"/>
      <c r="S118" s="16"/>
      <c r="T118" s="82"/>
      <c r="U118" s="14"/>
      <c r="V118" s="14"/>
      <c r="W118" s="84"/>
      <c r="X118" s="83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5"/>
      <c r="AJ118" s="85"/>
      <c r="AK118" s="85"/>
      <c r="AL118" s="85"/>
      <c r="AM118" s="85"/>
      <c r="AN118" s="85"/>
      <c r="AO118" s="85"/>
      <c r="AP118" s="85"/>
      <c r="AQ118" s="85"/>
      <c r="AR118" s="85"/>
      <c r="AS118" s="85"/>
      <c r="AT118" s="85"/>
      <c r="AU118" s="85"/>
      <c r="AV118" s="85"/>
      <c r="AW118" s="85"/>
      <c r="AX118" s="85"/>
      <c r="AY118" s="85"/>
      <c r="AZ118" s="85"/>
      <c r="BA118" s="85"/>
      <c r="BB118" s="85"/>
      <c r="BC118" s="85"/>
      <c r="BD118" s="85"/>
      <c r="BE118" s="85"/>
      <c r="BF118" s="85"/>
      <c r="BG118" s="85"/>
      <c r="BH118" s="85"/>
      <c r="BI118" s="85"/>
      <c r="BJ118" s="101"/>
      <c r="BK118" s="101"/>
      <c r="BL118" s="101"/>
      <c r="BM118" s="101"/>
      <c r="BN118" s="101"/>
    </row>
    <row r="119" spans="1:66" s="87" customFormat="1" ht="28.5">
      <c r="A119" s="156" t="s">
        <v>164</v>
      </c>
      <c r="B119" s="157" t="s">
        <v>165</v>
      </c>
      <c r="C119" s="156" t="s">
        <v>16</v>
      </c>
      <c r="D119" s="156">
        <v>101</v>
      </c>
      <c r="E119" s="156">
        <v>40.619999999999997</v>
      </c>
      <c r="F119" s="156">
        <f t="shared" si="74"/>
        <v>4102.62</v>
      </c>
      <c r="G119" s="156"/>
      <c r="H119" s="155"/>
      <c r="I119" s="156">
        <f t="shared" si="79"/>
        <v>0</v>
      </c>
      <c r="J119" s="156">
        <f t="shared" si="80"/>
        <v>0</v>
      </c>
      <c r="K119" s="156">
        <f t="shared" si="81"/>
        <v>0</v>
      </c>
      <c r="L119" s="156">
        <f t="shared" si="82"/>
        <v>0</v>
      </c>
      <c r="M119" s="80"/>
      <c r="N119" s="81"/>
      <c r="O119" s="7"/>
      <c r="P119" s="79"/>
      <c r="Q119" s="79"/>
      <c r="R119" s="79"/>
      <c r="S119" s="16"/>
      <c r="T119" s="82"/>
      <c r="U119" s="14"/>
      <c r="V119" s="14"/>
      <c r="W119" s="84"/>
      <c r="X119" s="83"/>
      <c r="Y119" s="85"/>
      <c r="Z119" s="85"/>
      <c r="AA119" s="85"/>
      <c r="AB119" s="85"/>
      <c r="AC119" s="85"/>
      <c r="AD119" s="85"/>
      <c r="AE119" s="85"/>
      <c r="AF119" s="85"/>
      <c r="AG119" s="85"/>
      <c r="AH119" s="85"/>
      <c r="AI119" s="85"/>
      <c r="AJ119" s="85"/>
      <c r="AK119" s="85"/>
      <c r="AL119" s="85"/>
      <c r="AM119" s="85"/>
      <c r="AN119" s="85"/>
      <c r="AO119" s="85"/>
      <c r="AP119" s="85"/>
      <c r="AQ119" s="85"/>
      <c r="AR119" s="85"/>
      <c r="AS119" s="85"/>
      <c r="AT119" s="85"/>
      <c r="AU119" s="85"/>
      <c r="AV119" s="85"/>
      <c r="AW119" s="85"/>
      <c r="AX119" s="85"/>
      <c r="AY119" s="85"/>
      <c r="AZ119" s="85"/>
      <c r="BA119" s="85"/>
      <c r="BB119" s="85"/>
      <c r="BC119" s="85"/>
      <c r="BD119" s="85"/>
      <c r="BE119" s="85"/>
      <c r="BF119" s="85"/>
      <c r="BG119" s="85"/>
      <c r="BH119" s="85"/>
      <c r="BI119" s="85"/>
      <c r="BJ119" s="101"/>
      <c r="BK119" s="101"/>
      <c r="BL119" s="101"/>
      <c r="BM119" s="101"/>
      <c r="BN119" s="101"/>
    </row>
    <row r="120" spans="1:66" s="87" customFormat="1" ht="57">
      <c r="A120" s="156" t="s">
        <v>166</v>
      </c>
      <c r="B120" s="157" t="s">
        <v>167</v>
      </c>
      <c r="C120" s="156" t="s">
        <v>7</v>
      </c>
      <c r="D120" s="156">
        <v>1</v>
      </c>
      <c r="E120" s="156">
        <v>293.38</v>
      </c>
      <c r="F120" s="156">
        <f t="shared" si="74"/>
        <v>293.38</v>
      </c>
      <c r="G120" s="156"/>
      <c r="H120" s="155"/>
      <c r="I120" s="156">
        <f t="shared" si="79"/>
        <v>0</v>
      </c>
      <c r="J120" s="156">
        <f t="shared" si="80"/>
        <v>0</v>
      </c>
      <c r="K120" s="156">
        <f t="shared" si="81"/>
        <v>0</v>
      </c>
      <c r="L120" s="156">
        <f t="shared" si="82"/>
        <v>0</v>
      </c>
      <c r="M120" s="80"/>
      <c r="N120" s="81"/>
      <c r="O120" s="7"/>
      <c r="P120" s="79"/>
      <c r="Q120" s="79"/>
      <c r="R120" s="79"/>
      <c r="S120" s="16"/>
      <c r="T120" s="82"/>
      <c r="U120" s="14"/>
      <c r="V120" s="14"/>
      <c r="W120" s="84"/>
      <c r="X120" s="83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5"/>
      <c r="AJ120" s="85"/>
      <c r="AK120" s="85"/>
      <c r="AL120" s="85"/>
      <c r="AM120" s="85"/>
      <c r="AN120" s="85"/>
      <c r="AO120" s="85"/>
      <c r="AP120" s="85"/>
      <c r="AQ120" s="85"/>
      <c r="AR120" s="85"/>
      <c r="AS120" s="85"/>
      <c r="AT120" s="85"/>
      <c r="AU120" s="85"/>
      <c r="AV120" s="85"/>
      <c r="AW120" s="85"/>
      <c r="AX120" s="85"/>
      <c r="AY120" s="85"/>
      <c r="AZ120" s="85"/>
      <c r="BA120" s="85"/>
      <c r="BB120" s="85"/>
      <c r="BC120" s="85"/>
      <c r="BD120" s="85"/>
      <c r="BE120" s="85"/>
      <c r="BF120" s="85"/>
      <c r="BG120" s="85"/>
      <c r="BH120" s="85"/>
      <c r="BI120" s="85"/>
      <c r="BJ120" s="101"/>
      <c r="BK120" s="101"/>
      <c r="BL120" s="101"/>
      <c r="BM120" s="101"/>
      <c r="BN120" s="101"/>
    </row>
    <row r="121" spans="1:66" s="87" customFormat="1">
      <c r="A121" s="156"/>
      <c r="B121" s="154"/>
      <c r="C121" s="156"/>
      <c r="D121" s="156"/>
      <c r="E121" s="156"/>
      <c r="F121" s="156"/>
      <c r="G121" s="156"/>
      <c r="H121" s="155"/>
      <c r="I121" s="156"/>
      <c r="J121" s="156"/>
      <c r="K121" s="156"/>
      <c r="L121" s="156"/>
      <c r="M121" s="80"/>
      <c r="N121" s="81"/>
      <c r="O121" s="7"/>
      <c r="P121" s="79"/>
      <c r="Q121" s="79"/>
      <c r="R121" s="79"/>
      <c r="S121" s="16"/>
      <c r="T121" s="82"/>
      <c r="U121" s="14"/>
      <c r="V121" s="14"/>
      <c r="W121" s="84"/>
      <c r="X121" s="83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  <c r="AJ121" s="85"/>
      <c r="AK121" s="85"/>
      <c r="AL121" s="85"/>
      <c r="AM121" s="85"/>
      <c r="AN121" s="85"/>
      <c r="AO121" s="85"/>
      <c r="AP121" s="85"/>
      <c r="AQ121" s="85"/>
      <c r="AR121" s="85"/>
      <c r="AS121" s="85"/>
      <c r="AT121" s="85"/>
      <c r="AU121" s="85"/>
      <c r="AV121" s="85"/>
      <c r="AW121" s="85"/>
      <c r="AX121" s="85"/>
      <c r="AY121" s="85"/>
      <c r="AZ121" s="85"/>
      <c r="BA121" s="85"/>
      <c r="BB121" s="85"/>
      <c r="BC121" s="85"/>
      <c r="BD121" s="85"/>
      <c r="BE121" s="85"/>
      <c r="BF121" s="85"/>
      <c r="BG121" s="85"/>
      <c r="BH121" s="85"/>
      <c r="BI121" s="85"/>
      <c r="BJ121" s="101"/>
      <c r="BK121" s="101"/>
      <c r="BL121" s="101"/>
      <c r="BM121" s="101"/>
      <c r="BN121" s="101"/>
    </row>
    <row r="122" spans="1:66" s="87" customFormat="1">
      <c r="A122" s="164" t="s">
        <v>168</v>
      </c>
      <c r="B122" s="165" t="s">
        <v>169</v>
      </c>
      <c r="C122" s="166"/>
      <c r="D122" s="167"/>
      <c r="E122" s="166"/>
      <c r="F122" s="166">
        <f>SUM(F124:F147)</f>
        <v>20524.554999999993</v>
      </c>
      <c r="G122" s="166"/>
      <c r="H122" s="166"/>
      <c r="I122" s="166"/>
      <c r="J122" s="166">
        <f>SUM(J124:J147)</f>
        <v>0</v>
      </c>
      <c r="K122" s="166">
        <f>SUM(K124:K147)</f>
        <v>1191.26</v>
      </c>
      <c r="L122" s="166">
        <f>SUM(L124:L147)</f>
        <v>1191.26</v>
      </c>
      <c r="M122" s="97"/>
      <c r="N122" s="98"/>
      <c r="O122" s="7"/>
      <c r="P122" s="97"/>
      <c r="Q122" s="97"/>
      <c r="R122" s="79"/>
      <c r="S122" s="16"/>
      <c r="T122" s="82"/>
      <c r="U122" s="14"/>
      <c r="V122" s="14"/>
      <c r="W122" s="84"/>
      <c r="X122" s="83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  <c r="AJ122" s="85"/>
      <c r="AK122" s="86"/>
      <c r="AL122" s="86"/>
      <c r="AM122" s="86"/>
      <c r="AN122" s="86"/>
      <c r="AO122" s="86"/>
      <c r="AP122" s="86"/>
      <c r="AQ122" s="86"/>
      <c r="AR122" s="86"/>
      <c r="AS122" s="86"/>
      <c r="AT122" s="86"/>
      <c r="AU122" s="86"/>
      <c r="AV122" s="86"/>
      <c r="AW122" s="86"/>
      <c r="AX122" s="86"/>
      <c r="AY122" s="86"/>
      <c r="AZ122" s="86"/>
      <c r="BA122" s="86"/>
      <c r="BB122" s="86"/>
      <c r="BC122" s="86"/>
      <c r="BD122" s="86"/>
      <c r="BE122" s="86"/>
      <c r="BF122" s="86"/>
      <c r="BG122" s="86"/>
      <c r="BH122" s="86"/>
      <c r="BI122" s="86"/>
    </row>
    <row r="123" spans="1:66" ht="12" customHeight="1">
      <c r="A123" s="156"/>
      <c r="B123" s="154"/>
      <c r="C123" s="156"/>
      <c r="D123" s="156"/>
      <c r="E123" s="156"/>
      <c r="F123" s="156"/>
      <c r="G123" s="156"/>
      <c r="H123" s="156"/>
      <c r="I123" s="156"/>
      <c r="J123" s="156"/>
      <c r="K123" s="156"/>
      <c r="L123" s="156"/>
      <c r="M123" s="80"/>
      <c r="N123" s="81"/>
      <c r="O123" s="7"/>
      <c r="P123" s="80"/>
      <c r="Q123" s="80"/>
      <c r="R123" s="91"/>
      <c r="S123" s="8"/>
      <c r="T123" s="82"/>
      <c r="W123" s="10"/>
      <c r="X123" s="9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</row>
    <row r="124" spans="1:66" s="87" customFormat="1" ht="57">
      <c r="A124" s="156" t="s">
        <v>170</v>
      </c>
      <c r="B124" s="157" t="s">
        <v>167</v>
      </c>
      <c r="C124" s="156" t="s">
        <v>7</v>
      </c>
      <c r="D124" s="155">
        <v>3</v>
      </c>
      <c r="E124" s="156">
        <v>339.22</v>
      </c>
      <c r="F124" s="156">
        <f t="shared" ref="F124:F147" si="83">D124*E124</f>
        <v>1017.6600000000001</v>
      </c>
      <c r="G124" s="156"/>
      <c r="H124" s="156"/>
      <c r="I124" s="156">
        <f t="shared" ref="I124" si="84">G124+H124</f>
        <v>0</v>
      </c>
      <c r="J124" s="156">
        <f t="shared" ref="J124" si="85">E124*G124</f>
        <v>0</v>
      </c>
      <c r="K124" s="156">
        <f t="shared" ref="K124" si="86">H124*E124</f>
        <v>0</v>
      </c>
      <c r="L124" s="156">
        <f t="shared" ref="L124" si="87">J124+K124</f>
        <v>0</v>
      </c>
      <c r="M124" s="80"/>
      <c r="N124" s="81"/>
      <c r="O124" s="7"/>
      <c r="P124" s="79"/>
      <c r="Q124" s="79"/>
      <c r="R124" s="79"/>
      <c r="S124" s="16"/>
      <c r="T124" s="82"/>
      <c r="U124" s="14"/>
      <c r="V124" s="14"/>
      <c r="W124" s="84"/>
      <c r="X124" s="83"/>
      <c r="Y124" s="85"/>
      <c r="Z124" s="85"/>
      <c r="AA124" s="85"/>
      <c r="AB124" s="85"/>
      <c r="AC124" s="85"/>
      <c r="AD124" s="85"/>
      <c r="AE124" s="85"/>
      <c r="AF124" s="85"/>
      <c r="AG124" s="85"/>
      <c r="AH124" s="86"/>
      <c r="AI124" s="86"/>
      <c r="AJ124" s="86"/>
      <c r="AK124" s="86"/>
      <c r="AL124" s="86"/>
      <c r="AM124" s="86"/>
      <c r="AN124" s="86"/>
      <c r="AO124" s="86"/>
      <c r="AP124" s="86"/>
      <c r="AQ124" s="86"/>
      <c r="AR124" s="86"/>
      <c r="AS124" s="86"/>
      <c r="AT124" s="86"/>
      <c r="AU124" s="86"/>
      <c r="AV124" s="86"/>
      <c r="AW124" s="86"/>
      <c r="AX124" s="86"/>
      <c r="AY124" s="86"/>
      <c r="AZ124" s="86"/>
      <c r="BA124" s="86"/>
      <c r="BB124" s="86"/>
      <c r="BC124" s="86"/>
      <c r="BD124" s="86"/>
      <c r="BE124" s="86"/>
      <c r="BF124" s="86"/>
      <c r="BG124" s="86"/>
      <c r="BH124" s="86"/>
      <c r="BI124" s="86"/>
    </row>
    <row r="125" spans="1:66" s="87" customFormat="1" ht="42.75">
      <c r="A125" s="156" t="s">
        <v>171</v>
      </c>
      <c r="B125" s="157" t="s">
        <v>172</v>
      </c>
      <c r="C125" s="156" t="s">
        <v>7</v>
      </c>
      <c r="D125" s="155">
        <v>2</v>
      </c>
      <c r="E125" s="156">
        <v>595.92999999999995</v>
      </c>
      <c r="F125" s="156">
        <f t="shared" si="83"/>
        <v>1191.8599999999999</v>
      </c>
      <c r="G125" s="156"/>
      <c r="H125" s="156"/>
      <c r="I125" s="156">
        <f t="shared" ref="I125:I147" si="88">G125+H125</f>
        <v>0</v>
      </c>
      <c r="J125" s="156">
        <f t="shared" ref="J125:J147" si="89">E125*G125</f>
        <v>0</v>
      </c>
      <c r="K125" s="156">
        <f t="shared" ref="K125:K147" si="90">H125*E125</f>
        <v>0</v>
      </c>
      <c r="L125" s="156">
        <f t="shared" ref="L125:L147" si="91">J125+K125</f>
        <v>0</v>
      </c>
      <c r="M125" s="80"/>
      <c r="N125" s="81"/>
      <c r="O125" s="7"/>
      <c r="P125" s="79"/>
      <c r="Q125" s="79"/>
      <c r="R125" s="79"/>
      <c r="S125" s="16"/>
      <c r="T125" s="82"/>
      <c r="U125" s="14"/>
      <c r="V125" s="14"/>
      <c r="W125" s="84"/>
      <c r="X125" s="83"/>
      <c r="Y125" s="85"/>
      <c r="Z125" s="85"/>
      <c r="AA125" s="85"/>
      <c r="AB125" s="85"/>
      <c r="AC125" s="85"/>
      <c r="AD125" s="85"/>
      <c r="AE125" s="85"/>
      <c r="AF125" s="85"/>
      <c r="AG125" s="85"/>
      <c r="AH125" s="86"/>
      <c r="AI125" s="86"/>
      <c r="AJ125" s="86"/>
      <c r="AK125" s="86"/>
      <c r="AL125" s="86"/>
      <c r="AM125" s="86"/>
      <c r="AN125" s="86"/>
      <c r="AO125" s="86"/>
      <c r="AP125" s="86"/>
      <c r="AQ125" s="86"/>
      <c r="AR125" s="86"/>
      <c r="AS125" s="86"/>
      <c r="AT125" s="86"/>
      <c r="AU125" s="86"/>
      <c r="AV125" s="86"/>
      <c r="AW125" s="86"/>
      <c r="AX125" s="86"/>
      <c r="AY125" s="86"/>
      <c r="AZ125" s="86"/>
      <c r="BA125" s="86"/>
      <c r="BB125" s="86"/>
      <c r="BC125" s="86"/>
      <c r="BD125" s="86"/>
      <c r="BE125" s="86"/>
      <c r="BF125" s="86"/>
      <c r="BG125" s="86"/>
      <c r="BH125" s="86"/>
      <c r="BI125" s="86"/>
    </row>
    <row r="126" spans="1:66" s="87" customFormat="1" ht="28.5">
      <c r="A126" s="156" t="s">
        <v>173</v>
      </c>
      <c r="B126" s="157" t="s">
        <v>174</v>
      </c>
      <c r="C126" s="156" t="s">
        <v>7</v>
      </c>
      <c r="D126" s="155">
        <v>5</v>
      </c>
      <c r="E126" s="156">
        <v>347.61</v>
      </c>
      <c r="F126" s="156">
        <f t="shared" si="83"/>
        <v>1738.0500000000002</v>
      </c>
      <c r="G126" s="156"/>
      <c r="H126" s="156"/>
      <c r="I126" s="156">
        <f t="shared" si="88"/>
        <v>0</v>
      </c>
      <c r="J126" s="156">
        <f t="shared" si="89"/>
        <v>0</v>
      </c>
      <c r="K126" s="156">
        <f t="shared" si="90"/>
        <v>0</v>
      </c>
      <c r="L126" s="156">
        <f t="shared" si="91"/>
        <v>0</v>
      </c>
      <c r="M126" s="80"/>
      <c r="N126" s="81"/>
      <c r="O126" s="7"/>
      <c r="P126" s="79"/>
      <c r="Q126" s="79"/>
      <c r="R126" s="79"/>
      <c r="S126" s="16"/>
      <c r="T126" s="82"/>
      <c r="U126" s="14"/>
      <c r="V126" s="14"/>
      <c r="W126" s="84"/>
      <c r="X126" s="83"/>
      <c r="Y126" s="85"/>
      <c r="Z126" s="85"/>
      <c r="AA126" s="85"/>
      <c r="AB126" s="85"/>
      <c r="AC126" s="85"/>
      <c r="AD126" s="85"/>
      <c r="AE126" s="85"/>
      <c r="AF126" s="85"/>
      <c r="AG126" s="85"/>
      <c r="AH126" s="86"/>
      <c r="AI126" s="86"/>
      <c r="AJ126" s="86"/>
      <c r="AK126" s="86"/>
      <c r="AL126" s="86"/>
      <c r="AM126" s="86"/>
      <c r="AN126" s="86"/>
      <c r="AO126" s="86"/>
      <c r="AP126" s="86"/>
      <c r="AQ126" s="86"/>
      <c r="AR126" s="86"/>
      <c r="AS126" s="86"/>
      <c r="AT126" s="86"/>
      <c r="AU126" s="86"/>
      <c r="AV126" s="86"/>
      <c r="AW126" s="86"/>
      <c r="AX126" s="86"/>
      <c r="AY126" s="86"/>
      <c r="AZ126" s="86"/>
      <c r="BA126" s="86"/>
      <c r="BB126" s="86"/>
      <c r="BC126" s="86"/>
      <c r="BD126" s="86"/>
      <c r="BE126" s="86"/>
      <c r="BF126" s="86"/>
      <c r="BG126" s="86"/>
      <c r="BH126" s="86"/>
      <c r="BI126" s="86"/>
    </row>
    <row r="127" spans="1:66" s="87" customFormat="1" ht="28.5">
      <c r="A127" s="156" t="s">
        <v>175</v>
      </c>
      <c r="B127" s="157" t="s">
        <v>176</v>
      </c>
      <c r="C127" s="156" t="s">
        <v>7</v>
      </c>
      <c r="D127" s="155">
        <v>1</v>
      </c>
      <c r="E127" s="156">
        <v>166.76</v>
      </c>
      <c r="F127" s="156">
        <f t="shared" si="83"/>
        <v>166.76</v>
      </c>
      <c r="G127" s="156"/>
      <c r="H127" s="156"/>
      <c r="I127" s="156">
        <f t="shared" si="88"/>
        <v>0</v>
      </c>
      <c r="J127" s="156">
        <f t="shared" si="89"/>
        <v>0</v>
      </c>
      <c r="K127" s="156">
        <f t="shared" si="90"/>
        <v>0</v>
      </c>
      <c r="L127" s="156">
        <f t="shared" si="91"/>
        <v>0</v>
      </c>
      <c r="M127" s="80"/>
      <c r="N127" s="81"/>
      <c r="O127" s="7"/>
      <c r="P127" s="79"/>
      <c r="Q127" s="79"/>
      <c r="R127" s="79"/>
      <c r="S127" s="16"/>
      <c r="T127" s="82"/>
      <c r="U127" s="14"/>
      <c r="V127" s="14"/>
      <c r="W127" s="84"/>
      <c r="X127" s="83"/>
      <c r="Y127" s="85"/>
      <c r="Z127" s="85"/>
      <c r="AA127" s="85"/>
      <c r="AB127" s="85"/>
      <c r="AC127" s="85"/>
      <c r="AD127" s="85"/>
      <c r="AE127" s="85"/>
      <c r="AF127" s="85"/>
      <c r="AG127" s="85"/>
      <c r="AH127" s="86"/>
      <c r="AI127" s="86"/>
      <c r="AJ127" s="86"/>
      <c r="AK127" s="86"/>
      <c r="AL127" s="86"/>
      <c r="AM127" s="86"/>
      <c r="AN127" s="86"/>
      <c r="AO127" s="86"/>
      <c r="AP127" s="86"/>
      <c r="AQ127" s="86"/>
      <c r="AR127" s="86"/>
      <c r="AS127" s="86"/>
      <c r="AT127" s="86"/>
      <c r="AU127" s="86"/>
      <c r="AV127" s="86"/>
      <c r="AW127" s="86"/>
      <c r="AX127" s="86"/>
      <c r="AY127" s="86"/>
      <c r="AZ127" s="86"/>
      <c r="BA127" s="86"/>
      <c r="BB127" s="86"/>
      <c r="BC127" s="86"/>
      <c r="BD127" s="86"/>
      <c r="BE127" s="86"/>
      <c r="BF127" s="86"/>
      <c r="BG127" s="86"/>
      <c r="BH127" s="86"/>
      <c r="BI127" s="86"/>
    </row>
    <row r="128" spans="1:66" s="87" customFormat="1" ht="57">
      <c r="A128" s="156" t="s">
        <v>177</v>
      </c>
      <c r="B128" s="157" t="s">
        <v>178</v>
      </c>
      <c r="C128" s="156" t="s">
        <v>7</v>
      </c>
      <c r="D128" s="155">
        <v>7</v>
      </c>
      <c r="E128" s="156">
        <v>130.03</v>
      </c>
      <c r="F128" s="156">
        <f t="shared" si="83"/>
        <v>910.21</v>
      </c>
      <c r="G128" s="156"/>
      <c r="H128" s="156"/>
      <c r="I128" s="156">
        <f t="shared" si="88"/>
        <v>0</v>
      </c>
      <c r="J128" s="156">
        <f t="shared" si="89"/>
        <v>0</v>
      </c>
      <c r="K128" s="156">
        <f t="shared" si="90"/>
        <v>0</v>
      </c>
      <c r="L128" s="156">
        <f t="shared" si="91"/>
        <v>0</v>
      </c>
      <c r="M128" s="80"/>
      <c r="N128" s="81"/>
      <c r="O128" s="7"/>
      <c r="P128" s="79"/>
      <c r="Q128" s="79"/>
      <c r="R128" s="79"/>
      <c r="S128" s="16"/>
      <c r="T128" s="82"/>
      <c r="U128" s="14"/>
      <c r="V128" s="14"/>
      <c r="W128" s="84"/>
      <c r="X128" s="83"/>
      <c r="Y128" s="85"/>
      <c r="Z128" s="85"/>
      <c r="AA128" s="85"/>
      <c r="AB128" s="85"/>
      <c r="AC128" s="85"/>
      <c r="AD128" s="85"/>
      <c r="AE128" s="85"/>
      <c r="AF128" s="85"/>
      <c r="AG128" s="85"/>
      <c r="AH128" s="86"/>
      <c r="AI128" s="86"/>
      <c r="AJ128" s="86"/>
      <c r="AK128" s="86"/>
      <c r="AL128" s="86"/>
      <c r="AM128" s="86"/>
      <c r="AN128" s="86"/>
      <c r="AO128" s="86"/>
      <c r="AP128" s="86"/>
      <c r="AQ128" s="86"/>
      <c r="AR128" s="86"/>
      <c r="AS128" s="86"/>
      <c r="AT128" s="86"/>
      <c r="AU128" s="86"/>
      <c r="AV128" s="86"/>
      <c r="AW128" s="86"/>
      <c r="AX128" s="86"/>
      <c r="AY128" s="86"/>
      <c r="AZ128" s="86"/>
      <c r="BA128" s="86"/>
      <c r="BB128" s="86"/>
      <c r="BC128" s="86"/>
      <c r="BD128" s="86"/>
      <c r="BE128" s="86"/>
      <c r="BF128" s="86"/>
      <c r="BG128" s="86"/>
      <c r="BH128" s="86"/>
      <c r="BI128" s="86"/>
    </row>
    <row r="129" spans="1:61" s="87" customFormat="1" ht="28.5">
      <c r="A129" s="156" t="s">
        <v>179</v>
      </c>
      <c r="B129" s="157" t="s">
        <v>180</v>
      </c>
      <c r="C129" s="156" t="s">
        <v>7</v>
      </c>
      <c r="D129" s="155">
        <v>5</v>
      </c>
      <c r="E129" s="156">
        <v>64.959999999999994</v>
      </c>
      <c r="F129" s="156">
        <f t="shared" si="83"/>
        <v>324.79999999999995</v>
      </c>
      <c r="G129" s="156"/>
      <c r="H129" s="156"/>
      <c r="I129" s="156">
        <f t="shared" si="88"/>
        <v>0</v>
      </c>
      <c r="J129" s="156">
        <f t="shared" si="89"/>
        <v>0</v>
      </c>
      <c r="K129" s="156">
        <f t="shared" si="90"/>
        <v>0</v>
      </c>
      <c r="L129" s="156">
        <f t="shared" si="91"/>
        <v>0</v>
      </c>
      <c r="M129" s="80"/>
      <c r="N129" s="81"/>
      <c r="O129" s="7"/>
      <c r="P129" s="79"/>
      <c r="Q129" s="79"/>
      <c r="R129" s="79"/>
      <c r="S129" s="16"/>
      <c r="T129" s="82"/>
      <c r="U129" s="14"/>
      <c r="V129" s="14"/>
      <c r="W129" s="84"/>
      <c r="X129" s="83"/>
      <c r="Y129" s="85"/>
      <c r="Z129" s="85"/>
      <c r="AA129" s="85"/>
      <c r="AB129" s="85"/>
      <c r="AC129" s="85"/>
      <c r="AD129" s="85"/>
      <c r="AE129" s="85"/>
      <c r="AF129" s="85"/>
      <c r="AG129" s="85"/>
      <c r="AH129" s="86"/>
      <c r="AI129" s="86"/>
      <c r="AJ129" s="86"/>
      <c r="AK129" s="86"/>
      <c r="AL129" s="86"/>
      <c r="AM129" s="86"/>
      <c r="AN129" s="86"/>
      <c r="AO129" s="86"/>
      <c r="AP129" s="86"/>
      <c r="AQ129" s="86"/>
      <c r="AR129" s="86"/>
      <c r="AS129" s="86"/>
      <c r="AT129" s="86"/>
      <c r="AU129" s="86"/>
      <c r="AV129" s="86"/>
      <c r="AW129" s="86"/>
      <c r="AX129" s="86"/>
      <c r="AY129" s="86"/>
      <c r="AZ129" s="86"/>
      <c r="BA129" s="86"/>
      <c r="BB129" s="86"/>
      <c r="BC129" s="86"/>
      <c r="BD129" s="86"/>
      <c r="BE129" s="86"/>
      <c r="BF129" s="86"/>
      <c r="BG129" s="86"/>
      <c r="BH129" s="86"/>
      <c r="BI129" s="86"/>
    </row>
    <row r="130" spans="1:61" s="87" customFormat="1" ht="28.5">
      <c r="A130" s="156" t="s">
        <v>181</v>
      </c>
      <c r="B130" s="157" t="s">
        <v>182</v>
      </c>
      <c r="C130" s="156" t="s">
        <v>7</v>
      </c>
      <c r="D130" s="155">
        <v>2</v>
      </c>
      <c r="E130" s="156">
        <v>93.12</v>
      </c>
      <c r="F130" s="156">
        <f t="shared" si="83"/>
        <v>186.24</v>
      </c>
      <c r="G130" s="156"/>
      <c r="H130" s="156"/>
      <c r="I130" s="156">
        <f t="shared" si="88"/>
        <v>0</v>
      </c>
      <c r="J130" s="156">
        <f t="shared" si="89"/>
        <v>0</v>
      </c>
      <c r="K130" s="156">
        <f t="shared" si="90"/>
        <v>0</v>
      </c>
      <c r="L130" s="156">
        <f t="shared" si="91"/>
        <v>0</v>
      </c>
      <c r="M130" s="80"/>
      <c r="N130" s="81"/>
      <c r="O130" s="7"/>
      <c r="P130" s="79"/>
      <c r="Q130" s="79"/>
      <c r="R130" s="79"/>
      <c r="S130" s="16"/>
      <c r="T130" s="82"/>
      <c r="U130" s="14"/>
      <c r="V130" s="14"/>
      <c r="W130" s="84"/>
      <c r="X130" s="83"/>
      <c r="Y130" s="85"/>
      <c r="Z130" s="85"/>
      <c r="AA130" s="85"/>
      <c r="AB130" s="85"/>
      <c r="AC130" s="85"/>
      <c r="AD130" s="85"/>
      <c r="AE130" s="85"/>
      <c r="AF130" s="85"/>
      <c r="AG130" s="85"/>
      <c r="AH130" s="86"/>
      <c r="AI130" s="86"/>
      <c r="AJ130" s="86"/>
      <c r="AK130" s="86"/>
      <c r="AL130" s="86"/>
      <c r="AM130" s="86"/>
      <c r="AN130" s="86"/>
      <c r="AO130" s="86"/>
      <c r="AP130" s="86"/>
      <c r="AQ130" s="86"/>
      <c r="AR130" s="86"/>
      <c r="AS130" s="86"/>
      <c r="AT130" s="86"/>
      <c r="AU130" s="86"/>
      <c r="AV130" s="86"/>
      <c r="AW130" s="86"/>
      <c r="AX130" s="86"/>
      <c r="AY130" s="86"/>
      <c r="AZ130" s="86"/>
      <c r="BA130" s="86"/>
      <c r="BB130" s="86"/>
      <c r="BC130" s="86"/>
      <c r="BD130" s="86"/>
      <c r="BE130" s="86"/>
      <c r="BF130" s="86"/>
      <c r="BG130" s="86"/>
      <c r="BH130" s="86"/>
      <c r="BI130" s="86"/>
    </row>
    <row r="131" spans="1:61" s="87" customFormat="1" ht="28.5">
      <c r="A131" s="156" t="s">
        <v>183</v>
      </c>
      <c r="B131" s="157" t="s">
        <v>184</v>
      </c>
      <c r="C131" s="156" t="s">
        <v>7</v>
      </c>
      <c r="D131" s="155">
        <v>5</v>
      </c>
      <c r="E131" s="156">
        <v>83.07</v>
      </c>
      <c r="F131" s="156">
        <f t="shared" si="83"/>
        <v>415.34999999999997</v>
      </c>
      <c r="G131" s="156"/>
      <c r="H131" s="156"/>
      <c r="I131" s="156">
        <f t="shared" si="88"/>
        <v>0</v>
      </c>
      <c r="J131" s="156">
        <f t="shared" si="89"/>
        <v>0</v>
      </c>
      <c r="K131" s="156">
        <f t="shared" si="90"/>
        <v>0</v>
      </c>
      <c r="L131" s="156">
        <f t="shared" si="91"/>
        <v>0</v>
      </c>
      <c r="M131" s="80"/>
      <c r="N131" s="81"/>
      <c r="O131" s="7"/>
      <c r="P131" s="79"/>
      <c r="Q131" s="79"/>
      <c r="R131" s="79"/>
      <c r="S131" s="16"/>
      <c r="T131" s="82"/>
      <c r="U131" s="14"/>
      <c r="V131" s="14"/>
      <c r="W131" s="84"/>
      <c r="X131" s="83"/>
      <c r="Y131" s="85"/>
      <c r="Z131" s="85"/>
      <c r="AA131" s="85"/>
      <c r="AB131" s="85"/>
      <c r="AC131" s="85"/>
      <c r="AD131" s="85"/>
      <c r="AE131" s="85"/>
      <c r="AF131" s="85"/>
      <c r="AG131" s="85"/>
      <c r="AH131" s="86"/>
      <c r="AI131" s="86"/>
      <c r="AJ131" s="86"/>
      <c r="AK131" s="86"/>
      <c r="AL131" s="86"/>
      <c r="AM131" s="86"/>
      <c r="AN131" s="86"/>
      <c r="AO131" s="86"/>
      <c r="AP131" s="86"/>
      <c r="AQ131" s="86"/>
      <c r="AR131" s="86"/>
      <c r="AS131" s="86"/>
      <c r="AT131" s="86"/>
      <c r="AU131" s="86"/>
      <c r="AV131" s="86"/>
      <c r="AW131" s="86"/>
      <c r="AX131" s="86"/>
      <c r="AY131" s="86"/>
      <c r="AZ131" s="86"/>
      <c r="BA131" s="86"/>
      <c r="BB131" s="86"/>
      <c r="BC131" s="86"/>
      <c r="BD131" s="86"/>
      <c r="BE131" s="86"/>
      <c r="BF131" s="86"/>
      <c r="BG131" s="86"/>
      <c r="BH131" s="86"/>
      <c r="BI131" s="86"/>
    </row>
    <row r="132" spans="1:61" s="87" customFormat="1" ht="28.5">
      <c r="A132" s="156" t="s">
        <v>185</v>
      </c>
      <c r="B132" s="157" t="s">
        <v>186</v>
      </c>
      <c r="C132" s="156" t="s">
        <v>7</v>
      </c>
      <c r="D132" s="155">
        <v>2</v>
      </c>
      <c r="E132" s="156">
        <v>37.409999999999997</v>
      </c>
      <c r="F132" s="156">
        <f t="shared" si="83"/>
        <v>74.819999999999993</v>
      </c>
      <c r="G132" s="156"/>
      <c r="H132" s="156"/>
      <c r="I132" s="156">
        <f t="shared" si="88"/>
        <v>0</v>
      </c>
      <c r="J132" s="156">
        <f t="shared" si="89"/>
        <v>0</v>
      </c>
      <c r="K132" s="156">
        <f t="shared" si="90"/>
        <v>0</v>
      </c>
      <c r="L132" s="156">
        <f t="shared" si="91"/>
        <v>0</v>
      </c>
      <c r="M132" s="80"/>
      <c r="N132" s="81"/>
      <c r="O132" s="7"/>
      <c r="P132" s="79"/>
      <c r="Q132" s="79"/>
      <c r="R132" s="79"/>
      <c r="S132" s="16"/>
      <c r="T132" s="82"/>
      <c r="U132" s="14"/>
      <c r="V132" s="14"/>
      <c r="W132" s="84"/>
      <c r="X132" s="83"/>
      <c r="Y132" s="85"/>
      <c r="Z132" s="85"/>
      <c r="AA132" s="85"/>
      <c r="AB132" s="85"/>
      <c r="AC132" s="85"/>
      <c r="AD132" s="85"/>
      <c r="AE132" s="85"/>
      <c r="AF132" s="85"/>
      <c r="AG132" s="85"/>
      <c r="AH132" s="86"/>
      <c r="AI132" s="86"/>
      <c r="AJ132" s="86"/>
      <c r="AK132" s="86"/>
      <c r="AL132" s="86"/>
      <c r="AM132" s="86"/>
      <c r="AN132" s="86"/>
      <c r="AO132" s="86"/>
      <c r="AP132" s="86"/>
      <c r="AQ132" s="86"/>
      <c r="AR132" s="86"/>
      <c r="AS132" s="86"/>
      <c r="AT132" s="86"/>
      <c r="AU132" s="86"/>
      <c r="AV132" s="86"/>
      <c r="AW132" s="86"/>
      <c r="AX132" s="86"/>
      <c r="AY132" s="86"/>
      <c r="AZ132" s="86"/>
      <c r="BA132" s="86"/>
      <c r="BB132" s="86"/>
      <c r="BC132" s="86"/>
      <c r="BD132" s="86"/>
      <c r="BE132" s="86"/>
      <c r="BF132" s="86"/>
      <c r="BG132" s="86"/>
      <c r="BH132" s="86"/>
      <c r="BI132" s="86"/>
    </row>
    <row r="133" spans="1:61" s="87" customFormat="1">
      <c r="A133" s="156" t="s">
        <v>187</v>
      </c>
      <c r="B133" s="158" t="s">
        <v>188</v>
      </c>
      <c r="C133" s="156" t="s">
        <v>7</v>
      </c>
      <c r="D133" s="155">
        <v>3</v>
      </c>
      <c r="E133" s="156">
        <v>25.29</v>
      </c>
      <c r="F133" s="156">
        <f t="shared" si="83"/>
        <v>75.87</v>
      </c>
      <c r="G133" s="156"/>
      <c r="H133" s="156"/>
      <c r="I133" s="156">
        <f t="shared" si="88"/>
        <v>0</v>
      </c>
      <c r="J133" s="156">
        <f t="shared" si="89"/>
        <v>0</v>
      </c>
      <c r="K133" s="156">
        <f t="shared" si="90"/>
        <v>0</v>
      </c>
      <c r="L133" s="156">
        <f t="shared" si="91"/>
        <v>0</v>
      </c>
      <c r="M133" s="80"/>
      <c r="N133" s="81"/>
      <c r="O133" s="7"/>
      <c r="P133" s="79"/>
      <c r="Q133" s="79"/>
      <c r="R133" s="79"/>
      <c r="S133" s="16"/>
      <c r="T133" s="82"/>
      <c r="U133" s="14"/>
      <c r="V133" s="14"/>
      <c r="W133" s="84"/>
      <c r="X133" s="83"/>
      <c r="Y133" s="85"/>
      <c r="Z133" s="85"/>
      <c r="AA133" s="85"/>
      <c r="AB133" s="85"/>
      <c r="AC133" s="85"/>
      <c r="AD133" s="85"/>
      <c r="AE133" s="85"/>
      <c r="AF133" s="85"/>
      <c r="AG133" s="85"/>
      <c r="AH133" s="86"/>
      <c r="AI133" s="86"/>
      <c r="AJ133" s="86"/>
      <c r="AK133" s="86"/>
      <c r="AL133" s="86"/>
      <c r="AM133" s="86"/>
      <c r="AN133" s="86"/>
      <c r="AO133" s="86"/>
      <c r="AP133" s="86"/>
      <c r="AQ133" s="86"/>
      <c r="AR133" s="86"/>
      <c r="AS133" s="86"/>
      <c r="AT133" s="86"/>
      <c r="AU133" s="86"/>
      <c r="AV133" s="86"/>
      <c r="AW133" s="86"/>
      <c r="AX133" s="86"/>
      <c r="AY133" s="86"/>
      <c r="AZ133" s="86"/>
      <c r="BA133" s="86"/>
      <c r="BB133" s="86"/>
      <c r="BC133" s="86"/>
      <c r="BD133" s="86"/>
      <c r="BE133" s="86"/>
      <c r="BF133" s="86"/>
      <c r="BG133" s="86"/>
      <c r="BH133" s="86"/>
      <c r="BI133" s="86"/>
    </row>
    <row r="134" spans="1:61" s="87" customFormat="1">
      <c r="A134" s="156" t="s">
        <v>189</v>
      </c>
      <c r="B134" s="158" t="s">
        <v>190</v>
      </c>
      <c r="C134" s="156" t="s">
        <v>7</v>
      </c>
      <c r="D134" s="155">
        <v>1</v>
      </c>
      <c r="E134" s="156">
        <v>16.079999999999998</v>
      </c>
      <c r="F134" s="156">
        <f t="shared" si="83"/>
        <v>16.079999999999998</v>
      </c>
      <c r="G134" s="156"/>
      <c r="H134" s="156"/>
      <c r="I134" s="156">
        <f t="shared" si="88"/>
        <v>0</v>
      </c>
      <c r="J134" s="156">
        <f t="shared" si="89"/>
        <v>0</v>
      </c>
      <c r="K134" s="156">
        <f t="shared" si="90"/>
        <v>0</v>
      </c>
      <c r="L134" s="156">
        <f t="shared" si="91"/>
        <v>0</v>
      </c>
      <c r="M134" s="80"/>
      <c r="N134" s="81"/>
      <c r="O134" s="7"/>
      <c r="P134" s="79"/>
      <c r="Q134" s="79"/>
      <c r="R134" s="79"/>
      <c r="S134" s="16"/>
      <c r="T134" s="82"/>
      <c r="U134" s="14"/>
      <c r="V134" s="14"/>
      <c r="W134" s="84"/>
      <c r="X134" s="83"/>
      <c r="Y134" s="85"/>
      <c r="Z134" s="85"/>
      <c r="AA134" s="85"/>
      <c r="AB134" s="85"/>
      <c r="AC134" s="85"/>
      <c r="AD134" s="85"/>
      <c r="AE134" s="85"/>
      <c r="AF134" s="85"/>
      <c r="AG134" s="85"/>
      <c r="AH134" s="86"/>
      <c r="AI134" s="86"/>
      <c r="AJ134" s="86"/>
      <c r="AK134" s="86"/>
      <c r="AL134" s="86"/>
      <c r="AM134" s="86"/>
      <c r="AN134" s="86"/>
      <c r="AO134" s="86"/>
      <c r="AP134" s="86"/>
      <c r="AQ134" s="86"/>
      <c r="AR134" s="86"/>
      <c r="AS134" s="86"/>
      <c r="AT134" s="86"/>
      <c r="AU134" s="86"/>
      <c r="AV134" s="86"/>
      <c r="AW134" s="86"/>
      <c r="AX134" s="86"/>
      <c r="AY134" s="86"/>
      <c r="AZ134" s="86"/>
      <c r="BA134" s="86"/>
      <c r="BB134" s="86"/>
      <c r="BC134" s="86"/>
      <c r="BD134" s="86"/>
      <c r="BE134" s="86"/>
      <c r="BF134" s="86"/>
      <c r="BG134" s="86"/>
      <c r="BH134" s="86"/>
      <c r="BI134" s="86"/>
    </row>
    <row r="135" spans="1:61" s="87" customFormat="1" ht="28.5">
      <c r="A135" s="156" t="s">
        <v>191</v>
      </c>
      <c r="B135" s="157" t="s">
        <v>192</v>
      </c>
      <c r="C135" s="156" t="s">
        <v>7</v>
      </c>
      <c r="D135" s="155">
        <v>5</v>
      </c>
      <c r="E135" s="156">
        <v>62.9</v>
      </c>
      <c r="F135" s="156">
        <f t="shared" si="83"/>
        <v>314.5</v>
      </c>
      <c r="G135" s="156"/>
      <c r="H135" s="156"/>
      <c r="I135" s="156">
        <f t="shared" si="88"/>
        <v>0</v>
      </c>
      <c r="J135" s="156">
        <f t="shared" si="89"/>
        <v>0</v>
      </c>
      <c r="K135" s="156">
        <f t="shared" si="90"/>
        <v>0</v>
      </c>
      <c r="L135" s="156">
        <f t="shared" si="91"/>
        <v>0</v>
      </c>
      <c r="M135" s="80"/>
      <c r="N135" s="81"/>
      <c r="O135" s="7"/>
      <c r="P135" s="79"/>
      <c r="Q135" s="79"/>
      <c r="R135" s="79"/>
      <c r="S135" s="16"/>
      <c r="T135" s="82"/>
      <c r="U135" s="14"/>
      <c r="V135" s="14"/>
      <c r="W135" s="84"/>
      <c r="X135" s="83"/>
      <c r="Y135" s="85"/>
      <c r="Z135" s="85"/>
      <c r="AA135" s="85"/>
      <c r="AB135" s="85"/>
      <c r="AC135" s="85"/>
      <c r="AD135" s="85"/>
      <c r="AE135" s="85"/>
      <c r="AF135" s="85"/>
      <c r="AG135" s="85"/>
      <c r="AH135" s="86"/>
      <c r="AI135" s="86"/>
      <c r="AJ135" s="86"/>
      <c r="AK135" s="86"/>
      <c r="AL135" s="86"/>
      <c r="AM135" s="86"/>
      <c r="AN135" s="86"/>
      <c r="AO135" s="86"/>
      <c r="AP135" s="86"/>
      <c r="AQ135" s="86"/>
      <c r="AR135" s="86"/>
      <c r="AS135" s="86"/>
      <c r="AT135" s="86"/>
      <c r="AU135" s="86"/>
      <c r="AV135" s="86"/>
      <c r="AW135" s="86"/>
      <c r="AX135" s="86"/>
      <c r="AY135" s="86"/>
      <c r="AZ135" s="86"/>
      <c r="BA135" s="86"/>
      <c r="BB135" s="86"/>
      <c r="BC135" s="86"/>
      <c r="BD135" s="86"/>
      <c r="BE135" s="86"/>
      <c r="BF135" s="86"/>
      <c r="BG135" s="86"/>
      <c r="BH135" s="86"/>
      <c r="BI135" s="86"/>
    </row>
    <row r="136" spans="1:61" s="87" customFormat="1">
      <c r="A136" s="156" t="s">
        <v>193</v>
      </c>
      <c r="B136" s="158" t="s">
        <v>194</v>
      </c>
      <c r="C136" s="156" t="s">
        <v>7</v>
      </c>
      <c r="D136" s="155">
        <v>5</v>
      </c>
      <c r="E136" s="156">
        <v>40.880000000000003</v>
      </c>
      <c r="F136" s="156">
        <f t="shared" si="83"/>
        <v>204.4</v>
      </c>
      <c r="G136" s="156"/>
      <c r="H136" s="156"/>
      <c r="I136" s="156">
        <f t="shared" si="88"/>
        <v>0</v>
      </c>
      <c r="J136" s="156">
        <f t="shared" si="89"/>
        <v>0</v>
      </c>
      <c r="K136" s="156">
        <f t="shared" si="90"/>
        <v>0</v>
      </c>
      <c r="L136" s="156">
        <f t="shared" si="91"/>
        <v>0</v>
      </c>
      <c r="M136" s="80"/>
      <c r="N136" s="81"/>
      <c r="O136" s="7"/>
      <c r="P136" s="79"/>
      <c r="Q136" s="79"/>
      <c r="R136" s="79"/>
      <c r="S136" s="16"/>
      <c r="T136" s="82"/>
      <c r="U136" s="14"/>
      <c r="V136" s="14"/>
      <c r="W136" s="84"/>
      <c r="X136" s="83"/>
      <c r="Y136" s="85"/>
      <c r="Z136" s="85"/>
      <c r="AA136" s="85"/>
      <c r="AB136" s="85"/>
      <c r="AC136" s="85"/>
      <c r="AD136" s="85"/>
      <c r="AE136" s="85"/>
      <c r="AF136" s="85"/>
      <c r="AG136" s="85"/>
      <c r="AH136" s="86"/>
      <c r="AI136" s="86"/>
      <c r="AJ136" s="86"/>
      <c r="AK136" s="86"/>
      <c r="AL136" s="86"/>
      <c r="AM136" s="86"/>
      <c r="AN136" s="86"/>
      <c r="AO136" s="86"/>
      <c r="AP136" s="86"/>
      <c r="AQ136" s="86"/>
      <c r="AR136" s="86"/>
      <c r="AS136" s="86"/>
      <c r="AT136" s="86"/>
      <c r="AU136" s="86"/>
      <c r="AV136" s="86"/>
      <c r="AW136" s="86"/>
      <c r="AX136" s="86"/>
      <c r="AY136" s="86"/>
      <c r="AZ136" s="86"/>
      <c r="BA136" s="86"/>
      <c r="BB136" s="86"/>
      <c r="BC136" s="86"/>
      <c r="BD136" s="86"/>
      <c r="BE136" s="86"/>
      <c r="BF136" s="86"/>
      <c r="BG136" s="86"/>
      <c r="BH136" s="86"/>
      <c r="BI136" s="86"/>
    </row>
    <row r="137" spans="1:61" s="87" customFormat="1">
      <c r="A137" s="156" t="s">
        <v>195</v>
      </c>
      <c r="B137" s="158" t="s">
        <v>196</v>
      </c>
      <c r="C137" s="156" t="s">
        <v>7</v>
      </c>
      <c r="D137" s="155">
        <v>5</v>
      </c>
      <c r="E137" s="156">
        <v>52.81</v>
      </c>
      <c r="F137" s="156">
        <f t="shared" si="83"/>
        <v>264.05</v>
      </c>
      <c r="G137" s="156"/>
      <c r="H137" s="156"/>
      <c r="I137" s="156">
        <f t="shared" si="88"/>
        <v>0</v>
      </c>
      <c r="J137" s="156">
        <f t="shared" si="89"/>
        <v>0</v>
      </c>
      <c r="K137" s="156">
        <f t="shared" si="90"/>
        <v>0</v>
      </c>
      <c r="L137" s="156">
        <f t="shared" si="91"/>
        <v>0</v>
      </c>
      <c r="M137" s="80"/>
      <c r="N137" s="81"/>
      <c r="O137" s="7"/>
      <c r="P137" s="79"/>
      <c r="Q137" s="79"/>
      <c r="R137" s="79"/>
      <c r="S137" s="16"/>
      <c r="T137" s="82"/>
      <c r="U137" s="14"/>
      <c r="V137" s="14"/>
      <c r="W137" s="84"/>
      <c r="X137" s="83"/>
      <c r="Y137" s="85"/>
      <c r="Z137" s="85"/>
      <c r="AA137" s="85"/>
      <c r="AB137" s="85"/>
      <c r="AC137" s="85"/>
      <c r="AD137" s="85"/>
      <c r="AE137" s="85"/>
      <c r="AF137" s="85"/>
      <c r="AG137" s="85"/>
      <c r="AH137" s="86"/>
      <c r="AI137" s="86"/>
      <c r="AJ137" s="86"/>
      <c r="AK137" s="86"/>
      <c r="AL137" s="86"/>
      <c r="AM137" s="86"/>
      <c r="AN137" s="86"/>
      <c r="AO137" s="86"/>
      <c r="AP137" s="86"/>
      <c r="AQ137" s="86"/>
      <c r="AR137" s="86"/>
      <c r="AS137" s="86"/>
      <c r="AT137" s="86"/>
      <c r="AU137" s="86"/>
      <c r="AV137" s="86"/>
      <c r="AW137" s="86"/>
      <c r="AX137" s="86"/>
      <c r="AY137" s="86"/>
      <c r="AZ137" s="86"/>
      <c r="BA137" s="86"/>
      <c r="BB137" s="86"/>
      <c r="BC137" s="86"/>
      <c r="BD137" s="86"/>
      <c r="BE137" s="86"/>
      <c r="BF137" s="86"/>
      <c r="BG137" s="86"/>
      <c r="BH137" s="86"/>
      <c r="BI137" s="86"/>
    </row>
    <row r="138" spans="1:61" s="87" customFormat="1" ht="42.75">
      <c r="A138" s="156" t="s">
        <v>197</v>
      </c>
      <c r="B138" s="157" t="s">
        <v>198</v>
      </c>
      <c r="C138" s="156" t="s">
        <v>7</v>
      </c>
      <c r="D138" s="155">
        <v>7</v>
      </c>
      <c r="E138" s="156">
        <v>7</v>
      </c>
      <c r="F138" s="156">
        <f t="shared" si="83"/>
        <v>49</v>
      </c>
      <c r="G138" s="156"/>
      <c r="H138" s="156"/>
      <c r="I138" s="156">
        <f t="shared" si="88"/>
        <v>0</v>
      </c>
      <c r="J138" s="156">
        <f t="shared" si="89"/>
        <v>0</v>
      </c>
      <c r="K138" s="156">
        <f t="shared" si="90"/>
        <v>0</v>
      </c>
      <c r="L138" s="156">
        <f t="shared" si="91"/>
        <v>0</v>
      </c>
      <c r="M138" s="80"/>
      <c r="N138" s="81"/>
      <c r="O138" s="7"/>
      <c r="P138" s="79"/>
      <c r="Q138" s="79"/>
      <c r="R138" s="79"/>
      <c r="S138" s="16"/>
      <c r="T138" s="82"/>
      <c r="U138" s="14"/>
      <c r="V138" s="14"/>
      <c r="W138" s="84"/>
      <c r="X138" s="83"/>
      <c r="Y138" s="85"/>
      <c r="Z138" s="85"/>
      <c r="AA138" s="85"/>
      <c r="AB138" s="85"/>
      <c r="AC138" s="85"/>
      <c r="AD138" s="85"/>
      <c r="AE138" s="85"/>
      <c r="AF138" s="85"/>
      <c r="AG138" s="85"/>
      <c r="AH138" s="86"/>
      <c r="AI138" s="86"/>
      <c r="AJ138" s="86"/>
      <c r="AK138" s="86"/>
      <c r="AL138" s="86"/>
      <c r="AM138" s="86"/>
      <c r="AN138" s="86"/>
      <c r="AO138" s="86"/>
      <c r="AP138" s="86"/>
      <c r="AQ138" s="86"/>
      <c r="AR138" s="86"/>
      <c r="AS138" s="86"/>
      <c r="AT138" s="86"/>
      <c r="AU138" s="86"/>
      <c r="AV138" s="86"/>
      <c r="AW138" s="86"/>
      <c r="AX138" s="86"/>
      <c r="AY138" s="86"/>
      <c r="AZ138" s="86"/>
      <c r="BA138" s="86"/>
      <c r="BB138" s="86"/>
      <c r="BC138" s="86"/>
      <c r="BD138" s="86"/>
      <c r="BE138" s="86"/>
      <c r="BF138" s="86"/>
      <c r="BG138" s="86"/>
      <c r="BH138" s="86"/>
      <c r="BI138" s="86"/>
    </row>
    <row r="139" spans="1:61" s="87" customFormat="1" ht="28.5">
      <c r="A139" s="156" t="s">
        <v>199</v>
      </c>
      <c r="B139" s="157" t="s">
        <v>200</v>
      </c>
      <c r="C139" s="156" t="s">
        <v>7</v>
      </c>
      <c r="D139" s="155">
        <v>2</v>
      </c>
      <c r="E139" s="156">
        <v>144.46</v>
      </c>
      <c r="F139" s="156">
        <f t="shared" si="83"/>
        <v>288.92</v>
      </c>
      <c r="G139" s="156"/>
      <c r="H139" s="156"/>
      <c r="I139" s="156">
        <f t="shared" si="88"/>
        <v>0</v>
      </c>
      <c r="J139" s="156">
        <f t="shared" si="89"/>
        <v>0</v>
      </c>
      <c r="K139" s="156">
        <f t="shared" si="90"/>
        <v>0</v>
      </c>
      <c r="L139" s="156">
        <f t="shared" si="91"/>
        <v>0</v>
      </c>
      <c r="M139" s="80"/>
      <c r="N139" s="81"/>
      <c r="O139" s="7"/>
      <c r="P139" s="79"/>
      <c r="Q139" s="79"/>
      <c r="R139" s="79"/>
      <c r="S139" s="16"/>
      <c r="T139" s="82"/>
      <c r="U139" s="14"/>
      <c r="V139" s="14"/>
      <c r="W139" s="84"/>
      <c r="X139" s="83"/>
      <c r="Y139" s="85"/>
      <c r="Z139" s="85"/>
      <c r="AA139" s="85"/>
      <c r="AB139" s="85"/>
      <c r="AC139" s="85"/>
      <c r="AD139" s="85"/>
      <c r="AE139" s="85"/>
      <c r="AF139" s="85"/>
      <c r="AG139" s="85"/>
      <c r="AH139" s="86"/>
      <c r="AI139" s="86"/>
      <c r="AJ139" s="86"/>
      <c r="AK139" s="86"/>
      <c r="AL139" s="86"/>
      <c r="AM139" s="86"/>
      <c r="AN139" s="86"/>
      <c r="AO139" s="86"/>
      <c r="AP139" s="86"/>
      <c r="AQ139" s="86"/>
      <c r="AR139" s="86"/>
      <c r="AS139" s="86"/>
      <c r="AT139" s="86"/>
      <c r="AU139" s="86"/>
      <c r="AV139" s="86"/>
      <c r="AW139" s="86"/>
      <c r="AX139" s="86"/>
      <c r="AY139" s="86"/>
      <c r="AZ139" s="86"/>
      <c r="BA139" s="86"/>
      <c r="BB139" s="86"/>
      <c r="BC139" s="86"/>
      <c r="BD139" s="86"/>
      <c r="BE139" s="86"/>
      <c r="BF139" s="86"/>
      <c r="BG139" s="86"/>
      <c r="BH139" s="86"/>
      <c r="BI139" s="86"/>
    </row>
    <row r="140" spans="1:61" s="87" customFormat="1" ht="28.5">
      <c r="A140" s="156" t="s">
        <v>201</v>
      </c>
      <c r="B140" s="157" t="s">
        <v>202</v>
      </c>
      <c r="C140" s="156" t="s">
        <v>7</v>
      </c>
      <c r="D140" s="155">
        <v>1</v>
      </c>
      <c r="E140" s="156">
        <v>159.54</v>
      </c>
      <c r="F140" s="156">
        <f t="shared" si="83"/>
        <v>159.54</v>
      </c>
      <c r="G140" s="156"/>
      <c r="H140" s="156"/>
      <c r="I140" s="156">
        <f t="shared" si="88"/>
        <v>0</v>
      </c>
      <c r="J140" s="156">
        <f t="shared" si="89"/>
        <v>0</v>
      </c>
      <c r="K140" s="156">
        <f t="shared" si="90"/>
        <v>0</v>
      </c>
      <c r="L140" s="156">
        <f t="shared" si="91"/>
        <v>0</v>
      </c>
      <c r="M140" s="80"/>
      <c r="N140" s="81"/>
      <c r="O140" s="7"/>
      <c r="P140" s="79"/>
      <c r="Q140" s="79"/>
      <c r="R140" s="79"/>
      <c r="S140" s="16"/>
      <c r="T140" s="82"/>
      <c r="U140" s="14"/>
      <c r="V140" s="14"/>
      <c r="W140" s="84"/>
      <c r="X140" s="83"/>
      <c r="Y140" s="85"/>
      <c r="Z140" s="85"/>
      <c r="AA140" s="85"/>
      <c r="AB140" s="85"/>
      <c r="AC140" s="85"/>
      <c r="AD140" s="85"/>
      <c r="AE140" s="85"/>
      <c r="AF140" s="85"/>
      <c r="AG140" s="85"/>
      <c r="AH140" s="86"/>
      <c r="AI140" s="86"/>
      <c r="AJ140" s="86"/>
      <c r="AK140" s="86"/>
      <c r="AL140" s="86"/>
      <c r="AM140" s="86"/>
      <c r="AN140" s="86"/>
      <c r="AO140" s="86"/>
      <c r="AP140" s="86"/>
      <c r="AQ140" s="86"/>
      <c r="AR140" s="86"/>
      <c r="AS140" s="86"/>
      <c r="AT140" s="86"/>
      <c r="AU140" s="86"/>
      <c r="AV140" s="86"/>
      <c r="AW140" s="86"/>
      <c r="AX140" s="86"/>
      <c r="AY140" s="86"/>
      <c r="AZ140" s="86"/>
      <c r="BA140" s="86"/>
      <c r="BB140" s="86"/>
      <c r="BC140" s="86"/>
      <c r="BD140" s="86"/>
      <c r="BE140" s="86"/>
      <c r="BF140" s="86"/>
      <c r="BG140" s="86"/>
      <c r="BH140" s="86"/>
      <c r="BI140" s="86"/>
    </row>
    <row r="141" spans="1:61" s="87" customFormat="1">
      <c r="A141" s="156" t="s">
        <v>203</v>
      </c>
      <c r="B141" s="158" t="s">
        <v>204</v>
      </c>
      <c r="C141" s="156" t="s">
        <v>16</v>
      </c>
      <c r="D141" s="155">
        <v>3.2</v>
      </c>
      <c r="E141" s="156">
        <v>350.43</v>
      </c>
      <c r="F141" s="156">
        <f t="shared" si="83"/>
        <v>1121.376</v>
      </c>
      <c r="G141" s="156"/>
      <c r="H141" s="156"/>
      <c r="I141" s="156">
        <f t="shared" si="88"/>
        <v>0</v>
      </c>
      <c r="J141" s="156">
        <f t="shared" si="89"/>
        <v>0</v>
      </c>
      <c r="K141" s="156">
        <f t="shared" si="90"/>
        <v>0</v>
      </c>
      <c r="L141" s="156">
        <f t="shared" si="91"/>
        <v>0</v>
      </c>
      <c r="M141" s="80"/>
      <c r="N141" s="81"/>
      <c r="O141" s="7"/>
      <c r="P141" s="79"/>
      <c r="Q141" s="79"/>
      <c r="R141" s="79"/>
      <c r="S141" s="16"/>
      <c r="T141" s="82"/>
      <c r="U141" s="14"/>
      <c r="V141" s="14"/>
      <c r="W141" s="84"/>
      <c r="X141" s="83"/>
      <c r="Y141" s="85"/>
      <c r="Z141" s="85"/>
      <c r="AA141" s="85"/>
      <c r="AB141" s="85"/>
      <c r="AC141" s="85"/>
      <c r="AD141" s="85"/>
      <c r="AE141" s="85"/>
      <c r="AF141" s="85"/>
      <c r="AG141" s="85"/>
      <c r="AH141" s="86"/>
      <c r="AI141" s="86"/>
      <c r="AJ141" s="86"/>
      <c r="AK141" s="86"/>
      <c r="AL141" s="86"/>
      <c r="AM141" s="86"/>
      <c r="AN141" s="86"/>
      <c r="AO141" s="86"/>
      <c r="AP141" s="86"/>
      <c r="AQ141" s="86"/>
      <c r="AR141" s="86"/>
      <c r="AS141" s="86"/>
      <c r="AT141" s="86"/>
      <c r="AU141" s="86"/>
      <c r="AV141" s="86"/>
      <c r="AW141" s="86"/>
      <c r="AX141" s="86"/>
      <c r="AY141" s="86"/>
      <c r="AZ141" s="86"/>
      <c r="BA141" s="86"/>
      <c r="BB141" s="86"/>
      <c r="BC141" s="86"/>
      <c r="BD141" s="86"/>
      <c r="BE141" s="86"/>
      <c r="BF141" s="86"/>
      <c r="BG141" s="86"/>
      <c r="BH141" s="86"/>
      <c r="BI141" s="86"/>
    </row>
    <row r="142" spans="1:61" s="87" customFormat="1" ht="28.5">
      <c r="A142" s="156" t="s">
        <v>205</v>
      </c>
      <c r="B142" s="157" t="s">
        <v>206</v>
      </c>
      <c r="C142" s="156" t="s">
        <v>7</v>
      </c>
      <c r="D142" s="155">
        <v>2</v>
      </c>
      <c r="E142" s="156">
        <v>707.44</v>
      </c>
      <c r="F142" s="156">
        <f t="shared" si="83"/>
        <v>1414.88</v>
      </c>
      <c r="G142" s="156"/>
      <c r="H142" s="156"/>
      <c r="I142" s="156">
        <f t="shared" si="88"/>
        <v>0</v>
      </c>
      <c r="J142" s="156">
        <f t="shared" si="89"/>
        <v>0</v>
      </c>
      <c r="K142" s="156">
        <f t="shared" si="90"/>
        <v>0</v>
      </c>
      <c r="L142" s="156">
        <f t="shared" si="91"/>
        <v>0</v>
      </c>
      <c r="M142" s="80"/>
      <c r="N142" s="81"/>
      <c r="O142" s="7"/>
      <c r="P142" s="79"/>
      <c r="Q142" s="79"/>
      <c r="R142" s="79"/>
      <c r="S142" s="16"/>
      <c r="T142" s="82"/>
      <c r="U142" s="14"/>
      <c r="V142" s="14"/>
      <c r="W142" s="84"/>
      <c r="X142" s="83"/>
      <c r="Y142" s="85"/>
      <c r="Z142" s="85"/>
      <c r="AA142" s="85"/>
      <c r="AB142" s="85"/>
      <c r="AC142" s="85"/>
      <c r="AD142" s="85"/>
      <c r="AE142" s="85"/>
      <c r="AF142" s="85"/>
      <c r="AG142" s="85"/>
      <c r="AH142" s="86"/>
      <c r="AI142" s="86"/>
      <c r="AJ142" s="86"/>
      <c r="AK142" s="86"/>
      <c r="AL142" s="86"/>
      <c r="AM142" s="86"/>
      <c r="AN142" s="86"/>
      <c r="AO142" s="86"/>
      <c r="AP142" s="86"/>
      <c r="AQ142" s="86"/>
      <c r="AR142" s="86"/>
      <c r="AS142" s="86"/>
      <c r="AT142" s="86"/>
      <c r="AU142" s="86"/>
      <c r="AV142" s="86"/>
      <c r="AW142" s="86"/>
      <c r="AX142" s="86"/>
      <c r="AY142" s="86"/>
      <c r="AZ142" s="86"/>
      <c r="BA142" s="86"/>
      <c r="BB142" s="86"/>
      <c r="BC142" s="86"/>
      <c r="BD142" s="86"/>
      <c r="BE142" s="86"/>
      <c r="BF142" s="86"/>
      <c r="BG142" s="86"/>
      <c r="BH142" s="86"/>
      <c r="BI142" s="86"/>
    </row>
    <row r="143" spans="1:61" s="87" customFormat="1">
      <c r="A143" s="156" t="s">
        <v>207</v>
      </c>
      <c r="B143" s="158" t="s">
        <v>23</v>
      </c>
      <c r="C143" s="156" t="s">
        <v>16</v>
      </c>
      <c r="D143" s="155">
        <v>8.31</v>
      </c>
      <c r="E143" s="156">
        <v>250.9</v>
      </c>
      <c r="F143" s="156">
        <f t="shared" si="83"/>
        <v>2084.9790000000003</v>
      </c>
      <c r="G143" s="156"/>
      <c r="H143" s="156"/>
      <c r="I143" s="156">
        <f t="shared" si="88"/>
        <v>0</v>
      </c>
      <c r="J143" s="156">
        <f t="shared" si="89"/>
        <v>0</v>
      </c>
      <c r="K143" s="156">
        <f t="shared" si="90"/>
        <v>0</v>
      </c>
      <c r="L143" s="156">
        <f t="shared" si="91"/>
        <v>0</v>
      </c>
      <c r="M143" s="80"/>
      <c r="N143" s="81"/>
      <c r="O143" s="7"/>
      <c r="P143" s="79"/>
      <c r="Q143" s="79"/>
      <c r="R143" s="79"/>
      <c r="S143" s="16"/>
      <c r="T143" s="82"/>
      <c r="U143" s="14"/>
      <c r="V143" s="14"/>
      <c r="W143" s="84"/>
      <c r="X143" s="83"/>
      <c r="Y143" s="85"/>
      <c r="Z143" s="85"/>
      <c r="AA143" s="85"/>
      <c r="AB143" s="85"/>
      <c r="AC143" s="85"/>
      <c r="AD143" s="85"/>
      <c r="AE143" s="85"/>
      <c r="AF143" s="85"/>
      <c r="AG143" s="85"/>
      <c r="AH143" s="86"/>
      <c r="AI143" s="86"/>
      <c r="AJ143" s="86"/>
      <c r="AK143" s="86"/>
      <c r="AL143" s="86"/>
      <c r="AM143" s="86"/>
      <c r="AN143" s="86"/>
      <c r="AO143" s="86"/>
      <c r="AP143" s="86"/>
      <c r="AQ143" s="86"/>
      <c r="AR143" s="86"/>
      <c r="AS143" s="86"/>
      <c r="AT143" s="86"/>
      <c r="AU143" s="86"/>
      <c r="AV143" s="86"/>
      <c r="AW143" s="86"/>
      <c r="AX143" s="86"/>
      <c r="AY143" s="86"/>
      <c r="AZ143" s="86"/>
      <c r="BA143" s="86"/>
      <c r="BB143" s="86"/>
      <c r="BC143" s="86"/>
      <c r="BD143" s="86"/>
      <c r="BE143" s="86"/>
      <c r="BF143" s="86"/>
      <c r="BG143" s="86"/>
      <c r="BH143" s="86"/>
      <c r="BI143" s="86"/>
    </row>
    <row r="144" spans="1:61" s="87" customFormat="1" ht="45.75" customHeight="1">
      <c r="A144" s="156" t="s">
        <v>208</v>
      </c>
      <c r="B144" s="157" t="s">
        <v>209</v>
      </c>
      <c r="C144" s="156" t="s">
        <v>7</v>
      </c>
      <c r="D144" s="155">
        <v>14</v>
      </c>
      <c r="E144" s="156">
        <v>85.09</v>
      </c>
      <c r="F144" s="156">
        <f t="shared" si="83"/>
        <v>1191.26</v>
      </c>
      <c r="G144" s="156"/>
      <c r="H144" s="156">
        <f>'MEMORIA BM 02'!L389</f>
        <v>14</v>
      </c>
      <c r="I144" s="156">
        <f t="shared" si="88"/>
        <v>14</v>
      </c>
      <c r="J144" s="156">
        <f t="shared" si="89"/>
        <v>0</v>
      </c>
      <c r="K144" s="156">
        <f t="shared" si="90"/>
        <v>1191.26</v>
      </c>
      <c r="L144" s="156">
        <f t="shared" si="91"/>
        <v>1191.26</v>
      </c>
      <c r="M144" s="80"/>
      <c r="N144" s="81"/>
      <c r="O144" s="7"/>
      <c r="P144" s="79"/>
      <c r="Q144" s="79"/>
      <c r="R144" s="79"/>
      <c r="S144" s="16"/>
      <c r="T144" s="82"/>
      <c r="U144" s="14"/>
      <c r="V144" s="14"/>
      <c r="W144" s="84"/>
      <c r="X144" s="83"/>
      <c r="Y144" s="85"/>
      <c r="Z144" s="85"/>
      <c r="AA144" s="85"/>
      <c r="AB144" s="85"/>
      <c r="AC144" s="85"/>
      <c r="AD144" s="85"/>
      <c r="AE144" s="85"/>
      <c r="AF144" s="85"/>
      <c r="AG144" s="85"/>
      <c r="AH144" s="86"/>
      <c r="AI144" s="86"/>
      <c r="AJ144" s="86"/>
      <c r="AK144" s="86"/>
      <c r="AL144" s="86"/>
      <c r="AM144" s="86"/>
      <c r="AN144" s="86"/>
      <c r="AO144" s="86"/>
      <c r="AP144" s="86"/>
      <c r="AQ144" s="86"/>
      <c r="AR144" s="86"/>
      <c r="AS144" s="86"/>
      <c r="AT144" s="86"/>
      <c r="AU144" s="86"/>
      <c r="AV144" s="86"/>
      <c r="AW144" s="86"/>
      <c r="AX144" s="86"/>
      <c r="AY144" s="86"/>
      <c r="AZ144" s="86"/>
      <c r="BA144" s="86"/>
      <c r="BB144" s="86"/>
      <c r="BC144" s="86"/>
      <c r="BD144" s="86"/>
      <c r="BE144" s="86"/>
      <c r="BF144" s="86"/>
      <c r="BG144" s="86"/>
      <c r="BH144" s="86"/>
      <c r="BI144" s="86"/>
    </row>
    <row r="145" spans="1:66" s="87" customFormat="1" ht="42.75">
      <c r="A145" s="156" t="s">
        <v>210</v>
      </c>
      <c r="B145" s="157" t="s">
        <v>211</v>
      </c>
      <c r="C145" s="156" t="s">
        <v>7</v>
      </c>
      <c r="D145" s="155">
        <v>3</v>
      </c>
      <c r="E145" s="156">
        <v>205.43</v>
      </c>
      <c r="F145" s="156">
        <f t="shared" si="83"/>
        <v>616.29</v>
      </c>
      <c r="G145" s="156"/>
      <c r="H145" s="156"/>
      <c r="I145" s="156">
        <f t="shared" si="88"/>
        <v>0</v>
      </c>
      <c r="J145" s="156">
        <f t="shared" si="89"/>
        <v>0</v>
      </c>
      <c r="K145" s="156">
        <f t="shared" si="90"/>
        <v>0</v>
      </c>
      <c r="L145" s="156">
        <f t="shared" si="91"/>
        <v>0</v>
      </c>
      <c r="M145" s="80"/>
      <c r="N145" s="81"/>
      <c r="O145" s="7"/>
      <c r="P145" s="79"/>
      <c r="Q145" s="79"/>
      <c r="R145" s="79"/>
      <c r="S145" s="16"/>
      <c r="T145" s="82"/>
      <c r="U145" s="14"/>
      <c r="V145" s="14"/>
      <c r="W145" s="84"/>
      <c r="X145" s="83"/>
      <c r="Y145" s="85"/>
      <c r="Z145" s="85"/>
      <c r="AA145" s="85"/>
      <c r="AB145" s="85"/>
      <c r="AC145" s="85"/>
      <c r="AD145" s="85"/>
      <c r="AE145" s="85"/>
      <c r="AF145" s="85"/>
      <c r="AG145" s="85"/>
      <c r="AH145" s="86"/>
      <c r="AI145" s="86"/>
      <c r="AJ145" s="86"/>
      <c r="AK145" s="86"/>
      <c r="AL145" s="86"/>
      <c r="AM145" s="86"/>
      <c r="AN145" s="86"/>
      <c r="AO145" s="86"/>
      <c r="AP145" s="86"/>
      <c r="AQ145" s="86"/>
      <c r="AR145" s="86"/>
      <c r="AS145" s="86"/>
      <c r="AT145" s="86"/>
      <c r="AU145" s="86"/>
      <c r="AV145" s="86"/>
      <c r="AW145" s="86"/>
      <c r="AX145" s="86"/>
      <c r="AY145" s="86"/>
      <c r="AZ145" s="86"/>
      <c r="BA145" s="86"/>
      <c r="BB145" s="86"/>
      <c r="BC145" s="86"/>
      <c r="BD145" s="86"/>
      <c r="BE145" s="86"/>
      <c r="BF145" s="86"/>
      <c r="BG145" s="86"/>
      <c r="BH145" s="86"/>
      <c r="BI145" s="86"/>
    </row>
    <row r="146" spans="1:66" s="87" customFormat="1" ht="99.75">
      <c r="A146" s="156" t="s">
        <v>212</v>
      </c>
      <c r="B146" s="157" t="s">
        <v>213</v>
      </c>
      <c r="C146" s="156" t="s">
        <v>7</v>
      </c>
      <c r="D146" s="155">
        <v>1</v>
      </c>
      <c r="E146" s="156">
        <v>2718.67</v>
      </c>
      <c r="F146" s="156">
        <f t="shared" si="83"/>
        <v>2718.67</v>
      </c>
      <c r="G146" s="156"/>
      <c r="H146" s="156"/>
      <c r="I146" s="156">
        <f t="shared" si="88"/>
        <v>0</v>
      </c>
      <c r="J146" s="156">
        <f t="shared" si="89"/>
        <v>0</v>
      </c>
      <c r="K146" s="156">
        <f t="shared" si="90"/>
        <v>0</v>
      </c>
      <c r="L146" s="156">
        <f t="shared" si="91"/>
        <v>0</v>
      </c>
      <c r="M146" s="80"/>
      <c r="N146" s="81"/>
      <c r="O146" s="7"/>
      <c r="P146" s="79"/>
      <c r="Q146" s="79"/>
      <c r="R146" s="79"/>
      <c r="S146" s="16"/>
      <c r="T146" s="82"/>
      <c r="U146" s="14"/>
      <c r="V146" s="14"/>
      <c r="W146" s="84"/>
      <c r="X146" s="83"/>
      <c r="Y146" s="85"/>
      <c r="Z146" s="85"/>
      <c r="AA146" s="85"/>
      <c r="AB146" s="85"/>
      <c r="AC146" s="85"/>
      <c r="AD146" s="85"/>
      <c r="AE146" s="85"/>
      <c r="AF146" s="85"/>
      <c r="AG146" s="85"/>
      <c r="AH146" s="86"/>
      <c r="AI146" s="86"/>
      <c r="AJ146" s="86"/>
      <c r="AK146" s="86"/>
      <c r="AL146" s="86"/>
      <c r="AM146" s="86"/>
      <c r="AN146" s="86"/>
      <c r="AO146" s="86"/>
      <c r="AP146" s="86"/>
      <c r="AQ146" s="86"/>
      <c r="AR146" s="86"/>
      <c r="AS146" s="86"/>
      <c r="AT146" s="86"/>
      <c r="AU146" s="86"/>
      <c r="AV146" s="86"/>
      <c r="AW146" s="86"/>
      <c r="AX146" s="86"/>
      <c r="AY146" s="86"/>
      <c r="AZ146" s="86"/>
      <c r="BA146" s="86"/>
      <c r="BB146" s="86"/>
      <c r="BC146" s="86"/>
      <c r="BD146" s="86"/>
      <c r="BE146" s="86"/>
      <c r="BF146" s="86"/>
      <c r="BG146" s="86"/>
      <c r="BH146" s="86"/>
      <c r="BI146" s="86"/>
    </row>
    <row r="147" spans="1:66" s="87" customFormat="1">
      <c r="A147" s="156" t="s">
        <v>214</v>
      </c>
      <c r="B147" s="157" t="s">
        <v>215</v>
      </c>
      <c r="C147" s="156" t="s">
        <v>7</v>
      </c>
      <c r="D147" s="155">
        <v>1</v>
      </c>
      <c r="E147" s="156">
        <v>3978.99</v>
      </c>
      <c r="F147" s="156">
        <f t="shared" si="83"/>
        <v>3978.99</v>
      </c>
      <c r="G147" s="156"/>
      <c r="H147" s="156"/>
      <c r="I147" s="156">
        <f t="shared" si="88"/>
        <v>0</v>
      </c>
      <c r="J147" s="156">
        <f t="shared" si="89"/>
        <v>0</v>
      </c>
      <c r="K147" s="156">
        <f t="shared" si="90"/>
        <v>0</v>
      </c>
      <c r="L147" s="156">
        <f t="shared" si="91"/>
        <v>0</v>
      </c>
      <c r="M147" s="80"/>
      <c r="N147" s="81"/>
      <c r="O147" s="7"/>
      <c r="P147" s="79"/>
      <c r="Q147" s="79"/>
      <c r="R147" s="79"/>
      <c r="S147" s="16"/>
      <c r="T147" s="82"/>
      <c r="U147" s="14"/>
      <c r="V147" s="14"/>
      <c r="W147" s="84"/>
      <c r="X147" s="83"/>
      <c r="Y147" s="85"/>
      <c r="Z147" s="85"/>
      <c r="AA147" s="85"/>
      <c r="AB147" s="85"/>
      <c r="AC147" s="85"/>
      <c r="AD147" s="85"/>
      <c r="AE147" s="85"/>
      <c r="AF147" s="85"/>
      <c r="AG147" s="85"/>
      <c r="AH147" s="86"/>
      <c r="AI147" s="86"/>
      <c r="AJ147" s="86"/>
      <c r="AK147" s="86"/>
      <c r="AL147" s="86"/>
      <c r="AM147" s="86"/>
      <c r="AN147" s="86"/>
      <c r="AO147" s="86"/>
      <c r="AP147" s="86"/>
      <c r="AQ147" s="86"/>
      <c r="AR147" s="86"/>
      <c r="AS147" s="86"/>
      <c r="AT147" s="86"/>
      <c r="AU147" s="86"/>
      <c r="AV147" s="86"/>
      <c r="AW147" s="86"/>
      <c r="AX147" s="86"/>
      <c r="AY147" s="86"/>
      <c r="AZ147" s="86"/>
      <c r="BA147" s="86"/>
      <c r="BB147" s="86"/>
      <c r="BC147" s="86"/>
      <c r="BD147" s="86"/>
      <c r="BE147" s="86"/>
      <c r="BF147" s="86"/>
      <c r="BG147" s="86"/>
      <c r="BH147" s="86"/>
      <c r="BI147" s="86"/>
    </row>
    <row r="148" spans="1:66" s="87" customFormat="1">
      <c r="A148" s="156"/>
      <c r="B148" s="154"/>
      <c r="C148" s="156"/>
      <c r="D148" s="156"/>
      <c r="E148" s="156"/>
      <c r="F148" s="156"/>
      <c r="G148" s="156"/>
      <c r="H148" s="156"/>
      <c r="I148" s="156"/>
      <c r="J148" s="156"/>
      <c r="K148" s="156"/>
      <c r="L148" s="156"/>
      <c r="M148" s="80"/>
      <c r="N148" s="81"/>
      <c r="O148" s="7"/>
      <c r="P148" s="79"/>
      <c r="Q148" s="79"/>
      <c r="R148" s="79"/>
      <c r="S148" s="16"/>
      <c r="T148" s="82"/>
      <c r="U148" s="14"/>
      <c r="V148" s="14"/>
      <c r="W148" s="84"/>
      <c r="X148" s="83"/>
      <c r="Y148" s="85"/>
      <c r="Z148" s="85"/>
      <c r="AA148" s="85"/>
      <c r="AB148" s="85"/>
      <c r="AC148" s="85"/>
      <c r="AD148" s="85"/>
      <c r="AE148" s="85"/>
      <c r="AF148" s="85"/>
      <c r="AG148" s="85"/>
      <c r="AH148" s="85"/>
      <c r="AI148" s="85"/>
      <c r="AJ148" s="85"/>
      <c r="AK148" s="85"/>
      <c r="AL148" s="85"/>
      <c r="AM148" s="85"/>
      <c r="AN148" s="85"/>
      <c r="AO148" s="85"/>
      <c r="AP148" s="85"/>
      <c r="AQ148" s="85"/>
      <c r="AR148" s="85"/>
      <c r="AS148" s="85"/>
      <c r="AT148" s="85"/>
      <c r="AU148" s="85"/>
      <c r="AV148" s="85"/>
      <c r="AW148" s="85"/>
      <c r="AX148" s="85"/>
      <c r="AY148" s="85"/>
      <c r="AZ148" s="85"/>
      <c r="BA148" s="85"/>
      <c r="BB148" s="85"/>
      <c r="BC148" s="85"/>
      <c r="BD148" s="85"/>
      <c r="BE148" s="85"/>
      <c r="BF148" s="85"/>
      <c r="BG148" s="85"/>
      <c r="BH148" s="85"/>
      <c r="BI148" s="85"/>
      <c r="BJ148" s="101"/>
      <c r="BK148" s="101"/>
      <c r="BL148" s="101"/>
      <c r="BM148" s="101"/>
      <c r="BN148" s="101"/>
    </row>
    <row r="149" spans="1:66" s="87" customFormat="1">
      <c r="A149" s="164" t="s">
        <v>216</v>
      </c>
      <c r="B149" s="165" t="s">
        <v>217</v>
      </c>
      <c r="C149" s="166"/>
      <c r="D149" s="167"/>
      <c r="E149" s="166"/>
      <c r="F149" s="166">
        <f>SUM(F151:F158)</f>
        <v>4922.579999999999</v>
      </c>
      <c r="G149" s="166"/>
      <c r="H149" s="166"/>
      <c r="I149" s="166"/>
      <c r="J149" s="166">
        <f>SUM(J151:J158)</f>
        <v>0</v>
      </c>
      <c r="K149" s="166">
        <f>SUM(K151:K158)</f>
        <v>1178.46</v>
      </c>
      <c r="L149" s="166">
        <f>SUM(L151:L158)</f>
        <v>1178.46</v>
      </c>
      <c r="M149" s="97"/>
      <c r="N149" s="98"/>
      <c r="O149" s="7"/>
      <c r="P149" s="97"/>
      <c r="Q149" s="97"/>
      <c r="R149" s="79"/>
      <c r="S149" s="16"/>
      <c r="T149" s="82"/>
      <c r="U149" s="14"/>
      <c r="V149" s="14"/>
      <c r="W149" s="84"/>
      <c r="X149" s="83"/>
      <c r="Y149" s="85"/>
      <c r="Z149" s="85"/>
      <c r="AA149" s="85"/>
      <c r="AB149" s="85"/>
      <c r="AC149" s="85"/>
      <c r="AD149" s="85"/>
      <c r="AE149" s="85"/>
      <c r="AF149" s="85"/>
      <c r="AG149" s="85"/>
      <c r="AH149" s="85"/>
      <c r="AI149" s="85"/>
      <c r="AJ149" s="85"/>
      <c r="AK149" s="86"/>
      <c r="AL149" s="86"/>
      <c r="AM149" s="86"/>
      <c r="AN149" s="86"/>
      <c r="AO149" s="86"/>
      <c r="AP149" s="86"/>
      <c r="AQ149" s="86"/>
      <c r="AR149" s="86"/>
      <c r="AS149" s="86"/>
      <c r="AT149" s="86"/>
      <c r="AU149" s="86"/>
      <c r="AV149" s="86"/>
      <c r="AW149" s="86"/>
      <c r="AX149" s="86"/>
      <c r="AY149" s="86"/>
      <c r="AZ149" s="86"/>
      <c r="BA149" s="86"/>
      <c r="BB149" s="86"/>
      <c r="BC149" s="86"/>
      <c r="BD149" s="86"/>
      <c r="BE149" s="86"/>
      <c r="BF149" s="86"/>
      <c r="BG149" s="86"/>
      <c r="BH149" s="86"/>
      <c r="BI149" s="86"/>
    </row>
    <row r="150" spans="1:66" s="87" customFormat="1">
      <c r="A150" s="156"/>
      <c r="B150" s="154"/>
      <c r="C150" s="156"/>
      <c r="D150" s="156"/>
      <c r="E150" s="156"/>
      <c r="F150" s="156"/>
      <c r="G150" s="156"/>
      <c r="H150" s="156"/>
      <c r="I150" s="156"/>
      <c r="J150" s="156"/>
      <c r="K150" s="156"/>
      <c r="L150" s="156"/>
      <c r="M150" s="80"/>
      <c r="N150" s="81"/>
      <c r="O150" s="7"/>
      <c r="P150" s="79"/>
      <c r="Q150" s="79"/>
      <c r="R150" s="79"/>
      <c r="S150" s="16"/>
      <c r="T150" s="82"/>
      <c r="U150" s="14"/>
      <c r="V150" s="14"/>
      <c r="W150" s="84"/>
      <c r="X150" s="83"/>
      <c r="Y150" s="85"/>
      <c r="Z150" s="85"/>
      <c r="AA150" s="85"/>
      <c r="AB150" s="85"/>
      <c r="AC150" s="85"/>
      <c r="AD150" s="85"/>
      <c r="AE150" s="85"/>
      <c r="AF150" s="85"/>
      <c r="AG150" s="85"/>
      <c r="AH150" s="85"/>
      <c r="AI150" s="85"/>
      <c r="AJ150" s="85"/>
      <c r="AK150" s="85"/>
      <c r="AL150" s="85"/>
      <c r="AM150" s="85"/>
      <c r="AN150" s="85"/>
      <c r="AO150" s="85"/>
      <c r="AP150" s="85"/>
      <c r="AQ150" s="85"/>
      <c r="AR150" s="85"/>
      <c r="AS150" s="85"/>
      <c r="AT150" s="85"/>
      <c r="AU150" s="85"/>
      <c r="AV150" s="85"/>
      <c r="AW150" s="85"/>
      <c r="AX150" s="85"/>
      <c r="AY150" s="85"/>
      <c r="AZ150" s="85"/>
      <c r="BA150" s="85"/>
      <c r="BB150" s="85"/>
      <c r="BC150" s="85"/>
      <c r="BD150" s="85"/>
      <c r="BE150" s="85"/>
      <c r="BF150" s="85"/>
      <c r="BG150" s="85"/>
      <c r="BH150" s="85"/>
      <c r="BI150" s="85"/>
      <c r="BJ150" s="101"/>
      <c r="BK150" s="101"/>
      <c r="BL150" s="101"/>
      <c r="BM150" s="101"/>
      <c r="BN150" s="101"/>
    </row>
    <row r="151" spans="1:66" s="87" customFormat="1" ht="42.75">
      <c r="A151" s="156" t="s">
        <v>218</v>
      </c>
      <c r="B151" s="157" t="s">
        <v>198</v>
      </c>
      <c r="C151" s="156" t="s">
        <v>7</v>
      </c>
      <c r="D151" s="156">
        <v>7</v>
      </c>
      <c r="E151" s="156">
        <v>7</v>
      </c>
      <c r="F151" s="156">
        <f t="shared" ref="F151:F158" si="92">D151*E151</f>
        <v>49</v>
      </c>
      <c r="G151" s="156"/>
      <c r="H151" s="156"/>
      <c r="I151" s="156">
        <f t="shared" ref="I151" si="93">G151+H151</f>
        <v>0</v>
      </c>
      <c r="J151" s="156">
        <f t="shared" ref="J151" si="94">E151*G151</f>
        <v>0</v>
      </c>
      <c r="K151" s="156">
        <f t="shared" ref="K151" si="95">H151*E151</f>
        <v>0</v>
      </c>
      <c r="L151" s="156">
        <f t="shared" ref="L151" si="96">J151+K151</f>
        <v>0</v>
      </c>
      <c r="M151" s="80"/>
      <c r="N151" s="81"/>
      <c r="O151" s="7"/>
      <c r="P151" s="79"/>
      <c r="Q151" s="79"/>
      <c r="R151" s="79"/>
      <c r="S151" s="16"/>
      <c r="T151" s="82"/>
      <c r="U151" s="14"/>
      <c r="V151" s="14"/>
      <c r="W151" s="84"/>
      <c r="X151" s="83"/>
      <c r="Y151" s="85"/>
      <c r="Z151" s="85"/>
      <c r="AA151" s="85"/>
      <c r="AB151" s="85"/>
      <c r="AC151" s="85"/>
      <c r="AD151" s="85"/>
      <c r="AE151" s="85"/>
      <c r="AF151" s="85"/>
      <c r="AG151" s="85"/>
      <c r="AH151" s="85"/>
      <c r="AI151" s="85"/>
      <c r="AJ151" s="85"/>
      <c r="AK151" s="85"/>
      <c r="AL151" s="85"/>
      <c r="AM151" s="85"/>
      <c r="AN151" s="85"/>
      <c r="AO151" s="85"/>
      <c r="AP151" s="85"/>
      <c r="AQ151" s="85"/>
      <c r="AR151" s="85"/>
      <c r="AS151" s="85"/>
      <c r="AT151" s="85"/>
      <c r="AU151" s="85"/>
      <c r="AV151" s="85"/>
      <c r="AW151" s="85"/>
      <c r="AX151" s="85"/>
      <c r="AY151" s="85"/>
      <c r="AZ151" s="85"/>
      <c r="BA151" s="85"/>
      <c r="BB151" s="85"/>
      <c r="BC151" s="85"/>
      <c r="BD151" s="85"/>
      <c r="BE151" s="85"/>
      <c r="BF151" s="85"/>
      <c r="BG151" s="85"/>
      <c r="BH151" s="85"/>
      <c r="BI151" s="85"/>
      <c r="BJ151" s="101"/>
      <c r="BK151" s="101"/>
      <c r="BL151" s="101"/>
      <c r="BM151" s="101"/>
      <c r="BN151" s="101"/>
    </row>
    <row r="152" spans="1:66" s="87" customFormat="1" ht="57">
      <c r="A152" s="156" t="s">
        <v>219</v>
      </c>
      <c r="B152" s="157" t="s">
        <v>220</v>
      </c>
      <c r="C152" s="156" t="s">
        <v>5</v>
      </c>
      <c r="D152" s="156">
        <v>40</v>
      </c>
      <c r="E152" s="156">
        <v>45.13</v>
      </c>
      <c r="F152" s="156">
        <f t="shared" si="92"/>
        <v>1805.2</v>
      </c>
      <c r="G152" s="156"/>
      <c r="H152" s="156"/>
      <c r="I152" s="156">
        <f t="shared" ref="I152:I158" si="97">G152+H152</f>
        <v>0</v>
      </c>
      <c r="J152" s="156">
        <f t="shared" ref="J152:J158" si="98">E152*G152</f>
        <v>0</v>
      </c>
      <c r="K152" s="156">
        <f t="shared" ref="K152:K158" si="99">H152*E152</f>
        <v>0</v>
      </c>
      <c r="L152" s="156">
        <f t="shared" ref="L152:L158" si="100">J152+K152</f>
        <v>0</v>
      </c>
      <c r="M152" s="80"/>
      <c r="N152" s="81"/>
      <c r="O152" s="7"/>
      <c r="P152" s="80"/>
      <c r="Q152" s="80"/>
      <c r="R152" s="91"/>
      <c r="S152" s="8"/>
      <c r="T152" s="82"/>
      <c r="U152" s="9"/>
      <c r="V152" s="9"/>
      <c r="W152" s="10"/>
      <c r="X152" s="9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2"/>
      <c r="BK152" s="12"/>
      <c r="BL152" s="12"/>
      <c r="BM152" s="12"/>
      <c r="BN152" s="12"/>
    </row>
    <row r="153" spans="1:66">
      <c r="A153" s="156" t="s">
        <v>221</v>
      </c>
      <c r="B153" s="158" t="s">
        <v>222</v>
      </c>
      <c r="C153" s="156" t="s">
        <v>7</v>
      </c>
      <c r="D153" s="156">
        <v>2</v>
      </c>
      <c r="E153" s="156">
        <v>443.39</v>
      </c>
      <c r="F153" s="156">
        <f t="shared" si="92"/>
        <v>886.78</v>
      </c>
      <c r="G153" s="156"/>
      <c r="H153" s="156"/>
      <c r="I153" s="156">
        <f t="shared" si="97"/>
        <v>0</v>
      </c>
      <c r="J153" s="156">
        <f t="shared" si="98"/>
        <v>0</v>
      </c>
      <c r="K153" s="156">
        <f t="shared" si="99"/>
        <v>0</v>
      </c>
      <c r="L153" s="156">
        <f t="shared" si="100"/>
        <v>0</v>
      </c>
      <c r="M153" s="80"/>
      <c r="N153" s="81"/>
      <c r="O153" s="7"/>
      <c r="P153" s="80"/>
      <c r="Q153" s="80"/>
      <c r="R153" s="91"/>
      <c r="S153" s="8"/>
      <c r="T153" s="82"/>
      <c r="W153" s="10"/>
      <c r="X153" s="9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</row>
    <row r="154" spans="1:66">
      <c r="A154" s="156" t="s">
        <v>223</v>
      </c>
      <c r="B154" s="158" t="s">
        <v>224</v>
      </c>
      <c r="C154" s="156" t="s">
        <v>7</v>
      </c>
      <c r="D154" s="156">
        <v>1</v>
      </c>
      <c r="E154" s="156">
        <v>107.54</v>
      </c>
      <c r="F154" s="156">
        <f t="shared" si="92"/>
        <v>107.54</v>
      </c>
      <c r="G154" s="156"/>
      <c r="H154" s="156"/>
      <c r="I154" s="156">
        <f t="shared" si="97"/>
        <v>0</v>
      </c>
      <c r="J154" s="156">
        <f t="shared" si="98"/>
        <v>0</v>
      </c>
      <c r="K154" s="156">
        <f t="shared" si="99"/>
        <v>0</v>
      </c>
      <c r="L154" s="156">
        <f t="shared" si="100"/>
        <v>0</v>
      </c>
      <c r="M154" s="80"/>
      <c r="N154" s="81"/>
      <c r="O154" s="7"/>
      <c r="P154" s="80"/>
      <c r="Q154" s="80"/>
      <c r="R154" s="91"/>
      <c r="S154" s="8"/>
      <c r="T154" s="82"/>
      <c r="W154" s="10"/>
      <c r="X154" s="9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</row>
    <row r="155" spans="1:66" ht="28.5">
      <c r="A155" s="156" t="s">
        <v>225</v>
      </c>
      <c r="B155" s="157" t="s">
        <v>226</v>
      </c>
      <c r="C155" s="156" t="s">
        <v>7</v>
      </c>
      <c r="D155" s="156">
        <v>4</v>
      </c>
      <c r="E155" s="156">
        <v>223.9</v>
      </c>
      <c r="F155" s="156">
        <f t="shared" si="92"/>
        <v>895.6</v>
      </c>
      <c r="G155" s="156"/>
      <c r="H155" s="156"/>
      <c r="I155" s="156">
        <f t="shared" si="97"/>
        <v>0</v>
      </c>
      <c r="J155" s="156">
        <f t="shared" si="98"/>
        <v>0</v>
      </c>
      <c r="K155" s="156">
        <f t="shared" si="99"/>
        <v>0</v>
      </c>
      <c r="L155" s="156">
        <f t="shared" si="100"/>
        <v>0</v>
      </c>
      <c r="M155" s="80"/>
      <c r="N155" s="81"/>
      <c r="O155" s="7"/>
      <c r="P155" s="80"/>
      <c r="Q155" s="80"/>
      <c r="R155" s="91"/>
      <c r="S155" s="8"/>
      <c r="T155" s="82"/>
      <c r="W155" s="10"/>
      <c r="X155" s="9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</row>
    <row r="156" spans="1:66" ht="28.5">
      <c r="A156" s="156" t="s">
        <v>227</v>
      </c>
      <c r="B156" s="157" t="s">
        <v>228</v>
      </c>
      <c r="C156" s="156" t="s">
        <v>7</v>
      </c>
      <c r="D156" s="156">
        <v>10</v>
      </c>
      <c r="E156" s="156">
        <v>56.74</v>
      </c>
      <c r="F156" s="156">
        <f t="shared" si="92"/>
        <v>567.4</v>
      </c>
      <c r="G156" s="156"/>
      <c r="H156" s="156">
        <f>'MEMORIA BM 02'!L422</f>
        <v>10</v>
      </c>
      <c r="I156" s="156">
        <f t="shared" si="97"/>
        <v>10</v>
      </c>
      <c r="J156" s="156">
        <f t="shared" si="98"/>
        <v>0</v>
      </c>
      <c r="K156" s="156">
        <f t="shared" si="99"/>
        <v>567.4</v>
      </c>
      <c r="L156" s="156">
        <f t="shared" si="100"/>
        <v>567.4</v>
      </c>
      <c r="M156" s="80"/>
      <c r="N156" s="81"/>
      <c r="O156" s="7"/>
      <c r="P156" s="80"/>
      <c r="Q156" s="80"/>
      <c r="R156" s="91"/>
      <c r="S156" s="8"/>
      <c r="T156" s="82"/>
      <c r="W156" s="10"/>
      <c r="X156" s="9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</row>
    <row r="157" spans="1:66" ht="28.5">
      <c r="A157" s="156" t="s">
        <v>229</v>
      </c>
      <c r="B157" s="157" t="s">
        <v>230</v>
      </c>
      <c r="C157" s="156" t="s">
        <v>7</v>
      </c>
      <c r="D157" s="156">
        <v>2</v>
      </c>
      <c r="E157" s="156">
        <v>85.83</v>
      </c>
      <c r="F157" s="156">
        <f t="shared" si="92"/>
        <v>171.66</v>
      </c>
      <c r="G157" s="156"/>
      <c r="H157" s="156">
        <f>'MEMORIA BM 02'!L426</f>
        <v>2</v>
      </c>
      <c r="I157" s="156">
        <f t="shared" si="97"/>
        <v>2</v>
      </c>
      <c r="J157" s="156">
        <f t="shared" si="98"/>
        <v>0</v>
      </c>
      <c r="K157" s="156">
        <f t="shared" si="99"/>
        <v>171.66</v>
      </c>
      <c r="L157" s="156">
        <f t="shared" si="100"/>
        <v>171.66</v>
      </c>
      <c r="M157" s="80"/>
      <c r="N157" s="81"/>
      <c r="O157" s="7"/>
      <c r="P157" s="80"/>
      <c r="Q157" s="80"/>
      <c r="R157" s="91"/>
      <c r="S157" s="8"/>
      <c r="T157" s="82"/>
      <c r="W157" s="10"/>
      <c r="X157" s="9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</row>
    <row r="158" spans="1:66">
      <c r="A158" s="156" t="s">
        <v>233</v>
      </c>
      <c r="B158" s="157" t="s">
        <v>231</v>
      </c>
      <c r="C158" s="156" t="s">
        <v>232</v>
      </c>
      <c r="D158" s="156">
        <v>5</v>
      </c>
      <c r="E158" s="156">
        <v>87.88</v>
      </c>
      <c r="F158" s="156">
        <f t="shared" si="92"/>
        <v>439.4</v>
      </c>
      <c r="G158" s="156"/>
      <c r="H158" s="156">
        <f>'MEMORIA BM 02'!L430</f>
        <v>5</v>
      </c>
      <c r="I158" s="156">
        <f t="shared" si="97"/>
        <v>5</v>
      </c>
      <c r="J158" s="156">
        <f t="shared" si="98"/>
        <v>0</v>
      </c>
      <c r="K158" s="156">
        <f t="shared" si="99"/>
        <v>439.4</v>
      </c>
      <c r="L158" s="156">
        <f t="shared" si="100"/>
        <v>439.4</v>
      </c>
      <c r="M158" s="80"/>
      <c r="N158" s="81"/>
      <c r="O158" s="7"/>
      <c r="P158" s="80"/>
      <c r="Q158" s="80"/>
      <c r="R158" s="91"/>
      <c r="S158" s="8"/>
      <c r="T158" s="82"/>
      <c r="W158" s="10"/>
      <c r="X158" s="9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</row>
    <row r="159" spans="1:66">
      <c r="A159" s="156"/>
      <c r="B159" s="154"/>
      <c r="C159" s="156"/>
      <c r="D159" s="156"/>
      <c r="E159" s="156"/>
      <c r="F159" s="156"/>
      <c r="G159" s="156"/>
      <c r="H159" s="156"/>
      <c r="I159" s="156"/>
      <c r="J159" s="156"/>
      <c r="K159" s="156"/>
      <c r="L159" s="156"/>
      <c r="M159" s="80"/>
      <c r="N159" s="81"/>
      <c r="O159" s="7"/>
      <c r="P159" s="79"/>
      <c r="Q159" s="79"/>
      <c r="R159" s="79"/>
      <c r="S159" s="16"/>
      <c r="T159" s="82"/>
      <c r="U159" s="14"/>
      <c r="V159" s="14"/>
      <c r="W159" s="84"/>
      <c r="X159" s="83"/>
      <c r="Y159" s="85"/>
      <c r="Z159" s="85"/>
      <c r="AA159" s="85"/>
      <c r="AB159" s="85"/>
      <c r="AC159" s="85"/>
      <c r="AD159" s="85"/>
      <c r="AE159" s="85"/>
      <c r="AF159" s="85"/>
      <c r="AG159" s="85"/>
      <c r="AH159" s="85"/>
      <c r="AI159" s="85"/>
      <c r="AJ159" s="85"/>
      <c r="AK159" s="85"/>
      <c r="AL159" s="85"/>
      <c r="AM159" s="85"/>
      <c r="AN159" s="85"/>
      <c r="AO159" s="85"/>
      <c r="AP159" s="85"/>
      <c r="AQ159" s="85"/>
      <c r="AR159" s="85"/>
      <c r="AS159" s="85"/>
      <c r="AT159" s="85"/>
      <c r="AU159" s="85"/>
      <c r="AV159" s="85"/>
      <c r="AW159" s="85"/>
      <c r="AX159" s="85"/>
      <c r="AY159" s="85"/>
      <c r="AZ159" s="85"/>
      <c r="BA159" s="85"/>
      <c r="BB159" s="85"/>
      <c r="BC159" s="85"/>
      <c r="BD159" s="85"/>
      <c r="BE159" s="85"/>
      <c r="BF159" s="85"/>
      <c r="BG159" s="85"/>
      <c r="BH159" s="85"/>
      <c r="BI159" s="85"/>
      <c r="BJ159" s="101"/>
      <c r="BK159" s="101"/>
      <c r="BL159" s="101"/>
      <c r="BM159" s="101"/>
      <c r="BN159" s="101"/>
    </row>
    <row r="160" spans="1:66" s="87" customFormat="1">
      <c r="A160" s="164" t="s">
        <v>234</v>
      </c>
      <c r="B160" s="165" t="s">
        <v>235</v>
      </c>
      <c r="C160" s="166"/>
      <c r="D160" s="167"/>
      <c r="E160" s="166"/>
      <c r="F160" s="166">
        <f>SUM(F162:F185)</f>
        <v>27356.5</v>
      </c>
      <c r="G160" s="166"/>
      <c r="H160" s="166"/>
      <c r="I160" s="166"/>
      <c r="J160" s="166">
        <f>SUM(J162:J185)</f>
        <v>0</v>
      </c>
      <c r="K160" s="166">
        <f>SUM(K162:K185)</f>
        <v>0</v>
      </c>
      <c r="L160" s="166">
        <f>SUM(L162:L185)</f>
        <v>0</v>
      </c>
      <c r="M160" s="97"/>
      <c r="N160" s="98"/>
      <c r="O160" s="7"/>
      <c r="P160" s="97"/>
      <c r="Q160" s="97"/>
      <c r="R160" s="79"/>
      <c r="S160" s="16"/>
      <c r="T160" s="82"/>
      <c r="U160" s="14"/>
      <c r="V160" s="14"/>
      <c r="W160" s="84"/>
      <c r="X160" s="83"/>
      <c r="Y160" s="85"/>
      <c r="Z160" s="85"/>
      <c r="AA160" s="85"/>
      <c r="AB160" s="85"/>
      <c r="AC160" s="85"/>
      <c r="AD160" s="85"/>
      <c r="AE160" s="85"/>
      <c r="AF160" s="85"/>
      <c r="AG160" s="85"/>
      <c r="AH160" s="85"/>
      <c r="AI160" s="85"/>
      <c r="AJ160" s="85"/>
      <c r="AK160" s="86"/>
      <c r="AL160" s="86"/>
      <c r="AM160" s="86"/>
      <c r="AN160" s="86"/>
      <c r="AO160" s="86"/>
      <c r="AP160" s="86"/>
      <c r="AQ160" s="86"/>
      <c r="AR160" s="86"/>
      <c r="AS160" s="86"/>
      <c r="AT160" s="86"/>
      <c r="AU160" s="86"/>
      <c r="AV160" s="86"/>
      <c r="AW160" s="86"/>
      <c r="AX160" s="86"/>
      <c r="AY160" s="86"/>
      <c r="AZ160" s="86"/>
      <c r="BA160" s="86"/>
      <c r="BB160" s="86"/>
      <c r="BC160" s="86"/>
      <c r="BD160" s="86"/>
      <c r="BE160" s="86"/>
      <c r="BF160" s="86"/>
      <c r="BG160" s="86"/>
      <c r="BH160" s="86"/>
      <c r="BI160" s="86"/>
    </row>
    <row r="161" spans="1:61">
      <c r="A161" s="156"/>
      <c r="B161" s="154"/>
      <c r="C161" s="156"/>
      <c r="D161" s="156"/>
      <c r="E161" s="156"/>
      <c r="F161" s="156"/>
      <c r="G161" s="156"/>
      <c r="H161" s="156"/>
      <c r="I161" s="156"/>
      <c r="J161" s="156"/>
      <c r="K161" s="156"/>
      <c r="L161" s="156"/>
      <c r="M161" s="80"/>
      <c r="N161" s="81"/>
      <c r="O161" s="7"/>
      <c r="P161" s="80"/>
      <c r="Q161" s="80"/>
      <c r="R161" s="91"/>
      <c r="S161" s="8"/>
      <c r="T161" s="82"/>
      <c r="W161" s="10"/>
      <c r="X161" s="9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</row>
    <row r="162" spans="1:61" ht="28.5">
      <c r="A162" s="156" t="s">
        <v>236</v>
      </c>
      <c r="B162" s="157" t="s">
        <v>226</v>
      </c>
      <c r="C162" s="156" t="s">
        <v>7</v>
      </c>
      <c r="D162" s="156">
        <v>4</v>
      </c>
      <c r="E162" s="156">
        <v>220.04</v>
      </c>
      <c r="F162" s="156">
        <f t="shared" ref="F162:F185" si="101">D162*E162</f>
        <v>880.16</v>
      </c>
      <c r="G162" s="156"/>
      <c r="H162" s="156"/>
      <c r="I162" s="156">
        <f t="shared" ref="I162" si="102">G162+H162</f>
        <v>0</v>
      </c>
      <c r="J162" s="156">
        <f t="shared" ref="J162" si="103">E162*G162</f>
        <v>0</v>
      </c>
      <c r="K162" s="156">
        <f t="shared" ref="K162" si="104">H162*E162</f>
        <v>0</v>
      </c>
      <c r="L162" s="156">
        <f t="shared" ref="L162" si="105">J162+K162</f>
        <v>0</v>
      </c>
      <c r="M162" s="80"/>
      <c r="N162" s="81"/>
      <c r="O162" s="7"/>
      <c r="P162" s="80"/>
      <c r="Q162" s="80"/>
      <c r="R162" s="91"/>
      <c r="S162" s="8"/>
      <c r="T162" s="82"/>
      <c r="W162" s="10"/>
      <c r="X162" s="9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</row>
    <row r="163" spans="1:61" ht="28.5">
      <c r="A163" s="156" t="s">
        <v>237</v>
      </c>
      <c r="B163" s="157" t="s">
        <v>238</v>
      </c>
      <c r="C163" s="156" t="s">
        <v>7</v>
      </c>
      <c r="D163" s="156">
        <v>1</v>
      </c>
      <c r="E163" s="156">
        <v>302.55</v>
      </c>
      <c r="F163" s="156">
        <f t="shared" si="101"/>
        <v>302.55</v>
      </c>
      <c r="G163" s="156"/>
      <c r="H163" s="156"/>
      <c r="I163" s="156">
        <f t="shared" ref="I163:I185" si="106">G163+H163</f>
        <v>0</v>
      </c>
      <c r="J163" s="156">
        <f t="shared" ref="J163:J185" si="107">E163*G163</f>
        <v>0</v>
      </c>
      <c r="K163" s="156">
        <f t="shared" ref="K163:K185" si="108">H163*E163</f>
        <v>0</v>
      </c>
      <c r="L163" s="156">
        <f t="shared" ref="L163:L185" si="109">J163+K163</f>
        <v>0</v>
      </c>
      <c r="M163" s="80"/>
      <c r="N163" s="81"/>
      <c r="O163" s="7"/>
      <c r="P163" s="80"/>
      <c r="Q163" s="80"/>
      <c r="R163" s="91"/>
      <c r="S163" s="8"/>
      <c r="T163" s="82"/>
      <c r="W163" s="10"/>
      <c r="X163" s="9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</row>
    <row r="164" spans="1:61" ht="28.5">
      <c r="A164" s="156" t="s">
        <v>239</v>
      </c>
      <c r="B164" s="157" t="s">
        <v>240</v>
      </c>
      <c r="C164" s="156" t="s">
        <v>7</v>
      </c>
      <c r="D164" s="156">
        <v>7</v>
      </c>
      <c r="E164" s="156">
        <v>41.88</v>
      </c>
      <c r="F164" s="156">
        <f t="shared" si="101"/>
        <v>293.16000000000003</v>
      </c>
      <c r="G164" s="156"/>
      <c r="H164" s="156"/>
      <c r="I164" s="156">
        <f t="shared" si="106"/>
        <v>0</v>
      </c>
      <c r="J164" s="156">
        <f t="shared" si="107"/>
        <v>0</v>
      </c>
      <c r="K164" s="156">
        <f t="shared" si="108"/>
        <v>0</v>
      </c>
      <c r="L164" s="156">
        <f t="shared" si="109"/>
        <v>0</v>
      </c>
      <c r="M164" s="80"/>
      <c r="N164" s="81"/>
      <c r="O164" s="7"/>
      <c r="P164" s="80"/>
      <c r="Q164" s="80"/>
      <c r="R164" s="91"/>
      <c r="S164" s="8"/>
      <c r="T164" s="82"/>
      <c r="W164" s="10"/>
      <c r="X164" s="9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</row>
    <row r="165" spans="1:61" ht="28.5">
      <c r="A165" s="156" t="s">
        <v>241</v>
      </c>
      <c r="B165" s="157" t="s">
        <v>242</v>
      </c>
      <c r="C165" s="156" t="s">
        <v>7</v>
      </c>
      <c r="D165" s="156">
        <v>10</v>
      </c>
      <c r="E165" s="156">
        <v>45.02</v>
      </c>
      <c r="F165" s="156">
        <f t="shared" si="101"/>
        <v>450.20000000000005</v>
      </c>
      <c r="G165" s="156"/>
      <c r="H165" s="156"/>
      <c r="I165" s="156">
        <f t="shared" si="106"/>
        <v>0</v>
      </c>
      <c r="J165" s="156">
        <f t="shared" si="107"/>
        <v>0</v>
      </c>
      <c r="K165" s="156">
        <f t="shared" si="108"/>
        <v>0</v>
      </c>
      <c r="L165" s="156">
        <f t="shared" si="109"/>
        <v>0</v>
      </c>
      <c r="M165" s="80"/>
      <c r="N165" s="81"/>
      <c r="O165" s="7"/>
      <c r="P165" s="80"/>
      <c r="Q165" s="80"/>
      <c r="R165" s="91"/>
      <c r="S165" s="8"/>
      <c r="T165" s="82"/>
      <c r="W165" s="10"/>
      <c r="X165" s="9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</row>
    <row r="166" spans="1:61" ht="28.5">
      <c r="A166" s="156" t="s">
        <v>243</v>
      </c>
      <c r="B166" s="157" t="s">
        <v>244</v>
      </c>
      <c r="C166" s="156" t="s">
        <v>7</v>
      </c>
      <c r="D166" s="156">
        <v>3</v>
      </c>
      <c r="E166" s="156">
        <v>39.47</v>
      </c>
      <c r="F166" s="156">
        <f t="shared" si="101"/>
        <v>118.41</v>
      </c>
      <c r="G166" s="156"/>
      <c r="H166" s="156"/>
      <c r="I166" s="156">
        <f t="shared" si="106"/>
        <v>0</v>
      </c>
      <c r="J166" s="156">
        <f t="shared" si="107"/>
        <v>0</v>
      </c>
      <c r="K166" s="156">
        <f t="shared" si="108"/>
        <v>0</v>
      </c>
      <c r="L166" s="156">
        <f t="shared" si="109"/>
        <v>0</v>
      </c>
      <c r="M166" s="80"/>
      <c r="N166" s="81"/>
      <c r="O166" s="7"/>
      <c r="P166" s="80"/>
      <c r="Q166" s="80"/>
      <c r="R166" s="91"/>
      <c r="S166" s="8"/>
      <c r="T166" s="82"/>
      <c r="W166" s="10"/>
      <c r="X166" s="9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</row>
    <row r="167" spans="1:61" ht="28.5">
      <c r="A167" s="156" t="s">
        <v>245</v>
      </c>
      <c r="B167" s="157" t="s">
        <v>246</v>
      </c>
      <c r="C167" s="156" t="s">
        <v>7</v>
      </c>
      <c r="D167" s="156">
        <v>1</v>
      </c>
      <c r="E167" s="156">
        <v>42.9</v>
      </c>
      <c r="F167" s="156">
        <f t="shared" si="101"/>
        <v>42.9</v>
      </c>
      <c r="G167" s="156"/>
      <c r="H167" s="156"/>
      <c r="I167" s="156">
        <f t="shared" si="106"/>
        <v>0</v>
      </c>
      <c r="J167" s="156">
        <f t="shared" si="107"/>
        <v>0</v>
      </c>
      <c r="K167" s="156">
        <f t="shared" si="108"/>
        <v>0</v>
      </c>
      <c r="L167" s="156">
        <f t="shared" si="109"/>
        <v>0</v>
      </c>
      <c r="M167" s="80"/>
      <c r="N167" s="81"/>
      <c r="O167" s="7"/>
      <c r="P167" s="80"/>
      <c r="Q167" s="80"/>
      <c r="R167" s="91"/>
      <c r="S167" s="8"/>
      <c r="T167" s="82"/>
      <c r="W167" s="10"/>
      <c r="X167" s="9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</row>
    <row r="168" spans="1:61" ht="28.5">
      <c r="A168" s="156" t="s">
        <v>247</v>
      </c>
      <c r="B168" s="157" t="s">
        <v>248</v>
      </c>
      <c r="C168" s="156" t="s">
        <v>7</v>
      </c>
      <c r="D168" s="156">
        <v>3</v>
      </c>
      <c r="E168" s="156">
        <v>53.64</v>
      </c>
      <c r="F168" s="156">
        <f t="shared" si="101"/>
        <v>160.92000000000002</v>
      </c>
      <c r="G168" s="156"/>
      <c r="H168" s="156"/>
      <c r="I168" s="156">
        <f t="shared" si="106"/>
        <v>0</v>
      </c>
      <c r="J168" s="156">
        <f t="shared" si="107"/>
        <v>0</v>
      </c>
      <c r="K168" s="156">
        <f t="shared" si="108"/>
        <v>0</v>
      </c>
      <c r="L168" s="156">
        <f t="shared" si="109"/>
        <v>0</v>
      </c>
      <c r="M168" s="80"/>
      <c r="N168" s="81"/>
      <c r="O168" s="7"/>
      <c r="P168" s="80"/>
      <c r="Q168" s="80"/>
      <c r="R168" s="91"/>
      <c r="S168" s="8"/>
      <c r="T168" s="82"/>
      <c r="W168" s="10"/>
      <c r="X168" s="9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</row>
    <row r="169" spans="1:61" ht="28.5">
      <c r="A169" s="156" t="s">
        <v>249</v>
      </c>
      <c r="B169" s="157" t="s">
        <v>250</v>
      </c>
      <c r="C169" s="156" t="s">
        <v>7</v>
      </c>
      <c r="D169" s="156">
        <v>17</v>
      </c>
      <c r="E169" s="156">
        <v>15.83</v>
      </c>
      <c r="F169" s="156">
        <f t="shared" si="101"/>
        <v>269.11</v>
      </c>
      <c r="G169" s="156"/>
      <c r="H169" s="156"/>
      <c r="I169" s="156">
        <f t="shared" si="106"/>
        <v>0</v>
      </c>
      <c r="J169" s="156">
        <f t="shared" si="107"/>
        <v>0</v>
      </c>
      <c r="K169" s="156">
        <f t="shared" si="108"/>
        <v>0</v>
      </c>
      <c r="L169" s="156">
        <f t="shared" si="109"/>
        <v>0</v>
      </c>
      <c r="M169" s="80"/>
      <c r="N169" s="81"/>
      <c r="O169" s="7"/>
      <c r="P169" s="80"/>
      <c r="Q169" s="80"/>
      <c r="R169" s="91"/>
      <c r="S169" s="8"/>
      <c r="T169" s="82"/>
      <c r="W169" s="10"/>
      <c r="X169" s="9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</row>
    <row r="170" spans="1:61" ht="28.5">
      <c r="A170" s="156" t="s">
        <v>251</v>
      </c>
      <c r="B170" s="157" t="s">
        <v>252</v>
      </c>
      <c r="C170" s="156" t="s">
        <v>7</v>
      </c>
      <c r="D170" s="156">
        <v>6</v>
      </c>
      <c r="E170" s="156">
        <v>25.08</v>
      </c>
      <c r="F170" s="156">
        <f t="shared" si="101"/>
        <v>150.47999999999999</v>
      </c>
      <c r="G170" s="156"/>
      <c r="H170" s="156"/>
      <c r="I170" s="156">
        <f t="shared" si="106"/>
        <v>0</v>
      </c>
      <c r="J170" s="156">
        <f t="shared" si="107"/>
        <v>0</v>
      </c>
      <c r="K170" s="156">
        <f t="shared" si="108"/>
        <v>0</v>
      </c>
      <c r="L170" s="156">
        <f t="shared" si="109"/>
        <v>0</v>
      </c>
      <c r="M170" s="80"/>
      <c r="N170" s="81"/>
      <c r="O170" s="7"/>
      <c r="P170" s="80"/>
      <c r="Q170" s="80"/>
      <c r="R170" s="91"/>
      <c r="S170" s="8"/>
      <c r="T170" s="82"/>
      <c r="W170" s="10"/>
      <c r="X170" s="9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</row>
    <row r="171" spans="1:61" ht="42.75">
      <c r="A171" s="156" t="s">
        <v>253</v>
      </c>
      <c r="B171" s="157" t="s">
        <v>254</v>
      </c>
      <c r="C171" s="156" t="s">
        <v>7</v>
      </c>
      <c r="D171" s="156">
        <v>24</v>
      </c>
      <c r="E171" s="156">
        <v>62.36</v>
      </c>
      <c r="F171" s="156">
        <f t="shared" si="101"/>
        <v>1496.6399999999999</v>
      </c>
      <c r="G171" s="156"/>
      <c r="H171" s="156"/>
      <c r="I171" s="156">
        <f t="shared" si="106"/>
        <v>0</v>
      </c>
      <c r="J171" s="156">
        <f t="shared" si="107"/>
        <v>0</v>
      </c>
      <c r="K171" s="156">
        <f t="shared" si="108"/>
        <v>0</v>
      </c>
      <c r="L171" s="156">
        <f t="shared" si="109"/>
        <v>0</v>
      </c>
      <c r="M171" s="80"/>
      <c r="N171" s="81"/>
      <c r="O171" s="7"/>
      <c r="P171" s="80"/>
      <c r="Q171" s="80"/>
      <c r="R171" s="91"/>
      <c r="S171" s="8"/>
      <c r="T171" s="82"/>
      <c r="W171" s="10"/>
      <c r="X171" s="9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</row>
    <row r="172" spans="1:61" ht="42.75">
      <c r="A172" s="156" t="s">
        <v>255</v>
      </c>
      <c r="B172" s="157" t="s">
        <v>256</v>
      </c>
      <c r="C172" s="156" t="s">
        <v>7</v>
      </c>
      <c r="D172" s="156">
        <v>53</v>
      </c>
      <c r="E172" s="156">
        <v>84.66</v>
      </c>
      <c r="F172" s="156">
        <f t="shared" si="101"/>
        <v>4486.9799999999996</v>
      </c>
      <c r="G172" s="156"/>
      <c r="H172" s="156"/>
      <c r="I172" s="156">
        <f t="shared" si="106"/>
        <v>0</v>
      </c>
      <c r="J172" s="156">
        <f t="shared" si="107"/>
        <v>0</v>
      </c>
      <c r="K172" s="156">
        <f t="shared" si="108"/>
        <v>0</v>
      </c>
      <c r="L172" s="156">
        <f t="shared" si="109"/>
        <v>0</v>
      </c>
      <c r="M172" s="80"/>
      <c r="N172" s="81"/>
      <c r="O172" s="7"/>
      <c r="P172" s="80"/>
      <c r="Q172" s="80"/>
      <c r="R172" s="91"/>
      <c r="S172" s="8"/>
      <c r="T172" s="82"/>
      <c r="W172" s="10"/>
      <c r="X172" s="9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</row>
    <row r="173" spans="1:61" ht="28.5">
      <c r="A173" s="156" t="s">
        <v>257</v>
      </c>
      <c r="B173" s="157" t="s">
        <v>258</v>
      </c>
      <c r="C173" s="156" t="s">
        <v>7</v>
      </c>
      <c r="D173" s="156">
        <v>8</v>
      </c>
      <c r="E173" s="156">
        <v>23.26</v>
      </c>
      <c r="F173" s="156">
        <f t="shared" si="101"/>
        <v>186.08</v>
      </c>
      <c r="G173" s="156"/>
      <c r="H173" s="156"/>
      <c r="I173" s="156">
        <f t="shared" si="106"/>
        <v>0</v>
      </c>
      <c r="J173" s="156">
        <f t="shared" si="107"/>
        <v>0</v>
      </c>
      <c r="K173" s="156">
        <f t="shared" si="108"/>
        <v>0</v>
      </c>
      <c r="L173" s="156">
        <f t="shared" si="109"/>
        <v>0</v>
      </c>
      <c r="M173" s="80"/>
      <c r="N173" s="81"/>
      <c r="O173" s="7"/>
      <c r="P173" s="80"/>
      <c r="Q173" s="80"/>
      <c r="R173" s="91"/>
      <c r="S173" s="8"/>
      <c r="T173" s="82"/>
      <c r="W173" s="10"/>
      <c r="X173" s="9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</row>
    <row r="174" spans="1:61" ht="42.75">
      <c r="A174" s="156" t="s">
        <v>259</v>
      </c>
      <c r="B174" s="157" t="s">
        <v>260</v>
      </c>
      <c r="C174" s="156" t="s">
        <v>7</v>
      </c>
      <c r="D174" s="156">
        <v>91</v>
      </c>
      <c r="E174" s="156">
        <v>90.03</v>
      </c>
      <c r="F174" s="156">
        <f t="shared" si="101"/>
        <v>8192.73</v>
      </c>
      <c r="G174" s="156"/>
      <c r="H174" s="156"/>
      <c r="I174" s="156">
        <f t="shared" si="106"/>
        <v>0</v>
      </c>
      <c r="J174" s="156">
        <f t="shared" si="107"/>
        <v>0</v>
      </c>
      <c r="K174" s="156">
        <f t="shared" si="108"/>
        <v>0</v>
      </c>
      <c r="L174" s="156">
        <f t="shared" si="109"/>
        <v>0</v>
      </c>
      <c r="M174" s="80"/>
      <c r="N174" s="81"/>
      <c r="O174" s="7"/>
      <c r="P174" s="80"/>
      <c r="Q174" s="80"/>
      <c r="R174" s="91"/>
      <c r="S174" s="8"/>
      <c r="T174" s="82"/>
      <c r="W174" s="10"/>
      <c r="X174" s="9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</row>
    <row r="175" spans="1:61" ht="28.5">
      <c r="A175" s="156" t="s">
        <v>261</v>
      </c>
      <c r="B175" s="157" t="s">
        <v>262</v>
      </c>
      <c r="C175" s="156" t="s">
        <v>7</v>
      </c>
      <c r="D175" s="156">
        <v>18</v>
      </c>
      <c r="E175" s="156">
        <v>110.51</v>
      </c>
      <c r="F175" s="156">
        <f t="shared" si="101"/>
        <v>1989.18</v>
      </c>
      <c r="G175" s="156"/>
      <c r="H175" s="156"/>
      <c r="I175" s="156">
        <f t="shared" si="106"/>
        <v>0</v>
      </c>
      <c r="J175" s="156">
        <f t="shared" si="107"/>
        <v>0</v>
      </c>
      <c r="K175" s="156">
        <f t="shared" si="108"/>
        <v>0</v>
      </c>
      <c r="L175" s="156">
        <f t="shared" si="109"/>
        <v>0</v>
      </c>
      <c r="M175" s="80"/>
      <c r="N175" s="81"/>
      <c r="O175" s="7"/>
      <c r="P175" s="80"/>
      <c r="Q175" s="80"/>
      <c r="R175" s="91"/>
      <c r="S175" s="8"/>
      <c r="T175" s="82"/>
      <c r="W175" s="10"/>
      <c r="X175" s="9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</row>
    <row r="176" spans="1:61" ht="28.5">
      <c r="A176" s="156" t="s">
        <v>263</v>
      </c>
      <c r="B176" s="157" t="s">
        <v>264</v>
      </c>
      <c r="C176" s="156" t="s">
        <v>7</v>
      </c>
      <c r="D176" s="156">
        <v>12</v>
      </c>
      <c r="E176" s="156">
        <v>117.49</v>
      </c>
      <c r="F176" s="156">
        <f t="shared" si="101"/>
        <v>1409.8799999999999</v>
      </c>
      <c r="G176" s="156"/>
      <c r="H176" s="156"/>
      <c r="I176" s="156">
        <f t="shared" si="106"/>
        <v>0</v>
      </c>
      <c r="J176" s="156">
        <f t="shared" si="107"/>
        <v>0</v>
      </c>
      <c r="K176" s="156">
        <f t="shared" si="108"/>
        <v>0</v>
      </c>
      <c r="L176" s="156">
        <f t="shared" si="109"/>
        <v>0</v>
      </c>
      <c r="M176" s="80"/>
      <c r="N176" s="81"/>
      <c r="O176" s="7"/>
      <c r="P176" s="80"/>
      <c r="Q176" s="80"/>
      <c r="R176" s="91"/>
      <c r="S176" s="8"/>
      <c r="T176" s="82"/>
      <c r="W176" s="10"/>
      <c r="X176" s="9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</row>
    <row r="177" spans="1:61" ht="42.75">
      <c r="A177" s="156" t="s">
        <v>265</v>
      </c>
      <c r="B177" s="157" t="s">
        <v>266</v>
      </c>
      <c r="C177" s="156" t="s">
        <v>7</v>
      </c>
      <c r="D177" s="156">
        <v>7</v>
      </c>
      <c r="E177" s="156">
        <v>167.48</v>
      </c>
      <c r="F177" s="156">
        <f t="shared" si="101"/>
        <v>1172.3599999999999</v>
      </c>
      <c r="G177" s="156"/>
      <c r="H177" s="156"/>
      <c r="I177" s="156">
        <f t="shared" si="106"/>
        <v>0</v>
      </c>
      <c r="J177" s="156">
        <f t="shared" si="107"/>
        <v>0</v>
      </c>
      <c r="K177" s="156">
        <f t="shared" si="108"/>
        <v>0</v>
      </c>
      <c r="L177" s="156">
        <f t="shared" si="109"/>
        <v>0</v>
      </c>
      <c r="M177" s="80"/>
      <c r="N177" s="81"/>
      <c r="O177" s="7"/>
      <c r="P177" s="80"/>
      <c r="Q177" s="80"/>
      <c r="R177" s="91"/>
      <c r="S177" s="8"/>
      <c r="T177" s="82"/>
      <c r="W177" s="10"/>
      <c r="X177" s="9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</row>
    <row r="178" spans="1:61" ht="42.75">
      <c r="A178" s="156" t="s">
        <v>267</v>
      </c>
      <c r="B178" s="157" t="s">
        <v>266</v>
      </c>
      <c r="C178" s="156" t="s">
        <v>7</v>
      </c>
      <c r="D178" s="156">
        <v>11</v>
      </c>
      <c r="E178" s="156">
        <v>167.48</v>
      </c>
      <c r="F178" s="156">
        <f t="shared" si="101"/>
        <v>1842.28</v>
      </c>
      <c r="G178" s="156"/>
      <c r="H178" s="156"/>
      <c r="I178" s="156">
        <f t="shared" si="106"/>
        <v>0</v>
      </c>
      <c r="J178" s="156">
        <f t="shared" si="107"/>
        <v>0</v>
      </c>
      <c r="K178" s="156">
        <f t="shared" si="108"/>
        <v>0</v>
      </c>
      <c r="L178" s="156">
        <f t="shared" si="109"/>
        <v>0</v>
      </c>
      <c r="M178" s="80"/>
      <c r="N178" s="81"/>
      <c r="O178" s="7"/>
      <c r="P178" s="80"/>
      <c r="Q178" s="80"/>
      <c r="R178" s="91"/>
      <c r="S178" s="8"/>
      <c r="T178" s="82"/>
      <c r="W178" s="10"/>
      <c r="X178" s="9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</row>
    <row r="179" spans="1:61" ht="42.75">
      <c r="A179" s="156" t="s">
        <v>268</v>
      </c>
      <c r="B179" s="157" t="s">
        <v>269</v>
      </c>
      <c r="C179" s="156" t="s">
        <v>7</v>
      </c>
      <c r="D179" s="156">
        <v>1</v>
      </c>
      <c r="E179" s="156">
        <v>424.3</v>
      </c>
      <c r="F179" s="156">
        <f t="shared" si="101"/>
        <v>424.3</v>
      </c>
      <c r="G179" s="156"/>
      <c r="H179" s="156"/>
      <c r="I179" s="156">
        <f t="shared" si="106"/>
        <v>0</v>
      </c>
      <c r="J179" s="156">
        <f t="shared" si="107"/>
        <v>0</v>
      </c>
      <c r="K179" s="156">
        <f t="shared" si="108"/>
        <v>0</v>
      </c>
      <c r="L179" s="156">
        <f t="shared" si="109"/>
        <v>0</v>
      </c>
      <c r="M179" s="80"/>
      <c r="N179" s="81"/>
      <c r="O179" s="7"/>
      <c r="P179" s="80"/>
      <c r="Q179" s="80"/>
      <c r="R179" s="91"/>
      <c r="S179" s="8"/>
      <c r="T179" s="82"/>
      <c r="W179" s="10"/>
      <c r="X179" s="9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</row>
    <row r="180" spans="1:61" ht="42.75">
      <c r="A180" s="156" t="s">
        <v>270</v>
      </c>
      <c r="B180" s="157" t="s">
        <v>271</v>
      </c>
      <c r="C180" s="156" t="s">
        <v>7</v>
      </c>
      <c r="D180" s="156">
        <v>1</v>
      </c>
      <c r="E180" s="156">
        <v>292.16000000000003</v>
      </c>
      <c r="F180" s="156">
        <f t="shared" si="101"/>
        <v>292.16000000000003</v>
      </c>
      <c r="G180" s="156"/>
      <c r="H180" s="156"/>
      <c r="I180" s="156">
        <f t="shared" si="106"/>
        <v>0</v>
      </c>
      <c r="J180" s="156">
        <f t="shared" si="107"/>
        <v>0</v>
      </c>
      <c r="K180" s="156">
        <f t="shared" si="108"/>
        <v>0</v>
      </c>
      <c r="L180" s="156">
        <f t="shared" si="109"/>
        <v>0</v>
      </c>
      <c r="M180" s="80"/>
      <c r="N180" s="81"/>
      <c r="O180" s="7"/>
      <c r="P180" s="80"/>
      <c r="Q180" s="80"/>
      <c r="R180" s="91"/>
      <c r="S180" s="8"/>
      <c r="T180" s="82"/>
      <c r="W180" s="10"/>
      <c r="X180" s="9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</row>
    <row r="181" spans="1:61" ht="18" customHeight="1">
      <c r="A181" s="156" t="s">
        <v>272</v>
      </c>
      <c r="B181" s="157" t="s">
        <v>273</v>
      </c>
      <c r="C181" s="156" t="s">
        <v>7</v>
      </c>
      <c r="D181" s="156">
        <v>3</v>
      </c>
      <c r="E181" s="156">
        <v>120.03</v>
      </c>
      <c r="F181" s="156">
        <f t="shared" si="101"/>
        <v>360.09000000000003</v>
      </c>
      <c r="G181" s="156"/>
      <c r="H181" s="156"/>
      <c r="I181" s="156">
        <f t="shared" si="106"/>
        <v>0</v>
      </c>
      <c r="J181" s="156">
        <f t="shared" si="107"/>
        <v>0</v>
      </c>
      <c r="K181" s="156">
        <f t="shared" si="108"/>
        <v>0</v>
      </c>
      <c r="L181" s="156">
        <f t="shared" si="109"/>
        <v>0</v>
      </c>
      <c r="M181" s="80"/>
      <c r="N181" s="81"/>
      <c r="O181" s="7"/>
      <c r="P181" s="80"/>
      <c r="Q181" s="80"/>
      <c r="R181" s="91"/>
      <c r="S181" s="8"/>
      <c r="T181" s="82"/>
      <c r="W181" s="10"/>
      <c r="X181" s="9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</row>
    <row r="182" spans="1:61" ht="28.5">
      <c r="A182" s="156" t="s">
        <v>274</v>
      </c>
      <c r="B182" s="157" t="s">
        <v>275</v>
      </c>
      <c r="C182" s="156" t="s">
        <v>232</v>
      </c>
      <c r="D182" s="156">
        <v>1</v>
      </c>
      <c r="E182" s="156">
        <v>239.87</v>
      </c>
      <c r="F182" s="156">
        <f t="shared" si="101"/>
        <v>239.87</v>
      </c>
      <c r="G182" s="156"/>
      <c r="H182" s="156"/>
      <c r="I182" s="156">
        <f t="shared" si="106"/>
        <v>0</v>
      </c>
      <c r="J182" s="156">
        <f t="shared" si="107"/>
        <v>0</v>
      </c>
      <c r="K182" s="156">
        <f t="shared" si="108"/>
        <v>0</v>
      </c>
      <c r="L182" s="156">
        <f t="shared" si="109"/>
        <v>0</v>
      </c>
      <c r="M182" s="80"/>
      <c r="N182" s="81"/>
      <c r="O182" s="7"/>
      <c r="P182" s="80"/>
      <c r="Q182" s="80"/>
      <c r="R182" s="91"/>
      <c r="S182" s="8"/>
      <c r="T182" s="82"/>
      <c r="W182" s="10"/>
      <c r="X182" s="9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</row>
    <row r="183" spans="1:61" ht="42.75">
      <c r="A183" s="156" t="s">
        <v>276</v>
      </c>
      <c r="B183" s="157" t="s">
        <v>277</v>
      </c>
      <c r="C183" s="156" t="s">
        <v>7</v>
      </c>
      <c r="D183" s="156">
        <v>1</v>
      </c>
      <c r="E183" s="156">
        <v>1383.09</v>
      </c>
      <c r="F183" s="156">
        <f t="shared" si="101"/>
        <v>1383.09</v>
      </c>
      <c r="G183" s="156"/>
      <c r="H183" s="156"/>
      <c r="I183" s="156">
        <f t="shared" si="106"/>
        <v>0</v>
      </c>
      <c r="J183" s="156">
        <f t="shared" si="107"/>
        <v>0</v>
      </c>
      <c r="K183" s="156">
        <f t="shared" si="108"/>
        <v>0</v>
      </c>
      <c r="L183" s="156">
        <f t="shared" si="109"/>
        <v>0</v>
      </c>
      <c r="M183" s="80"/>
      <c r="N183" s="81"/>
      <c r="O183" s="7"/>
      <c r="P183" s="80"/>
      <c r="Q183" s="80"/>
      <c r="R183" s="91"/>
      <c r="S183" s="8"/>
      <c r="T183" s="82"/>
      <c r="W183" s="10"/>
      <c r="X183" s="9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</row>
    <row r="184" spans="1:61" ht="28.5">
      <c r="A184" s="156" t="s">
        <v>278</v>
      </c>
      <c r="B184" s="157" t="s">
        <v>279</v>
      </c>
      <c r="C184" s="156" t="s">
        <v>7</v>
      </c>
      <c r="D184" s="156">
        <v>1</v>
      </c>
      <c r="E184" s="156">
        <v>15.07</v>
      </c>
      <c r="F184" s="156">
        <f t="shared" si="101"/>
        <v>15.07</v>
      </c>
      <c r="G184" s="156"/>
      <c r="H184" s="156"/>
      <c r="I184" s="156">
        <f t="shared" si="106"/>
        <v>0</v>
      </c>
      <c r="J184" s="156">
        <f t="shared" si="107"/>
        <v>0</v>
      </c>
      <c r="K184" s="156">
        <f t="shared" si="108"/>
        <v>0</v>
      </c>
      <c r="L184" s="156">
        <f t="shared" si="109"/>
        <v>0</v>
      </c>
      <c r="M184" s="80"/>
      <c r="N184" s="81"/>
      <c r="O184" s="7"/>
      <c r="P184" s="80"/>
      <c r="Q184" s="80"/>
      <c r="R184" s="91"/>
      <c r="S184" s="8"/>
      <c r="T184" s="82"/>
      <c r="W184" s="10"/>
      <c r="X184" s="9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</row>
    <row r="185" spans="1:61" ht="42.75">
      <c r="A185" s="156" t="s">
        <v>280</v>
      </c>
      <c r="B185" s="157" t="s">
        <v>281</v>
      </c>
      <c r="C185" s="156" t="s">
        <v>7</v>
      </c>
      <c r="D185" s="156">
        <v>1</v>
      </c>
      <c r="E185" s="156">
        <v>1197.9000000000001</v>
      </c>
      <c r="F185" s="156">
        <f t="shared" si="101"/>
        <v>1197.9000000000001</v>
      </c>
      <c r="G185" s="156"/>
      <c r="H185" s="156"/>
      <c r="I185" s="156">
        <f t="shared" si="106"/>
        <v>0</v>
      </c>
      <c r="J185" s="156">
        <f t="shared" si="107"/>
        <v>0</v>
      </c>
      <c r="K185" s="156">
        <f t="shared" si="108"/>
        <v>0</v>
      </c>
      <c r="L185" s="156">
        <f t="shared" si="109"/>
        <v>0</v>
      </c>
      <c r="M185" s="80"/>
      <c r="N185" s="81"/>
      <c r="O185" s="7"/>
      <c r="P185" s="80"/>
      <c r="Q185" s="80"/>
      <c r="R185" s="91"/>
      <c r="S185" s="8"/>
      <c r="T185" s="82"/>
      <c r="W185" s="10"/>
      <c r="X185" s="9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</row>
    <row r="186" spans="1:61">
      <c r="A186" s="156"/>
      <c r="B186" s="154"/>
      <c r="C186" s="156"/>
      <c r="D186" s="156"/>
      <c r="E186" s="156"/>
      <c r="F186" s="156"/>
      <c r="G186" s="156"/>
      <c r="H186" s="156"/>
      <c r="I186" s="156"/>
      <c r="J186" s="156"/>
      <c r="K186" s="156"/>
      <c r="L186" s="156"/>
      <c r="M186" s="80"/>
      <c r="N186" s="81"/>
      <c r="O186" s="7"/>
      <c r="P186" s="80"/>
      <c r="Q186" s="80"/>
      <c r="R186" s="91"/>
      <c r="S186" s="8"/>
      <c r="T186" s="82"/>
      <c r="W186" s="10"/>
      <c r="X186" s="9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</row>
    <row r="187" spans="1:61" s="87" customFormat="1">
      <c r="A187" s="164" t="s">
        <v>282</v>
      </c>
      <c r="B187" s="165" t="s">
        <v>283</v>
      </c>
      <c r="C187" s="166"/>
      <c r="D187" s="167"/>
      <c r="E187" s="166"/>
      <c r="F187" s="166">
        <f>SUM(F189:F195)</f>
        <v>7637.2927999999993</v>
      </c>
      <c r="G187" s="166"/>
      <c r="H187" s="166"/>
      <c r="I187" s="166"/>
      <c r="J187" s="166">
        <f>SUM(J189:J195)</f>
        <v>0</v>
      </c>
      <c r="K187" s="166">
        <f>SUM(K189:K195)</f>
        <v>0</v>
      </c>
      <c r="L187" s="166">
        <f>SUM(L189:L195)</f>
        <v>0</v>
      </c>
      <c r="M187" s="97"/>
      <c r="N187" s="98"/>
      <c r="O187" s="7"/>
      <c r="P187" s="97"/>
      <c r="Q187" s="97"/>
      <c r="R187" s="79"/>
      <c r="S187" s="16"/>
      <c r="T187" s="82"/>
      <c r="U187" s="14"/>
      <c r="V187" s="14"/>
      <c r="W187" s="84"/>
      <c r="X187" s="83"/>
      <c r="Y187" s="85"/>
      <c r="Z187" s="85"/>
      <c r="AA187" s="85"/>
      <c r="AB187" s="85"/>
      <c r="AC187" s="85"/>
      <c r="AD187" s="85"/>
      <c r="AE187" s="85"/>
      <c r="AF187" s="85"/>
      <c r="AG187" s="85"/>
      <c r="AH187" s="85"/>
      <c r="AI187" s="85"/>
      <c r="AJ187" s="85"/>
      <c r="AK187" s="86"/>
      <c r="AL187" s="86"/>
      <c r="AM187" s="86"/>
      <c r="AN187" s="86"/>
      <c r="AO187" s="86"/>
      <c r="AP187" s="86"/>
      <c r="AQ187" s="86"/>
      <c r="AR187" s="86"/>
      <c r="AS187" s="86"/>
      <c r="AT187" s="86"/>
      <c r="AU187" s="86"/>
      <c r="AV187" s="86"/>
      <c r="AW187" s="86"/>
      <c r="AX187" s="86"/>
      <c r="AY187" s="86"/>
      <c r="AZ187" s="86"/>
      <c r="BA187" s="86"/>
      <c r="BB187" s="86"/>
      <c r="BC187" s="86"/>
      <c r="BD187" s="86"/>
      <c r="BE187" s="86"/>
      <c r="BF187" s="86"/>
      <c r="BG187" s="86"/>
      <c r="BH187" s="86"/>
      <c r="BI187" s="86"/>
    </row>
    <row r="188" spans="1:61">
      <c r="A188" s="156"/>
      <c r="B188" s="154"/>
      <c r="C188" s="156"/>
      <c r="D188" s="156"/>
      <c r="E188" s="156"/>
      <c r="F188" s="156"/>
      <c r="G188" s="156"/>
      <c r="H188" s="156"/>
      <c r="I188" s="156"/>
      <c r="J188" s="156"/>
      <c r="K188" s="156"/>
      <c r="L188" s="156"/>
      <c r="M188" s="80"/>
      <c r="N188" s="81"/>
      <c r="O188" s="7"/>
      <c r="P188" s="80"/>
      <c r="Q188" s="80"/>
      <c r="R188" s="91"/>
      <c r="S188" s="8"/>
      <c r="T188" s="82"/>
      <c r="W188" s="10"/>
      <c r="X188" s="9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</row>
    <row r="189" spans="1:61" ht="42.75">
      <c r="A189" s="156" t="s">
        <v>284</v>
      </c>
      <c r="B189" s="157" t="s">
        <v>285</v>
      </c>
      <c r="C189" s="156" t="s">
        <v>7</v>
      </c>
      <c r="D189" s="156">
        <v>30</v>
      </c>
      <c r="E189" s="156">
        <v>12.84</v>
      </c>
      <c r="F189" s="156">
        <f t="shared" ref="F189:F195" si="110">D189*E189</f>
        <v>385.2</v>
      </c>
      <c r="G189" s="156"/>
      <c r="H189" s="156"/>
      <c r="I189" s="156">
        <f t="shared" ref="I189" si="111">G189+H189</f>
        <v>0</v>
      </c>
      <c r="J189" s="156">
        <f t="shared" ref="J189" si="112">E189*G189</f>
        <v>0</v>
      </c>
      <c r="K189" s="156">
        <f t="shared" ref="K189" si="113">H189*E189</f>
        <v>0</v>
      </c>
      <c r="L189" s="156">
        <f t="shared" ref="L189" si="114">J189+K189</f>
        <v>0</v>
      </c>
      <c r="M189" s="80"/>
      <c r="N189" s="81"/>
      <c r="O189" s="7"/>
      <c r="P189" s="80"/>
      <c r="Q189" s="80"/>
      <c r="R189" s="91"/>
      <c r="S189" s="8"/>
      <c r="T189" s="82"/>
      <c r="W189" s="10"/>
      <c r="X189" s="9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</row>
    <row r="190" spans="1:61">
      <c r="A190" s="156" t="s">
        <v>286</v>
      </c>
      <c r="B190" s="157" t="s">
        <v>287</v>
      </c>
      <c r="C190" s="156" t="s">
        <v>7</v>
      </c>
      <c r="D190" s="156">
        <v>1</v>
      </c>
      <c r="E190" s="156">
        <v>1146.02</v>
      </c>
      <c r="F190" s="156">
        <f t="shared" si="110"/>
        <v>1146.02</v>
      </c>
      <c r="G190" s="156"/>
      <c r="H190" s="156"/>
      <c r="I190" s="156">
        <f t="shared" ref="I190:I195" si="115">G190+H190</f>
        <v>0</v>
      </c>
      <c r="J190" s="156">
        <f t="shared" ref="J190:J195" si="116">E190*G190</f>
        <v>0</v>
      </c>
      <c r="K190" s="156">
        <f t="shared" ref="K190:K195" si="117">H190*E190</f>
        <v>0</v>
      </c>
      <c r="L190" s="156">
        <f t="shared" ref="L190:L195" si="118">J190+K190</f>
        <v>0</v>
      </c>
      <c r="M190" s="80"/>
      <c r="N190" s="81"/>
      <c r="O190" s="7"/>
      <c r="P190" s="80"/>
      <c r="Q190" s="80"/>
      <c r="R190" s="91"/>
      <c r="S190" s="8"/>
      <c r="T190" s="82"/>
      <c r="W190" s="10"/>
      <c r="X190" s="9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</row>
    <row r="191" spans="1:61">
      <c r="A191" s="156" t="s">
        <v>288</v>
      </c>
      <c r="B191" s="157" t="s">
        <v>289</v>
      </c>
      <c r="C191" s="156" t="s">
        <v>7</v>
      </c>
      <c r="D191" s="156">
        <v>2</v>
      </c>
      <c r="E191" s="156">
        <v>410.9</v>
      </c>
      <c r="F191" s="156">
        <f t="shared" si="110"/>
        <v>821.8</v>
      </c>
      <c r="G191" s="156"/>
      <c r="H191" s="156"/>
      <c r="I191" s="156">
        <f t="shared" si="115"/>
        <v>0</v>
      </c>
      <c r="J191" s="156">
        <f t="shared" si="116"/>
        <v>0</v>
      </c>
      <c r="K191" s="156">
        <f t="shared" si="117"/>
        <v>0</v>
      </c>
      <c r="L191" s="156">
        <f t="shared" si="118"/>
        <v>0</v>
      </c>
      <c r="M191" s="96"/>
      <c r="N191" s="81"/>
      <c r="O191" s="7"/>
      <c r="P191" s="80"/>
      <c r="Q191" s="80"/>
      <c r="R191" s="91"/>
      <c r="S191" s="8"/>
      <c r="T191" s="82"/>
      <c r="W191" s="10"/>
      <c r="X191" s="9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</row>
    <row r="192" spans="1:61">
      <c r="A192" s="156" t="s">
        <v>290</v>
      </c>
      <c r="B192" s="157" t="s">
        <v>289</v>
      </c>
      <c r="C192" s="156" t="s">
        <v>7</v>
      </c>
      <c r="D192" s="156">
        <v>1</v>
      </c>
      <c r="E192" s="156">
        <v>410.9</v>
      </c>
      <c r="F192" s="156">
        <f t="shared" si="110"/>
        <v>410.9</v>
      </c>
      <c r="G192" s="156"/>
      <c r="H192" s="156"/>
      <c r="I192" s="156">
        <f t="shared" si="115"/>
        <v>0</v>
      </c>
      <c r="J192" s="156">
        <f t="shared" si="116"/>
        <v>0</v>
      </c>
      <c r="K192" s="156">
        <f t="shared" si="117"/>
        <v>0</v>
      </c>
      <c r="L192" s="156">
        <f t="shared" si="118"/>
        <v>0</v>
      </c>
      <c r="M192" s="80"/>
      <c r="N192" s="81"/>
      <c r="O192" s="7"/>
      <c r="P192" s="80"/>
      <c r="Q192" s="80"/>
      <c r="R192" s="91"/>
      <c r="S192" s="8"/>
      <c r="T192" s="82"/>
      <c r="W192" s="10"/>
      <c r="X192" s="9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</row>
    <row r="193" spans="1:61">
      <c r="A193" s="156" t="s">
        <v>291</v>
      </c>
      <c r="B193" s="158" t="s">
        <v>292</v>
      </c>
      <c r="C193" s="156" t="s">
        <v>16</v>
      </c>
      <c r="D193" s="156">
        <v>15.36</v>
      </c>
      <c r="E193" s="156">
        <v>284.23</v>
      </c>
      <c r="F193" s="156">
        <f t="shared" si="110"/>
        <v>4365.7727999999997</v>
      </c>
      <c r="G193" s="156"/>
      <c r="H193" s="156"/>
      <c r="I193" s="156">
        <f t="shared" si="115"/>
        <v>0</v>
      </c>
      <c r="J193" s="156">
        <f t="shared" si="116"/>
        <v>0</v>
      </c>
      <c r="K193" s="156">
        <f t="shared" si="117"/>
        <v>0</v>
      </c>
      <c r="L193" s="156">
        <f t="shared" si="118"/>
        <v>0</v>
      </c>
      <c r="M193" s="80"/>
      <c r="N193" s="81"/>
      <c r="O193" s="7"/>
      <c r="P193" s="80"/>
      <c r="Q193" s="80"/>
      <c r="R193" s="91"/>
      <c r="S193" s="8"/>
      <c r="T193" s="82"/>
      <c r="W193" s="10"/>
      <c r="X193" s="9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</row>
    <row r="194" spans="1:61" ht="28.5">
      <c r="A194" s="156" t="s">
        <v>293</v>
      </c>
      <c r="B194" s="157" t="s">
        <v>294</v>
      </c>
      <c r="C194" s="156" t="s">
        <v>7</v>
      </c>
      <c r="D194" s="156">
        <v>1</v>
      </c>
      <c r="E194" s="156">
        <v>171.9</v>
      </c>
      <c r="F194" s="156">
        <f t="shared" si="110"/>
        <v>171.9</v>
      </c>
      <c r="G194" s="156"/>
      <c r="H194" s="156"/>
      <c r="I194" s="156">
        <f t="shared" si="115"/>
        <v>0</v>
      </c>
      <c r="J194" s="156">
        <f t="shared" si="116"/>
        <v>0</v>
      </c>
      <c r="K194" s="156">
        <f t="shared" si="117"/>
        <v>0</v>
      </c>
      <c r="L194" s="156">
        <f t="shared" si="118"/>
        <v>0</v>
      </c>
      <c r="M194" s="80"/>
      <c r="N194" s="81"/>
      <c r="O194" s="7"/>
      <c r="P194" s="80"/>
      <c r="Q194" s="80"/>
      <c r="R194" s="91"/>
      <c r="S194" s="8"/>
      <c r="T194" s="82"/>
      <c r="W194" s="10"/>
      <c r="X194" s="9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</row>
    <row r="195" spans="1:61" ht="28.5">
      <c r="A195" s="156" t="s">
        <v>295</v>
      </c>
      <c r="B195" s="157" t="s">
        <v>296</v>
      </c>
      <c r="C195" s="156" t="s">
        <v>7</v>
      </c>
      <c r="D195" s="156">
        <v>2</v>
      </c>
      <c r="E195" s="156">
        <v>167.85</v>
      </c>
      <c r="F195" s="156">
        <f t="shared" si="110"/>
        <v>335.7</v>
      </c>
      <c r="G195" s="156"/>
      <c r="H195" s="156"/>
      <c r="I195" s="156">
        <f t="shared" si="115"/>
        <v>0</v>
      </c>
      <c r="J195" s="156">
        <f t="shared" si="116"/>
        <v>0</v>
      </c>
      <c r="K195" s="156">
        <f t="shared" si="117"/>
        <v>0</v>
      </c>
      <c r="L195" s="156">
        <f t="shared" si="118"/>
        <v>0</v>
      </c>
      <c r="M195" s="80"/>
      <c r="N195" s="81"/>
      <c r="O195" s="7"/>
      <c r="P195" s="80"/>
      <c r="Q195" s="80"/>
      <c r="R195" s="91"/>
      <c r="S195" s="8"/>
      <c r="T195" s="82"/>
      <c r="W195" s="10"/>
      <c r="X195" s="9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</row>
    <row r="196" spans="1:61">
      <c r="A196" s="156"/>
      <c r="B196" s="154"/>
      <c r="C196" s="156"/>
      <c r="D196" s="156"/>
      <c r="E196" s="156"/>
      <c r="F196" s="156"/>
      <c r="G196" s="156"/>
      <c r="H196" s="156"/>
      <c r="I196" s="156"/>
      <c r="J196" s="156"/>
      <c r="K196" s="156"/>
      <c r="L196" s="156"/>
      <c r="M196" s="80"/>
      <c r="N196" s="81"/>
      <c r="O196" s="7"/>
      <c r="P196" s="80"/>
      <c r="Q196" s="80"/>
      <c r="R196" s="91"/>
      <c r="S196" s="8"/>
      <c r="T196" s="82"/>
      <c r="W196" s="10"/>
      <c r="X196" s="9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</row>
    <row r="197" spans="1:61" s="87" customFormat="1">
      <c r="A197" s="164" t="s">
        <v>297</v>
      </c>
      <c r="B197" s="165" t="s">
        <v>298</v>
      </c>
      <c r="C197" s="166"/>
      <c r="D197" s="167"/>
      <c r="E197" s="166"/>
      <c r="F197" s="166">
        <f>SUM(F199:F200)</f>
        <v>2055.0042000000003</v>
      </c>
      <c r="G197" s="166"/>
      <c r="H197" s="166"/>
      <c r="I197" s="166"/>
      <c r="J197" s="166">
        <f>SUM(J199:J200)</f>
        <v>0</v>
      </c>
      <c r="K197" s="166">
        <f>SUM(K199:K200)</f>
        <v>0</v>
      </c>
      <c r="L197" s="166">
        <f>SUM(L199:L200)</f>
        <v>0</v>
      </c>
      <c r="M197" s="97"/>
      <c r="N197" s="98"/>
      <c r="O197" s="7"/>
      <c r="P197" s="97"/>
      <c r="Q197" s="97"/>
      <c r="R197" s="79"/>
      <c r="S197" s="16"/>
      <c r="T197" s="82"/>
      <c r="U197" s="14"/>
      <c r="V197" s="14"/>
      <c r="W197" s="84"/>
      <c r="X197" s="83"/>
      <c r="Y197" s="85"/>
      <c r="Z197" s="85"/>
      <c r="AA197" s="85"/>
      <c r="AB197" s="85"/>
      <c r="AC197" s="85"/>
      <c r="AD197" s="85"/>
      <c r="AE197" s="85"/>
      <c r="AF197" s="85"/>
      <c r="AG197" s="85"/>
      <c r="AH197" s="85"/>
      <c r="AI197" s="85"/>
      <c r="AJ197" s="85"/>
      <c r="AK197" s="86"/>
      <c r="AL197" s="86"/>
      <c r="AM197" s="86"/>
      <c r="AN197" s="86"/>
      <c r="AO197" s="86"/>
      <c r="AP197" s="86"/>
      <c r="AQ197" s="86"/>
      <c r="AR197" s="86"/>
      <c r="AS197" s="86"/>
      <c r="AT197" s="86"/>
      <c r="AU197" s="86"/>
      <c r="AV197" s="86"/>
      <c r="AW197" s="86"/>
      <c r="AX197" s="86"/>
      <c r="AY197" s="86"/>
      <c r="AZ197" s="86"/>
      <c r="BA197" s="86"/>
      <c r="BB197" s="86"/>
      <c r="BC197" s="86"/>
      <c r="BD197" s="86"/>
      <c r="BE197" s="86"/>
      <c r="BF197" s="86"/>
      <c r="BG197" s="86"/>
      <c r="BH197" s="86"/>
      <c r="BI197" s="86"/>
    </row>
    <row r="198" spans="1:61">
      <c r="A198" s="156"/>
      <c r="B198" s="154"/>
      <c r="C198" s="156"/>
      <c r="D198" s="156"/>
      <c r="E198" s="156"/>
      <c r="F198" s="156"/>
      <c r="G198" s="156"/>
      <c r="H198" s="156"/>
      <c r="I198" s="156"/>
      <c r="J198" s="156"/>
      <c r="K198" s="156"/>
      <c r="L198" s="156"/>
      <c r="M198" s="80"/>
      <c r="N198" s="81"/>
      <c r="O198" s="7"/>
      <c r="P198" s="80"/>
      <c r="Q198" s="80"/>
      <c r="R198" s="91"/>
      <c r="S198" s="8"/>
      <c r="T198" s="82"/>
      <c r="W198" s="10"/>
      <c r="X198" s="9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</row>
    <row r="199" spans="1:61">
      <c r="A199" s="156" t="s">
        <v>299</v>
      </c>
      <c r="B199" s="158" t="s">
        <v>300</v>
      </c>
      <c r="C199" s="156" t="s">
        <v>16</v>
      </c>
      <c r="D199" s="156">
        <v>604</v>
      </c>
      <c r="E199" s="156">
        <v>1.73</v>
      </c>
      <c r="F199" s="156">
        <f t="shared" ref="F199:F200" si="119">D199*E199</f>
        <v>1044.92</v>
      </c>
      <c r="G199" s="156"/>
      <c r="H199" s="156"/>
      <c r="I199" s="156">
        <f t="shared" ref="I199:I200" si="120">G199+H199</f>
        <v>0</v>
      </c>
      <c r="J199" s="156">
        <f t="shared" ref="J199:J200" si="121">E199*G199</f>
        <v>0</v>
      </c>
      <c r="K199" s="156">
        <f t="shared" ref="K199:K200" si="122">H199*E199</f>
        <v>0</v>
      </c>
      <c r="L199" s="156">
        <f t="shared" ref="L199:L200" si="123">J199+K199</f>
        <v>0</v>
      </c>
      <c r="M199" s="80"/>
      <c r="N199" s="81"/>
      <c r="O199" s="7"/>
      <c r="P199" s="80"/>
      <c r="Q199" s="80"/>
      <c r="R199" s="91"/>
      <c r="S199" s="8"/>
      <c r="T199" s="82"/>
      <c r="W199" s="10"/>
      <c r="X199" s="9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</row>
    <row r="200" spans="1:61" ht="28.5">
      <c r="A200" s="156" t="s">
        <v>301</v>
      </c>
      <c r="B200" s="157" t="s">
        <v>302</v>
      </c>
      <c r="C200" s="156" t="s">
        <v>17</v>
      </c>
      <c r="D200" s="156">
        <v>81.59</v>
      </c>
      <c r="E200" s="156">
        <v>12.38</v>
      </c>
      <c r="F200" s="156">
        <f t="shared" si="119"/>
        <v>1010.0842000000001</v>
      </c>
      <c r="G200" s="156"/>
      <c r="H200" s="156"/>
      <c r="I200" s="156">
        <f t="shared" si="120"/>
        <v>0</v>
      </c>
      <c r="J200" s="156">
        <f t="shared" si="121"/>
        <v>0</v>
      </c>
      <c r="K200" s="156">
        <f t="shared" si="122"/>
        <v>0</v>
      </c>
      <c r="L200" s="156">
        <f t="shared" si="123"/>
        <v>0</v>
      </c>
      <c r="M200" s="80"/>
      <c r="N200" s="81"/>
      <c r="O200" s="7"/>
      <c r="P200" s="80"/>
      <c r="Q200" s="80"/>
      <c r="R200" s="91"/>
      <c r="S200" s="8"/>
      <c r="T200" s="82"/>
      <c r="W200" s="10"/>
      <c r="X200" s="9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</row>
    <row r="201" spans="1:61" ht="14.25" customHeight="1">
      <c r="A201" s="156"/>
      <c r="B201" s="154"/>
      <c r="C201" s="156"/>
      <c r="D201" s="156"/>
      <c r="E201" s="156"/>
      <c r="F201" s="156"/>
      <c r="G201" s="156"/>
      <c r="H201" s="156"/>
      <c r="I201" s="156"/>
      <c r="J201" s="156"/>
      <c r="K201" s="156"/>
      <c r="L201" s="156"/>
      <c r="M201" s="80"/>
      <c r="N201" s="81"/>
      <c r="O201" s="7"/>
      <c r="P201" s="80"/>
      <c r="Q201" s="80"/>
      <c r="R201" s="91"/>
      <c r="S201" s="8"/>
      <c r="T201" s="82"/>
      <c r="W201" s="10"/>
      <c r="X201" s="9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</row>
    <row r="202" spans="1:61" ht="14.25" customHeight="1">
      <c r="A202" s="262" t="s">
        <v>303</v>
      </c>
      <c r="B202" s="262"/>
      <c r="C202" s="262"/>
      <c r="D202" s="262"/>
      <c r="E202" s="262"/>
      <c r="F202" s="262"/>
      <c r="G202" s="262"/>
      <c r="H202" s="262"/>
      <c r="I202" s="262"/>
      <c r="J202" s="262"/>
      <c r="K202" s="262"/>
      <c r="L202" s="262"/>
      <c r="M202" s="80"/>
      <c r="N202" s="81"/>
      <c r="O202" s="7"/>
      <c r="P202" s="80"/>
      <c r="Q202" s="80"/>
      <c r="R202" s="91"/>
      <c r="S202" s="8"/>
      <c r="T202" s="82"/>
      <c r="W202" s="10"/>
      <c r="X202" s="9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</row>
    <row r="203" spans="1:61" ht="14.25" customHeight="1">
      <c r="A203" s="262"/>
      <c r="B203" s="262"/>
      <c r="C203" s="262"/>
      <c r="D203" s="262"/>
      <c r="E203" s="262"/>
      <c r="F203" s="262"/>
      <c r="G203" s="262"/>
      <c r="H203" s="262"/>
      <c r="I203" s="262"/>
      <c r="J203" s="262"/>
      <c r="K203" s="262"/>
      <c r="L203" s="262"/>
      <c r="M203" s="80"/>
      <c r="N203" s="81"/>
      <c r="O203" s="7"/>
      <c r="P203" s="80"/>
      <c r="Q203" s="80"/>
      <c r="R203" s="91"/>
      <c r="S203" s="8"/>
      <c r="T203" s="82"/>
      <c r="W203" s="10"/>
      <c r="X203" s="9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</row>
    <row r="204" spans="1:61" s="87" customFormat="1">
      <c r="A204" s="164" t="s">
        <v>11</v>
      </c>
      <c r="B204" s="165" t="s">
        <v>0</v>
      </c>
      <c r="C204" s="166"/>
      <c r="D204" s="167"/>
      <c r="E204" s="166"/>
      <c r="F204" s="166">
        <f>F206</f>
        <v>1165.1199999999999</v>
      </c>
      <c r="G204" s="166"/>
      <c r="H204" s="166"/>
      <c r="I204" s="166"/>
      <c r="J204" s="166">
        <f>J206</f>
        <v>0</v>
      </c>
      <c r="K204" s="166">
        <f>K206</f>
        <v>1165.1199999999999</v>
      </c>
      <c r="L204" s="166">
        <f>L206</f>
        <v>1165.1199999999999</v>
      </c>
      <c r="M204" s="97"/>
      <c r="N204" s="98"/>
      <c r="O204" s="7"/>
      <c r="P204" s="97"/>
      <c r="Q204" s="97"/>
      <c r="R204" s="79"/>
      <c r="S204" s="16"/>
      <c r="T204" s="82"/>
      <c r="U204" s="14"/>
      <c r="V204" s="14"/>
      <c r="W204" s="84"/>
      <c r="X204" s="83"/>
      <c r="Y204" s="85"/>
      <c r="Z204" s="85"/>
      <c r="AA204" s="85"/>
      <c r="AB204" s="85"/>
      <c r="AC204" s="85"/>
      <c r="AD204" s="85"/>
      <c r="AE204" s="85"/>
      <c r="AF204" s="85"/>
      <c r="AG204" s="85"/>
      <c r="AH204" s="85"/>
      <c r="AI204" s="85"/>
      <c r="AJ204" s="85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</row>
    <row r="205" spans="1:61" ht="14.25" customHeight="1">
      <c r="A205" s="156"/>
      <c r="B205" s="154"/>
      <c r="C205" s="156"/>
      <c r="D205" s="156"/>
      <c r="E205" s="156"/>
      <c r="F205" s="156"/>
      <c r="G205" s="156"/>
      <c r="H205" s="156"/>
      <c r="I205" s="156"/>
      <c r="J205" s="156"/>
      <c r="K205" s="156"/>
      <c r="L205" s="156"/>
      <c r="M205" s="80"/>
      <c r="N205" s="81"/>
      <c r="O205" s="7"/>
      <c r="P205" s="80"/>
      <c r="Q205" s="80"/>
      <c r="R205" s="91"/>
      <c r="S205" s="8"/>
      <c r="T205" s="82"/>
      <c r="W205" s="10"/>
      <c r="X205" s="9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</row>
    <row r="206" spans="1:61" ht="28.5">
      <c r="A206" s="156" t="s">
        <v>304</v>
      </c>
      <c r="B206" s="157" t="s">
        <v>305</v>
      </c>
      <c r="C206" s="156" t="s">
        <v>5</v>
      </c>
      <c r="D206" s="156">
        <v>32</v>
      </c>
      <c r="E206" s="156">
        <v>36.409999999999997</v>
      </c>
      <c r="F206" s="156">
        <f t="shared" ref="F206" si="124">D206*E206</f>
        <v>1165.1199999999999</v>
      </c>
      <c r="G206" s="156"/>
      <c r="H206" s="156">
        <f>'MEMORIA BM 02'!L542</f>
        <v>32</v>
      </c>
      <c r="I206" s="156">
        <f t="shared" ref="I206" si="125">G206+H206</f>
        <v>32</v>
      </c>
      <c r="J206" s="156">
        <f t="shared" ref="J206" si="126">E206*G206</f>
        <v>0</v>
      </c>
      <c r="K206" s="156">
        <f t="shared" ref="K206" si="127">H206*E206</f>
        <v>1165.1199999999999</v>
      </c>
      <c r="L206" s="156">
        <f t="shared" ref="L206" si="128">J206+K206</f>
        <v>1165.1199999999999</v>
      </c>
      <c r="M206" s="80"/>
      <c r="N206" s="81"/>
      <c r="O206" s="7"/>
      <c r="P206" s="80"/>
      <c r="Q206" s="80"/>
      <c r="R206" s="91"/>
      <c r="S206" s="8"/>
      <c r="T206" s="82"/>
      <c r="W206" s="10"/>
      <c r="X206" s="9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</row>
    <row r="207" spans="1:61" ht="14.25" customHeight="1">
      <c r="A207" s="156"/>
      <c r="B207" s="154"/>
      <c r="C207" s="156"/>
      <c r="D207" s="156"/>
      <c r="E207" s="156"/>
      <c r="F207" s="156"/>
      <c r="G207" s="156"/>
      <c r="H207" s="156"/>
      <c r="I207" s="156"/>
      <c r="J207" s="156"/>
      <c r="K207" s="156"/>
      <c r="L207" s="156"/>
      <c r="M207" s="80"/>
      <c r="N207" s="81"/>
      <c r="O207" s="7"/>
      <c r="P207" s="80"/>
      <c r="Q207" s="80"/>
      <c r="R207" s="91"/>
      <c r="S207" s="8"/>
      <c r="T207" s="82"/>
      <c r="W207" s="10"/>
      <c r="X207" s="9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</row>
    <row r="208" spans="1:61" ht="14.25" customHeight="1">
      <c r="A208" s="164" t="s">
        <v>13</v>
      </c>
      <c r="B208" s="165" t="s">
        <v>12</v>
      </c>
      <c r="C208" s="166"/>
      <c r="D208" s="167"/>
      <c r="E208" s="166"/>
      <c r="F208" s="166">
        <f>SUM(F210:F211)</f>
        <v>1010.024</v>
      </c>
      <c r="G208" s="166"/>
      <c r="H208" s="166"/>
      <c r="I208" s="166"/>
      <c r="J208" s="166">
        <f>SUM(J210:J211)</f>
        <v>0</v>
      </c>
      <c r="K208" s="166">
        <f>SUM(K210:K211)</f>
        <v>1010.024</v>
      </c>
      <c r="L208" s="166">
        <f>SUM(L210:L211)</f>
        <v>1010.024</v>
      </c>
      <c r="M208" s="80"/>
      <c r="N208" s="81"/>
      <c r="O208" s="7"/>
      <c r="P208" s="80"/>
      <c r="Q208" s="80"/>
      <c r="R208" s="91"/>
      <c r="S208" s="8"/>
      <c r="T208" s="82"/>
      <c r="W208" s="10"/>
      <c r="X208" s="9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</row>
    <row r="209" spans="1:61" ht="14.25" customHeight="1">
      <c r="A209" s="156"/>
      <c r="B209" s="154"/>
      <c r="C209" s="156"/>
      <c r="D209" s="156"/>
      <c r="E209" s="156"/>
      <c r="F209" s="156"/>
      <c r="G209" s="156"/>
      <c r="H209" s="156"/>
      <c r="I209" s="156"/>
      <c r="J209" s="156"/>
      <c r="K209" s="156"/>
      <c r="L209" s="156"/>
      <c r="M209" s="80"/>
      <c r="N209" s="81"/>
      <c r="O209" s="7"/>
      <c r="P209" s="80"/>
      <c r="Q209" s="80"/>
      <c r="R209" s="91"/>
      <c r="S209" s="8"/>
      <c r="T209" s="82"/>
      <c r="W209" s="10"/>
      <c r="X209" s="9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</row>
    <row r="210" spans="1:61" ht="28.5">
      <c r="A210" s="156" t="s">
        <v>306</v>
      </c>
      <c r="B210" s="157" t="s">
        <v>52</v>
      </c>
      <c r="C210" s="156" t="s">
        <v>17</v>
      </c>
      <c r="D210" s="156">
        <v>18.2</v>
      </c>
      <c r="E210" s="156">
        <v>8.32</v>
      </c>
      <c r="F210" s="156">
        <f t="shared" ref="F210:F211" si="129">D210*E210</f>
        <v>151.42400000000001</v>
      </c>
      <c r="G210" s="156"/>
      <c r="H210" s="156">
        <f>'MEMORIA BM 02'!L547</f>
        <v>18.2</v>
      </c>
      <c r="I210" s="156">
        <f t="shared" ref="I210:I211" si="130">G210+H210</f>
        <v>18.2</v>
      </c>
      <c r="J210" s="156">
        <f t="shared" ref="J210:J211" si="131">E210*G210</f>
        <v>0</v>
      </c>
      <c r="K210" s="156">
        <f t="shared" ref="K210:K211" si="132">H210*E210</f>
        <v>151.42400000000001</v>
      </c>
      <c r="L210" s="156">
        <f t="shared" ref="L210:L211" si="133">J210+K210</f>
        <v>151.42400000000001</v>
      </c>
      <c r="M210" s="80"/>
      <c r="N210" s="81"/>
      <c r="O210" s="7"/>
      <c r="P210" s="80"/>
      <c r="Q210" s="80"/>
      <c r="R210" s="91"/>
      <c r="S210" s="8"/>
      <c r="T210" s="82"/>
      <c r="W210" s="10"/>
      <c r="X210" s="9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</row>
    <row r="211" spans="1:61" ht="28.5">
      <c r="A211" s="156" t="s">
        <v>307</v>
      </c>
      <c r="B211" s="157" t="s">
        <v>59</v>
      </c>
      <c r="C211" s="156" t="s">
        <v>17</v>
      </c>
      <c r="D211" s="156">
        <v>2.5</v>
      </c>
      <c r="E211" s="156">
        <v>343.44</v>
      </c>
      <c r="F211" s="156">
        <f t="shared" si="129"/>
        <v>858.6</v>
      </c>
      <c r="G211" s="156"/>
      <c r="H211" s="156">
        <f>'MEMORIA BM 02'!L552</f>
        <v>2.5</v>
      </c>
      <c r="I211" s="156">
        <f t="shared" si="130"/>
        <v>2.5</v>
      </c>
      <c r="J211" s="156">
        <f t="shared" si="131"/>
        <v>0</v>
      </c>
      <c r="K211" s="156">
        <f t="shared" si="132"/>
        <v>858.6</v>
      </c>
      <c r="L211" s="156">
        <f t="shared" si="133"/>
        <v>858.6</v>
      </c>
      <c r="M211" s="80"/>
      <c r="N211" s="81"/>
      <c r="O211" s="7"/>
      <c r="P211" s="80"/>
      <c r="Q211" s="80"/>
      <c r="R211" s="91"/>
      <c r="S211" s="8"/>
      <c r="T211" s="82"/>
      <c r="W211" s="10"/>
      <c r="X211" s="9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</row>
    <row r="212" spans="1:61">
      <c r="A212" s="156"/>
      <c r="B212" s="157"/>
      <c r="C212" s="156"/>
      <c r="D212" s="156"/>
      <c r="E212" s="156"/>
      <c r="F212" s="156"/>
      <c r="G212" s="156"/>
      <c r="H212" s="156"/>
      <c r="I212" s="156"/>
      <c r="J212" s="156"/>
      <c r="K212" s="156"/>
      <c r="L212" s="156"/>
      <c r="M212" s="80"/>
      <c r="N212" s="81"/>
      <c r="O212" s="7"/>
      <c r="P212" s="80"/>
      <c r="Q212" s="80"/>
      <c r="R212" s="91"/>
      <c r="S212" s="8"/>
      <c r="T212" s="82"/>
      <c r="W212" s="10"/>
      <c r="X212" s="9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</row>
    <row r="213" spans="1:61" ht="14.25" customHeight="1">
      <c r="A213" s="164" t="s">
        <v>24</v>
      </c>
      <c r="B213" s="165" t="s">
        <v>18</v>
      </c>
      <c r="C213" s="166"/>
      <c r="D213" s="167"/>
      <c r="E213" s="166"/>
      <c r="F213" s="166">
        <f>SUM(F214:F217)</f>
        <v>3841.8999999999996</v>
      </c>
      <c r="G213" s="166"/>
      <c r="H213" s="166"/>
      <c r="I213" s="166"/>
      <c r="J213" s="166">
        <f>SUM(J214:J217)</f>
        <v>0</v>
      </c>
      <c r="K213" s="166">
        <f>SUM(K214:K217)</f>
        <v>3841.8999999999996</v>
      </c>
      <c r="L213" s="166">
        <f>SUM(L214:L217)</f>
        <v>3841.8999999999996</v>
      </c>
      <c r="M213" s="80"/>
      <c r="N213" s="81"/>
      <c r="O213" s="7"/>
      <c r="P213" s="80"/>
      <c r="Q213" s="80"/>
      <c r="R213" s="91"/>
      <c r="S213" s="8"/>
      <c r="T213" s="82"/>
      <c r="W213" s="10"/>
      <c r="X213" s="9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</row>
    <row r="214" spans="1:61">
      <c r="A214" s="156"/>
      <c r="B214" s="157"/>
      <c r="C214" s="156"/>
      <c r="D214" s="156"/>
      <c r="E214" s="156"/>
      <c r="F214" s="156"/>
      <c r="G214" s="156"/>
      <c r="H214" s="156"/>
      <c r="I214" s="156"/>
      <c r="J214" s="156"/>
      <c r="K214" s="156"/>
      <c r="L214" s="156"/>
      <c r="M214" s="80"/>
      <c r="N214" s="81"/>
      <c r="O214" s="7"/>
      <c r="P214" s="80"/>
      <c r="Q214" s="80"/>
      <c r="R214" s="91"/>
      <c r="S214" s="8"/>
      <c r="T214" s="82"/>
      <c r="W214" s="10"/>
      <c r="X214" s="9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</row>
    <row r="215" spans="1:61">
      <c r="A215" s="156" t="s">
        <v>309</v>
      </c>
      <c r="B215" s="158" t="s">
        <v>63</v>
      </c>
      <c r="C215" s="156" t="s">
        <v>17</v>
      </c>
      <c r="D215" s="156">
        <v>0.7</v>
      </c>
      <c r="E215" s="156">
        <v>402.72</v>
      </c>
      <c r="F215" s="156">
        <f t="shared" ref="F215:F217" si="134">D215*E215</f>
        <v>281.904</v>
      </c>
      <c r="G215" s="156"/>
      <c r="H215" s="156">
        <f>'MEMORIA BM 02'!L558</f>
        <v>0.7</v>
      </c>
      <c r="I215" s="156">
        <f t="shared" ref="I215:I217" si="135">G215+H215</f>
        <v>0.7</v>
      </c>
      <c r="J215" s="156">
        <f t="shared" ref="J215:J217" si="136">E215*G215</f>
        <v>0</v>
      </c>
      <c r="K215" s="156">
        <f t="shared" ref="K215:K217" si="137">H215*E215</f>
        <v>281.904</v>
      </c>
      <c r="L215" s="156">
        <f t="shared" ref="L215:L217" si="138">J215+K215</f>
        <v>281.904</v>
      </c>
      <c r="M215" s="80"/>
      <c r="N215" s="81"/>
      <c r="O215" s="7"/>
      <c r="P215" s="80"/>
      <c r="Q215" s="80"/>
      <c r="R215" s="91"/>
      <c r="S215" s="8"/>
      <c r="T215" s="82"/>
      <c r="W215" s="10"/>
      <c r="X215" s="9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</row>
    <row r="216" spans="1:61" ht="28.5">
      <c r="A216" s="156" t="s">
        <v>310</v>
      </c>
      <c r="B216" s="157" t="s">
        <v>308</v>
      </c>
      <c r="C216" s="156" t="s">
        <v>17</v>
      </c>
      <c r="D216" s="156">
        <v>1.5</v>
      </c>
      <c r="E216" s="156">
        <v>1618.18</v>
      </c>
      <c r="F216" s="156">
        <f t="shared" si="134"/>
        <v>2427.27</v>
      </c>
      <c r="G216" s="156"/>
      <c r="H216" s="156">
        <f>'MEMORIA BM 02'!L561</f>
        <v>1.5</v>
      </c>
      <c r="I216" s="156">
        <f t="shared" si="135"/>
        <v>1.5</v>
      </c>
      <c r="J216" s="156">
        <f t="shared" si="136"/>
        <v>0</v>
      </c>
      <c r="K216" s="156">
        <f t="shared" si="137"/>
        <v>2427.27</v>
      </c>
      <c r="L216" s="156">
        <f t="shared" si="138"/>
        <v>2427.27</v>
      </c>
      <c r="M216" s="80"/>
      <c r="N216" s="81"/>
      <c r="O216" s="7"/>
      <c r="P216" s="80"/>
      <c r="Q216" s="80"/>
      <c r="R216" s="91"/>
      <c r="S216" s="8"/>
      <c r="T216" s="82"/>
      <c r="W216" s="10"/>
      <c r="X216" s="9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</row>
    <row r="217" spans="1:61" ht="42.75">
      <c r="A217" s="156" t="s">
        <v>311</v>
      </c>
      <c r="B217" s="157" t="s">
        <v>312</v>
      </c>
      <c r="C217" s="156" t="s">
        <v>17</v>
      </c>
      <c r="D217" s="156">
        <v>0.7</v>
      </c>
      <c r="E217" s="156">
        <v>1618.18</v>
      </c>
      <c r="F217" s="156">
        <f t="shared" si="134"/>
        <v>1132.7259999999999</v>
      </c>
      <c r="G217" s="156"/>
      <c r="H217" s="156">
        <f>'MEMORIA BM 02'!L564</f>
        <v>0.7</v>
      </c>
      <c r="I217" s="156">
        <f t="shared" si="135"/>
        <v>0.7</v>
      </c>
      <c r="J217" s="156">
        <f t="shared" si="136"/>
        <v>0</v>
      </c>
      <c r="K217" s="156">
        <f t="shared" si="137"/>
        <v>1132.7259999999999</v>
      </c>
      <c r="L217" s="156">
        <f t="shared" si="138"/>
        <v>1132.7259999999999</v>
      </c>
      <c r="M217" s="80"/>
      <c r="N217" s="81"/>
      <c r="O217" s="7"/>
      <c r="P217" s="80"/>
      <c r="Q217" s="80"/>
      <c r="R217" s="91"/>
      <c r="S217" s="8"/>
      <c r="T217" s="82"/>
      <c r="W217" s="10"/>
      <c r="X217" s="9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</row>
    <row r="218" spans="1:61">
      <c r="A218" s="156"/>
      <c r="B218" s="157"/>
      <c r="C218" s="156"/>
      <c r="D218" s="156"/>
      <c r="E218" s="156"/>
      <c r="F218" s="156"/>
      <c r="G218" s="156"/>
      <c r="H218" s="156"/>
      <c r="I218" s="156"/>
      <c r="J218" s="156"/>
      <c r="K218" s="156"/>
      <c r="L218" s="156"/>
      <c r="M218" s="80"/>
      <c r="N218" s="81"/>
      <c r="O218" s="7"/>
      <c r="P218" s="80"/>
      <c r="Q218" s="80"/>
      <c r="R218" s="91"/>
      <c r="S218" s="8"/>
      <c r="T218" s="82"/>
      <c r="W218" s="10"/>
      <c r="X218" s="9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</row>
    <row r="219" spans="1:61" ht="14.25" customHeight="1">
      <c r="A219" s="164" t="s">
        <v>313</v>
      </c>
      <c r="B219" s="165" t="s">
        <v>2</v>
      </c>
      <c r="C219" s="166"/>
      <c r="D219" s="167"/>
      <c r="E219" s="166"/>
      <c r="F219" s="166">
        <f>SUM(F220:F221)</f>
        <v>1278.0739999999998</v>
      </c>
      <c r="G219" s="166"/>
      <c r="H219" s="166"/>
      <c r="I219" s="166"/>
      <c r="J219" s="166">
        <f>SUM(J220:J221)</f>
        <v>0</v>
      </c>
      <c r="K219" s="166">
        <f>SUM(K220:K221)</f>
        <v>1278.0739999999998</v>
      </c>
      <c r="L219" s="166">
        <f>SUM(L220:L221)</f>
        <v>1278.0739999999998</v>
      </c>
      <c r="M219" s="80"/>
      <c r="N219" s="81"/>
      <c r="O219" s="7"/>
      <c r="P219" s="80"/>
      <c r="Q219" s="80"/>
      <c r="R219" s="91"/>
      <c r="S219" s="8"/>
      <c r="T219" s="82"/>
      <c r="W219" s="10"/>
      <c r="X219" s="9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</row>
    <row r="220" spans="1:61">
      <c r="A220" s="156"/>
      <c r="B220" s="157"/>
      <c r="C220" s="156"/>
      <c r="D220" s="156"/>
      <c r="E220" s="156"/>
      <c r="F220" s="156"/>
      <c r="G220" s="156"/>
      <c r="H220" s="156"/>
      <c r="I220" s="156"/>
      <c r="J220" s="156"/>
      <c r="K220" s="156"/>
      <c r="L220" s="156"/>
      <c r="M220" s="80"/>
      <c r="N220" s="81"/>
      <c r="O220" s="7"/>
      <c r="P220" s="80"/>
      <c r="Q220" s="80"/>
      <c r="R220" s="91"/>
      <c r="S220" s="8"/>
      <c r="T220" s="82"/>
      <c r="W220" s="10"/>
      <c r="X220" s="9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</row>
    <row r="221" spans="1:61" ht="42.75">
      <c r="A221" s="156" t="s">
        <v>314</v>
      </c>
      <c r="B221" s="157" t="s">
        <v>315</v>
      </c>
      <c r="C221" s="156" t="s">
        <v>17</v>
      </c>
      <c r="D221" s="156">
        <v>0.7</v>
      </c>
      <c r="E221" s="156">
        <v>1825.82</v>
      </c>
      <c r="F221" s="156">
        <f t="shared" ref="F221" si="139">D221*E221</f>
        <v>1278.0739999999998</v>
      </c>
      <c r="G221" s="156"/>
      <c r="H221" s="156">
        <f>'MEMORIA BM 02'!L570</f>
        <v>0.7</v>
      </c>
      <c r="I221" s="156">
        <f t="shared" ref="I221" si="140">G221+H221</f>
        <v>0.7</v>
      </c>
      <c r="J221" s="156">
        <f t="shared" ref="J221" si="141">E221*G221</f>
        <v>0</v>
      </c>
      <c r="K221" s="156">
        <f t="shared" ref="K221" si="142">H221*E221</f>
        <v>1278.0739999999998</v>
      </c>
      <c r="L221" s="156">
        <f t="shared" ref="L221" si="143">J221+K221</f>
        <v>1278.0739999999998</v>
      </c>
      <c r="M221" s="80"/>
      <c r="N221" s="81"/>
      <c r="O221" s="7"/>
      <c r="P221" s="80"/>
      <c r="Q221" s="80"/>
      <c r="R221" s="91"/>
      <c r="S221" s="8"/>
      <c r="T221" s="82"/>
      <c r="W221" s="10"/>
      <c r="X221" s="9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</row>
    <row r="222" spans="1:61">
      <c r="A222" s="156"/>
      <c r="B222" s="157"/>
      <c r="C222" s="156"/>
      <c r="D222" s="156"/>
      <c r="E222" s="156"/>
      <c r="F222" s="156"/>
      <c r="G222" s="156"/>
      <c r="H222" s="156"/>
      <c r="I222" s="156"/>
      <c r="J222" s="156"/>
      <c r="K222" s="156"/>
      <c r="L222" s="156"/>
      <c r="M222" s="80"/>
      <c r="N222" s="81"/>
      <c r="O222" s="7"/>
      <c r="P222" s="80"/>
      <c r="Q222" s="80"/>
      <c r="R222" s="91"/>
      <c r="S222" s="8"/>
      <c r="T222" s="82"/>
      <c r="W222" s="10"/>
      <c r="X222" s="9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</row>
    <row r="223" spans="1:61" ht="14.25" customHeight="1">
      <c r="A223" s="164" t="s">
        <v>316</v>
      </c>
      <c r="B223" s="165" t="s">
        <v>317</v>
      </c>
      <c r="C223" s="166"/>
      <c r="D223" s="167"/>
      <c r="E223" s="166"/>
      <c r="F223" s="166">
        <f>SUM(F224:F225)</f>
        <v>255.65</v>
      </c>
      <c r="G223" s="166"/>
      <c r="H223" s="166"/>
      <c r="I223" s="166"/>
      <c r="J223" s="166">
        <f>SUM(J224:J225)</f>
        <v>0</v>
      </c>
      <c r="K223" s="166">
        <f>SUM(K224:K225)</f>
        <v>0</v>
      </c>
      <c r="L223" s="166">
        <f>SUM(L224:L225)</f>
        <v>0</v>
      </c>
      <c r="M223" s="80"/>
      <c r="N223" s="81"/>
      <c r="O223" s="7"/>
      <c r="P223" s="80"/>
      <c r="Q223" s="80"/>
      <c r="R223" s="91"/>
      <c r="S223" s="8"/>
      <c r="T223" s="82"/>
      <c r="W223" s="10"/>
      <c r="X223" s="9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</row>
    <row r="224" spans="1:61">
      <c r="A224" s="156"/>
      <c r="B224" s="157"/>
      <c r="C224" s="156"/>
      <c r="D224" s="156"/>
      <c r="E224" s="156"/>
      <c r="F224" s="156"/>
      <c r="G224" s="156"/>
      <c r="H224" s="156"/>
      <c r="I224" s="156"/>
      <c r="J224" s="156"/>
      <c r="K224" s="156"/>
      <c r="L224" s="156"/>
      <c r="M224" s="80"/>
      <c r="N224" s="81"/>
      <c r="O224" s="7"/>
      <c r="P224" s="80"/>
      <c r="Q224" s="80"/>
      <c r="R224" s="91"/>
      <c r="S224" s="8"/>
      <c r="T224" s="82"/>
      <c r="W224" s="10"/>
      <c r="X224" s="9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</row>
    <row r="225" spans="1:61" ht="57">
      <c r="A225" s="156" t="s">
        <v>318</v>
      </c>
      <c r="B225" s="157" t="s">
        <v>80</v>
      </c>
      <c r="C225" s="156" t="s">
        <v>16</v>
      </c>
      <c r="D225" s="156">
        <v>5</v>
      </c>
      <c r="E225" s="156">
        <v>51.13</v>
      </c>
      <c r="F225" s="156">
        <f t="shared" ref="F225" si="144">D225*E225</f>
        <v>255.65</v>
      </c>
      <c r="G225" s="156"/>
      <c r="H225" s="156"/>
      <c r="I225" s="156">
        <f t="shared" ref="I225" si="145">G225+H225</f>
        <v>0</v>
      </c>
      <c r="J225" s="156">
        <f t="shared" ref="J225" si="146">E225*G225</f>
        <v>0</v>
      </c>
      <c r="K225" s="156">
        <f t="shared" ref="K225" si="147">H225*E225</f>
        <v>0</v>
      </c>
      <c r="L225" s="156">
        <f t="shared" ref="L225" si="148">J225+K225</f>
        <v>0</v>
      </c>
      <c r="M225" s="80"/>
      <c r="N225" s="81"/>
      <c r="O225" s="7"/>
      <c r="P225" s="80"/>
      <c r="Q225" s="80"/>
      <c r="R225" s="91"/>
      <c r="S225" s="8"/>
      <c r="T225" s="82"/>
      <c r="W225" s="10"/>
      <c r="X225" s="9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</row>
    <row r="226" spans="1:61">
      <c r="A226" s="156"/>
      <c r="B226" s="157"/>
      <c r="C226" s="156"/>
      <c r="D226" s="156"/>
      <c r="E226" s="156"/>
      <c r="F226" s="156"/>
      <c r="G226" s="156"/>
      <c r="H226" s="156"/>
      <c r="I226" s="156"/>
      <c r="J226" s="156"/>
      <c r="K226" s="156"/>
      <c r="L226" s="156"/>
      <c r="M226" s="80"/>
      <c r="N226" s="81"/>
      <c r="O226" s="7"/>
      <c r="P226" s="80"/>
      <c r="Q226" s="80"/>
      <c r="R226" s="91"/>
      <c r="S226" s="8"/>
      <c r="T226" s="82"/>
      <c r="W226" s="10"/>
      <c r="X226" s="9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</row>
    <row r="227" spans="1:61" ht="14.25" customHeight="1">
      <c r="A227" s="164" t="s">
        <v>319</v>
      </c>
      <c r="B227" s="165" t="s">
        <v>320</v>
      </c>
      <c r="C227" s="166"/>
      <c r="D227" s="167"/>
      <c r="E227" s="166"/>
      <c r="F227" s="166">
        <f>SUM(F228:F232)</f>
        <v>3504.9420000000005</v>
      </c>
      <c r="G227" s="166"/>
      <c r="H227" s="166"/>
      <c r="I227" s="166"/>
      <c r="J227" s="166">
        <f>SUM(J228:J232)</f>
        <v>0</v>
      </c>
      <c r="K227" s="166">
        <f>SUM(K228:K232)</f>
        <v>0</v>
      </c>
      <c r="L227" s="166">
        <f>SUM(L228:L232)</f>
        <v>0</v>
      </c>
      <c r="M227" s="80"/>
      <c r="N227" s="81"/>
      <c r="O227" s="7"/>
      <c r="P227" s="80"/>
      <c r="Q227" s="80"/>
      <c r="R227" s="91"/>
      <c r="S227" s="8"/>
      <c r="T227" s="82"/>
      <c r="W227" s="10"/>
      <c r="X227" s="9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</row>
    <row r="228" spans="1:61">
      <c r="A228" s="156"/>
      <c r="B228" s="157"/>
      <c r="C228" s="156"/>
      <c r="D228" s="156"/>
      <c r="E228" s="156"/>
      <c r="F228" s="156"/>
      <c r="G228" s="156"/>
      <c r="H228" s="156"/>
      <c r="I228" s="156"/>
      <c r="J228" s="156"/>
      <c r="K228" s="156"/>
      <c r="L228" s="156"/>
      <c r="M228" s="80"/>
      <c r="N228" s="81"/>
      <c r="O228" s="7"/>
      <c r="P228" s="80"/>
      <c r="Q228" s="80"/>
      <c r="R228" s="91"/>
      <c r="S228" s="8"/>
      <c r="T228" s="82"/>
      <c r="W228" s="10"/>
      <c r="X228" s="9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</row>
    <row r="229" spans="1:61" ht="42.75">
      <c r="A229" s="156" t="s">
        <v>321</v>
      </c>
      <c r="B229" s="157" t="s">
        <v>110</v>
      </c>
      <c r="C229" s="156" t="s">
        <v>16</v>
      </c>
      <c r="D229" s="156">
        <v>43</v>
      </c>
      <c r="E229" s="156">
        <v>22.8</v>
      </c>
      <c r="F229" s="156">
        <f t="shared" ref="F229:F232" si="149">D229*E229</f>
        <v>980.4</v>
      </c>
      <c r="G229" s="156"/>
      <c r="H229" s="156"/>
      <c r="I229" s="156">
        <f t="shared" ref="I229:I232" si="150">G229+H229</f>
        <v>0</v>
      </c>
      <c r="J229" s="156">
        <f t="shared" ref="J229:J232" si="151">E229*G229</f>
        <v>0</v>
      </c>
      <c r="K229" s="156">
        <f t="shared" ref="K229:K232" si="152">H229*E229</f>
        <v>0</v>
      </c>
      <c r="L229" s="156">
        <f t="shared" ref="L229:L232" si="153">J229+K229</f>
        <v>0</v>
      </c>
      <c r="M229" s="80"/>
      <c r="N229" s="81"/>
      <c r="O229" s="7"/>
      <c r="P229" s="80"/>
      <c r="Q229" s="80"/>
      <c r="R229" s="91"/>
      <c r="S229" s="8"/>
      <c r="T229" s="82"/>
      <c r="W229" s="10"/>
      <c r="X229" s="9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</row>
    <row r="230" spans="1:61" ht="42.75">
      <c r="A230" s="156" t="s">
        <v>322</v>
      </c>
      <c r="B230" s="157" t="s">
        <v>323</v>
      </c>
      <c r="C230" s="156" t="s">
        <v>7</v>
      </c>
      <c r="D230" s="156">
        <v>4</v>
      </c>
      <c r="E230" s="156">
        <v>319.25</v>
      </c>
      <c r="F230" s="156">
        <f t="shared" si="149"/>
        <v>1277</v>
      </c>
      <c r="G230" s="156"/>
      <c r="H230" s="156"/>
      <c r="I230" s="156">
        <f t="shared" si="150"/>
        <v>0</v>
      </c>
      <c r="J230" s="156">
        <f t="shared" si="151"/>
        <v>0</v>
      </c>
      <c r="K230" s="156">
        <f t="shared" si="152"/>
        <v>0</v>
      </c>
      <c r="L230" s="156">
        <f t="shared" si="153"/>
        <v>0</v>
      </c>
      <c r="M230" s="80"/>
      <c r="N230" s="81"/>
      <c r="O230" s="7"/>
      <c r="P230" s="80"/>
      <c r="Q230" s="80"/>
      <c r="R230" s="91"/>
      <c r="S230" s="8"/>
      <c r="T230" s="82"/>
      <c r="W230" s="10"/>
      <c r="X230" s="9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</row>
    <row r="231" spans="1:61" ht="28.5">
      <c r="A231" s="156" t="s">
        <v>324</v>
      </c>
      <c r="B231" s="157" t="s">
        <v>114</v>
      </c>
      <c r="C231" s="156" t="s">
        <v>16</v>
      </c>
      <c r="D231" s="156">
        <v>43</v>
      </c>
      <c r="E231" s="156">
        <v>25.93</v>
      </c>
      <c r="F231" s="156">
        <f t="shared" si="149"/>
        <v>1114.99</v>
      </c>
      <c r="G231" s="156"/>
      <c r="H231" s="156"/>
      <c r="I231" s="156">
        <f t="shared" si="150"/>
        <v>0</v>
      </c>
      <c r="J231" s="156">
        <f t="shared" si="151"/>
        <v>0</v>
      </c>
      <c r="K231" s="156">
        <f t="shared" si="152"/>
        <v>0</v>
      </c>
      <c r="L231" s="156">
        <f t="shared" si="153"/>
        <v>0</v>
      </c>
      <c r="M231" s="80"/>
      <c r="N231" s="81"/>
      <c r="O231" s="7"/>
      <c r="P231" s="80"/>
      <c r="Q231" s="80"/>
      <c r="R231" s="91"/>
      <c r="S231" s="8"/>
      <c r="T231" s="82"/>
      <c r="W231" s="10"/>
      <c r="X231" s="9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</row>
    <row r="232" spans="1:61" ht="43.5" customHeight="1">
      <c r="A232" s="156" t="s">
        <v>325</v>
      </c>
      <c r="B232" s="157" t="s">
        <v>116</v>
      </c>
      <c r="C232" s="156" t="s">
        <v>6</v>
      </c>
      <c r="D232" s="156">
        <v>12.6</v>
      </c>
      <c r="E232" s="156">
        <v>10.52</v>
      </c>
      <c r="F232" s="156">
        <f t="shared" si="149"/>
        <v>132.55199999999999</v>
      </c>
      <c r="G232" s="156"/>
      <c r="H232" s="156"/>
      <c r="I232" s="156">
        <f t="shared" si="150"/>
        <v>0</v>
      </c>
      <c r="J232" s="156">
        <f t="shared" si="151"/>
        <v>0</v>
      </c>
      <c r="K232" s="156">
        <f t="shared" si="152"/>
        <v>0</v>
      </c>
      <c r="L232" s="156">
        <f t="shared" si="153"/>
        <v>0</v>
      </c>
      <c r="M232" s="80"/>
      <c r="N232" s="81"/>
      <c r="O232" s="7"/>
      <c r="P232" s="80"/>
      <c r="Q232" s="80"/>
      <c r="R232" s="91"/>
      <c r="S232" s="8"/>
      <c r="T232" s="82"/>
      <c r="W232" s="10"/>
      <c r="X232" s="9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</row>
    <row r="233" spans="1:61">
      <c r="A233" s="156"/>
      <c r="B233" s="157"/>
      <c r="C233" s="156"/>
      <c r="D233" s="156"/>
      <c r="E233" s="156"/>
      <c r="F233" s="156"/>
      <c r="G233" s="156"/>
      <c r="H233" s="156"/>
      <c r="I233" s="156"/>
      <c r="J233" s="156"/>
      <c r="K233" s="156"/>
      <c r="L233" s="156"/>
      <c r="M233" s="80"/>
      <c r="N233" s="81"/>
      <c r="O233" s="7"/>
      <c r="P233" s="80"/>
      <c r="Q233" s="80"/>
      <c r="R233" s="91"/>
      <c r="S233" s="8"/>
      <c r="T233" s="82"/>
      <c r="W233" s="10"/>
      <c r="X233" s="9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</row>
    <row r="234" spans="1:61" ht="14.25" customHeight="1">
      <c r="A234" s="164" t="s">
        <v>326</v>
      </c>
      <c r="B234" s="165" t="s">
        <v>327</v>
      </c>
      <c r="C234" s="166"/>
      <c r="D234" s="167"/>
      <c r="E234" s="166"/>
      <c r="F234" s="166">
        <f>SUM(F235:F238)</f>
        <v>4838.8566000000001</v>
      </c>
      <c r="G234" s="166"/>
      <c r="H234" s="166"/>
      <c r="I234" s="166"/>
      <c r="J234" s="166">
        <f>SUM(J235:J238)</f>
        <v>0</v>
      </c>
      <c r="K234" s="166">
        <f>SUM(K235:K238)</f>
        <v>0</v>
      </c>
      <c r="L234" s="166">
        <f>SUM(L235:L238)</f>
        <v>0</v>
      </c>
      <c r="M234" s="80"/>
      <c r="N234" s="81"/>
      <c r="O234" s="7"/>
      <c r="P234" s="80"/>
      <c r="Q234" s="80"/>
      <c r="R234" s="91"/>
      <c r="S234" s="8"/>
      <c r="T234" s="82"/>
      <c r="W234" s="10"/>
      <c r="X234" s="9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</row>
    <row r="235" spans="1:61">
      <c r="A235" s="156"/>
      <c r="B235" s="157"/>
      <c r="C235" s="156"/>
      <c r="D235" s="156"/>
      <c r="E235" s="156"/>
      <c r="F235" s="156"/>
      <c r="G235" s="156"/>
      <c r="H235" s="156"/>
      <c r="I235" s="156"/>
      <c r="J235" s="156"/>
      <c r="K235" s="156"/>
      <c r="L235" s="156"/>
      <c r="M235" s="80"/>
      <c r="N235" s="81"/>
      <c r="O235" s="7"/>
      <c r="P235" s="80"/>
      <c r="Q235" s="80"/>
      <c r="R235" s="91"/>
      <c r="S235" s="8"/>
      <c r="T235" s="82"/>
      <c r="W235" s="10"/>
      <c r="X235" s="9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</row>
    <row r="236" spans="1:61" ht="42.75">
      <c r="A236" s="156" t="s">
        <v>328</v>
      </c>
      <c r="B236" s="157" t="s">
        <v>128</v>
      </c>
      <c r="C236" s="156" t="s">
        <v>16</v>
      </c>
      <c r="D236" s="156">
        <v>106.23</v>
      </c>
      <c r="E236" s="156">
        <v>2.92</v>
      </c>
      <c r="F236" s="156">
        <f t="shared" ref="F236:F238" si="154">D236*E236</f>
        <v>310.19159999999999</v>
      </c>
      <c r="G236" s="156"/>
      <c r="H236" s="156"/>
      <c r="I236" s="156">
        <f t="shared" ref="I236:I238" si="155">G236+H236</f>
        <v>0</v>
      </c>
      <c r="J236" s="156">
        <f t="shared" ref="J236:J238" si="156">E236*G236</f>
        <v>0</v>
      </c>
      <c r="K236" s="156">
        <f t="shared" ref="K236:K238" si="157">H236*E236</f>
        <v>0</v>
      </c>
      <c r="L236" s="156">
        <f t="shared" ref="L236:L238" si="158">J236+K236</f>
        <v>0</v>
      </c>
      <c r="M236" s="80"/>
      <c r="N236" s="81"/>
      <c r="O236" s="7"/>
      <c r="P236" s="80"/>
      <c r="Q236" s="80"/>
      <c r="R236" s="91"/>
      <c r="S236" s="8"/>
      <c r="T236" s="82"/>
      <c r="W236" s="10"/>
      <c r="X236" s="9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</row>
    <row r="237" spans="1:61" ht="60" customHeight="1">
      <c r="A237" s="156" t="s">
        <v>329</v>
      </c>
      <c r="B237" s="157" t="s">
        <v>130</v>
      </c>
      <c r="C237" s="156" t="s">
        <v>16</v>
      </c>
      <c r="D237" s="156">
        <v>30.72</v>
      </c>
      <c r="E237" s="156">
        <v>21.42</v>
      </c>
      <c r="F237" s="156">
        <f t="shared" si="154"/>
        <v>658.02240000000006</v>
      </c>
      <c r="G237" s="156"/>
      <c r="H237" s="156"/>
      <c r="I237" s="156">
        <f t="shared" si="155"/>
        <v>0</v>
      </c>
      <c r="J237" s="156">
        <f t="shared" si="156"/>
        <v>0</v>
      </c>
      <c r="K237" s="156">
        <f t="shared" si="157"/>
        <v>0</v>
      </c>
      <c r="L237" s="156">
        <f t="shared" si="158"/>
        <v>0</v>
      </c>
      <c r="M237" s="80"/>
      <c r="N237" s="81"/>
      <c r="O237" s="7"/>
      <c r="P237" s="80"/>
      <c r="Q237" s="80"/>
      <c r="R237" s="91"/>
      <c r="S237" s="8"/>
      <c r="T237" s="82"/>
      <c r="W237" s="10"/>
      <c r="X237" s="9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</row>
    <row r="238" spans="1:61" ht="42.75">
      <c r="A238" s="156" t="s">
        <v>330</v>
      </c>
      <c r="B238" s="157" t="s">
        <v>134</v>
      </c>
      <c r="C238" s="156" t="s">
        <v>16</v>
      </c>
      <c r="D238" s="156">
        <v>75.510000000000005</v>
      </c>
      <c r="E238" s="156">
        <v>51.26</v>
      </c>
      <c r="F238" s="156">
        <f t="shared" si="154"/>
        <v>3870.6426000000001</v>
      </c>
      <c r="G238" s="156"/>
      <c r="H238" s="156"/>
      <c r="I238" s="156">
        <f t="shared" si="155"/>
        <v>0</v>
      </c>
      <c r="J238" s="156">
        <f t="shared" si="156"/>
        <v>0</v>
      </c>
      <c r="K238" s="156">
        <f t="shared" si="157"/>
        <v>0</v>
      </c>
      <c r="L238" s="156">
        <f t="shared" si="158"/>
        <v>0</v>
      </c>
      <c r="M238" s="80"/>
      <c r="N238" s="81"/>
      <c r="O238" s="7"/>
      <c r="P238" s="80"/>
      <c r="Q238" s="80"/>
      <c r="R238" s="91"/>
      <c r="S238" s="8"/>
      <c r="T238" s="82"/>
      <c r="W238" s="10"/>
      <c r="X238" s="9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</row>
    <row r="239" spans="1:61">
      <c r="A239" s="156"/>
      <c r="B239" s="157"/>
      <c r="C239" s="156"/>
      <c r="D239" s="156"/>
      <c r="E239" s="156"/>
      <c r="F239" s="156"/>
      <c r="G239" s="156"/>
      <c r="H239" s="156"/>
      <c r="I239" s="156"/>
      <c r="J239" s="156"/>
      <c r="K239" s="156"/>
      <c r="L239" s="156"/>
      <c r="M239" s="80"/>
      <c r="N239" s="81"/>
      <c r="O239" s="7"/>
      <c r="P239" s="80"/>
      <c r="Q239" s="80"/>
      <c r="R239" s="91"/>
      <c r="S239" s="8"/>
      <c r="T239" s="82"/>
      <c r="W239" s="10"/>
      <c r="X239" s="9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</row>
    <row r="240" spans="1:61" ht="14.25" customHeight="1">
      <c r="A240" s="164" t="s">
        <v>331</v>
      </c>
      <c r="B240" s="165" t="s">
        <v>332</v>
      </c>
      <c r="C240" s="166"/>
      <c r="D240" s="167"/>
      <c r="E240" s="166"/>
      <c r="F240" s="166">
        <f>SUM(F241:F244)</f>
        <v>3183.29</v>
      </c>
      <c r="G240" s="166"/>
      <c r="H240" s="166"/>
      <c r="I240" s="166"/>
      <c r="J240" s="166">
        <f>SUM(J241:J244)</f>
        <v>0</v>
      </c>
      <c r="K240" s="166">
        <f>SUM(K241:K244)</f>
        <v>0</v>
      </c>
      <c r="L240" s="166">
        <f>SUM(L241:L244)</f>
        <v>0</v>
      </c>
      <c r="M240" s="80"/>
      <c r="N240" s="81"/>
      <c r="O240" s="7"/>
      <c r="P240" s="80"/>
      <c r="Q240" s="80"/>
      <c r="R240" s="91"/>
      <c r="S240" s="8"/>
      <c r="T240" s="82"/>
      <c r="W240" s="10"/>
      <c r="X240" s="9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</row>
    <row r="241" spans="1:61">
      <c r="A241" s="156"/>
      <c r="B241" s="157"/>
      <c r="C241" s="156"/>
      <c r="D241" s="156"/>
      <c r="E241" s="156"/>
      <c r="F241" s="156"/>
      <c r="G241" s="156"/>
      <c r="H241" s="156"/>
      <c r="I241" s="156"/>
      <c r="J241" s="156"/>
      <c r="K241" s="156"/>
      <c r="L241" s="156"/>
      <c r="M241" s="80"/>
      <c r="N241" s="81"/>
      <c r="O241" s="7"/>
      <c r="P241" s="80"/>
      <c r="Q241" s="80"/>
      <c r="R241" s="91"/>
      <c r="S241" s="8"/>
      <c r="T241" s="82"/>
      <c r="W241" s="10"/>
      <c r="X241" s="9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</row>
    <row r="242" spans="1:61" ht="28.5">
      <c r="A242" s="156" t="s">
        <v>333</v>
      </c>
      <c r="B242" s="157" t="s">
        <v>154</v>
      </c>
      <c r="C242" s="156" t="s">
        <v>16</v>
      </c>
      <c r="D242" s="156">
        <v>47.3</v>
      </c>
      <c r="E242" s="156">
        <v>19.77</v>
      </c>
      <c r="F242" s="156">
        <f t="shared" ref="F242:F244" si="159">D242*E242</f>
        <v>935.12099999999987</v>
      </c>
      <c r="G242" s="156"/>
      <c r="H242" s="156"/>
      <c r="I242" s="156">
        <f t="shared" ref="I242:I244" si="160">G242+H242</f>
        <v>0</v>
      </c>
      <c r="J242" s="156">
        <f t="shared" ref="J242:J244" si="161">E242*G242</f>
        <v>0</v>
      </c>
      <c r="K242" s="156">
        <f t="shared" ref="K242:K244" si="162">H242*E242</f>
        <v>0</v>
      </c>
      <c r="L242" s="156">
        <f t="shared" ref="L242:L244" si="163">J242+K242</f>
        <v>0</v>
      </c>
      <c r="M242" s="80"/>
      <c r="N242" s="81"/>
      <c r="O242" s="7"/>
      <c r="P242" s="80"/>
      <c r="Q242" s="80"/>
      <c r="R242" s="91"/>
      <c r="S242" s="8"/>
      <c r="T242" s="82"/>
      <c r="W242" s="10"/>
      <c r="X242" s="9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</row>
    <row r="243" spans="1:61">
      <c r="A243" s="156" t="s">
        <v>334</v>
      </c>
      <c r="B243" s="157" t="s">
        <v>156</v>
      </c>
      <c r="C243" s="156" t="s">
        <v>16</v>
      </c>
      <c r="D243" s="156">
        <v>47.3</v>
      </c>
      <c r="E243" s="156">
        <v>18.7</v>
      </c>
      <c r="F243" s="156">
        <f t="shared" si="159"/>
        <v>884.50999999999988</v>
      </c>
      <c r="G243" s="156"/>
      <c r="H243" s="156"/>
      <c r="I243" s="156">
        <f t="shared" si="160"/>
        <v>0</v>
      </c>
      <c r="J243" s="156">
        <f t="shared" si="161"/>
        <v>0</v>
      </c>
      <c r="K243" s="156">
        <f t="shared" si="162"/>
        <v>0</v>
      </c>
      <c r="L243" s="156">
        <f t="shared" si="163"/>
        <v>0</v>
      </c>
      <c r="M243" s="80"/>
      <c r="N243" s="81"/>
      <c r="O243" s="7"/>
      <c r="P243" s="80"/>
      <c r="Q243" s="80"/>
      <c r="R243" s="91"/>
      <c r="S243" s="8"/>
      <c r="T243" s="82"/>
      <c r="W243" s="10"/>
      <c r="X243" s="9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</row>
    <row r="244" spans="1:61" ht="28.5">
      <c r="A244" s="156" t="s">
        <v>335</v>
      </c>
      <c r="B244" s="157" t="s">
        <v>160</v>
      </c>
      <c r="C244" s="156" t="s">
        <v>16</v>
      </c>
      <c r="D244" s="156">
        <v>47.3</v>
      </c>
      <c r="E244" s="156">
        <v>28.83</v>
      </c>
      <c r="F244" s="156">
        <f t="shared" si="159"/>
        <v>1363.6589999999999</v>
      </c>
      <c r="G244" s="156"/>
      <c r="H244" s="156"/>
      <c r="I244" s="156">
        <f t="shared" si="160"/>
        <v>0</v>
      </c>
      <c r="J244" s="156">
        <f t="shared" si="161"/>
        <v>0</v>
      </c>
      <c r="K244" s="156">
        <f t="shared" si="162"/>
        <v>0</v>
      </c>
      <c r="L244" s="156">
        <f t="shared" si="163"/>
        <v>0</v>
      </c>
      <c r="M244" s="80"/>
      <c r="N244" s="81"/>
      <c r="O244" s="7"/>
      <c r="P244" s="80"/>
      <c r="Q244" s="80"/>
      <c r="R244" s="91"/>
      <c r="S244" s="8"/>
      <c r="T244" s="82"/>
      <c r="W244" s="10"/>
      <c r="X244" s="9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</row>
    <row r="245" spans="1:61">
      <c r="A245" s="156"/>
      <c r="B245" s="157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80"/>
      <c r="N245" s="81"/>
      <c r="O245" s="7"/>
      <c r="P245" s="80"/>
      <c r="Q245" s="80"/>
      <c r="R245" s="91"/>
      <c r="S245" s="8"/>
      <c r="T245" s="82"/>
      <c r="W245" s="10"/>
      <c r="X245" s="9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</row>
    <row r="246" spans="1:61" ht="14.25" customHeight="1">
      <c r="A246" s="164" t="s">
        <v>336</v>
      </c>
      <c r="B246" s="165" t="s">
        <v>337</v>
      </c>
      <c r="C246" s="166"/>
      <c r="D246" s="167"/>
      <c r="E246" s="166"/>
      <c r="F246" s="166">
        <f>SUM(F247:F252)</f>
        <v>2430.9776000000002</v>
      </c>
      <c r="G246" s="166"/>
      <c r="H246" s="166"/>
      <c r="I246" s="166"/>
      <c r="J246" s="166">
        <f>SUM(J247:J252)</f>
        <v>0</v>
      </c>
      <c r="K246" s="166">
        <f>SUM(K247:K252)</f>
        <v>0</v>
      </c>
      <c r="L246" s="166">
        <f>SUM(L247:L252)</f>
        <v>0</v>
      </c>
      <c r="M246" s="80"/>
      <c r="N246" s="81"/>
      <c r="O246" s="7"/>
      <c r="P246" s="80"/>
      <c r="Q246" s="80"/>
      <c r="R246" s="91"/>
      <c r="S246" s="8"/>
      <c r="T246" s="82"/>
      <c r="W246" s="10"/>
      <c r="X246" s="9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</row>
    <row r="247" spans="1:61">
      <c r="A247" s="156"/>
      <c r="B247" s="157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80"/>
      <c r="N247" s="81"/>
      <c r="O247" s="7"/>
      <c r="P247" s="80"/>
      <c r="Q247" s="80"/>
      <c r="R247" s="91"/>
      <c r="S247" s="8"/>
      <c r="T247" s="82"/>
      <c r="W247" s="10"/>
      <c r="X247" s="9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</row>
    <row r="248" spans="1:61" ht="28.5">
      <c r="A248" s="156" t="s">
        <v>338</v>
      </c>
      <c r="B248" s="157" t="s">
        <v>262</v>
      </c>
      <c r="C248" s="156" t="s">
        <v>7</v>
      </c>
      <c r="D248" s="156">
        <v>4</v>
      </c>
      <c r="E248" s="156">
        <v>116.16</v>
      </c>
      <c r="F248" s="156">
        <f t="shared" ref="F248:F252" si="164">D248*E248</f>
        <v>464.64</v>
      </c>
      <c r="G248" s="156"/>
      <c r="H248" s="156"/>
      <c r="I248" s="156">
        <f t="shared" ref="I248:I252" si="165">G248+H248</f>
        <v>0</v>
      </c>
      <c r="J248" s="156">
        <f t="shared" ref="J248:J252" si="166">E248*G248</f>
        <v>0</v>
      </c>
      <c r="K248" s="156">
        <f t="shared" ref="K248:K252" si="167">H248*E248</f>
        <v>0</v>
      </c>
      <c r="L248" s="156">
        <f t="shared" ref="L248:L252" si="168">J248+K248</f>
        <v>0</v>
      </c>
      <c r="M248" s="80"/>
      <c r="N248" s="81"/>
      <c r="O248" s="7"/>
      <c r="P248" s="80"/>
      <c r="Q248" s="80"/>
      <c r="R248" s="91"/>
      <c r="S248" s="8"/>
      <c r="T248" s="82"/>
      <c r="W248" s="10"/>
      <c r="X248" s="9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</row>
    <row r="249" spans="1:61" ht="42.75">
      <c r="A249" s="156" t="s">
        <v>339</v>
      </c>
      <c r="B249" s="157" t="s">
        <v>260</v>
      </c>
      <c r="C249" s="156" t="s">
        <v>7</v>
      </c>
      <c r="D249" s="156">
        <v>4</v>
      </c>
      <c r="E249" s="156">
        <v>90.95</v>
      </c>
      <c r="F249" s="156">
        <f t="shared" si="164"/>
        <v>363.8</v>
      </c>
      <c r="G249" s="156"/>
      <c r="H249" s="156"/>
      <c r="I249" s="156">
        <f t="shared" si="165"/>
        <v>0</v>
      </c>
      <c r="J249" s="156">
        <f t="shared" si="166"/>
        <v>0</v>
      </c>
      <c r="K249" s="156">
        <f t="shared" si="167"/>
        <v>0</v>
      </c>
      <c r="L249" s="156">
        <f t="shared" si="168"/>
        <v>0</v>
      </c>
      <c r="M249" s="80"/>
      <c r="N249" s="81"/>
      <c r="O249" s="7"/>
      <c r="P249" s="80"/>
      <c r="Q249" s="80"/>
      <c r="R249" s="91"/>
      <c r="S249" s="8"/>
      <c r="T249" s="82"/>
      <c r="W249" s="10"/>
      <c r="X249" s="9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</row>
    <row r="250" spans="1:61" ht="28.5">
      <c r="A250" s="156" t="s">
        <v>340</v>
      </c>
      <c r="B250" s="157" t="s">
        <v>341</v>
      </c>
      <c r="C250" s="156" t="s">
        <v>7</v>
      </c>
      <c r="D250" s="156">
        <v>4</v>
      </c>
      <c r="E250" s="156">
        <v>372.59</v>
      </c>
      <c r="F250" s="156">
        <f t="shared" si="164"/>
        <v>1490.36</v>
      </c>
      <c r="G250" s="156"/>
      <c r="H250" s="156"/>
      <c r="I250" s="156">
        <f t="shared" si="165"/>
        <v>0</v>
      </c>
      <c r="J250" s="156">
        <f t="shared" si="166"/>
        <v>0</v>
      </c>
      <c r="K250" s="156">
        <f t="shared" si="167"/>
        <v>0</v>
      </c>
      <c r="L250" s="156">
        <f t="shared" si="168"/>
        <v>0</v>
      </c>
      <c r="M250" s="80"/>
      <c r="N250" s="81"/>
      <c r="O250" s="7"/>
      <c r="P250" s="80"/>
      <c r="Q250" s="80"/>
      <c r="R250" s="91"/>
      <c r="S250" s="8"/>
      <c r="T250" s="82"/>
      <c r="W250" s="10"/>
      <c r="X250" s="9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</row>
    <row r="251" spans="1:61" ht="28.5">
      <c r="A251" s="156" t="s">
        <v>342</v>
      </c>
      <c r="B251" s="157" t="s">
        <v>343</v>
      </c>
      <c r="C251" s="156" t="s">
        <v>7</v>
      </c>
      <c r="D251" s="156">
        <v>2</v>
      </c>
      <c r="E251" s="156">
        <v>11.09</v>
      </c>
      <c r="F251" s="156">
        <f t="shared" si="164"/>
        <v>22.18</v>
      </c>
      <c r="G251" s="156"/>
      <c r="H251" s="156"/>
      <c r="I251" s="156">
        <f t="shared" si="165"/>
        <v>0</v>
      </c>
      <c r="J251" s="156">
        <f t="shared" si="166"/>
        <v>0</v>
      </c>
      <c r="K251" s="156">
        <f t="shared" si="167"/>
        <v>0</v>
      </c>
      <c r="L251" s="156">
        <f t="shared" si="168"/>
        <v>0</v>
      </c>
      <c r="M251" s="80"/>
      <c r="N251" s="81"/>
      <c r="O251" s="7"/>
      <c r="P251" s="80"/>
      <c r="Q251" s="80"/>
      <c r="R251" s="91"/>
      <c r="S251" s="8"/>
      <c r="T251" s="82"/>
      <c r="W251" s="10"/>
      <c r="X251" s="9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</row>
    <row r="252" spans="1:61" ht="28.5">
      <c r="A252" s="156" t="s">
        <v>344</v>
      </c>
      <c r="B252" s="157" t="s">
        <v>345</v>
      </c>
      <c r="C252" s="156" t="s">
        <v>16</v>
      </c>
      <c r="D252" s="156">
        <v>19.48</v>
      </c>
      <c r="E252" s="156">
        <v>4.62</v>
      </c>
      <c r="F252" s="156">
        <f t="shared" si="164"/>
        <v>89.997600000000006</v>
      </c>
      <c r="G252" s="156"/>
      <c r="H252" s="156"/>
      <c r="I252" s="156">
        <f t="shared" si="165"/>
        <v>0</v>
      </c>
      <c r="J252" s="156">
        <f t="shared" si="166"/>
        <v>0</v>
      </c>
      <c r="K252" s="156">
        <f t="shared" si="167"/>
        <v>0</v>
      </c>
      <c r="L252" s="156">
        <f t="shared" si="168"/>
        <v>0</v>
      </c>
      <c r="M252" s="80"/>
      <c r="N252" s="81"/>
      <c r="O252" s="7"/>
      <c r="P252" s="80"/>
      <c r="Q252" s="80"/>
      <c r="R252" s="91"/>
      <c r="S252" s="8"/>
      <c r="T252" s="82"/>
      <c r="W252" s="10"/>
      <c r="X252" s="9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</row>
    <row r="253" spans="1:61" ht="16.5" thickBot="1">
      <c r="A253" s="147"/>
      <c r="B253" s="94"/>
      <c r="C253" s="147"/>
      <c r="D253" s="147"/>
      <c r="E253" s="147"/>
      <c r="F253" s="147"/>
      <c r="G253" s="147"/>
      <c r="H253" s="147"/>
      <c r="I253" s="147"/>
      <c r="J253" s="147"/>
      <c r="K253" s="147"/>
      <c r="L253" s="147"/>
      <c r="M253" s="80"/>
      <c r="N253" s="81"/>
      <c r="O253" s="7"/>
      <c r="P253" s="80"/>
      <c r="Q253" s="80"/>
      <c r="R253" s="91"/>
      <c r="S253" s="8"/>
      <c r="T253" s="82"/>
      <c r="W253" s="10"/>
      <c r="X253" s="9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</row>
    <row r="254" spans="1:61" ht="15.75" customHeight="1" thickBot="1">
      <c r="A254" s="257" t="s">
        <v>347</v>
      </c>
      <c r="B254" s="258"/>
      <c r="C254" s="258"/>
      <c r="D254" s="258"/>
      <c r="E254" s="259"/>
      <c r="F254" s="102">
        <f>SUM(F30+F41+F47+F55+F62+F68+F82+F93+F100+F111+F122+F149+F160+F187+F197+F204+F208+F213+F219+F223+F227+F234+F240+F246)+0.02</f>
        <v>648279.26860000018</v>
      </c>
      <c r="G254" s="187"/>
      <c r="H254" s="103"/>
      <c r="I254" s="103"/>
      <c r="J254" s="102">
        <f>SUM(J30+J41+J47+J55+J62+J68+J82+J93+J100+J111+J122+J149+J160+J187+J197+J204+J208+J213+J219+J223+J227+J234+J240+J246)</f>
        <v>76880.458400000003</v>
      </c>
      <c r="K254" s="102">
        <f>SUM(K30+K41+K47+K55+K62+K68+K82+K93+K100+K111+K122+K149+K160+K187+K197+K204+K208+K213+K219+K223+K227+K234+K240+K246)</f>
        <v>162912.7501</v>
      </c>
      <c r="L254" s="102">
        <f>SUM(L30+L41+L47+L55+L62+L68+L82+L93+L100+L111+L122+L149+L160+L187+L197+L204+L208+L213+L219+L223+L227+L234+L240+L246)</f>
        <v>239793.20850000001</v>
      </c>
    </row>
    <row r="255" spans="1:61">
      <c r="B255" s="94"/>
      <c r="C255" s="94"/>
      <c r="D255" s="94"/>
      <c r="E255" s="94"/>
      <c r="F255" s="94"/>
      <c r="G255" s="94"/>
      <c r="H255" s="94"/>
      <c r="I255" s="94"/>
      <c r="J255" s="94"/>
      <c r="K255" s="94"/>
      <c r="L255" s="94"/>
      <c r="M255" s="80"/>
      <c r="N255" s="81"/>
      <c r="O255" s="7"/>
      <c r="P255" s="80"/>
      <c r="Q255" s="80"/>
      <c r="R255" s="91"/>
      <c r="S255" s="8"/>
      <c r="T255" s="82"/>
      <c r="W255" s="10"/>
      <c r="X255" s="9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</row>
    <row r="256" spans="1:61">
      <c r="B256" s="248" t="s">
        <v>534</v>
      </c>
      <c r="C256" s="248"/>
      <c r="D256" s="248"/>
      <c r="E256" s="248"/>
      <c r="F256" s="248"/>
      <c r="G256" s="248"/>
      <c r="H256" s="248"/>
      <c r="I256" s="248"/>
      <c r="J256" s="248"/>
      <c r="K256" s="248"/>
      <c r="L256" s="94"/>
      <c r="M256" s="80"/>
      <c r="N256" s="81"/>
      <c r="O256" s="7"/>
      <c r="P256" s="80"/>
      <c r="Q256" s="80"/>
      <c r="R256" s="91"/>
      <c r="S256" s="8"/>
      <c r="T256" s="82"/>
      <c r="W256" s="10"/>
      <c r="X256" s="9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</row>
    <row r="257" spans="2:61">
      <c r="B257" s="94"/>
      <c r="C257" s="94"/>
      <c r="D257" s="94"/>
      <c r="E257" s="94"/>
      <c r="F257" s="94"/>
      <c r="G257" s="94"/>
      <c r="H257" s="94"/>
      <c r="I257" s="94"/>
      <c r="J257" s="94"/>
      <c r="K257" s="94"/>
      <c r="L257" s="94"/>
      <c r="M257" s="80"/>
      <c r="N257" s="81"/>
      <c r="O257" s="7"/>
      <c r="P257" s="80"/>
      <c r="Q257" s="80"/>
      <c r="R257" s="91"/>
      <c r="S257" s="8"/>
      <c r="T257" s="82"/>
      <c r="W257" s="10"/>
      <c r="X257" s="9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</row>
    <row r="258" spans="2:61">
      <c r="B258" s="94"/>
      <c r="E258" s="106"/>
      <c r="F258" s="106"/>
      <c r="G258" s="106"/>
      <c r="H258" s="106"/>
      <c r="I258" s="106"/>
      <c r="J258" s="106"/>
      <c r="K258" s="106"/>
      <c r="L258" s="106"/>
      <c r="M258" s="80"/>
      <c r="N258" s="81"/>
      <c r="O258" s="7"/>
      <c r="P258" s="80"/>
      <c r="Q258" s="80"/>
      <c r="R258" s="91"/>
      <c r="S258" s="8"/>
      <c r="T258" s="82"/>
      <c r="W258" s="10"/>
      <c r="X258" s="9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</row>
    <row r="259" spans="2:61">
      <c r="B259" s="94"/>
      <c r="E259" s="106"/>
      <c r="F259" s="106"/>
      <c r="G259" s="106"/>
      <c r="H259" s="106"/>
      <c r="I259" s="106"/>
      <c r="J259" s="106"/>
      <c r="K259" s="106"/>
      <c r="L259" s="106"/>
    </row>
    <row r="260" spans="2:61">
      <c r="E260" s="106"/>
      <c r="F260" s="106"/>
      <c r="G260" s="106"/>
      <c r="H260" s="106"/>
      <c r="I260" s="106"/>
      <c r="J260" s="106"/>
      <c r="K260" s="106"/>
      <c r="L260" s="106"/>
    </row>
    <row r="261" spans="2:61">
      <c r="E261" s="106"/>
      <c r="F261" s="106"/>
      <c r="G261" s="106"/>
      <c r="H261" s="106"/>
      <c r="I261" s="106"/>
      <c r="J261" s="106"/>
      <c r="K261" s="106"/>
      <c r="L261" s="106"/>
    </row>
    <row r="262" spans="2:61">
      <c r="E262" s="106"/>
      <c r="F262" s="106"/>
      <c r="G262" s="106"/>
      <c r="H262" s="106"/>
      <c r="I262" s="106"/>
      <c r="J262" s="106"/>
      <c r="K262" s="106"/>
      <c r="L262" s="106"/>
    </row>
    <row r="263" spans="2:61">
      <c r="E263" s="106"/>
      <c r="F263" s="106"/>
      <c r="G263" s="106"/>
      <c r="H263" s="106"/>
      <c r="I263" s="106"/>
      <c r="J263" s="106"/>
      <c r="K263" s="106"/>
      <c r="L263" s="106"/>
    </row>
    <row r="264" spans="2:61">
      <c r="E264" s="106"/>
      <c r="F264" s="106"/>
      <c r="G264" s="106"/>
      <c r="H264" s="106"/>
      <c r="I264" s="106"/>
      <c r="J264" s="106"/>
      <c r="K264" s="106"/>
      <c r="L264" s="106"/>
    </row>
    <row r="265" spans="2:61">
      <c r="E265" s="106"/>
      <c r="F265" s="106"/>
      <c r="G265" s="106"/>
      <c r="H265" s="106"/>
      <c r="I265" s="106"/>
      <c r="J265" s="106"/>
      <c r="K265" s="106"/>
      <c r="L265" s="106"/>
    </row>
    <row r="266" spans="2:61">
      <c r="E266" s="106"/>
      <c r="F266" s="106"/>
      <c r="G266" s="106"/>
      <c r="H266" s="106"/>
      <c r="I266" s="106"/>
      <c r="J266" s="106"/>
      <c r="K266" s="106"/>
      <c r="L266" s="106"/>
    </row>
    <row r="267" spans="2:61">
      <c r="E267" s="106"/>
      <c r="F267" s="106"/>
      <c r="G267" s="106"/>
      <c r="I267" s="106"/>
      <c r="J267" s="106"/>
      <c r="K267" s="106"/>
      <c r="L267" s="106"/>
    </row>
    <row r="268" spans="2:61">
      <c r="E268" s="106"/>
      <c r="F268" s="106"/>
      <c r="G268" s="106"/>
      <c r="I268" s="106"/>
      <c r="J268" s="106"/>
      <c r="K268" s="106"/>
      <c r="L268" s="106"/>
    </row>
    <row r="269" spans="2:61">
      <c r="E269" s="106"/>
      <c r="F269" s="106"/>
      <c r="G269" s="106"/>
      <c r="I269" s="106"/>
      <c r="J269" s="106"/>
      <c r="K269" s="106"/>
      <c r="L269" s="106"/>
    </row>
    <row r="270" spans="2:61">
      <c r="E270" s="106"/>
      <c r="F270" s="106"/>
      <c r="G270" s="106"/>
      <c r="I270" s="106"/>
      <c r="J270" s="106"/>
      <c r="K270" s="106"/>
      <c r="L270" s="106"/>
    </row>
    <row r="271" spans="2:61">
      <c r="C271" s="59"/>
      <c r="D271" s="59"/>
      <c r="E271" s="59"/>
      <c r="F271" s="59">
        <v>719635.08</v>
      </c>
      <c r="G271" s="59"/>
      <c r="H271" s="60">
        <v>0.23880000000000001</v>
      </c>
      <c r="I271" s="59"/>
      <c r="J271" s="59"/>
      <c r="K271" s="59"/>
      <c r="L271" s="59" t="s">
        <v>346</v>
      </c>
    </row>
    <row r="272" spans="2:61">
      <c r="C272" s="59"/>
      <c r="D272" s="59"/>
      <c r="E272" s="59"/>
      <c r="F272" s="59">
        <f>SUM(F271*H271+F271)</f>
        <v>891483.93710400001</v>
      </c>
      <c r="G272" s="59"/>
      <c r="H272" s="59"/>
      <c r="I272" s="59"/>
      <c r="J272" s="59"/>
      <c r="K272" s="59"/>
      <c r="L272" s="59" t="s">
        <v>25</v>
      </c>
    </row>
    <row r="273" spans="3:12">
      <c r="C273" s="59"/>
      <c r="D273" s="59"/>
      <c r="E273" s="59"/>
      <c r="F273" s="59"/>
      <c r="G273" s="59"/>
      <c r="H273" s="59"/>
      <c r="I273" s="59"/>
      <c r="J273" s="59"/>
      <c r="K273" s="59"/>
      <c r="L273" s="59"/>
    </row>
    <row r="274" spans="3:12">
      <c r="E274" s="106"/>
      <c r="F274" s="106"/>
      <c r="G274" s="106"/>
      <c r="I274" s="106"/>
      <c r="J274" s="106"/>
      <c r="K274" s="106"/>
      <c r="L274" s="106"/>
    </row>
    <row r="275" spans="3:12">
      <c r="E275" s="106"/>
      <c r="F275" s="106"/>
      <c r="G275" s="106"/>
      <c r="I275" s="106"/>
      <c r="J275" s="106"/>
      <c r="K275" s="106"/>
      <c r="L275" s="106"/>
    </row>
    <row r="276" spans="3:12">
      <c r="E276" s="106"/>
      <c r="F276" s="106"/>
      <c r="G276" s="106"/>
      <c r="I276" s="106"/>
      <c r="J276" s="106"/>
      <c r="K276" s="106"/>
      <c r="L276" s="106"/>
    </row>
    <row r="277" spans="3:12">
      <c r="E277" s="106"/>
      <c r="F277" s="106"/>
      <c r="G277" s="106"/>
      <c r="I277" s="106"/>
      <c r="J277" s="106"/>
      <c r="K277" s="106"/>
      <c r="L277" s="106"/>
    </row>
    <row r="278" spans="3:12">
      <c r="E278" s="106"/>
      <c r="F278" s="106"/>
      <c r="G278" s="106"/>
      <c r="I278" s="106"/>
      <c r="J278" s="106"/>
      <c r="K278" s="106"/>
      <c r="L278" s="106"/>
    </row>
    <row r="279" spans="3:12">
      <c r="E279" s="106"/>
      <c r="F279" s="106"/>
      <c r="G279" s="106"/>
      <c r="I279" s="106"/>
      <c r="J279" s="106"/>
      <c r="K279" s="106"/>
      <c r="L279" s="106"/>
    </row>
    <row r="280" spans="3:12">
      <c r="E280" s="106"/>
      <c r="F280" s="106"/>
      <c r="G280" s="106"/>
      <c r="I280" s="106"/>
      <c r="J280" s="106"/>
      <c r="K280" s="106"/>
      <c r="L280" s="106"/>
    </row>
    <row r="281" spans="3:12">
      <c r="E281" s="106"/>
      <c r="F281" s="106"/>
      <c r="G281" s="106"/>
      <c r="I281" s="106"/>
      <c r="J281" s="106"/>
      <c r="K281" s="106"/>
      <c r="L281" s="106"/>
    </row>
    <row r="282" spans="3:12">
      <c r="E282" s="106"/>
      <c r="F282" s="106"/>
      <c r="G282" s="106"/>
      <c r="I282" s="106"/>
      <c r="J282" s="106"/>
      <c r="K282" s="106"/>
      <c r="L282" s="106"/>
    </row>
    <row r="283" spans="3:12">
      <c r="E283" s="106"/>
      <c r="F283" s="106"/>
      <c r="G283" s="106"/>
      <c r="I283" s="106"/>
      <c r="J283" s="106"/>
      <c r="K283" s="106"/>
      <c r="L283" s="106"/>
    </row>
    <row r="284" spans="3:12">
      <c r="E284" s="106"/>
      <c r="F284" s="106"/>
      <c r="G284" s="106"/>
      <c r="I284" s="106"/>
      <c r="J284" s="106"/>
      <c r="K284" s="106"/>
      <c r="L284" s="106"/>
    </row>
    <row r="285" spans="3:12">
      <c r="E285" s="106"/>
      <c r="F285" s="106"/>
      <c r="G285" s="106"/>
      <c r="I285" s="106"/>
      <c r="J285" s="106"/>
      <c r="K285" s="106"/>
      <c r="L285" s="106"/>
    </row>
    <row r="286" spans="3:12">
      <c r="E286" s="106"/>
      <c r="F286" s="106"/>
      <c r="G286" s="106"/>
      <c r="I286" s="106"/>
      <c r="J286" s="106"/>
      <c r="K286" s="106"/>
      <c r="L286" s="106"/>
    </row>
    <row r="287" spans="3:12">
      <c r="E287" s="106"/>
      <c r="F287" s="106"/>
      <c r="G287" s="106"/>
      <c r="I287" s="106"/>
      <c r="J287" s="106"/>
      <c r="K287" s="106"/>
      <c r="L287" s="106"/>
    </row>
    <row r="288" spans="3:12">
      <c r="E288" s="106"/>
      <c r="F288" s="106"/>
      <c r="G288" s="106"/>
      <c r="I288" s="106"/>
      <c r="J288" s="106"/>
      <c r="K288" s="106"/>
      <c r="L288" s="106"/>
    </row>
    <row r="289" spans="5:12">
      <c r="E289" s="106"/>
      <c r="F289" s="106"/>
      <c r="G289" s="106"/>
      <c r="I289" s="106"/>
      <c r="J289" s="106"/>
      <c r="K289" s="106"/>
      <c r="L289" s="106"/>
    </row>
    <row r="290" spans="5:12">
      <c r="E290" s="106"/>
      <c r="F290" s="106"/>
      <c r="G290" s="106"/>
      <c r="I290" s="106"/>
      <c r="J290" s="106"/>
      <c r="K290" s="106"/>
      <c r="L290" s="106"/>
    </row>
    <row r="291" spans="5:12">
      <c r="E291" s="106"/>
      <c r="F291" s="106"/>
      <c r="G291" s="106"/>
      <c r="I291" s="106"/>
      <c r="J291" s="106"/>
      <c r="K291" s="106"/>
      <c r="L291" s="106"/>
    </row>
    <row r="292" spans="5:12">
      <c r="E292" s="106"/>
      <c r="F292" s="106"/>
      <c r="G292" s="106"/>
      <c r="I292" s="106"/>
      <c r="J292" s="106"/>
      <c r="K292" s="106"/>
      <c r="L292" s="106"/>
    </row>
    <row r="293" spans="5:12">
      <c r="E293" s="106"/>
      <c r="F293" s="106"/>
      <c r="G293" s="106"/>
      <c r="I293" s="106"/>
      <c r="J293" s="106"/>
      <c r="K293" s="106"/>
      <c r="L293" s="106"/>
    </row>
    <row r="294" spans="5:12">
      <c r="E294" s="106"/>
      <c r="F294" s="106"/>
      <c r="G294" s="106"/>
      <c r="I294" s="106"/>
      <c r="J294" s="106"/>
      <c r="K294" s="106"/>
      <c r="L294" s="106"/>
    </row>
    <row r="295" spans="5:12">
      <c r="E295" s="106"/>
      <c r="F295" s="106"/>
      <c r="G295" s="106"/>
      <c r="I295" s="106"/>
      <c r="J295" s="106"/>
      <c r="K295" s="106"/>
      <c r="L295" s="106"/>
    </row>
    <row r="296" spans="5:12">
      <c r="E296" s="106"/>
      <c r="F296" s="106"/>
      <c r="G296" s="106"/>
      <c r="I296" s="106"/>
      <c r="J296" s="106"/>
      <c r="K296" s="106"/>
      <c r="L296" s="106"/>
    </row>
  </sheetData>
  <mergeCells count="16">
    <mergeCell ref="A1:L1"/>
    <mergeCell ref="A2:L2"/>
    <mergeCell ref="A3:L3"/>
    <mergeCell ref="E8:L8"/>
    <mergeCell ref="E9:I9"/>
    <mergeCell ref="K9:L9"/>
    <mergeCell ref="A202:L203"/>
    <mergeCell ref="A254:E254"/>
    <mergeCell ref="B256:K256"/>
    <mergeCell ref="A15:L15"/>
    <mergeCell ref="A16:L16"/>
    <mergeCell ref="A20:H20"/>
    <mergeCell ref="A24:B24"/>
    <mergeCell ref="A25:B25"/>
    <mergeCell ref="A29:L29"/>
    <mergeCell ref="I19:L19"/>
  </mergeCells>
  <printOptions horizontalCentered="1"/>
  <pageMargins left="0.70866141732283472" right="0.70866141732283472" top="0.9055118110236221" bottom="0.9055118110236221" header="0.31496062992125984" footer="0.31496062992125984"/>
  <pageSetup paperSize="9" scale="54" fitToHeight="0" orientation="landscape" r:id="rId1"/>
  <rowBreaks count="1" manualBreakCount="1">
    <brk id="49" max="11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587"/>
  <sheetViews>
    <sheetView view="pageBreakPreview" topLeftCell="A83" zoomScaleNormal="100" zoomScaleSheetLayoutView="100" workbookViewId="0">
      <selection activeCell="G205" sqref="G205"/>
    </sheetView>
  </sheetViews>
  <sheetFormatPr defaultColWidth="2.28515625" defaultRowHeight="12.6" customHeight="1"/>
  <cols>
    <col min="1" max="1" width="8.5703125" style="108" customWidth="1"/>
    <col min="2" max="2" width="16" style="108" customWidth="1"/>
    <col min="3" max="3" width="9.28515625" style="108" customWidth="1"/>
    <col min="4" max="4" width="8.28515625" style="108" customWidth="1"/>
    <col min="5" max="5" width="9.5703125" style="108" customWidth="1"/>
    <col min="6" max="6" width="9" style="108" customWidth="1"/>
    <col min="7" max="7" width="11.28515625" style="108" customWidth="1"/>
    <col min="8" max="8" width="10.7109375" style="108" customWidth="1"/>
    <col min="9" max="9" width="10.28515625" style="108" customWidth="1"/>
    <col min="10" max="10" width="11.5703125" style="108" customWidth="1"/>
    <col min="11" max="11" width="10.140625" style="108" bestFit="1" customWidth="1"/>
    <col min="12" max="12" width="10.85546875" style="108" bestFit="1" customWidth="1"/>
    <col min="13" max="13" width="6.140625" style="108" bestFit="1" customWidth="1"/>
    <col min="14" max="14" width="16.5703125" style="108" bestFit="1" customWidth="1"/>
    <col min="15" max="15" width="19.42578125" style="108" customWidth="1"/>
    <col min="16" max="16" width="11.28515625" style="108" customWidth="1"/>
    <col min="17" max="16384" width="2.28515625" style="108"/>
  </cols>
  <sheetData>
    <row r="1" spans="1:14" ht="16.5" thickBot="1">
      <c r="A1" s="217"/>
      <c r="B1" s="218"/>
      <c r="C1" s="223" t="s">
        <v>536</v>
      </c>
      <c r="D1" s="224"/>
      <c r="E1" s="224"/>
      <c r="F1" s="224"/>
      <c r="G1" s="224"/>
      <c r="H1" s="224"/>
      <c r="I1" s="224"/>
      <c r="J1" s="224"/>
      <c r="K1" s="224"/>
      <c r="L1" s="224"/>
      <c r="M1" s="225"/>
    </row>
    <row r="2" spans="1:14" ht="12.75">
      <c r="A2" s="219"/>
      <c r="B2" s="220"/>
      <c r="C2" s="226" t="s">
        <v>348</v>
      </c>
      <c r="D2" s="227"/>
      <c r="E2" s="227"/>
      <c r="F2" s="227"/>
      <c r="G2" s="228"/>
      <c r="H2" s="226" t="s">
        <v>349</v>
      </c>
      <c r="I2" s="227"/>
      <c r="J2" s="227"/>
      <c r="K2" s="227"/>
      <c r="L2" s="227"/>
      <c r="M2" s="228"/>
    </row>
    <row r="3" spans="1:14" ht="30.75" customHeight="1" thickBot="1">
      <c r="A3" s="219"/>
      <c r="B3" s="220"/>
      <c r="C3" s="229" t="s">
        <v>434</v>
      </c>
      <c r="D3" s="230"/>
      <c r="E3" s="230"/>
      <c r="F3" s="230"/>
      <c r="G3" s="231"/>
      <c r="H3" s="232" t="s">
        <v>435</v>
      </c>
      <c r="I3" s="230"/>
      <c r="J3" s="230"/>
      <c r="K3" s="230"/>
      <c r="L3" s="230"/>
      <c r="M3" s="231"/>
    </row>
    <row r="4" spans="1:14" ht="12.75">
      <c r="A4" s="219"/>
      <c r="B4" s="220"/>
      <c r="C4" s="226" t="s">
        <v>350</v>
      </c>
      <c r="D4" s="227"/>
      <c r="E4" s="227"/>
      <c r="F4" s="227"/>
      <c r="G4" s="228"/>
      <c r="H4" s="233" t="s">
        <v>351</v>
      </c>
      <c r="I4" s="234"/>
      <c r="J4" s="234"/>
      <c r="K4" s="235"/>
      <c r="L4" s="109"/>
      <c r="M4" s="110"/>
    </row>
    <row r="5" spans="1:14" ht="13.5" thickBot="1">
      <c r="A5" s="221"/>
      <c r="B5" s="222"/>
      <c r="C5" s="236" t="s">
        <v>436</v>
      </c>
      <c r="D5" s="237"/>
      <c r="E5" s="237"/>
      <c r="F5" s="237"/>
      <c r="G5" s="238"/>
      <c r="H5" s="239" t="s">
        <v>352</v>
      </c>
      <c r="I5" s="240"/>
      <c r="J5" s="240"/>
      <c r="K5" s="241"/>
      <c r="L5" s="111"/>
      <c r="M5" s="112"/>
    </row>
    <row r="6" spans="1:14" ht="13.5" thickBot="1">
      <c r="A6" s="113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5"/>
    </row>
    <row r="7" spans="1:14" ht="12.75">
      <c r="A7" s="201" t="s">
        <v>10</v>
      </c>
      <c r="B7" s="203" t="s">
        <v>353</v>
      </c>
      <c r="C7" s="204"/>
      <c r="D7" s="207" t="s">
        <v>354</v>
      </c>
      <c r="E7" s="214" t="s">
        <v>355</v>
      </c>
      <c r="F7" s="215"/>
      <c r="G7" s="215"/>
      <c r="H7" s="215"/>
      <c r="I7" s="215"/>
      <c r="J7" s="216"/>
      <c r="K7" s="214" t="s">
        <v>356</v>
      </c>
      <c r="L7" s="216"/>
      <c r="M7" s="242" t="s">
        <v>357</v>
      </c>
      <c r="N7" s="116"/>
    </row>
    <row r="8" spans="1:14" ht="13.5" thickBot="1">
      <c r="A8" s="202"/>
      <c r="B8" s="205"/>
      <c r="C8" s="206"/>
      <c r="D8" s="208"/>
      <c r="E8" s="117" t="s">
        <v>358</v>
      </c>
      <c r="F8" s="117" t="s">
        <v>359</v>
      </c>
      <c r="G8" s="117" t="s">
        <v>360</v>
      </c>
      <c r="H8" s="117" t="s">
        <v>361</v>
      </c>
      <c r="I8" s="117" t="s">
        <v>362</v>
      </c>
      <c r="J8" s="117" t="s">
        <v>363</v>
      </c>
      <c r="K8" s="117" t="s">
        <v>364</v>
      </c>
      <c r="L8" s="117" t="s">
        <v>9</v>
      </c>
      <c r="M8" s="243"/>
      <c r="N8" s="116"/>
    </row>
    <row r="9" spans="1:14" ht="13.5" thickBot="1">
      <c r="A9" s="118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20"/>
    </row>
    <row r="10" spans="1:14" ht="13.9" customHeight="1" thickBot="1">
      <c r="A10" s="272" t="str">
        <f>'BM02'!A29</f>
        <v>ETAPA 01: CONSTRUÇÃO DA ESCOLA</v>
      </c>
      <c r="B10" s="273"/>
      <c r="C10" s="273"/>
      <c r="D10" s="273"/>
      <c r="E10" s="273"/>
      <c r="F10" s="273"/>
      <c r="G10" s="273"/>
      <c r="H10" s="273"/>
      <c r="I10" s="273"/>
      <c r="J10" s="273"/>
      <c r="K10" s="273"/>
      <c r="L10" s="273"/>
      <c r="M10" s="274"/>
    </row>
    <row r="11" spans="1:14" ht="13.5" thickBot="1">
      <c r="A11" s="124"/>
      <c r="B11" s="125"/>
      <c r="C11" s="125"/>
      <c r="D11" s="125"/>
      <c r="E11" s="125"/>
      <c r="F11" s="125"/>
      <c r="G11" s="125"/>
      <c r="H11" s="125"/>
      <c r="I11" s="125"/>
      <c r="J11" s="125"/>
      <c r="K11" s="126"/>
      <c r="L11" s="125"/>
      <c r="M11" s="127"/>
    </row>
    <row r="12" spans="1:14" ht="13.5" thickBot="1">
      <c r="A12" s="121" t="s">
        <v>1</v>
      </c>
      <c r="B12" s="122" t="str">
        <f>'BM01'!B30</f>
        <v>SERVIÇOS PRELIMINARES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3"/>
    </row>
    <row r="13" spans="1:14" ht="12.75">
      <c r="A13" s="124"/>
      <c r="B13" s="125"/>
      <c r="C13" s="125"/>
      <c r="D13" s="125"/>
      <c r="E13" s="125"/>
      <c r="F13" s="125"/>
      <c r="G13" s="125"/>
      <c r="H13" s="125"/>
      <c r="I13" s="125"/>
      <c r="J13" s="125"/>
      <c r="K13" s="126"/>
      <c r="L13" s="125"/>
      <c r="M13" s="127"/>
    </row>
    <row r="14" spans="1:14" s="131" customFormat="1" ht="12.75">
      <c r="A14" s="128" t="str">
        <f>'BM02'!A32</f>
        <v>1.1.1</v>
      </c>
      <c r="B14" s="211" t="str">
        <f>'BM02'!B32</f>
        <v xml:space="preserve">PLACA   DE   OBRA   EM   CHAPA   DE   ACO GALVANIZADO </v>
      </c>
      <c r="C14" s="212"/>
      <c r="D14" s="212"/>
      <c r="E14" s="212"/>
      <c r="F14" s="212"/>
      <c r="G14" s="212"/>
      <c r="H14" s="212"/>
      <c r="I14" s="212"/>
      <c r="J14" s="212"/>
      <c r="K14" s="213"/>
      <c r="L14" s="129">
        <f>L15</f>
        <v>0</v>
      </c>
      <c r="M14" s="130" t="str">
        <f>'BM02'!C32</f>
        <v>m²</v>
      </c>
    </row>
    <row r="15" spans="1:14" ht="12.75">
      <c r="A15" s="132"/>
      <c r="B15" s="209"/>
      <c r="C15" s="210"/>
      <c r="D15" s="134"/>
      <c r="E15" s="134"/>
      <c r="F15" s="134"/>
      <c r="G15" s="134"/>
      <c r="H15" s="134"/>
      <c r="I15" s="134"/>
      <c r="J15" s="135"/>
      <c r="K15" s="135"/>
      <c r="L15" s="134">
        <f>ROUND(D15*K15,2)</f>
        <v>0</v>
      </c>
      <c r="M15" s="136"/>
    </row>
    <row r="16" spans="1:14" ht="12.75">
      <c r="A16" s="124"/>
      <c r="B16" s="125"/>
      <c r="C16" s="125"/>
      <c r="D16" s="125"/>
      <c r="E16" s="125"/>
      <c r="F16" s="125"/>
      <c r="G16" s="125"/>
      <c r="H16" s="125"/>
      <c r="I16" s="125"/>
      <c r="J16" s="125"/>
      <c r="K16" s="126"/>
      <c r="L16" s="125"/>
      <c r="M16" s="127"/>
    </row>
    <row r="17" spans="1:13" s="131" customFormat="1" ht="28.9" customHeight="1">
      <c r="A17" s="128" t="str">
        <f>'BM02'!A33</f>
        <v>1.1.2</v>
      </c>
      <c r="B17" s="211" t="str">
        <f>'BM02'!B33</f>
        <v>LOCACAO CONVENCIONAL DE OBRA, UTILIZANDO GABARITO DE TÁBUAS CORRIDAS PONTALETADAS A CADA 2,00M - 2 UTILIZAÇÕES. AF_10/2018</v>
      </c>
      <c r="C17" s="212"/>
      <c r="D17" s="212"/>
      <c r="E17" s="212"/>
      <c r="F17" s="212"/>
      <c r="G17" s="212"/>
      <c r="H17" s="212"/>
      <c r="I17" s="212"/>
      <c r="J17" s="212"/>
      <c r="K17" s="213"/>
      <c r="L17" s="129">
        <f>L18</f>
        <v>0</v>
      </c>
      <c r="M17" s="130" t="str">
        <f>'BM02'!C33</f>
        <v>M</v>
      </c>
    </row>
    <row r="18" spans="1:13" ht="12.75">
      <c r="A18" s="132"/>
      <c r="B18" s="209"/>
      <c r="C18" s="210"/>
      <c r="D18" s="134"/>
      <c r="E18" s="134"/>
      <c r="F18" s="134"/>
      <c r="G18" s="134"/>
      <c r="H18" s="134"/>
      <c r="I18" s="134"/>
      <c r="J18" s="135"/>
      <c r="K18" s="135"/>
      <c r="L18" s="134">
        <f>ROUND(D18*K18,2)</f>
        <v>0</v>
      </c>
      <c r="M18" s="136"/>
    </row>
    <row r="19" spans="1:13" ht="12.75">
      <c r="A19" s="124"/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7"/>
    </row>
    <row r="20" spans="1:13" s="131" customFormat="1" ht="28.9" customHeight="1">
      <c r="A20" s="128" t="str">
        <f>'BM02'!A34</f>
        <v>1.1.3</v>
      </c>
      <c r="B20" s="211" t="str">
        <f>'BM02'!B34</f>
        <v>LIMPEZA MECANIZADA DE CAMADA VEGETAL, VEGETAÇÃO E PEQUENAS ÁRVORES DIÂMETRO DE TRONCO MENOR QUE 0,20 M), COM TRATOR DE ESTEIRAS.AF_05/2018</v>
      </c>
      <c r="C20" s="212"/>
      <c r="D20" s="212"/>
      <c r="E20" s="212"/>
      <c r="F20" s="212"/>
      <c r="G20" s="212"/>
      <c r="H20" s="212"/>
      <c r="I20" s="212"/>
      <c r="J20" s="212"/>
      <c r="K20" s="213"/>
      <c r="L20" s="129">
        <f>L21</f>
        <v>0</v>
      </c>
      <c r="M20" s="130" t="str">
        <f>'BM02'!C34</f>
        <v>m²</v>
      </c>
    </row>
    <row r="21" spans="1:13" ht="12.75">
      <c r="A21" s="132"/>
      <c r="B21" s="209"/>
      <c r="C21" s="210"/>
      <c r="D21" s="134"/>
      <c r="E21" s="134"/>
      <c r="F21" s="134"/>
      <c r="G21" s="134"/>
      <c r="H21" s="134"/>
      <c r="I21" s="134"/>
      <c r="J21" s="135"/>
      <c r="K21" s="135"/>
      <c r="L21" s="134">
        <f>ROUND(D21*K21,2)</f>
        <v>0</v>
      </c>
      <c r="M21" s="136"/>
    </row>
    <row r="22" spans="1:13" ht="12.75">
      <c r="A22" s="124"/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7"/>
    </row>
    <row r="23" spans="1:13" s="131" customFormat="1" ht="28.9" customHeight="1">
      <c r="A23" s="128" t="str">
        <f>'BM02'!A35</f>
        <v>1.1.4</v>
      </c>
      <c r="B23" s="211" t="str">
        <f>'BM02'!B35</f>
        <v>LIGAÇÃO PREDIAL DE ÁGUA EM MURETA DE CONCRETO, PROVISÓRIA OU DEFINITIVA, COM FORNECIMENTO DE MATERIAL, INCLUSIVE MURETA E HIDRÔMETRO, REDE DN 50MM</v>
      </c>
      <c r="C23" s="212"/>
      <c r="D23" s="212"/>
      <c r="E23" s="212"/>
      <c r="F23" s="212"/>
      <c r="G23" s="212"/>
      <c r="H23" s="212"/>
      <c r="I23" s="212"/>
      <c r="J23" s="212"/>
      <c r="K23" s="213"/>
      <c r="L23" s="129">
        <f>L24</f>
        <v>0</v>
      </c>
      <c r="M23" s="130" t="str">
        <f>'BM02'!C35</f>
        <v>un</v>
      </c>
    </row>
    <row r="24" spans="1:13" ht="12.75">
      <c r="A24" s="132"/>
      <c r="B24" s="209"/>
      <c r="C24" s="210"/>
      <c r="D24" s="134"/>
      <c r="E24" s="134"/>
      <c r="F24" s="134"/>
      <c r="G24" s="134"/>
      <c r="H24" s="134"/>
      <c r="I24" s="134"/>
      <c r="J24" s="135"/>
      <c r="K24" s="135"/>
      <c r="L24" s="134">
        <f>ROUND(D24*K24,2)</f>
        <v>0</v>
      </c>
      <c r="M24" s="136"/>
    </row>
    <row r="25" spans="1:13" ht="12.75">
      <c r="A25" s="124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7"/>
    </row>
    <row r="26" spans="1:13" s="131" customFormat="1" ht="28.9" customHeight="1">
      <c r="A26" s="128" t="str">
        <f>'BM02'!A36</f>
        <v>1.1.5</v>
      </c>
      <c r="B26" s="211" t="str">
        <f>'BM02'!B36</f>
        <v>ENTRADA    DE    ENERGIA    ELETRICA MONOFASICA  COM  POSTE  DE  CONCRETO, INCLUSIVE   CABEAMENTO,   CAIXA   DE PROTECAO     PARA     MEDIDOR</v>
      </c>
      <c r="C26" s="212"/>
      <c r="D26" s="212"/>
      <c r="E26" s="212"/>
      <c r="F26" s="212"/>
      <c r="G26" s="212"/>
      <c r="H26" s="212"/>
      <c r="I26" s="212"/>
      <c r="J26" s="212"/>
      <c r="K26" s="213"/>
      <c r="L26" s="129">
        <f>L27</f>
        <v>0</v>
      </c>
      <c r="M26" s="130" t="str">
        <f>'BM02'!C36</f>
        <v>un</v>
      </c>
    </row>
    <row r="27" spans="1:13" ht="12.75">
      <c r="A27" s="132"/>
      <c r="B27" s="209"/>
      <c r="C27" s="210"/>
      <c r="D27" s="134"/>
      <c r="E27" s="134"/>
      <c r="F27" s="134"/>
      <c r="G27" s="134"/>
      <c r="H27" s="134"/>
      <c r="I27" s="134"/>
      <c r="J27" s="135"/>
      <c r="K27" s="135"/>
      <c r="L27" s="134">
        <f>ROUND(D27*K27,2)</f>
        <v>0</v>
      </c>
      <c r="M27" s="136"/>
    </row>
    <row r="28" spans="1:13" ht="12.75">
      <c r="A28" s="139"/>
      <c r="B28" s="140"/>
      <c r="C28" s="141"/>
      <c r="D28" s="142"/>
      <c r="E28" s="143"/>
      <c r="F28" s="142"/>
      <c r="G28" s="142"/>
      <c r="H28" s="143"/>
      <c r="I28" s="143"/>
      <c r="J28" s="144"/>
      <c r="K28" s="144"/>
      <c r="L28" s="142"/>
      <c r="M28" s="145"/>
    </row>
    <row r="29" spans="1:13" s="131" customFormat="1" ht="43.15" customHeight="1">
      <c r="A29" s="128" t="str">
        <f>'BM02'!A37</f>
        <v>1.1.6</v>
      </c>
      <c r="B29" s="211" t="str">
        <f>'BM02'!B37</f>
        <v>LIGACAO DOMICILIAR DE ESGOTO DN 100MM, DA  CASA  ATE  A  CAIXA,  COMPOSTO  POR 10,0M  TUBO  DE  PVC  ESGOTO  PREDIAL  DN
100MM E CAIXA DE ALVENARIA COM TAMPA DE   CONCRETO   -   FORNECIMENTO</v>
      </c>
      <c r="C29" s="212"/>
      <c r="D29" s="212"/>
      <c r="E29" s="212"/>
      <c r="F29" s="212"/>
      <c r="G29" s="212"/>
      <c r="H29" s="212"/>
      <c r="I29" s="212"/>
      <c r="J29" s="212"/>
      <c r="K29" s="213"/>
      <c r="L29" s="129">
        <f>SUM(L30)</f>
        <v>0</v>
      </c>
      <c r="M29" s="130" t="str">
        <f>'BM02'!C37</f>
        <v>un</v>
      </c>
    </row>
    <row r="30" spans="1:13" ht="12.75">
      <c r="A30" s="132"/>
      <c r="B30" s="209"/>
      <c r="C30" s="210"/>
      <c r="D30" s="134"/>
      <c r="E30" s="134"/>
      <c r="F30" s="134"/>
      <c r="G30" s="134"/>
      <c r="H30" s="134"/>
      <c r="I30" s="134"/>
      <c r="J30" s="135"/>
      <c r="K30" s="135"/>
      <c r="L30" s="134">
        <f>ROUND(D30*K30,2)</f>
        <v>0</v>
      </c>
      <c r="M30" s="136"/>
    </row>
    <row r="31" spans="1:13" ht="12.75">
      <c r="A31" s="146"/>
      <c r="B31" s="140"/>
      <c r="C31" s="143"/>
      <c r="D31" s="142"/>
      <c r="E31" s="142"/>
      <c r="F31" s="142"/>
      <c r="G31" s="142"/>
      <c r="H31" s="142"/>
      <c r="I31" s="142"/>
      <c r="J31" s="144"/>
      <c r="K31" s="144"/>
      <c r="L31" s="142"/>
      <c r="M31" s="145"/>
    </row>
    <row r="32" spans="1:13" s="131" customFormat="1" ht="12.75">
      <c r="A32" s="128" t="str">
        <f>'BM02'!A38</f>
        <v>1.1.7</v>
      </c>
      <c r="B32" s="211" t="str">
        <f>'BM02'!B38</f>
        <v>LOCAÇÃO DE CONTAINER - ALMOXARIFADO COM BANHEIRO - 6,00 X 2,30M</v>
      </c>
      <c r="C32" s="212"/>
      <c r="D32" s="212"/>
      <c r="E32" s="212"/>
      <c r="F32" s="212"/>
      <c r="G32" s="212"/>
      <c r="H32" s="212"/>
      <c r="I32" s="212"/>
      <c r="J32" s="212"/>
      <c r="K32" s="213"/>
      <c r="L32" s="129">
        <f>L33</f>
        <v>0</v>
      </c>
      <c r="M32" s="130" t="str">
        <f>'BM02'!C38</f>
        <v>mês</v>
      </c>
    </row>
    <row r="33" spans="1:13" ht="12.75">
      <c r="A33" s="132"/>
      <c r="B33" s="209"/>
      <c r="C33" s="210"/>
      <c r="D33" s="134"/>
      <c r="E33" s="134"/>
      <c r="F33" s="134"/>
      <c r="G33" s="134"/>
      <c r="H33" s="134"/>
      <c r="I33" s="134"/>
      <c r="J33" s="135"/>
      <c r="K33" s="135"/>
      <c r="L33" s="134">
        <f>ROUND(D33*K33,2)</f>
        <v>0</v>
      </c>
      <c r="M33" s="136"/>
    </row>
    <row r="34" spans="1:13" ht="12.75">
      <c r="A34" s="146"/>
      <c r="B34" s="140"/>
      <c r="C34" s="143"/>
      <c r="D34" s="142"/>
      <c r="E34" s="142"/>
      <c r="F34" s="142"/>
      <c r="G34" s="142"/>
      <c r="H34" s="142"/>
      <c r="I34" s="142"/>
      <c r="J34" s="144"/>
      <c r="K34" s="144"/>
      <c r="L34" s="142"/>
      <c r="M34" s="145"/>
    </row>
    <row r="35" spans="1:13" s="131" customFormat="1" ht="12.75">
      <c r="A35" s="128" t="str">
        <f>'BM02'!A39</f>
        <v>1.1.8</v>
      </c>
      <c r="B35" s="211" t="str">
        <f>'BM02'!B39</f>
        <v xml:space="preserve"> LOCAÇÃO DE CONTAINER - ESCRITÓRIO COM BANHEIRO - 6,20 X 2,20M</v>
      </c>
      <c r="C35" s="212"/>
      <c r="D35" s="212"/>
      <c r="E35" s="212"/>
      <c r="F35" s="212"/>
      <c r="G35" s="212"/>
      <c r="H35" s="212"/>
      <c r="I35" s="212"/>
      <c r="J35" s="212"/>
      <c r="K35" s="213"/>
      <c r="L35" s="129">
        <f>L36</f>
        <v>0</v>
      </c>
      <c r="M35" s="130" t="str">
        <f>'BM02'!C39</f>
        <v>mês</v>
      </c>
    </row>
    <row r="36" spans="1:13" ht="12.75">
      <c r="A36" s="132"/>
      <c r="B36" s="209"/>
      <c r="C36" s="210"/>
      <c r="D36" s="134"/>
      <c r="E36" s="134"/>
      <c r="F36" s="134"/>
      <c r="G36" s="134"/>
      <c r="H36" s="134"/>
      <c r="I36" s="134"/>
      <c r="J36" s="135"/>
      <c r="K36" s="135"/>
      <c r="L36" s="134">
        <f>ROUND(D36*K36,2)</f>
        <v>0</v>
      </c>
      <c r="M36" s="136"/>
    </row>
    <row r="37" spans="1:13" ht="13.5" thickBot="1">
      <c r="A37" s="146"/>
      <c r="B37" s="140"/>
      <c r="C37" s="143"/>
      <c r="D37" s="142"/>
      <c r="E37" s="142"/>
      <c r="F37" s="142"/>
      <c r="G37" s="142"/>
      <c r="H37" s="142"/>
      <c r="I37" s="142"/>
      <c r="J37" s="144"/>
      <c r="K37" s="144"/>
      <c r="L37" s="142"/>
      <c r="M37" s="145"/>
    </row>
    <row r="38" spans="1:13" s="131" customFormat="1" ht="13.5" thickBot="1">
      <c r="A38" s="121" t="str">
        <f>'BM02'!A41</f>
        <v>1.2</v>
      </c>
      <c r="B38" s="122" t="str">
        <f>'BM02'!B41</f>
        <v>MOVIMENTO DE TERRA</v>
      </c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3"/>
    </row>
    <row r="39" spans="1:13" ht="12.75">
      <c r="A39" s="146"/>
      <c r="B39" s="140"/>
      <c r="C39" s="143"/>
      <c r="D39" s="142"/>
      <c r="E39" s="142"/>
      <c r="F39" s="142"/>
      <c r="G39" s="142"/>
      <c r="H39" s="142"/>
      <c r="I39" s="142"/>
      <c r="J39" s="144"/>
      <c r="K39" s="144"/>
      <c r="L39" s="142"/>
      <c r="M39" s="145"/>
    </row>
    <row r="40" spans="1:13" s="131" customFormat="1" ht="28.9" customHeight="1">
      <c r="A40" s="128" t="str">
        <f>'BM02'!A43</f>
        <v>1.2.1</v>
      </c>
      <c r="B40" s="211" t="str">
        <f>'BM02'!B43</f>
        <v>ESCAVACAO MECANICA DE VALA EM MATERIAL DE 2A. CATEGORIA ATE 2 M DE PROFUNDIDADE COM UTILIZACAO DE ESCAVADEIRA HIDRAULICA</v>
      </c>
      <c r="C40" s="212"/>
      <c r="D40" s="212"/>
      <c r="E40" s="212"/>
      <c r="F40" s="212"/>
      <c r="G40" s="212"/>
      <c r="H40" s="212"/>
      <c r="I40" s="212"/>
      <c r="J40" s="212"/>
      <c r="K40" s="213"/>
      <c r="L40" s="129">
        <f>SUM(L41:L41)</f>
        <v>0</v>
      </c>
      <c r="M40" s="130" t="str">
        <f>'BM02'!C43</f>
        <v>m³</v>
      </c>
    </row>
    <row r="41" spans="1:13" ht="12.75">
      <c r="A41" s="132"/>
      <c r="B41" s="209"/>
      <c r="C41" s="210"/>
      <c r="D41" s="134"/>
      <c r="E41" s="134"/>
      <c r="F41" s="134"/>
      <c r="G41" s="134"/>
      <c r="H41" s="134"/>
      <c r="I41" s="134"/>
      <c r="J41" s="135"/>
      <c r="K41" s="135"/>
      <c r="L41" s="134">
        <f>ROUND(D41*K41,2)</f>
        <v>0</v>
      </c>
      <c r="M41" s="136"/>
    </row>
    <row r="42" spans="1:13" ht="12.75">
      <c r="A42" s="146"/>
      <c r="B42" s="140"/>
      <c r="C42" s="143"/>
      <c r="D42" s="142"/>
      <c r="E42" s="142"/>
      <c r="F42" s="142"/>
      <c r="G42" s="142"/>
      <c r="H42" s="142"/>
      <c r="I42" s="142"/>
      <c r="J42" s="144"/>
      <c r="K42" s="144"/>
      <c r="L42" s="142"/>
      <c r="M42" s="145"/>
    </row>
    <row r="43" spans="1:13" s="131" customFormat="1" ht="12.75">
      <c r="A43" s="128" t="str">
        <f>'BM02'!A44</f>
        <v>1.2.2</v>
      </c>
      <c r="B43" s="211" t="str">
        <f>'BM02'!B44</f>
        <v>REATERRO MANUAL DE VALAS COM COMPACTAÇÃO MECANIZADA. AF_04/2016</v>
      </c>
      <c r="C43" s="212"/>
      <c r="D43" s="212"/>
      <c r="E43" s="212"/>
      <c r="F43" s="212"/>
      <c r="G43" s="212"/>
      <c r="H43" s="212"/>
      <c r="I43" s="212"/>
      <c r="J43" s="212"/>
      <c r="K43" s="213"/>
      <c r="L43" s="129">
        <f>SUM(L44:L44)</f>
        <v>0</v>
      </c>
      <c r="M43" s="130" t="str">
        <f>'BM02'!C44</f>
        <v>m³</v>
      </c>
    </row>
    <row r="44" spans="1:13" ht="12.75">
      <c r="A44" s="132"/>
      <c r="B44" s="209"/>
      <c r="C44" s="210"/>
      <c r="D44" s="134"/>
      <c r="E44" s="134"/>
      <c r="F44" s="134"/>
      <c r="G44" s="134"/>
      <c r="H44" s="134"/>
      <c r="I44" s="134"/>
      <c r="J44" s="135"/>
      <c r="K44" s="135"/>
      <c r="L44" s="134">
        <f>ROUND(D44*K44,2)</f>
        <v>0</v>
      </c>
      <c r="M44" s="136"/>
    </row>
    <row r="45" spans="1:13" ht="12.75">
      <c r="A45" s="146"/>
      <c r="B45" s="140"/>
      <c r="C45" s="143"/>
      <c r="D45" s="142"/>
      <c r="E45" s="142"/>
      <c r="F45" s="142"/>
      <c r="G45" s="142"/>
      <c r="H45" s="142"/>
      <c r="I45" s="142"/>
      <c r="J45" s="144"/>
      <c r="K45" s="144"/>
      <c r="L45" s="142"/>
      <c r="M45" s="145"/>
    </row>
    <row r="46" spans="1:13" s="131" customFormat="1" ht="12.75">
      <c r="A46" s="128" t="str">
        <f>'BM02'!A45</f>
        <v>1.2.3</v>
      </c>
      <c r="B46" s="137" t="str">
        <f>'BM02'!B45</f>
        <v>ATERRO MANUAL DE VALAS COM SOLO ARGILO-ARENOSO E COMPACTAÇÃO MECANIZADA. AF_05/2016</v>
      </c>
      <c r="C46" s="138"/>
      <c r="D46" s="138"/>
      <c r="E46" s="138"/>
      <c r="F46" s="138"/>
      <c r="G46" s="138"/>
      <c r="H46" s="138"/>
      <c r="I46" s="138"/>
      <c r="J46" s="138"/>
      <c r="K46" s="138"/>
      <c r="L46" s="129">
        <f>SUM(L47:L47)</f>
        <v>0</v>
      </c>
      <c r="M46" s="130" t="str">
        <f>'BM02'!C45</f>
        <v>m³</v>
      </c>
    </row>
    <row r="47" spans="1:13" ht="12.75">
      <c r="A47" s="132"/>
      <c r="B47" s="209"/>
      <c r="C47" s="210"/>
      <c r="D47" s="134"/>
      <c r="E47" s="134"/>
      <c r="F47" s="134"/>
      <c r="G47" s="134"/>
      <c r="H47" s="134"/>
      <c r="I47" s="134"/>
      <c r="J47" s="135"/>
      <c r="K47" s="135"/>
      <c r="L47" s="134">
        <f>ROUND(D47*K47,2)</f>
        <v>0</v>
      </c>
      <c r="M47" s="136"/>
    </row>
    <row r="48" spans="1:13" ht="13.5" thickBot="1">
      <c r="A48" s="146"/>
      <c r="B48" s="140"/>
      <c r="C48" s="143"/>
      <c r="D48" s="142"/>
      <c r="E48" s="142"/>
      <c r="F48" s="142"/>
      <c r="G48" s="142"/>
      <c r="H48" s="142"/>
      <c r="I48" s="142"/>
      <c r="J48" s="144"/>
      <c r="K48" s="144"/>
      <c r="L48" s="142"/>
      <c r="M48" s="145"/>
    </row>
    <row r="49" spans="1:13" s="131" customFormat="1" ht="13.5" thickBot="1">
      <c r="A49" s="121" t="str">
        <f>'BM02'!A47</f>
        <v>1.3</v>
      </c>
      <c r="B49" s="122" t="str">
        <f>'BM02'!B47</f>
        <v>INFRAESTRUTURA</v>
      </c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3"/>
    </row>
    <row r="50" spans="1:13" ht="12.75">
      <c r="A50" s="146"/>
      <c r="B50" s="140"/>
      <c r="C50" s="143"/>
      <c r="D50" s="142"/>
      <c r="E50" s="142"/>
      <c r="F50" s="142"/>
      <c r="G50" s="142"/>
      <c r="H50" s="142"/>
      <c r="I50" s="142"/>
      <c r="J50" s="144"/>
      <c r="K50" s="144"/>
      <c r="L50" s="142"/>
      <c r="M50" s="145"/>
    </row>
    <row r="51" spans="1:13" s="131" customFormat="1" ht="12.75">
      <c r="A51" s="128" t="str">
        <f>'BM02'!A49</f>
        <v>1.3.1</v>
      </c>
      <c r="B51" s="211" t="str">
        <f>'BM02'!B49</f>
        <v>EMBASAMENTO C/PEDRA ARGAMASSADA UTILIZADO ARG.CIM/AREIA 1:4 (ADAPTADO SINAPI 95467)</v>
      </c>
      <c r="C51" s="212"/>
      <c r="D51" s="212"/>
      <c r="E51" s="212"/>
      <c r="F51" s="212"/>
      <c r="G51" s="212"/>
      <c r="H51" s="212"/>
      <c r="I51" s="212"/>
      <c r="J51" s="212"/>
      <c r="K51" s="213"/>
      <c r="L51" s="129">
        <f>SUM(L52:L52)</f>
        <v>0</v>
      </c>
      <c r="M51" s="130" t="str">
        <f>'BM02'!C49</f>
        <v>m³</v>
      </c>
    </row>
    <row r="52" spans="1:13" s="131" customFormat="1" ht="12.75">
      <c r="A52" s="132"/>
      <c r="B52" s="178"/>
      <c r="C52" s="179"/>
      <c r="D52" s="134"/>
      <c r="E52" s="134"/>
      <c r="F52" s="134"/>
      <c r="G52" s="134"/>
      <c r="H52" s="134"/>
      <c r="I52" s="134"/>
      <c r="J52" s="135"/>
      <c r="K52" s="135"/>
      <c r="L52" s="134">
        <f t="shared" ref="L52" si="0">ROUND(D52*K52,2)</f>
        <v>0</v>
      </c>
      <c r="M52" s="180"/>
    </row>
    <row r="53" spans="1:13" ht="12.75">
      <c r="A53" s="146"/>
      <c r="B53" s="140"/>
      <c r="C53" s="143"/>
      <c r="D53" s="142"/>
      <c r="E53" s="142"/>
      <c r="F53" s="142"/>
      <c r="G53" s="142"/>
      <c r="H53" s="142"/>
      <c r="I53" s="142"/>
      <c r="J53" s="144"/>
      <c r="K53" s="144"/>
      <c r="L53" s="142"/>
      <c r="M53" s="145"/>
    </row>
    <row r="54" spans="1:13" s="131" customFormat="1" ht="43.15" customHeight="1">
      <c r="A54" s="128" t="str">
        <f>'BM01'!A50</f>
        <v>1.3.2</v>
      </c>
      <c r="B54" s="211" t="str">
        <f>'BM02'!B50</f>
        <v>ALVENARIA DE VEDAÇÃO DE BLOCOS CERÂMICOS FURADOS NA HORIZONTAL DE 9X19X19CM (ESPESSURA 9CM) DE PAREDES COM ÁREA LÍQUIDA MAIOR OU IGUAL A 6M² COM VÃOS E ARGAMASSA DE ASSENTAMENTO COM PREPARO MANUAL. AF_06/2014</v>
      </c>
      <c r="C54" s="212"/>
      <c r="D54" s="212"/>
      <c r="E54" s="212"/>
      <c r="F54" s="212"/>
      <c r="G54" s="212"/>
      <c r="H54" s="212"/>
      <c r="I54" s="212"/>
      <c r="J54" s="212"/>
      <c r="K54" s="213"/>
      <c r="L54" s="129">
        <f>SUM(L55:L55)</f>
        <v>0</v>
      </c>
      <c r="M54" s="130" t="str">
        <f>'BM02'!C50</f>
        <v>m²</v>
      </c>
    </row>
    <row r="55" spans="1:13" s="131" customFormat="1" ht="12.75">
      <c r="A55" s="132"/>
      <c r="B55" s="178"/>
      <c r="C55" s="179"/>
      <c r="D55" s="134"/>
      <c r="E55" s="134"/>
      <c r="F55" s="134"/>
      <c r="G55" s="134"/>
      <c r="H55" s="134"/>
      <c r="I55" s="134"/>
      <c r="J55" s="135"/>
      <c r="K55" s="135"/>
      <c r="L55" s="134">
        <f>-(D55*E55*I55)</f>
        <v>0</v>
      </c>
      <c r="M55" s="180"/>
    </row>
    <row r="56" spans="1:13" ht="12.75">
      <c r="A56" s="146"/>
      <c r="B56" s="140"/>
      <c r="C56" s="143"/>
      <c r="D56" s="142"/>
      <c r="E56" s="142"/>
      <c r="F56" s="142"/>
      <c r="G56" s="142"/>
      <c r="H56" s="142"/>
      <c r="I56" s="142"/>
      <c r="J56" s="144"/>
      <c r="K56" s="144"/>
      <c r="L56" s="142"/>
      <c r="M56" s="145"/>
    </row>
    <row r="57" spans="1:13" s="131" customFormat="1" ht="12.75">
      <c r="A57" s="128" t="str">
        <f>'BM01'!A51</f>
        <v>1.3.3</v>
      </c>
      <c r="B57" s="211" t="str">
        <f>'BM02'!B51</f>
        <v>LASTRO DE CONCRETO MAGRO, APLICADO EM BLOCOS DE COROAMENTO OU SAPATAS. AF_08/2017</v>
      </c>
      <c r="C57" s="212"/>
      <c r="D57" s="212"/>
      <c r="E57" s="212"/>
      <c r="F57" s="212"/>
      <c r="G57" s="212"/>
      <c r="H57" s="212"/>
      <c r="I57" s="212"/>
      <c r="J57" s="212"/>
      <c r="K57" s="213"/>
      <c r="L57" s="129">
        <f>SUM(L58:L58)</f>
        <v>0</v>
      </c>
      <c r="M57" s="130" t="str">
        <f>'BM02'!C51</f>
        <v>m³</v>
      </c>
    </row>
    <row r="58" spans="1:13" s="131" customFormat="1" ht="12.75">
      <c r="A58" s="132"/>
      <c r="B58" s="178"/>
      <c r="C58" s="179"/>
      <c r="D58" s="134"/>
      <c r="E58" s="134"/>
      <c r="F58" s="134"/>
      <c r="G58" s="134"/>
      <c r="H58" s="134"/>
      <c r="I58" s="134"/>
      <c r="J58" s="135"/>
      <c r="K58" s="135"/>
      <c r="L58" s="134">
        <f t="shared" ref="L58" si="1">ROUND(D58*K58,2)</f>
        <v>0</v>
      </c>
      <c r="M58" s="180"/>
    </row>
    <row r="59" spans="1:13" ht="12.75">
      <c r="A59" s="146"/>
      <c r="B59" s="140"/>
      <c r="C59" s="143"/>
      <c r="D59" s="142"/>
      <c r="E59" s="142"/>
      <c r="F59" s="142"/>
      <c r="G59" s="142"/>
      <c r="H59" s="142"/>
      <c r="I59" s="142"/>
      <c r="J59" s="144"/>
      <c r="K59" s="144"/>
      <c r="L59" s="142"/>
      <c r="M59" s="145"/>
    </row>
    <row r="60" spans="1:13" s="131" customFormat="1" ht="28.9" customHeight="1">
      <c r="A60" s="128" t="str">
        <f>'BM01'!A52</f>
        <v>1.3.4</v>
      </c>
      <c r="B60" s="211" t="str">
        <f>'BM02'!B52</f>
        <v>CONCRETO ARMADO (PREPARO E LANÇAMENTO) PARA SAPATAS COM FCK=25MPA COM FORMA DE TABUA COM APROVEITAMENTO DE 2 VEZES COM BETONEIRA</v>
      </c>
      <c r="C60" s="212"/>
      <c r="D60" s="212"/>
      <c r="E60" s="212"/>
      <c r="F60" s="212"/>
      <c r="G60" s="212"/>
      <c r="H60" s="212"/>
      <c r="I60" s="212"/>
      <c r="J60" s="212"/>
      <c r="K60" s="213"/>
      <c r="L60" s="129">
        <f>SUM(L61:L61)</f>
        <v>0</v>
      </c>
      <c r="M60" s="130" t="str">
        <f>'BM02'!C52</f>
        <v>m³</v>
      </c>
    </row>
    <row r="61" spans="1:13" s="131" customFormat="1" ht="12.75">
      <c r="A61" s="132"/>
      <c r="B61" s="178"/>
      <c r="C61" s="179"/>
      <c r="D61" s="134"/>
      <c r="E61" s="134"/>
      <c r="F61" s="134"/>
      <c r="G61" s="134"/>
      <c r="H61" s="134"/>
      <c r="I61" s="134"/>
      <c r="J61" s="135"/>
      <c r="K61" s="135"/>
      <c r="L61" s="134">
        <f t="shared" ref="L61" si="2">ROUND(D61*K61,2)</f>
        <v>0</v>
      </c>
      <c r="M61" s="180"/>
    </row>
    <row r="62" spans="1:13" ht="12.75">
      <c r="A62" s="146"/>
      <c r="B62" s="140"/>
      <c r="C62" s="143"/>
      <c r="D62" s="142"/>
      <c r="E62" s="142"/>
      <c r="F62" s="142"/>
      <c r="G62" s="142"/>
      <c r="H62" s="142"/>
      <c r="I62" s="142"/>
      <c r="J62" s="144"/>
      <c r="K62" s="144"/>
      <c r="L62" s="142"/>
      <c r="M62" s="145"/>
    </row>
    <row r="63" spans="1:13" s="131" customFormat="1" ht="28.9" customHeight="1">
      <c r="A63" s="128" t="str">
        <f>'BM01'!A53</f>
        <v>1.3.5</v>
      </c>
      <c r="B63" s="211" t="str">
        <f>'BM02'!B53</f>
        <v>CONCRETO ARMADO (PREPARO E LANÇAMENTO) PARA RADIER COM FCK=25MPA COM TABUA DE MADEIRA COM APROVEITAMENTO DE 3 VEZES COM BETONEIRA</v>
      </c>
      <c r="C63" s="212"/>
      <c r="D63" s="212"/>
      <c r="E63" s="212"/>
      <c r="F63" s="212"/>
      <c r="G63" s="212"/>
      <c r="H63" s="212"/>
      <c r="I63" s="212"/>
      <c r="J63" s="212"/>
      <c r="K63" s="213"/>
      <c r="L63" s="129">
        <f>SUM(L64:L64)</f>
        <v>0</v>
      </c>
      <c r="M63" s="130" t="str">
        <f>'BM02'!C53</f>
        <v>m³</v>
      </c>
    </row>
    <row r="64" spans="1:13" ht="12.75">
      <c r="A64" s="132"/>
      <c r="B64" s="178"/>
      <c r="C64" s="179"/>
      <c r="D64" s="134"/>
      <c r="E64" s="134"/>
      <c r="F64" s="134"/>
      <c r="G64" s="134"/>
      <c r="H64" s="134"/>
      <c r="I64" s="134"/>
      <c r="J64" s="135"/>
      <c r="K64" s="135"/>
      <c r="L64" s="134">
        <f t="shared" ref="L64" si="3">ROUND(D64*K64,2)</f>
        <v>0</v>
      </c>
      <c r="M64" s="136"/>
    </row>
    <row r="65" spans="1:13" ht="13.5" thickBot="1">
      <c r="A65" s="146"/>
      <c r="B65" s="181"/>
      <c r="C65" s="181"/>
      <c r="D65" s="142"/>
      <c r="E65" s="142"/>
      <c r="F65" s="142"/>
      <c r="G65" s="142"/>
      <c r="H65" s="142"/>
      <c r="I65" s="142"/>
      <c r="J65" s="144"/>
      <c r="K65" s="144"/>
      <c r="L65" s="142"/>
      <c r="M65" s="145"/>
    </row>
    <row r="66" spans="1:13" ht="13.5" thickBot="1">
      <c r="A66" s="121" t="str">
        <f>'BM02'!A55</f>
        <v>1.4</v>
      </c>
      <c r="B66" s="122" t="str">
        <f>'BM02'!B55</f>
        <v>SUPERESTRUTURA</v>
      </c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M66" s="123"/>
    </row>
    <row r="67" spans="1:13" ht="12.75">
      <c r="A67" s="124"/>
      <c r="B67" s="125"/>
      <c r="C67" s="125"/>
      <c r="D67" s="125"/>
      <c r="E67" s="125"/>
      <c r="F67" s="125"/>
      <c r="G67" s="125"/>
      <c r="H67" s="125"/>
      <c r="I67" s="125"/>
      <c r="J67" s="125"/>
      <c r="K67" s="126"/>
      <c r="L67" s="125"/>
      <c r="M67" s="127"/>
    </row>
    <row r="68" spans="1:13" s="131" customFormat="1" ht="28.9" customHeight="1">
      <c r="A68" s="128" t="str">
        <f>'BM02'!A57</f>
        <v>1.4.1</v>
      </c>
      <c r="B68" s="211" t="str">
        <f>'BM02'!B57</f>
        <v>CONCRETO ARMADO (PREPARO E LANÇAMENTO) PARA VIGA COM FCK=25MPA, COM FORMA EM CHAPA DE MADEIRA COMPENSADA RESINADA, COM APROVEITAMENTO DE 3 VEZES COM BETONEIRA</v>
      </c>
      <c r="C68" s="212"/>
      <c r="D68" s="212"/>
      <c r="E68" s="212"/>
      <c r="F68" s="212"/>
      <c r="G68" s="212"/>
      <c r="H68" s="212"/>
      <c r="I68" s="212"/>
      <c r="J68" s="212"/>
      <c r="K68" s="213"/>
      <c r="L68" s="129">
        <f>SUM(L69:L70)</f>
        <v>0.24</v>
      </c>
      <c r="M68" s="130" t="str">
        <f>'BM02'!C57</f>
        <v>m²</v>
      </c>
    </row>
    <row r="69" spans="1:13" ht="12.75">
      <c r="A69" s="132"/>
      <c r="B69" s="209" t="s">
        <v>576</v>
      </c>
      <c r="C69" s="210"/>
      <c r="D69" s="134">
        <v>1</v>
      </c>
      <c r="E69" s="134">
        <v>2.38</v>
      </c>
      <c r="F69" s="134"/>
      <c r="G69" s="134">
        <v>0.14000000000000001</v>
      </c>
      <c r="H69" s="134"/>
      <c r="I69" s="134">
        <v>0.35</v>
      </c>
      <c r="J69" s="135"/>
      <c r="K69" s="135">
        <f t="shared" ref="K69" si="4">ROUND(E69*G69*I69,2)</f>
        <v>0.12</v>
      </c>
      <c r="L69" s="134">
        <f t="shared" ref="L69" si="5">ROUND(D69*K69,2)</f>
        <v>0.12</v>
      </c>
      <c r="M69" s="136"/>
    </row>
    <row r="70" spans="1:13" ht="12.75">
      <c r="A70" s="132"/>
      <c r="B70" s="209" t="s">
        <v>575</v>
      </c>
      <c r="C70" s="210"/>
      <c r="D70" s="134">
        <v>1</v>
      </c>
      <c r="E70" s="134">
        <v>2.38</v>
      </c>
      <c r="F70" s="134"/>
      <c r="G70" s="134">
        <v>0.14000000000000001</v>
      </c>
      <c r="H70" s="134"/>
      <c r="I70" s="134">
        <v>0.35</v>
      </c>
      <c r="J70" s="135"/>
      <c r="K70" s="135">
        <f t="shared" ref="K70" si="6">ROUND(E70*G70*I70,2)</f>
        <v>0.12</v>
      </c>
      <c r="L70" s="134">
        <f t="shared" ref="L70" si="7">ROUND(D70*K70,2)</f>
        <v>0.12</v>
      </c>
      <c r="M70" s="136"/>
    </row>
    <row r="71" spans="1:13" ht="12.75">
      <c r="A71" s="124"/>
      <c r="B71" s="125"/>
      <c r="C71" s="125"/>
      <c r="D71" s="125"/>
      <c r="E71" s="125"/>
      <c r="F71" s="125"/>
      <c r="G71" s="125"/>
      <c r="H71" s="125"/>
      <c r="I71" s="125"/>
      <c r="J71" s="125"/>
      <c r="K71" s="125"/>
      <c r="L71" s="125"/>
      <c r="M71" s="127"/>
    </row>
    <row r="72" spans="1:13" s="131" customFormat="1" ht="28.9" customHeight="1">
      <c r="A72" s="128" t="str">
        <f>'BM02'!A58</f>
        <v>1.4.2</v>
      </c>
      <c r="B72" s="211" t="str">
        <f>'BM02'!B58</f>
        <v>CONCRETO ARMADO (PREPARO E LANÇAMENTO) PARA PILARES COM FCK=25MPA, COM FORMA EM CHAPA DE MADEIRA COMPENSADA RESINADA, COM APROVEITAMENTO DE 3 VEZES COM BETONEIRA</v>
      </c>
      <c r="C72" s="212"/>
      <c r="D72" s="212"/>
      <c r="E72" s="212"/>
      <c r="F72" s="212"/>
      <c r="G72" s="212"/>
      <c r="H72" s="212"/>
      <c r="I72" s="212"/>
      <c r="J72" s="212"/>
      <c r="K72" s="213"/>
      <c r="L72" s="129">
        <f>SUM(L73:L73)</f>
        <v>0</v>
      </c>
      <c r="M72" s="130" t="str">
        <f>'BM02'!C58</f>
        <v>m³</v>
      </c>
    </row>
    <row r="73" spans="1:13" ht="12.75">
      <c r="A73" s="132"/>
      <c r="B73" s="209"/>
      <c r="C73" s="210"/>
      <c r="D73" s="134"/>
      <c r="E73" s="134"/>
      <c r="F73" s="134"/>
      <c r="G73" s="134"/>
      <c r="H73" s="134"/>
      <c r="I73" s="134"/>
      <c r="J73" s="135"/>
      <c r="K73" s="135"/>
      <c r="L73" s="134"/>
      <c r="M73" s="136"/>
    </row>
    <row r="74" spans="1:13" ht="12.75">
      <c r="A74" s="146"/>
      <c r="B74" s="181"/>
      <c r="C74" s="181"/>
      <c r="D74" s="142"/>
      <c r="E74" s="142"/>
      <c r="F74" s="142"/>
      <c r="G74" s="142"/>
      <c r="H74" s="142"/>
      <c r="I74" s="142"/>
      <c r="J74" s="144"/>
      <c r="K74" s="144"/>
      <c r="L74" s="142"/>
      <c r="M74" s="145"/>
    </row>
    <row r="75" spans="1:13" ht="12.75">
      <c r="A75" s="128" t="str">
        <f>'BM02'!A59</f>
        <v>1.4.3</v>
      </c>
      <c r="B75" s="137" t="str">
        <f>'BM02'!B59</f>
        <v>Prateleira em granito cinza andorinha, esp= 2cm</v>
      </c>
      <c r="C75" s="138"/>
      <c r="D75" s="138"/>
      <c r="E75" s="138"/>
      <c r="F75" s="138"/>
      <c r="G75" s="138"/>
      <c r="H75" s="138"/>
      <c r="I75" s="138"/>
      <c r="J75" s="138"/>
      <c r="K75" s="138"/>
      <c r="L75" s="129">
        <f>L76</f>
        <v>0</v>
      </c>
      <c r="M75" s="130" t="str">
        <f>'BM02'!C59</f>
        <v>m²</v>
      </c>
    </row>
    <row r="76" spans="1:13" ht="12.75">
      <c r="A76" s="132"/>
      <c r="B76" s="209"/>
      <c r="C76" s="210"/>
      <c r="D76" s="134"/>
      <c r="E76" s="134"/>
      <c r="F76" s="134"/>
      <c r="G76" s="134"/>
      <c r="H76" s="134"/>
      <c r="I76" s="134"/>
      <c r="J76" s="135"/>
      <c r="K76" s="135"/>
      <c r="L76" s="134"/>
      <c r="M76" s="136"/>
    </row>
    <row r="77" spans="1:13" ht="13.5" thickBot="1">
      <c r="A77" s="124"/>
      <c r="B77" s="125"/>
      <c r="C77" s="125"/>
      <c r="D77" s="125"/>
      <c r="E77" s="125"/>
      <c r="F77" s="125"/>
      <c r="G77" s="125"/>
      <c r="H77" s="125"/>
      <c r="I77" s="125"/>
      <c r="J77" s="125"/>
      <c r="K77" s="125"/>
      <c r="L77" s="125"/>
      <c r="M77" s="127"/>
    </row>
    <row r="78" spans="1:13" ht="12.75">
      <c r="A78" s="128" t="str">
        <f>'BM02'!A60</f>
        <v>1.4.4</v>
      </c>
      <c r="B78" s="211" t="str">
        <f>'BM02'!B60</f>
        <v>LAJE PRÉ-MOLDADA UNIDIRECIONAL, BIAPOIADA, PARA FORRO, ENCHIMENTO EM CERÂMICA, VIGOTA CONVENCIONAL, ALTURA TOTAL DA LAJE (ENCHIMENTO+CAPA) = (8+3). AF_11/2020</v>
      </c>
      <c r="C78" s="212"/>
      <c r="D78" s="212"/>
      <c r="E78" s="212"/>
      <c r="F78" s="212"/>
      <c r="G78" s="212"/>
      <c r="H78" s="212"/>
      <c r="I78" s="212"/>
      <c r="J78" s="212"/>
      <c r="K78" s="213"/>
      <c r="L78" s="129">
        <f>SUM(L79:L81)</f>
        <v>474.99999999999994</v>
      </c>
      <c r="M78" s="130" t="str">
        <f>'BM02'!C60</f>
        <v>m²</v>
      </c>
    </row>
    <row r="79" spans="1:13" ht="12.75">
      <c r="A79" s="132"/>
      <c r="B79" s="209" t="s">
        <v>541</v>
      </c>
      <c r="C79" s="210"/>
      <c r="D79" s="134">
        <v>1</v>
      </c>
      <c r="E79" s="134">
        <v>29.7</v>
      </c>
      <c r="F79" s="134"/>
      <c r="G79" s="134">
        <v>9.9499999999999993</v>
      </c>
      <c r="H79" s="134"/>
      <c r="I79" s="134"/>
      <c r="J79" s="135"/>
      <c r="K79" s="135">
        <f>E79*G79</f>
        <v>295.51499999999999</v>
      </c>
      <c r="L79" s="134">
        <f t="shared" ref="L79" si="8">ROUND(D79*K79,2)</f>
        <v>295.52</v>
      </c>
      <c r="M79" s="136"/>
    </row>
    <row r="80" spans="1:13" ht="28.9" customHeight="1">
      <c r="A80" s="132"/>
      <c r="B80" s="209" t="s">
        <v>567</v>
      </c>
      <c r="C80" s="210"/>
      <c r="D80" s="134">
        <f>(19.81*8.65) - (1.27*2)</f>
        <v>168.81649999999999</v>
      </c>
      <c r="E80" s="134"/>
      <c r="F80" s="134"/>
      <c r="G80" s="134"/>
      <c r="H80" s="134"/>
      <c r="I80" s="134"/>
      <c r="J80" s="135"/>
      <c r="K80" s="135"/>
      <c r="L80" s="134">
        <f>ROUNDUP(D80,1)</f>
        <v>168.9</v>
      </c>
      <c r="M80" s="136"/>
    </row>
    <row r="81" spans="1:13" ht="12.75">
      <c r="A81" s="132"/>
      <c r="B81" s="209" t="s">
        <v>566</v>
      </c>
      <c r="C81" s="210"/>
      <c r="D81" s="134">
        <v>1</v>
      </c>
      <c r="E81" s="134">
        <v>4.1500000000000004</v>
      </c>
      <c r="F81" s="134"/>
      <c r="G81" s="134">
        <v>2.5499999999999998</v>
      </c>
      <c r="H81" s="134"/>
      <c r="I81" s="134"/>
      <c r="J81" s="135"/>
      <c r="K81" s="135">
        <f t="shared" ref="K81" si="9">E81*G81</f>
        <v>10.5825</v>
      </c>
      <c r="L81" s="134">
        <f t="shared" ref="L81" si="10">ROUND(D81*K81,2)</f>
        <v>10.58</v>
      </c>
      <c r="M81" s="136"/>
    </row>
    <row r="82" spans="1:13" ht="13.5" thickBot="1">
      <c r="A82" s="139"/>
      <c r="B82" s="140"/>
      <c r="C82" s="141"/>
      <c r="D82" s="142"/>
      <c r="E82" s="143"/>
      <c r="F82" s="142"/>
      <c r="G82" s="142"/>
      <c r="H82" s="143"/>
      <c r="I82" s="143"/>
      <c r="J82" s="144"/>
      <c r="K82" s="144"/>
      <c r="L82" s="142"/>
      <c r="M82" s="145"/>
    </row>
    <row r="83" spans="1:13" ht="13.5" thickBot="1">
      <c r="A83" s="121" t="str">
        <f>'BM02'!A62</f>
        <v>1.5</v>
      </c>
      <c r="B83" s="122" t="str">
        <f>'BM02'!B62</f>
        <v>PAREDES E PAINEIS</v>
      </c>
      <c r="C83" s="122"/>
      <c r="D83" s="122"/>
      <c r="E83" s="122"/>
      <c r="F83" s="122"/>
      <c r="G83" s="122"/>
      <c r="H83" s="122"/>
      <c r="I83" s="122"/>
      <c r="J83" s="122"/>
      <c r="K83" s="122"/>
      <c r="L83" s="122"/>
      <c r="M83" s="123"/>
    </row>
    <row r="84" spans="1:13" ht="12.75">
      <c r="A84" s="124"/>
      <c r="B84" s="125"/>
      <c r="C84" s="125"/>
      <c r="D84" s="125"/>
      <c r="E84" s="125"/>
      <c r="F84" s="125"/>
      <c r="G84" s="125"/>
      <c r="H84" s="125"/>
      <c r="I84" s="125"/>
      <c r="J84" s="125"/>
      <c r="K84" s="126"/>
      <c r="L84" s="125"/>
      <c r="M84" s="127"/>
    </row>
    <row r="85" spans="1:13" s="131" customFormat="1" ht="43.15" customHeight="1">
      <c r="A85" s="128" t="str">
        <f>'BM02'!A64</f>
        <v>1.5.1</v>
      </c>
      <c r="B85" s="211" t="str">
        <f>'BM02'!B64</f>
        <v>ALVENARIA DE VEDAÇÃO DE BLOCOS CERÂMICOS FURADOS NA HORIZONTAL DE 9X19X19CM (ESPESSURA 9CM) DE PAREDES COM ÁREA LÍQUIDA MAIOR OU IGUAL A 6M² SEM VÃOS E ARGAMASSA DE ASSENTAMENTO COM PREPARO MANUAL. AF_06/2014</v>
      </c>
      <c r="C85" s="212"/>
      <c r="D85" s="212"/>
      <c r="E85" s="212"/>
      <c r="F85" s="212"/>
      <c r="G85" s="212"/>
      <c r="H85" s="212"/>
      <c r="I85" s="212"/>
      <c r="J85" s="212"/>
      <c r="K85" s="213"/>
      <c r="L85" s="129">
        <f>SUM(L86:L93)</f>
        <v>114.16</v>
      </c>
      <c r="M85" s="130" t="str">
        <f>'BM02'!C64</f>
        <v>m²</v>
      </c>
    </row>
    <row r="86" spans="1:13" s="131" customFormat="1" ht="28.9" customHeight="1">
      <c r="A86" s="132"/>
      <c r="B86" s="290" t="s">
        <v>548</v>
      </c>
      <c r="C86" s="291"/>
      <c r="D86" s="134">
        <f>2*2</f>
        <v>4</v>
      </c>
      <c r="E86" s="134">
        <v>1.75</v>
      </c>
      <c r="F86" s="134"/>
      <c r="G86" s="134">
        <v>2.7</v>
      </c>
      <c r="H86" s="134"/>
      <c r="I86" s="134"/>
      <c r="J86" s="135"/>
      <c r="K86" s="135">
        <f>E86*G86</f>
        <v>4.7250000000000005</v>
      </c>
      <c r="L86" s="134">
        <f>ROUND(D86*K86,2)</f>
        <v>18.899999999999999</v>
      </c>
      <c r="M86" s="136"/>
    </row>
    <row r="87" spans="1:13" s="131" customFormat="1" ht="12.75">
      <c r="A87" s="132"/>
      <c r="B87" s="290" t="s">
        <v>547</v>
      </c>
      <c r="C87" s="291"/>
      <c r="D87" s="134">
        <f>1*2</f>
        <v>2</v>
      </c>
      <c r="E87" s="134">
        <v>1.4</v>
      </c>
      <c r="F87" s="134"/>
      <c r="G87" s="134">
        <v>3.7</v>
      </c>
      <c r="H87" s="134"/>
      <c r="I87" s="134"/>
      <c r="J87" s="135"/>
      <c r="K87" s="135">
        <f>E87*G87</f>
        <v>5.18</v>
      </c>
      <c r="L87" s="134">
        <f>ROUND(D87*K87,2)</f>
        <v>10.36</v>
      </c>
      <c r="M87" s="136"/>
    </row>
    <row r="88" spans="1:13" s="131" customFormat="1" ht="12.75">
      <c r="A88" s="132"/>
      <c r="B88" s="290" t="s">
        <v>544</v>
      </c>
      <c r="C88" s="291"/>
      <c r="D88" s="134">
        <v>2</v>
      </c>
      <c r="E88" s="134">
        <v>9.9499999999999993</v>
      </c>
      <c r="F88" s="134"/>
      <c r="G88" s="134">
        <f>1.7/2</f>
        <v>0.85</v>
      </c>
      <c r="H88" s="134"/>
      <c r="I88" s="134"/>
      <c r="J88" s="135"/>
      <c r="K88" s="135">
        <f>E88*G88</f>
        <v>8.4574999999999996</v>
      </c>
      <c r="L88" s="134">
        <f>ROUND(D88*K88,2)</f>
        <v>16.920000000000002</v>
      </c>
      <c r="M88" s="136"/>
    </row>
    <row r="89" spans="1:13" s="131" customFormat="1" ht="28.9" customHeight="1">
      <c r="A89" s="132"/>
      <c r="B89" s="290" t="s">
        <v>545</v>
      </c>
      <c r="C89" s="291"/>
      <c r="D89" s="134">
        <v>2</v>
      </c>
      <c r="E89" s="134">
        <v>29.3</v>
      </c>
      <c r="F89" s="134"/>
      <c r="G89" s="134">
        <v>0.2</v>
      </c>
      <c r="H89" s="134"/>
      <c r="I89" s="134"/>
      <c r="J89" s="135"/>
      <c r="K89" s="135">
        <f>E89*G89</f>
        <v>5.86</v>
      </c>
      <c r="L89" s="134">
        <f>ROUND(D89*K89,2)</f>
        <v>11.72</v>
      </c>
      <c r="M89" s="136"/>
    </row>
    <row r="90" spans="1:13" s="131" customFormat="1" ht="57.6" customHeight="1">
      <c r="A90" s="132"/>
      <c r="B90" s="290" t="s">
        <v>546</v>
      </c>
      <c r="C90" s="291"/>
      <c r="D90" s="134">
        <f>2*(11*(1.5 + 1*2 + 0.6*2))*0.2</f>
        <v>20.680000000000003</v>
      </c>
      <c r="E90" s="134"/>
      <c r="F90" s="134"/>
      <c r="G90" s="134"/>
      <c r="H90" s="134"/>
      <c r="I90" s="134"/>
      <c r="J90" s="135"/>
      <c r="K90" s="135"/>
      <c r="L90" s="134">
        <f>D90</f>
        <v>20.680000000000003</v>
      </c>
      <c r="M90" s="136"/>
    </row>
    <row r="91" spans="1:13" s="131" customFormat="1" ht="28.9" customHeight="1">
      <c r="A91" s="132"/>
      <c r="B91" s="290" t="s">
        <v>577</v>
      </c>
      <c r="C91" s="291"/>
      <c r="D91" s="134">
        <v>2</v>
      </c>
      <c r="E91" s="134">
        <v>8.6</v>
      </c>
      <c r="F91" s="134"/>
      <c r="G91" s="134">
        <f>1.7/2</f>
        <v>0.85</v>
      </c>
      <c r="H91" s="134"/>
      <c r="I91" s="134"/>
      <c r="J91" s="135"/>
      <c r="K91" s="135">
        <f>E91*G91</f>
        <v>7.31</v>
      </c>
      <c r="L91" s="134">
        <f>ROUND(D91*K91,2)</f>
        <v>14.62</v>
      </c>
      <c r="M91" s="136"/>
    </row>
    <row r="92" spans="1:13" s="131" customFormat="1" ht="28.9" customHeight="1">
      <c r="A92" s="132"/>
      <c r="B92" s="290" t="s">
        <v>573</v>
      </c>
      <c r="C92" s="291"/>
      <c r="D92" s="134">
        <v>2</v>
      </c>
      <c r="E92" s="134">
        <v>19.510000000000002</v>
      </c>
      <c r="F92" s="134"/>
      <c r="G92" s="134">
        <v>0.2</v>
      </c>
      <c r="H92" s="134"/>
      <c r="I92" s="134"/>
      <c r="J92" s="135"/>
      <c r="K92" s="135">
        <f>E92*G92</f>
        <v>3.9020000000000006</v>
      </c>
      <c r="L92" s="134">
        <f>ROUND(D92*K92,2)</f>
        <v>7.8</v>
      </c>
      <c r="M92" s="136"/>
    </row>
    <row r="93" spans="1:13" s="131" customFormat="1" ht="70.900000000000006" customHeight="1">
      <c r="A93" s="132"/>
      <c r="B93" s="290" t="s">
        <v>574</v>
      </c>
      <c r="C93" s="291"/>
      <c r="D93" s="134">
        <f>2*(7*(1.5 + 1*2 + 0.6*2))*0.2</f>
        <v>13.16</v>
      </c>
      <c r="E93" s="134"/>
      <c r="F93" s="134"/>
      <c r="G93" s="134"/>
      <c r="H93" s="134"/>
      <c r="I93" s="134"/>
      <c r="J93" s="135"/>
      <c r="K93" s="135"/>
      <c r="L93" s="134">
        <f>D93</f>
        <v>13.16</v>
      </c>
      <c r="M93" s="136"/>
    </row>
    <row r="94" spans="1:13" s="131" customFormat="1" ht="12.75">
      <c r="A94" s="139"/>
      <c r="B94" s="140"/>
      <c r="C94" s="141"/>
      <c r="D94" s="142"/>
      <c r="E94" s="143"/>
      <c r="F94" s="142"/>
      <c r="G94" s="142"/>
      <c r="H94" s="143"/>
      <c r="I94" s="143"/>
      <c r="J94" s="144"/>
      <c r="K94" s="144"/>
      <c r="L94" s="142"/>
      <c r="M94" s="145"/>
    </row>
    <row r="95" spans="1:13" ht="30" customHeight="1">
      <c r="A95" s="128" t="str">
        <f>'BM02'!A65</f>
        <v>1.5.2</v>
      </c>
      <c r="B95" s="211" t="str">
        <f>'BM02'!B65</f>
        <v>COBOGO DE CONCRETO (ELEMENTO VAZADO)10X29X39CM ABERTURA COM VIDRO, ASSENTADO COM ARGAMASSA TRAÇO 1:4 (CIMENTO E AREIA MEDIA NÃO PNEIRADA)</v>
      </c>
      <c r="C95" s="212"/>
      <c r="D95" s="212"/>
      <c r="E95" s="212"/>
      <c r="F95" s="212"/>
      <c r="G95" s="212"/>
      <c r="H95" s="212"/>
      <c r="I95" s="212"/>
      <c r="J95" s="212"/>
      <c r="K95" s="213"/>
      <c r="L95" s="129">
        <f>SUM(L96:L96)</f>
        <v>0</v>
      </c>
      <c r="M95" s="130" t="str">
        <f>'BM02'!C65</f>
        <v>m²</v>
      </c>
    </row>
    <row r="96" spans="1:13" s="131" customFormat="1" ht="12.75">
      <c r="A96" s="132"/>
      <c r="B96" s="209"/>
      <c r="C96" s="210"/>
      <c r="D96" s="134"/>
      <c r="E96" s="134"/>
      <c r="F96" s="134"/>
      <c r="G96" s="134"/>
      <c r="H96" s="134"/>
      <c r="I96" s="134"/>
      <c r="J96" s="135"/>
      <c r="K96" s="135"/>
      <c r="L96" s="134"/>
      <c r="M96" s="136"/>
    </row>
    <row r="97" spans="1:13" s="131" customFormat="1" ht="12.75">
      <c r="A97" s="139"/>
      <c r="B97" s="140"/>
      <c r="C97" s="141"/>
      <c r="D97" s="142"/>
      <c r="E97" s="143"/>
      <c r="F97" s="142"/>
      <c r="G97" s="142"/>
      <c r="H97" s="143"/>
      <c r="I97" s="143"/>
      <c r="J97" s="144"/>
      <c r="K97" s="144"/>
      <c r="L97" s="142"/>
      <c r="M97" s="145"/>
    </row>
    <row r="98" spans="1:13" ht="30" customHeight="1">
      <c r="A98" s="128" t="str">
        <f>'BM02'!A66</f>
        <v>1.5.3</v>
      </c>
      <c r="B98" s="211" t="str">
        <f>'BM02'!B66</f>
        <v>Muro em alvenaria bloco cerâmico, e= 0,09m, c/ alv de pedra 0,35 x 0,60m, colunas (9x20cm) e cintamento (9x15cm) superior e inferior concreto armado fck = 15,0 Mpa cada 3,00m, chapisco e reboco</v>
      </c>
      <c r="C98" s="212"/>
      <c r="D98" s="212"/>
      <c r="E98" s="212"/>
      <c r="F98" s="212"/>
      <c r="G98" s="212"/>
      <c r="H98" s="212"/>
      <c r="I98" s="212"/>
      <c r="J98" s="212"/>
      <c r="K98" s="213"/>
      <c r="L98" s="129">
        <f>SUM(L99:L99)</f>
        <v>0</v>
      </c>
      <c r="M98" s="130" t="str">
        <f>'BM02'!C66</f>
        <v>m²</v>
      </c>
    </row>
    <row r="99" spans="1:13" s="131" customFormat="1" ht="12.75">
      <c r="A99" s="132"/>
      <c r="B99" s="209"/>
      <c r="C99" s="210"/>
      <c r="D99" s="134"/>
      <c r="E99" s="134"/>
      <c r="F99" s="134"/>
      <c r="G99" s="134"/>
      <c r="H99" s="134"/>
      <c r="I99" s="134"/>
      <c r="J99" s="135"/>
      <c r="K99" s="135"/>
      <c r="L99" s="134"/>
      <c r="M99" s="136"/>
    </row>
    <row r="100" spans="1:13" s="131" customFormat="1" ht="13.5" thickBot="1">
      <c r="A100" s="139"/>
      <c r="B100" s="140"/>
      <c r="C100" s="141"/>
      <c r="D100" s="142"/>
      <c r="E100" s="143"/>
      <c r="F100" s="142"/>
      <c r="G100" s="142"/>
      <c r="H100" s="143"/>
      <c r="I100" s="143"/>
      <c r="J100" s="144"/>
      <c r="K100" s="144"/>
      <c r="L100" s="142"/>
      <c r="M100" s="145"/>
    </row>
    <row r="101" spans="1:13" ht="13.5" thickBot="1">
      <c r="A101" s="121" t="str">
        <f>'BM02'!A68</f>
        <v>1.6</v>
      </c>
      <c r="B101" s="122" t="str">
        <f>'BM02'!B68</f>
        <v>ESQUADRIAS, FERRAGENS E VIDROS</v>
      </c>
      <c r="C101" s="122"/>
      <c r="D101" s="122"/>
      <c r="E101" s="122"/>
      <c r="F101" s="122"/>
      <c r="G101" s="122"/>
      <c r="H101" s="122"/>
      <c r="I101" s="122"/>
      <c r="J101" s="122"/>
      <c r="K101" s="122"/>
      <c r="L101" s="122"/>
      <c r="M101" s="123"/>
    </row>
    <row r="102" spans="1:13" ht="12.75">
      <c r="A102" s="124"/>
      <c r="B102" s="125"/>
      <c r="C102" s="125"/>
      <c r="D102" s="125"/>
      <c r="E102" s="125"/>
      <c r="F102" s="125"/>
      <c r="G102" s="125"/>
      <c r="H102" s="125"/>
      <c r="I102" s="125"/>
      <c r="J102" s="125"/>
      <c r="K102" s="126"/>
      <c r="L102" s="125"/>
      <c r="M102" s="127"/>
    </row>
    <row r="103" spans="1:13" s="131" customFormat="1" ht="43.15" customHeight="1">
      <c r="A103" s="128" t="str">
        <f>'BM02'!A70</f>
        <v>1.6.1</v>
      </c>
      <c r="B103" s="211" t="str">
        <f>'BM02'!B70</f>
        <v>KIT DE PORTA DE MADEIRA FRISADA, SEMI-OCA (LEVE OU MÉDIA), PADRÃO POPULAR, 70X210CM, ESPESSURA DE 3CM, ITENS INCLUSOS: DOBRADIÇAS, MONTAGEM E INSTALAÇÃO DO BATENTE, SEM FECHADURA - FORNECIMENTO E INSTALAÇÃO. AF_12/2019</v>
      </c>
      <c r="C103" s="212"/>
      <c r="D103" s="212"/>
      <c r="E103" s="212"/>
      <c r="F103" s="212"/>
      <c r="G103" s="212"/>
      <c r="H103" s="212"/>
      <c r="I103" s="212"/>
      <c r="J103" s="212"/>
      <c r="K103" s="213"/>
      <c r="L103" s="129">
        <f>L104</f>
        <v>0</v>
      </c>
      <c r="M103" s="130" t="str">
        <f>'BM02'!C70</f>
        <v>un</v>
      </c>
    </row>
    <row r="104" spans="1:13" s="131" customFormat="1" ht="13.5" thickBot="1">
      <c r="A104" s="132"/>
      <c r="B104" s="209"/>
      <c r="C104" s="210"/>
      <c r="D104" s="134"/>
      <c r="E104" s="134"/>
      <c r="F104" s="134"/>
      <c r="G104" s="134"/>
      <c r="H104" s="134"/>
      <c r="I104" s="134"/>
      <c r="J104" s="135"/>
      <c r="K104" s="135"/>
      <c r="L104" s="134">
        <f>ROUND(D104*K104,2)</f>
        <v>0</v>
      </c>
      <c r="M104" s="136"/>
    </row>
    <row r="105" spans="1:13" s="131" customFormat="1" ht="12.75">
      <c r="A105" s="139"/>
      <c r="B105" s="140"/>
      <c r="C105" s="141"/>
      <c r="D105" s="142"/>
      <c r="E105" s="143"/>
      <c r="F105" s="142"/>
      <c r="G105" s="142"/>
      <c r="H105" s="143"/>
      <c r="I105" s="143"/>
      <c r="J105" s="144"/>
      <c r="K105" s="144"/>
      <c r="L105" s="142"/>
      <c r="M105" s="145"/>
    </row>
    <row r="106" spans="1:13" s="131" customFormat="1" ht="43.15" customHeight="1">
      <c r="A106" s="128" t="str">
        <f>'BM02'!A71</f>
        <v>1.6.2</v>
      </c>
      <c r="B106" s="211" t="str">
        <f>'BM02'!B71</f>
        <v>KIT DE PORTA DE MADEIRA FRISADA, SEMI-OCA (LEVE OU MÉDIA), PADRÃO MÉDIO, 80X210CM, ESPESSURA DE 3,5CM, ITENS INCLUSOS: DOBRADIÇAS, MONTAGEM E INSTALAÇÃO DO BATENTE, SEM FECHADURA - FORNECIMENTO E INSTALAÇÃO. AF_12/2019</v>
      </c>
      <c r="C106" s="212"/>
      <c r="D106" s="212"/>
      <c r="E106" s="212"/>
      <c r="F106" s="212"/>
      <c r="G106" s="212"/>
      <c r="H106" s="212"/>
      <c r="I106" s="212"/>
      <c r="J106" s="212"/>
      <c r="K106" s="213"/>
      <c r="L106" s="129">
        <f>L107</f>
        <v>0</v>
      </c>
      <c r="M106" s="130" t="str">
        <f>'BM02'!C71</f>
        <v>un</v>
      </c>
    </row>
    <row r="107" spans="1:13" s="131" customFormat="1" ht="12.75">
      <c r="A107" s="132"/>
      <c r="B107" s="209"/>
      <c r="C107" s="210"/>
      <c r="D107" s="134"/>
      <c r="E107" s="134"/>
      <c r="F107" s="134"/>
      <c r="G107" s="134"/>
      <c r="H107" s="134"/>
      <c r="I107" s="134"/>
      <c r="J107" s="135"/>
      <c r="K107" s="135"/>
      <c r="L107" s="134">
        <f>ROUND(D107*K107,2)</f>
        <v>0</v>
      </c>
      <c r="M107" s="136"/>
    </row>
    <row r="108" spans="1:13" s="131" customFormat="1" ht="12.75">
      <c r="A108" s="139"/>
      <c r="B108" s="140"/>
      <c r="C108" s="141"/>
      <c r="D108" s="142"/>
      <c r="E108" s="143"/>
      <c r="F108" s="142"/>
      <c r="G108" s="142"/>
      <c r="H108" s="143"/>
      <c r="I108" s="143"/>
      <c r="J108" s="144"/>
      <c r="K108" s="144"/>
      <c r="L108" s="142"/>
      <c r="M108" s="145"/>
    </row>
    <row r="109" spans="1:13" s="131" customFormat="1" ht="43.15" customHeight="1">
      <c r="A109" s="128" t="str">
        <f>'BM02'!A72</f>
        <v>1.6.3</v>
      </c>
      <c r="B109" s="211" t="str">
        <f>'BM02'!B72</f>
        <v>KIT DE PORTA DE MADEIRA FRISADA, SEMI-OCA (LEVE OU MÉDIA), PADRÃO MÉDIO, 190X210CM, ESPESSURA DE 3,5CM, ITENS INCLUSOS: DOBRADIÇAS, MONTAGEM E INSTALAÇÃO DO BATENTE, SEM FECHADURA - FORNECIMENTO E INSTALAÇÃO. AF_12/2019</v>
      </c>
      <c r="C109" s="212"/>
      <c r="D109" s="212"/>
      <c r="E109" s="212"/>
      <c r="F109" s="212"/>
      <c r="G109" s="212"/>
      <c r="H109" s="212"/>
      <c r="I109" s="212"/>
      <c r="J109" s="212"/>
      <c r="K109" s="213"/>
      <c r="L109" s="129">
        <f>L110</f>
        <v>0</v>
      </c>
      <c r="M109" s="130" t="str">
        <f>'BM02'!C72</f>
        <v>un</v>
      </c>
    </row>
    <row r="110" spans="1:13" s="131" customFormat="1" ht="12.75">
      <c r="A110" s="132"/>
      <c r="B110" s="209"/>
      <c r="C110" s="210"/>
      <c r="D110" s="134"/>
      <c r="E110" s="134"/>
      <c r="F110" s="134"/>
      <c r="G110" s="134"/>
      <c r="H110" s="134"/>
      <c r="I110" s="134"/>
      <c r="J110" s="135"/>
      <c r="K110" s="135"/>
      <c r="L110" s="134">
        <f>ROUND(D110*K110,2)</f>
        <v>0</v>
      </c>
      <c r="M110" s="136"/>
    </row>
    <row r="111" spans="1:13" s="131" customFormat="1" ht="12.75">
      <c r="A111" s="139"/>
      <c r="B111" s="140"/>
      <c r="C111" s="141"/>
      <c r="D111" s="142"/>
      <c r="E111" s="143"/>
      <c r="F111" s="142"/>
      <c r="G111" s="142"/>
      <c r="H111" s="143"/>
      <c r="I111" s="143"/>
      <c r="J111" s="144"/>
      <c r="K111" s="144"/>
      <c r="L111" s="142"/>
      <c r="M111" s="145"/>
    </row>
    <row r="112" spans="1:13" ht="30" customHeight="1">
      <c r="A112" s="128" t="str">
        <f>'BM02'!A73</f>
        <v>1.6.4</v>
      </c>
      <c r="B112" s="211" t="str">
        <f>'BM02'!B73</f>
        <v>JANELA DE AÇO TIPO BASCULANTE PARA VIDROS, COM BATENTE, FERRAGENS E PINTURA ANTICORROSIVA. EXCLUSIVE VIDROS, ACABAMENTO, ALIZAR E CONTRAMARCO. FORNECIMENTO E INSTALAÇÃO. AF_12/2019</v>
      </c>
      <c r="C112" s="212"/>
      <c r="D112" s="212"/>
      <c r="E112" s="212"/>
      <c r="F112" s="212"/>
      <c r="G112" s="212"/>
      <c r="H112" s="212"/>
      <c r="I112" s="212"/>
      <c r="J112" s="212"/>
      <c r="K112" s="213"/>
      <c r="L112" s="129">
        <f>L113</f>
        <v>0</v>
      </c>
      <c r="M112" s="130" t="str">
        <f>'BM02'!C73</f>
        <v>m²</v>
      </c>
    </row>
    <row r="113" spans="1:13" s="131" customFormat="1" ht="12.75">
      <c r="A113" s="132"/>
      <c r="B113" s="209"/>
      <c r="C113" s="210"/>
      <c r="D113" s="134"/>
      <c r="E113" s="134"/>
      <c r="F113" s="134"/>
      <c r="G113" s="134"/>
      <c r="H113" s="134"/>
      <c r="I113" s="134"/>
      <c r="J113" s="135"/>
      <c r="K113" s="135"/>
      <c r="L113" s="134">
        <f>ROUND(D113*K113,2)</f>
        <v>0</v>
      </c>
      <c r="M113" s="136"/>
    </row>
    <row r="114" spans="1:13" s="131" customFormat="1" ht="12.75">
      <c r="A114" s="139"/>
      <c r="B114" s="140"/>
      <c r="C114" s="141"/>
      <c r="D114" s="142"/>
      <c r="E114" s="143"/>
      <c r="F114" s="142"/>
      <c r="G114" s="142"/>
      <c r="H114" s="143"/>
      <c r="I114" s="143"/>
      <c r="J114" s="144"/>
      <c r="K114" s="144"/>
      <c r="L114" s="142"/>
      <c r="M114" s="145"/>
    </row>
    <row r="115" spans="1:13" ht="12.6" customHeight="1">
      <c r="A115" s="184" t="str">
        <f>'BM02'!A74</f>
        <v>1.6.5</v>
      </c>
      <c r="B115" s="211" t="str">
        <f>'BM02'!B74</f>
        <v>Gradil Nylofor 3D, malha 20x5cm, Ø 5mm 250x103 cm, pintura branca, Belgo ou similar, inclusive postes e acessórios</v>
      </c>
      <c r="C115" s="212"/>
      <c r="D115" s="212"/>
      <c r="E115" s="212"/>
      <c r="F115" s="212"/>
      <c r="G115" s="212"/>
      <c r="H115" s="212"/>
      <c r="I115" s="212"/>
      <c r="J115" s="212"/>
      <c r="K115" s="213"/>
      <c r="L115" s="129">
        <f>L116</f>
        <v>0</v>
      </c>
      <c r="M115" s="185" t="str">
        <f>'BM02'!C74</f>
        <v>m²</v>
      </c>
    </row>
    <row r="116" spans="1:13" s="131" customFormat="1" ht="12.75">
      <c r="A116" s="132"/>
      <c r="B116" s="209"/>
      <c r="C116" s="210"/>
      <c r="D116" s="134"/>
      <c r="E116" s="134"/>
      <c r="F116" s="134"/>
      <c r="G116" s="134"/>
      <c r="H116" s="134"/>
      <c r="I116" s="134"/>
      <c r="J116" s="135"/>
      <c r="K116" s="135"/>
      <c r="L116" s="134">
        <f>ROUND(D116*K116,2)</f>
        <v>0</v>
      </c>
      <c r="M116" s="136"/>
    </row>
    <row r="117" spans="1:13" s="131" customFormat="1" ht="12.75">
      <c r="A117" s="139"/>
      <c r="B117" s="140"/>
      <c r="C117" s="141"/>
      <c r="D117" s="142"/>
      <c r="E117" s="143"/>
      <c r="F117" s="142"/>
      <c r="G117" s="142"/>
      <c r="H117" s="143"/>
      <c r="I117" s="143"/>
      <c r="J117" s="144"/>
      <c r="K117" s="144"/>
      <c r="L117" s="142"/>
      <c r="M117" s="145"/>
    </row>
    <row r="118" spans="1:13" ht="12.6" customHeight="1">
      <c r="A118" s="184" t="str">
        <f>'BM02'!A75</f>
        <v>1.6.6</v>
      </c>
      <c r="B118" s="211" t="str">
        <f>'BM02'!B75</f>
        <v>Portão em ferro, em gradil metálico, padrão belgo ou equivalente, de correr</v>
      </c>
      <c r="C118" s="212"/>
      <c r="D118" s="212"/>
      <c r="E118" s="212"/>
      <c r="F118" s="212"/>
      <c r="G118" s="212"/>
      <c r="H118" s="212"/>
      <c r="I118" s="212"/>
      <c r="J118" s="212"/>
      <c r="K118" s="213"/>
      <c r="L118" s="129">
        <f>L119</f>
        <v>0</v>
      </c>
      <c r="M118" s="185" t="str">
        <f>'BM02'!C75</f>
        <v>m²</v>
      </c>
    </row>
    <row r="119" spans="1:13" s="131" customFormat="1" ht="12.75">
      <c r="A119" s="132"/>
      <c r="B119" s="209"/>
      <c r="C119" s="210"/>
      <c r="D119" s="134"/>
      <c r="E119" s="134"/>
      <c r="F119" s="134"/>
      <c r="G119" s="134"/>
      <c r="H119" s="134"/>
      <c r="I119" s="134"/>
      <c r="J119" s="135"/>
      <c r="K119" s="135"/>
      <c r="L119" s="134">
        <f>ROUND(D119*K119,2)</f>
        <v>0</v>
      </c>
      <c r="M119" s="136"/>
    </row>
    <row r="120" spans="1:13" s="131" customFormat="1" ht="12.75">
      <c r="A120" s="139"/>
      <c r="B120" s="140"/>
      <c r="C120" s="141"/>
      <c r="D120" s="142"/>
      <c r="E120" s="143"/>
      <c r="F120" s="142"/>
      <c r="G120" s="142"/>
      <c r="H120" s="143"/>
      <c r="I120" s="143"/>
      <c r="J120" s="144"/>
      <c r="K120" s="144"/>
      <c r="L120" s="142"/>
      <c r="M120" s="145"/>
    </row>
    <row r="121" spans="1:13" ht="12.6" customHeight="1">
      <c r="A121" s="184" t="str">
        <f>'BM02'!A76</f>
        <v>1.6.7</v>
      </c>
      <c r="B121" s="211" t="str">
        <f>'BM02'!B76</f>
        <v>Gradil Nylofor 3D, malha 20x5cm, Ø 5mm 250x103 cm, pintura branca, Belgo ou similar, inclusive postes e acessórios</v>
      </c>
      <c r="C121" s="212"/>
      <c r="D121" s="212"/>
      <c r="E121" s="212"/>
      <c r="F121" s="212"/>
      <c r="G121" s="212"/>
      <c r="H121" s="212"/>
      <c r="I121" s="212"/>
      <c r="J121" s="212"/>
      <c r="K121" s="213"/>
      <c r="L121" s="129">
        <f>L122</f>
        <v>0</v>
      </c>
      <c r="M121" s="185" t="str">
        <f>'BM02'!C76</f>
        <v>m²</v>
      </c>
    </row>
    <row r="122" spans="1:13" s="131" customFormat="1" ht="12.75">
      <c r="A122" s="132"/>
      <c r="B122" s="209"/>
      <c r="C122" s="210"/>
      <c r="D122" s="134"/>
      <c r="E122" s="134"/>
      <c r="F122" s="134"/>
      <c r="G122" s="134"/>
      <c r="H122" s="134"/>
      <c r="I122" s="134"/>
      <c r="J122" s="135"/>
      <c r="K122" s="135"/>
      <c r="L122" s="134">
        <f>ROUND(D122*K122,2)</f>
        <v>0</v>
      </c>
      <c r="M122" s="136"/>
    </row>
    <row r="123" spans="1:13" s="131" customFormat="1" ht="12.75">
      <c r="A123" s="139"/>
      <c r="B123" s="140"/>
      <c r="C123" s="141"/>
      <c r="D123" s="142"/>
      <c r="E123" s="143"/>
      <c r="F123" s="142"/>
      <c r="G123" s="142"/>
      <c r="H123" s="143"/>
      <c r="I123" s="143"/>
      <c r="J123" s="144"/>
      <c r="K123" s="144"/>
      <c r="L123" s="142"/>
      <c r="M123" s="145"/>
    </row>
    <row r="124" spans="1:13" ht="12.6" customHeight="1">
      <c r="A124" s="184" t="str">
        <f>'BM02'!A77</f>
        <v>1.6.8</v>
      </c>
      <c r="B124" s="211" t="str">
        <f>'BM02'!B77</f>
        <v>Barra de apoio, reta, fixa, em aço inox, l=90cm, d=1 1/2", Jackwal ou similar</v>
      </c>
      <c r="C124" s="212"/>
      <c r="D124" s="212"/>
      <c r="E124" s="212"/>
      <c r="F124" s="212"/>
      <c r="G124" s="212"/>
      <c r="H124" s="212"/>
      <c r="I124" s="212"/>
      <c r="J124" s="212"/>
      <c r="K124" s="213"/>
      <c r="L124" s="129">
        <f>L125</f>
        <v>0</v>
      </c>
      <c r="M124" s="185" t="str">
        <f>'BM02'!C77</f>
        <v>un</v>
      </c>
    </row>
    <row r="125" spans="1:13" s="131" customFormat="1" ht="12.75">
      <c r="A125" s="132"/>
      <c r="B125" s="209"/>
      <c r="C125" s="210"/>
      <c r="D125" s="134"/>
      <c r="E125" s="134"/>
      <c r="F125" s="134"/>
      <c r="G125" s="134"/>
      <c r="H125" s="134"/>
      <c r="I125" s="134"/>
      <c r="J125" s="135"/>
      <c r="K125" s="135"/>
      <c r="L125" s="134">
        <f>ROUND(D125*K125,2)</f>
        <v>0</v>
      </c>
      <c r="M125" s="136"/>
    </row>
    <row r="126" spans="1:13" s="131" customFormat="1" ht="12.75">
      <c r="A126" s="139"/>
      <c r="B126" s="140"/>
      <c r="C126" s="141"/>
      <c r="D126" s="142"/>
      <c r="E126" s="143"/>
      <c r="F126" s="142"/>
      <c r="G126" s="142"/>
      <c r="H126" s="143"/>
      <c r="I126" s="143"/>
      <c r="J126" s="144"/>
      <c r="K126" s="144"/>
      <c r="L126" s="142"/>
      <c r="M126" s="145"/>
    </row>
    <row r="127" spans="1:13" ht="12.6" customHeight="1">
      <c r="A127" s="184" t="str">
        <f>'BM02'!A78</f>
        <v>1.6.9</v>
      </c>
      <c r="B127" s="211" t="str">
        <f>'BM02'!B78</f>
        <v>VIDRO FANTASIA CANELADO 4MM</v>
      </c>
      <c r="C127" s="212"/>
      <c r="D127" s="212"/>
      <c r="E127" s="212"/>
      <c r="F127" s="212"/>
      <c r="G127" s="212"/>
      <c r="H127" s="212"/>
      <c r="I127" s="212"/>
      <c r="J127" s="212"/>
      <c r="K127" s="213"/>
      <c r="L127" s="129">
        <f>L128</f>
        <v>0</v>
      </c>
      <c r="M127" s="185" t="str">
        <f>'BM02'!C78</f>
        <v>M²</v>
      </c>
    </row>
    <row r="128" spans="1:13" s="131" customFormat="1" ht="12.75">
      <c r="A128" s="132"/>
      <c r="B128" s="209"/>
      <c r="C128" s="210"/>
      <c r="D128" s="134"/>
      <c r="E128" s="134"/>
      <c r="F128" s="134"/>
      <c r="G128" s="134"/>
      <c r="H128" s="134"/>
      <c r="I128" s="134"/>
      <c r="J128" s="135"/>
      <c r="K128" s="135"/>
      <c r="L128" s="134">
        <f>ROUND(D128*K128,2)</f>
        <v>0</v>
      </c>
      <c r="M128" s="136"/>
    </row>
    <row r="129" spans="1:13" s="131" customFormat="1" ht="12.75">
      <c r="A129" s="139"/>
      <c r="B129" s="140"/>
      <c r="C129" s="141"/>
      <c r="D129" s="142"/>
      <c r="E129" s="143"/>
      <c r="F129" s="142"/>
      <c r="G129" s="142"/>
      <c r="H129" s="143"/>
      <c r="I129" s="143"/>
      <c r="J129" s="144"/>
      <c r="K129" s="144"/>
      <c r="L129" s="142"/>
      <c r="M129" s="145"/>
    </row>
    <row r="130" spans="1:13" ht="30" customHeight="1">
      <c r="A130" s="128" t="str">
        <f>'BM02'!A79</f>
        <v>1.6.10</v>
      </c>
      <c r="B130" s="211" t="str">
        <f>'BM02'!B79</f>
        <v>FECHADURA DE EMBUTIR COM CILINDRO, EXTERNA, COMPLETA, ACABAMENTO PADRÃO MÉDIO, INCLUSO EXECUÇÃO DE FURO - FORNECIMENTO E INSTALAÇÃO. AF_12/2019</v>
      </c>
      <c r="C130" s="212"/>
      <c r="D130" s="212"/>
      <c r="E130" s="212"/>
      <c r="F130" s="212"/>
      <c r="G130" s="212"/>
      <c r="H130" s="212"/>
      <c r="I130" s="212"/>
      <c r="J130" s="212"/>
      <c r="K130" s="213"/>
      <c r="L130" s="129">
        <f>L131</f>
        <v>0</v>
      </c>
      <c r="M130" s="185" t="str">
        <f>'BM02'!C79</f>
        <v>un</v>
      </c>
    </row>
    <row r="131" spans="1:13" s="131" customFormat="1" ht="12.75">
      <c r="A131" s="132"/>
      <c r="B131" s="209"/>
      <c r="C131" s="210"/>
      <c r="D131" s="134"/>
      <c r="E131" s="134"/>
      <c r="F131" s="134"/>
      <c r="G131" s="134"/>
      <c r="H131" s="134"/>
      <c r="I131" s="134"/>
      <c r="J131" s="135"/>
      <c r="K131" s="135"/>
      <c r="L131" s="134">
        <f>ROUND(D131*K131,2)</f>
        <v>0</v>
      </c>
      <c r="M131" s="136"/>
    </row>
    <row r="132" spans="1:13" s="131" customFormat="1" ht="12.75">
      <c r="A132" s="139"/>
      <c r="B132" s="140"/>
      <c r="C132" s="141"/>
      <c r="D132" s="142"/>
      <c r="E132" s="143"/>
      <c r="F132" s="142"/>
      <c r="G132" s="142"/>
      <c r="H132" s="143"/>
      <c r="I132" s="143"/>
      <c r="J132" s="144"/>
      <c r="K132" s="144"/>
      <c r="L132" s="142"/>
      <c r="M132" s="145"/>
    </row>
    <row r="133" spans="1:13" ht="30" customHeight="1">
      <c r="A133" s="128" t="str">
        <f>'BM02'!A80</f>
        <v>1.6.11</v>
      </c>
      <c r="B133" s="211" t="str">
        <f>'BM02'!B80</f>
        <v>FECHADURA DE EMBUTIR COM CILINDRO, EXTERNA, COMPLETA, ACABAMENTO PADRÃO POPULAR, INCLUSO EXECUÇÃO DE FURO - FORNECIMENTO E INSTALAÇÃO. AF_12/2019</v>
      </c>
      <c r="C133" s="212"/>
      <c r="D133" s="212"/>
      <c r="E133" s="212"/>
      <c r="F133" s="212"/>
      <c r="G133" s="212"/>
      <c r="H133" s="212"/>
      <c r="I133" s="212"/>
      <c r="J133" s="212"/>
      <c r="K133" s="213"/>
      <c r="L133" s="129">
        <f>L134</f>
        <v>0</v>
      </c>
      <c r="M133" s="185" t="str">
        <f>'BM02'!C80</f>
        <v>un</v>
      </c>
    </row>
    <row r="134" spans="1:13" s="131" customFormat="1" ht="12.75">
      <c r="A134" s="132"/>
      <c r="B134" s="209"/>
      <c r="C134" s="210"/>
      <c r="D134" s="134"/>
      <c r="E134" s="134"/>
      <c r="F134" s="134"/>
      <c r="G134" s="134"/>
      <c r="H134" s="134"/>
      <c r="I134" s="134"/>
      <c r="J134" s="135"/>
      <c r="K134" s="135"/>
      <c r="L134" s="134">
        <f>ROUND(D134*K134,2)</f>
        <v>0</v>
      </c>
      <c r="M134" s="136"/>
    </row>
    <row r="135" spans="1:13" s="131" customFormat="1" ht="13.5" thickBot="1">
      <c r="A135" s="139"/>
      <c r="B135" s="140"/>
      <c r="C135" s="141"/>
      <c r="D135" s="142"/>
      <c r="E135" s="143"/>
      <c r="F135" s="142"/>
      <c r="G135" s="142"/>
      <c r="H135" s="143"/>
      <c r="I135" s="143"/>
      <c r="J135" s="144"/>
      <c r="K135" s="144"/>
      <c r="L135" s="142"/>
      <c r="M135" s="145"/>
    </row>
    <row r="136" spans="1:13" ht="13.5" thickBot="1">
      <c r="A136" s="121" t="str">
        <f>'BM02'!A82</f>
        <v>1.7</v>
      </c>
      <c r="B136" s="122" t="str">
        <f>'BM02'!B82</f>
        <v>COBERTA</v>
      </c>
      <c r="C136" s="122"/>
      <c r="D136" s="122"/>
      <c r="E136" s="122"/>
      <c r="F136" s="122"/>
      <c r="G136" s="122"/>
      <c r="H136" s="122"/>
      <c r="I136" s="122"/>
      <c r="J136" s="122"/>
      <c r="K136" s="122"/>
      <c r="L136" s="122"/>
      <c r="M136" s="123"/>
    </row>
    <row r="137" spans="1:13" ht="12.75">
      <c r="A137" s="124"/>
      <c r="B137" s="125"/>
      <c r="C137" s="125"/>
      <c r="D137" s="125"/>
      <c r="E137" s="125"/>
      <c r="F137" s="125"/>
      <c r="G137" s="125"/>
      <c r="H137" s="125"/>
      <c r="I137" s="125"/>
      <c r="J137" s="125"/>
      <c r="K137" s="126"/>
      <c r="L137" s="125"/>
      <c r="M137" s="127"/>
    </row>
    <row r="138" spans="1:13" ht="30" customHeight="1">
      <c r="A138" s="128" t="str">
        <f>'BM02'!A84</f>
        <v>1.7.1</v>
      </c>
      <c r="B138" s="211" t="str">
        <f>'BM02'!B84</f>
        <v>FABRICAÇÃO E INSTALAÇÃO DE ESTRUTURA PONTALETADA DE MADEIRA NÃO APARELHADA PARA TELHADOS COM ATÉ 2 ÁGUAS E PARA TELHA CERÂMICA OU DE CONCRETO, INCLUSO TRANSPORTE VERTICAL. AF_12/2015</v>
      </c>
      <c r="C138" s="212"/>
      <c r="D138" s="212"/>
      <c r="E138" s="212"/>
      <c r="F138" s="212"/>
      <c r="G138" s="212"/>
      <c r="H138" s="212"/>
      <c r="I138" s="212"/>
      <c r="J138" s="212"/>
      <c r="K138" s="213"/>
      <c r="L138" s="129">
        <f>L139</f>
        <v>0</v>
      </c>
      <c r="M138" s="130" t="str">
        <f>'BM02'!C84</f>
        <v>m²</v>
      </c>
    </row>
    <row r="139" spans="1:13" s="131" customFormat="1" ht="12.75">
      <c r="A139" s="132"/>
      <c r="B139" s="209"/>
      <c r="C139" s="210"/>
      <c r="D139" s="134"/>
      <c r="E139" s="134"/>
      <c r="F139" s="134"/>
      <c r="G139" s="134"/>
      <c r="H139" s="134"/>
      <c r="I139" s="134"/>
      <c r="J139" s="135"/>
      <c r="K139" s="135"/>
      <c r="L139" s="134">
        <f>ROUND(D139*K139,2)</f>
        <v>0</v>
      </c>
      <c r="M139" s="136"/>
    </row>
    <row r="140" spans="1:13" s="131" customFormat="1" ht="12.75">
      <c r="A140" s="139"/>
      <c r="B140" s="140"/>
      <c r="C140" s="141"/>
      <c r="D140" s="142"/>
      <c r="E140" s="143"/>
      <c r="F140" s="142"/>
      <c r="G140" s="142"/>
      <c r="H140" s="143"/>
      <c r="I140" s="143"/>
      <c r="J140" s="144"/>
      <c r="K140" s="144"/>
      <c r="L140" s="142"/>
      <c r="M140" s="145"/>
    </row>
    <row r="141" spans="1:13" ht="30" customHeight="1">
      <c r="A141" s="128" t="str">
        <f>'BM02'!A85</f>
        <v>1.7.2</v>
      </c>
      <c r="B141" s="211" t="str">
        <f>'BM02'!B85</f>
        <v>TRAMA DE MADEIRA COMPOSTA POR RIPAS, CAIBROS E TERÇAS PARA TELHADOS DE ATÉ 2 ÁGUAS PARA TELHA CERÂMICA CAPA-CANAL, INCLUSO TRANSPORTE VERTICAL. AF_07/2019</v>
      </c>
      <c r="C141" s="212"/>
      <c r="D141" s="212"/>
      <c r="E141" s="212"/>
      <c r="F141" s="212"/>
      <c r="G141" s="212"/>
      <c r="H141" s="212"/>
      <c r="I141" s="212"/>
      <c r="J141" s="212"/>
      <c r="K141" s="213"/>
      <c r="L141" s="129">
        <f>L142</f>
        <v>0</v>
      </c>
      <c r="M141" s="130" t="str">
        <f>'BM02'!C85</f>
        <v>m²</v>
      </c>
    </row>
    <row r="142" spans="1:13" s="131" customFormat="1" ht="12.75">
      <c r="A142" s="132"/>
      <c r="B142" s="209"/>
      <c r="C142" s="210"/>
      <c r="D142" s="134"/>
      <c r="E142" s="134"/>
      <c r="F142" s="134"/>
      <c r="G142" s="134"/>
      <c r="H142" s="134"/>
      <c r="I142" s="134"/>
      <c r="J142" s="135"/>
      <c r="K142" s="135"/>
      <c r="L142" s="134">
        <f>ROUND(D142*K142,2)</f>
        <v>0</v>
      </c>
      <c r="M142" s="136"/>
    </row>
    <row r="143" spans="1:13" s="131" customFormat="1" ht="12.75">
      <c r="A143" s="139"/>
      <c r="B143" s="140"/>
      <c r="C143" s="141"/>
      <c r="D143" s="142"/>
      <c r="E143" s="143"/>
      <c r="F143" s="142"/>
      <c r="G143" s="142"/>
      <c r="H143" s="143"/>
      <c r="I143" s="143"/>
      <c r="J143" s="144"/>
      <c r="K143" s="144"/>
      <c r="L143" s="142"/>
      <c r="M143" s="145"/>
    </row>
    <row r="144" spans="1:13" ht="30" customHeight="1">
      <c r="A144" s="128" t="str">
        <f>'BM02'!A86</f>
        <v>1.7.3</v>
      </c>
      <c r="B144" s="211" t="str">
        <f>'BM02'!B86</f>
        <v>TELHAMENTO COM TELHA CERÂMICA CAPA-CANAL, TIPO PLAN, COM ATÉ 2 ÁGUAS, INCLUSO TRANSPORTE VERTICAL. AF_07/2019</v>
      </c>
      <c r="C144" s="212"/>
      <c r="D144" s="212"/>
      <c r="E144" s="212"/>
      <c r="F144" s="212"/>
      <c r="G144" s="212"/>
      <c r="H144" s="212"/>
      <c r="I144" s="212"/>
      <c r="J144" s="212"/>
      <c r="K144" s="213"/>
      <c r="L144" s="129">
        <f>L145</f>
        <v>0</v>
      </c>
      <c r="M144" s="130" t="str">
        <f>'BM02'!C86</f>
        <v>m²</v>
      </c>
    </row>
    <row r="145" spans="1:13" s="131" customFormat="1" ht="12.75">
      <c r="A145" s="132"/>
      <c r="B145" s="209"/>
      <c r="C145" s="210"/>
      <c r="D145" s="134"/>
      <c r="E145" s="134"/>
      <c r="F145" s="134"/>
      <c r="G145" s="134"/>
      <c r="H145" s="134"/>
      <c r="I145" s="134"/>
      <c r="J145" s="135"/>
      <c r="K145" s="135"/>
      <c r="L145" s="134">
        <f>ROUND(D145*K145,2)</f>
        <v>0</v>
      </c>
      <c r="M145" s="136"/>
    </row>
    <row r="146" spans="1:13" s="131" customFormat="1" ht="12.75">
      <c r="A146" s="139"/>
      <c r="B146" s="140"/>
      <c r="C146" s="141"/>
      <c r="D146" s="142"/>
      <c r="E146" s="143"/>
      <c r="F146" s="142"/>
      <c r="G146" s="142"/>
      <c r="H146" s="143"/>
      <c r="I146" s="143"/>
      <c r="J146" s="144"/>
      <c r="K146" s="144"/>
      <c r="L146" s="142"/>
      <c r="M146" s="145"/>
    </row>
    <row r="147" spans="1:13" ht="30" customHeight="1">
      <c r="A147" s="128" t="str">
        <f>'BM02'!A87</f>
        <v>1.7.4</v>
      </c>
      <c r="B147" s="211" t="str">
        <f>'BM02'!B87</f>
        <v>CUMEEIRA PARA TELHA CERÂMICA EMBOÇADA COM ARGAMASSA TRAÇO 1:2:9 (CIMENTO, CAL E AREIA) PARA TELHADOS COM ATÉ 2 ÁGUAS, INCLUSO TRANSPORTE VERTICAL. AF_07/2019</v>
      </c>
      <c r="C147" s="212"/>
      <c r="D147" s="212"/>
      <c r="E147" s="212"/>
      <c r="F147" s="212"/>
      <c r="G147" s="212"/>
      <c r="H147" s="212"/>
      <c r="I147" s="212"/>
      <c r="J147" s="212"/>
      <c r="K147" s="213"/>
      <c r="L147" s="129">
        <f>L148</f>
        <v>0</v>
      </c>
      <c r="M147" s="130" t="str">
        <f>'BM02'!C87</f>
        <v xml:space="preserve">m </v>
      </c>
    </row>
    <row r="148" spans="1:13" s="131" customFormat="1" ht="12.75">
      <c r="A148" s="132"/>
      <c r="B148" s="209"/>
      <c r="C148" s="210"/>
      <c r="D148" s="134"/>
      <c r="E148" s="134"/>
      <c r="F148" s="134"/>
      <c r="G148" s="134"/>
      <c r="H148" s="134"/>
      <c r="I148" s="134"/>
      <c r="J148" s="135"/>
      <c r="K148" s="135"/>
      <c r="L148" s="134">
        <f>ROUND(D148*K148,2)</f>
        <v>0</v>
      </c>
      <c r="M148" s="136"/>
    </row>
    <row r="149" spans="1:13" s="131" customFormat="1" ht="12.75">
      <c r="A149" s="139"/>
      <c r="B149" s="140"/>
      <c r="C149" s="141"/>
      <c r="D149" s="142"/>
      <c r="E149" s="143"/>
      <c r="F149" s="142"/>
      <c r="G149" s="142"/>
      <c r="H149" s="143"/>
      <c r="I149" s="143"/>
      <c r="J149" s="144"/>
      <c r="K149" s="144"/>
      <c r="L149" s="142"/>
      <c r="M149" s="145"/>
    </row>
    <row r="150" spans="1:13" ht="12.75">
      <c r="A150" s="184" t="str">
        <f>'BM02'!A88</f>
        <v>1.7.5</v>
      </c>
      <c r="B150" s="211" t="str">
        <f>'BM02'!B88</f>
        <v>ALGEROZ (RUFO) DE CONCRETO ARMADO FCK=20MPA L=40CM E H=5CM - ORSE (00304)</v>
      </c>
      <c r="C150" s="212"/>
      <c r="D150" s="212"/>
      <c r="E150" s="212"/>
      <c r="F150" s="212"/>
      <c r="G150" s="212"/>
      <c r="H150" s="212"/>
      <c r="I150" s="212"/>
      <c r="J150" s="212"/>
      <c r="K150" s="213"/>
      <c r="L150" s="129">
        <f>L151</f>
        <v>0</v>
      </c>
      <c r="M150" s="130" t="str">
        <f>'BM02'!C88</f>
        <v>m</v>
      </c>
    </row>
    <row r="151" spans="1:13" s="131" customFormat="1" ht="12.75">
      <c r="A151" s="132"/>
      <c r="B151" s="209"/>
      <c r="C151" s="210"/>
      <c r="D151" s="134"/>
      <c r="E151" s="134"/>
      <c r="F151" s="134"/>
      <c r="G151" s="134"/>
      <c r="H151" s="134"/>
      <c r="I151" s="134"/>
      <c r="J151" s="135"/>
      <c r="K151" s="135"/>
      <c r="L151" s="134">
        <f>ROUND(D151*K151,2)</f>
        <v>0</v>
      </c>
      <c r="M151" s="136"/>
    </row>
    <row r="152" spans="1:13" s="131" customFormat="1" ht="12.75">
      <c r="A152" s="139"/>
      <c r="B152" s="140"/>
      <c r="C152" s="141"/>
      <c r="D152" s="142"/>
      <c r="E152" s="143"/>
      <c r="F152" s="142"/>
      <c r="G152" s="142"/>
      <c r="H152" s="143"/>
      <c r="I152" s="143"/>
      <c r="J152" s="144"/>
      <c r="K152" s="144"/>
      <c r="L152" s="142"/>
      <c r="M152" s="145"/>
    </row>
    <row r="153" spans="1:13" ht="12.75">
      <c r="A153" s="184" t="str">
        <f>'BM02'!A89</f>
        <v>1.7.6</v>
      </c>
      <c r="B153" s="211" t="str">
        <f>'BM02'!B89</f>
        <v>EMBOÇAMENTO COM ARGAMASSA TRAÇO 1:2:9 (CIMENTO, CAL E AREIA). AF_07/2019</v>
      </c>
      <c r="C153" s="212"/>
      <c r="D153" s="212"/>
      <c r="E153" s="212"/>
      <c r="F153" s="212"/>
      <c r="G153" s="212"/>
      <c r="H153" s="212"/>
      <c r="I153" s="212"/>
      <c r="J153" s="212"/>
      <c r="K153" s="213"/>
      <c r="L153" s="129">
        <f>L154</f>
        <v>0</v>
      </c>
      <c r="M153" s="130" t="str">
        <f>'BM02'!C89</f>
        <v>m</v>
      </c>
    </row>
    <row r="154" spans="1:13" s="131" customFormat="1" ht="12.75">
      <c r="A154" s="132"/>
      <c r="B154" s="209"/>
      <c r="C154" s="210"/>
      <c r="D154" s="134"/>
      <c r="E154" s="134"/>
      <c r="F154" s="134"/>
      <c r="G154" s="134"/>
      <c r="H154" s="134"/>
      <c r="I154" s="134"/>
      <c r="J154" s="135"/>
      <c r="K154" s="135"/>
      <c r="L154" s="134">
        <f>ROUND(D154*K154,2)</f>
        <v>0</v>
      </c>
      <c r="M154" s="136"/>
    </row>
    <row r="155" spans="1:13" s="131" customFormat="1" ht="12.75">
      <c r="A155" s="139"/>
      <c r="B155" s="140"/>
      <c r="C155" s="141"/>
      <c r="D155" s="142"/>
      <c r="E155" s="143"/>
      <c r="F155" s="142"/>
      <c r="G155" s="142"/>
      <c r="H155" s="143"/>
      <c r="I155" s="143"/>
      <c r="J155" s="144"/>
      <c r="K155" s="144"/>
      <c r="L155" s="142"/>
      <c r="M155" s="145"/>
    </row>
    <row r="156" spans="1:13" ht="12.75">
      <c r="A156" s="184" t="str">
        <f>'BM02'!A90</f>
        <v>1.7.7</v>
      </c>
      <c r="B156" s="211" t="str">
        <f>'BM02'!B90</f>
        <v>Impermeabilização com aplicação de argamassa polimérica tipo Denvertec 100 ou similar</v>
      </c>
      <c r="C156" s="212"/>
      <c r="D156" s="212"/>
      <c r="E156" s="212"/>
      <c r="F156" s="212"/>
      <c r="G156" s="212"/>
      <c r="H156" s="212"/>
      <c r="I156" s="212"/>
      <c r="J156" s="212"/>
      <c r="K156" s="213"/>
      <c r="L156" s="129">
        <f>L157</f>
        <v>0</v>
      </c>
      <c r="M156" s="130" t="str">
        <f>'BM02'!C90</f>
        <v>m²</v>
      </c>
    </row>
    <row r="157" spans="1:13" s="131" customFormat="1" ht="12.75">
      <c r="A157" s="132"/>
      <c r="B157" s="209"/>
      <c r="C157" s="210"/>
      <c r="D157" s="134"/>
      <c r="E157" s="134"/>
      <c r="F157" s="134"/>
      <c r="G157" s="134"/>
      <c r="H157" s="134"/>
      <c r="I157" s="134"/>
      <c r="J157" s="135"/>
      <c r="K157" s="135"/>
      <c r="L157" s="134">
        <f>ROUND(D157*K157,2)</f>
        <v>0</v>
      </c>
      <c r="M157" s="136"/>
    </row>
    <row r="158" spans="1:13" s="131" customFormat="1" ht="12.75">
      <c r="A158" s="139"/>
      <c r="B158" s="140"/>
      <c r="C158" s="141"/>
      <c r="D158" s="142"/>
      <c r="E158" s="143"/>
      <c r="F158" s="142"/>
      <c r="G158" s="142"/>
      <c r="H158" s="143"/>
      <c r="I158" s="143"/>
      <c r="J158" s="144"/>
      <c r="K158" s="144"/>
      <c r="L158" s="142"/>
      <c r="M158" s="145"/>
    </row>
    <row r="159" spans="1:13" ht="30" customHeight="1">
      <c r="A159" s="128" t="str">
        <f>'BM02'!A91</f>
        <v>1.7.8</v>
      </c>
      <c r="B159" s="211" t="str">
        <f>'BM02'!B91</f>
        <v>FORRO EM RÉGUAS DE PVC, FRISADO, PARA AMBIENTES RESIDENCIAIS, INCLUSIVE ESTRUTURA DE FIXAÇÃO. AF_05/2017_P</v>
      </c>
      <c r="C159" s="212"/>
      <c r="D159" s="212"/>
      <c r="E159" s="212"/>
      <c r="F159" s="212"/>
      <c r="G159" s="212"/>
      <c r="H159" s="212"/>
      <c r="I159" s="212"/>
      <c r="J159" s="212"/>
      <c r="K159" s="213"/>
      <c r="L159" s="129">
        <f>L160</f>
        <v>0</v>
      </c>
      <c r="M159" s="130" t="str">
        <f>'BM02'!C91</f>
        <v>m²</v>
      </c>
    </row>
    <row r="160" spans="1:13" s="131" customFormat="1" ht="12.75">
      <c r="A160" s="132"/>
      <c r="B160" s="209"/>
      <c r="C160" s="210"/>
      <c r="D160" s="134"/>
      <c r="E160" s="134"/>
      <c r="F160" s="134"/>
      <c r="G160" s="134"/>
      <c r="H160" s="134"/>
      <c r="I160" s="134"/>
      <c r="J160" s="135"/>
      <c r="K160" s="135"/>
      <c r="L160" s="134">
        <f>ROUND(D160*K160,2)</f>
        <v>0</v>
      </c>
      <c r="M160" s="136"/>
    </row>
    <row r="161" spans="1:13" s="131" customFormat="1" ht="13.5" thickBot="1">
      <c r="A161" s="139"/>
      <c r="B161" s="140"/>
      <c r="C161" s="141"/>
      <c r="D161" s="142"/>
      <c r="E161" s="143"/>
      <c r="F161" s="142"/>
      <c r="G161" s="142"/>
      <c r="H161" s="143"/>
      <c r="I161" s="143"/>
      <c r="J161" s="144"/>
      <c r="K161" s="144"/>
      <c r="L161" s="142"/>
      <c r="M161" s="145"/>
    </row>
    <row r="162" spans="1:13" ht="13.5" thickBot="1">
      <c r="A162" s="121" t="str">
        <f>'BM02'!A93</f>
        <v>1.8</v>
      </c>
      <c r="B162" s="122" t="str">
        <f>'BM02'!B93</f>
        <v>REVESTIMENTO E FORRO</v>
      </c>
      <c r="C162" s="122"/>
      <c r="D162" s="122"/>
      <c r="E162" s="122"/>
      <c r="F162" s="122"/>
      <c r="G162" s="122"/>
      <c r="H162" s="122"/>
      <c r="I162" s="122"/>
      <c r="J162" s="122"/>
      <c r="K162" s="122"/>
      <c r="L162" s="122"/>
      <c r="M162" s="123"/>
    </row>
    <row r="163" spans="1:13" ht="12.75">
      <c r="A163" s="124"/>
      <c r="B163" s="125"/>
      <c r="C163" s="125"/>
      <c r="D163" s="125"/>
      <c r="E163" s="125"/>
      <c r="F163" s="125"/>
      <c r="G163" s="125"/>
      <c r="H163" s="125"/>
      <c r="I163" s="125"/>
      <c r="J163" s="125"/>
      <c r="K163" s="126"/>
      <c r="L163" s="125"/>
      <c r="M163" s="127"/>
    </row>
    <row r="164" spans="1:13" ht="30" customHeight="1">
      <c r="A164" s="128" t="str">
        <f>'BM02'!A95</f>
        <v>1.8.1</v>
      </c>
      <c r="B164" s="211" t="str">
        <f>'BM02'!B95</f>
        <v>CHAPISCO APLICADO EM ALVENARIAS E ESTRUTURAS DE CONCRETO INTERNAS, COM COLHER DE PEDREIRO. ARGAMASSA TRAÇO 1:3 COM PREPARO EM BETONEIRA 400L. AF_06/2014</v>
      </c>
      <c r="C164" s="212"/>
      <c r="D164" s="212"/>
      <c r="E164" s="212"/>
      <c r="F164" s="212"/>
      <c r="G164" s="212"/>
      <c r="H164" s="212"/>
      <c r="I164" s="212"/>
      <c r="J164" s="212"/>
      <c r="K164" s="213"/>
      <c r="L164" s="129">
        <f>SUM(L165:L167)</f>
        <v>40.98</v>
      </c>
      <c r="M164" s="130" t="str">
        <f>'BM02'!C95</f>
        <v>m²</v>
      </c>
    </row>
    <row r="165" spans="1:13" s="131" customFormat="1" ht="28.9" customHeight="1">
      <c r="A165" s="132"/>
      <c r="B165" s="290" t="s">
        <v>542</v>
      </c>
      <c r="C165" s="291"/>
      <c r="D165" s="134">
        <f>2*2</f>
        <v>4</v>
      </c>
      <c r="E165" s="134">
        <v>1.75</v>
      </c>
      <c r="F165" s="134"/>
      <c r="G165" s="134">
        <v>2.7</v>
      </c>
      <c r="H165" s="134"/>
      <c r="I165" s="134"/>
      <c r="J165" s="135"/>
      <c r="K165" s="135">
        <f>E165*G165</f>
        <v>4.7250000000000005</v>
      </c>
      <c r="L165" s="134">
        <f>ROUND(D165*K165,2)</f>
        <v>18.899999999999999</v>
      </c>
      <c r="M165" s="136"/>
    </row>
    <row r="166" spans="1:13" s="131" customFormat="1" ht="12.75">
      <c r="A166" s="132"/>
      <c r="B166" s="290" t="s">
        <v>543</v>
      </c>
      <c r="C166" s="291"/>
      <c r="D166" s="134">
        <f>1*2</f>
        <v>2</v>
      </c>
      <c r="E166" s="134">
        <v>1.4</v>
      </c>
      <c r="F166" s="134"/>
      <c r="G166" s="134">
        <v>3.7</v>
      </c>
      <c r="H166" s="134"/>
      <c r="I166" s="134"/>
      <c r="J166" s="135"/>
      <c r="K166" s="135">
        <f>E166*G166</f>
        <v>5.18</v>
      </c>
      <c r="L166" s="134">
        <f>ROUND(D166*K166,2)</f>
        <v>10.36</v>
      </c>
      <c r="M166" s="136"/>
    </row>
    <row r="167" spans="1:13" s="131" customFormat="1" ht="28.9" customHeight="1">
      <c r="A167" s="132"/>
      <c r="B167" s="290" t="s">
        <v>545</v>
      </c>
      <c r="C167" s="291"/>
      <c r="D167" s="134">
        <v>2</v>
      </c>
      <c r="E167" s="134">
        <v>29.3</v>
      </c>
      <c r="F167" s="134"/>
      <c r="G167" s="134">
        <v>0.2</v>
      </c>
      <c r="H167" s="134"/>
      <c r="I167" s="134"/>
      <c r="J167" s="135"/>
      <c r="K167" s="135">
        <f>E167*G167</f>
        <v>5.86</v>
      </c>
      <c r="L167" s="134">
        <f>ROUND(D167*K167,2)</f>
        <v>11.72</v>
      </c>
      <c r="M167" s="136"/>
    </row>
    <row r="168" spans="1:13" s="131" customFormat="1" ht="12.75">
      <c r="A168" s="146"/>
      <c r="B168" s="181"/>
      <c r="C168" s="181"/>
      <c r="D168" s="142"/>
      <c r="E168" s="142"/>
      <c r="F168" s="142"/>
      <c r="G168" s="142"/>
      <c r="H168" s="142"/>
      <c r="I168" s="142"/>
      <c r="J168" s="144"/>
      <c r="K168" s="144"/>
      <c r="L168" s="142"/>
      <c r="M168" s="145"/>
    </row>
    <row r="169" spans="1:13" s="131" customFormat="1" ht="43.15" customHeight="1">
      <c r="A169" s="128" t="str">
        <f>'BM02'!A96</f>
        <v>1.8.2</v>
      </c>
      <c r="B169" s="211" t="str">
        <f>'BM02'!B96</f>
        <v>MASSA ÚNICA, PARA RECEBIMENTO DE PINTURA, EM ARGAMASSA TRAÇO 1:2:8, PREPARO MECÂNICO COM BETONEIRA 400L, APLICADA MANUALMENTE EM FACES INTERNAS DE PAREDES, ESPESSURA DE 20MM, COM EXECUÇÃO DE TALISCAS. AF_06/2014</v>
      </c>
      <c r="C169" s="212"/>
      <c r="D169" s="212"/>
      <c r="E169" s="212"/>
      <c r="F169" s="212"/>
      <c r="G169" s="212"/>
      <c r="H169" s="212"/>
      <c r="I169" s="212"/>
      <c r="J169" s="212"/>
      <c r="K169" s="213"/>
      <c r="L169" s="129">
        <f>SUM(L170:L182)</f>
        <v>131.9</v>
      </c>
      <c r="M169" s="130" t="str">
        <f>'BM02'!C96</f>
        <v>m²</v>
      </c>
    </row>
    <row r="170" spans="1:13" s="131" customFormat="1" ht="14.45" customHeight="1">
      <c r="A170" s="132"/>
      <c r="B170" s="209" t="s">
        <v>528</v>
      </c>
      <c r="C170" s="210"/>
      <c r="D170" s="134">
        <v>1</v>
      </c>
      <c r="E170" s="134">
        <v>5</v>
      </c>
      <c r="F170" s="134"/>
      <c r="G170" s="134">
        <v>2.8</v>
      </c>
      <c r="H170" s="134"/>
      <c r="I170" s="134"/>
      <c r="J170" s="135"/>
      <c r="K170" s="135">
        <f t="shared" ref="K170" si="11">E170*G170</f>
        <v>14</v>
      </c>
      <c r="L170" s="134">
        <f t="shared" ref="L170" si="12">ROUND(D170*K170,2)</f>
        <v>14</v>
      </c>
      <c r="M170" s="136"/>
    </row>
    <row r="171" spans="1:13" s="131" customFormat="1" ht="14.45" customHeight="1">
      <c r="A171" s="132"/>
      <c r="B171" s="209" t="s">
        <v>528</v>
      </c>
      <c r="C171" s="210"/>
      <c r="D171" s="134">
        <v>1</v>
      </c>
      <c r="E171" s="134">
        <v>5</v>
      </c>
      <c r="F171" s="134"/>
      <c r="G171" s="134">
        <v>2.8</v>
      </c>
      <c r="H171" s="134"/>
      <c r="I171" s="134"/>
      <c r="J171" s="135"/>
      <c r="K171" s="135">
        <f t="shared" ref="K171" si="13">E171*G171</f>
        <v>14</v>
      </c>
      <c r="L171" s="134">
        <f t="shared" ref="L171" si="14">ROUND(D171*K171,2)</f>
        <v>14</v>
      </c>
      <c r="M171" s="136"/>
    </row>
    <row r="172" spans="1:13" s="131" customFormat="1" ht="14.45" customHeight="1">
      <c r="A172" s="132"/>
      <c r="B172" s="209" t="s">
        <v>529</v>
      </c>
      <c r="C172" s="210"/>
      <c r="D172" s="134">
        <v>1</v>
      </c>
      <c r="E172" s="134">
        <v>7.62</v>
      </c>
      <c r="F172" s="134"/>
      <c r="G172" s="134">
        <v>2.8</v>
      </c>
      <c r="H172" s="134"/>
      <c r="I172" s="134"/>
      <c r="J172" s="135"/>
      <c r="K172" s="135">
        <f t="shared" ref="K172:K175" si="15">E172*G172</f>
        <v>21.335999999999999</v>
      </c>
      <c r="L172" s="134">
        <f t="shared" ref="L172:L174" si="16">ROUND(D172*K172,2)</f>
        <v>21.34</v>
      </c>
      <c r="M172" s="136"/>
    </row>
    <row r="173" spans="1:13" s="131" customFormat="1" ht="14.45" customHeight="1">
      <c r="A173" s="132"/>
      <c r="B173" s="209" t="s">
        <v>530</v>
      </c>
      <c r="C173" s="210"/>
      <c r="D173" s="134">
        <v>1</v>
      </c>
      <c r="E173" s="134">
        <v>5.38</v>
      </c>
      <c r="F173" s="134"/>
      <c r="G173" s="134">
        <v>2.8</v>
      </c>
      <c r="H173" s="134"/>
      <c r="I173" s="134"/>
      <c r="J173" s="135"/>
      <c r="K173" s="135">
        <f t="shared" si="15"/>
        <v>15.063999999999998</v>
      </c>
      <c r="L173" s="134">
        <f t="shared" si="16"/>
        <v>15.06</v>
      </c>
      <c r="M173" s="136"/>
    </row>
    <row r="174" spans="1:13" s="131" customFormat="1" ht="14.45" customHeight="1">
      <c r="A174" s="132"/>
      <c r="B174" s="209" t="s">
        <v>531</v>
      </c>
      <c r="C174" s="210"/>
      <c r="D174" s="134">
        <v>1</v>
      </c>
      <c r="E174" s="134">
        <v>8.16</v>
      </c>
      <c r="F174" s="134"/>
      <c r="G174" s="134">
        <v>2.8</v>
      </c>
      <c r="H174" s="134"/>
      <c r="I174" s="134"/>
      <c r="J174" s="135"/>
      <c r="K174" s="135">
        <f t="shared" si="15"/>
        <v>22.847999999999999</v>
      </c>
      <c r="L174" s="134">
        <f t="shared" si="16"/>
        <v>22.85</v>
      </c>
      <c r="M174" s="136"/>
    </row>
    <row r="175" spans="1:13" s="131" customFormat="1" ht="43.15" customHeight="1">
      <c r="A175" s="132"/>
      <c r="B175" s="209" t="s">
        <v>537</v>
      </c>
      <c r="C175" s="210"/>
      <c r="D175" s="134">
        <v>1</v>
      </c>
      <c r="E175" s="134">
        <f>((2)*(0.8) + (2)*(0.7))</f>
        <v>3</v>
      </c>
      <c r="F175" s="134"/>
      <c r="G175" s="134">
        <v>2.1</v>
      </c>
      <c r="H175" s="134"/>
      <c r="I175" s="134"/>
      <c r="J175" s="135"/>
      <c r="K175" s="135">
        <f t="shared" si="15"/>
        <v>6.3000000000000007</v>
      </c>
      <c r="L175" s="134">
        <f>ROUND(-K175,2)</f>
        <v>-6.3</v>
      </c>
      <c r="M175" s="136"/>
    </row>
    <row r="176" spans="1:13" s="131" customFormat="1" ht="28.9" customHeight="1">
      <c r="A176" s="132"/>
      <c r="B176" s="209" t="s">
        <v>538</v>
      </c>
      <c r="C176" s="210"/>
      <c r="D176" s="134">
        <f>(4*1.2*0.3)</f>
        <v>1.44</v>
      </c>
      <c r="E176" s="134"/>
      <c r="F176" s="134"/>
      <c r="G176" s="134"/>
      <c r="H176" s="134"/>
      <c r="I176" s="134"/>
      <c r="J176" s="135"/>
      <c r="K176" s="135">
        <f>D176</f>
        <v>1.44</v>
      </c>
      <c r="L176" s="134">
        <f>ROUND(-K176,2)</f>
        <v>-1.44</v>
      </c>
      <c r="M176" s="136"/>
    </row>
    <row r="177" spans="1:13" s="131" customFormat="1" ht="28.9" customHeight="1">
      <c r="A177" s="132"/>
      <c r="B177" s="209" t="s">
        <v>568</v>
      </c>
      <c r="C177" s="210"/>
      <c r="D177" s="134">
        <v>1</v>
      </c>
      <c r="E177" s="134">
        <f>(2.55+9.74)</f>
        <v>12.29</v>
      </c>
      <c r="F177" s="134"/>
      <c r="G177" s="134">
        <v>2.5</v>
      </c>
      <c r="H177" s="134"/>
      <c r="I177" s="134"/>
      <c r="J177" s="135"/>
      <c r="K177" s="135">
        <f t="shared" ref="K177" si="17">E177*G177</f>
        <v>30.724999999999998</v>
      </c>
      <c r="L177" s="134">
        <f t="shared" ref="L177" si="18">ROUND(D177*K177,2)</f>
        <v>30.73</v>
      </c>
      <c r="M177" s="136"/>
    </row>
    <row r="178" spans="1:13" s="131" customFormat="1" ht="28.9" customHeight="1">
      <c r="A178" s="132"/>
      <c r="B178" s="209" t="s">
        <v>569</v>
      </c>
      <c r="C178" s="210"/>
      <c r="D178" s="134">
        <v>1</v>
      </c>
      <c r="E178" s="134">
        <v>19.809999999999999</v>
      </c>
      <c r="F178" s="134"/>
      <c r="G178" s="134">
        <v>3</v>
      </c>
      <c r="H178" s="134"/>
      <c r="I178" s="134"/>
      <c r="J178" s="135"/>
      <c r="K178" s="135">
        <f t="shared" ref="K178" si="19">E178*G178</f>
        <v>59.429999999999993</v>
      </c>
      <c r="L178" s="134">
        <f t="shared" ref="L178" si="20">ROUND(D178*K178,2)</f>
        <v>59.43</v>
      </c>
      <c r="M178" s="136"/>
    </row>
    <row r="179" spans="1:13" s="131" customFormat="1" ht="28.9" customHeight="1">
      <c r="A179" s="132"/>
      <c r="B179" s="209" t="s">
        <v>570</v>
      </c>
      <c r="C179" s="210"/>
      <c r="D179" s="134">
        <f>(2*1.2*1.3+2*1.2*0.3)</f>
        <v>3.84</v>
      </c>
      <c r="E179" s="134"/>
      <c r="F179" s="134"/>
      <c r="G179" s="134"/>
      <c r="H179" s="134"/>
      <c r="I179" s="134"/>
      <c r="J179" s="135"/>
      <c r="K179" s="135">
        <f>D179</f>
        <v>3.84</v>
      </c>
      <c r="L179" s="134">
        <f>ROUND(-K179,2)</f>
        <v>-3.84</v>
      </c>
      <c r="M179" s="136"/>
    </row>
    <row r="180" spans="1:13" s="131" customFormat="1" ht="43.15" customHeight="1">
      <c r="A180" s="132"/>
      <c r="B180" s="209" t="s">
        <v>571</v>
      </c>
      <c r="C180" s="210"/>
      <c r="D180" s="134">
        <v>1</v>
      </c>
      <c r="E180" s="134">
        <f>((2)*(0.8) + (1)*(0.7))</f>
        <v>2.2999999999999998</v>
      </c>
      <c r="F180" s="134"/>
      <c r="G180" s="134">
        <v>2.1</v>
      </c>
      <c r="H180" s="134"/>
      <c r="I180" s="134"/>
      <c r="J180" s="135"/>
      <c r="K180" s="135">
        <f t="shared" ref="K180" si="21">E180*G180</f>
        <v>4.83</v>
      </c>
      <c r="L180" s="134">
        <f>ROUND(-K180,2)</f>
        <v>-4.83</v>
      </c>
      <c r="M180" s="136"/>
    </row>
    <row r="181" spans="1:13" s="131" customFormat="1" ht="28.9" customHeight="1">
      <c r="A181" s="132"/>
      <c r="B181" s="209" t="s">
        <v>572</v>
      </c>
      <c r="C181" s="210"/>
      <c r="D181" s="134">
        <f>2*'MEMORIA BM 02'!L146</f>
        <v>70.080000000000013</v>
      </c>
      <c r="E181" s="134"/>
      <c r="F181" s="134"/>
      <c r="G181" s="134"/>
      <c r="H181" s="134"/>
      <c r="I181" s="134"/>
      <c r="J181" s="135"/>
      <c r="K181" s="135">
        <f>D181</f>
        <v>70.080000000000013</v>
      </c>
      <c r="L181" s="134">
        <f>ROUND(-K181,2)</f>
        <v>-70.08</v>
      </c>
      <c r="M181" s="136"/>
    </row>
    <row r="182" spans="1:13" s="131" customFormat="1" ht="28.9" customHeight="1">
      <c r="A182" s="132"/>
      <c r="B182" s="209" t="s">
        <v>549</v>
      </c>
      <c r="C182" s="210"/>
      <c r="D182" s="134">
        <f>L164</f>
        <v>40.98</v>
      </c>
      <c r="E182" s="134"/>
      <c r="F182" s="134"/>
      <c r="G182" s="134"/>
      <c r="H182" s="134"/>
      <c r="I182" s="134"/>
      <c r="J182" s="135"/>
      <c r="K182" s="135">
        <f>D182</f>
        <v>40.98</v>
      </c>
      <c r="L182" s="134">
        <f>ROUND(K182,2)</f>
        <v>40.98</v>
      </c>
      <c r="M182" s="136"/>
    </row>
    <row r="183" spans="1:13" s="131" customFormat="1" ht="12.75">
      <c r="A183" s="139"/>
      <c r="B183" s="140"/>
      <c r="C183" s="141"/>
      <c r="D183" s="142"/>
      <c r="E183" s="143"/>
      <c r="F183" s="142"/>
      <c r="G183" s="142"/>
      <c r="H183" s="143"/>
      <c r="I183" s="143"/>
      <c r="J183" s="144"/>
      <c r="K183" s="144"/>
      <c r="L183" s="142"/>
      <c r="M183" s="145"/>
    </row>
    <row r="184" spans="1:13" s="131" customFormat="1" ht="43.15" customHeight="1">
      <c r="A184" s="128" t="str">
        <f>'BM02'!A97</f>
        <v>1.8.3</v>
      </c>
      <c r="B184" s="211" t="str">
        <f>'BM02'!B97</f>
        <v>EMBOÇO, PARA RECEBIMENTO DE CERÂMICA, EM ARGAMASSA TRAÇO 1:2:8, PREPARO MANUAL, APLICADO MANUALMENTE EM FACES INTERNAS DE PAREDES, PARA AMBIENTE COM ÁREA MAIOR QUE 10M2, ESPESSURA DE 20MM, COM EXECUÇÃO DE TALISCAS. AF_06/2014</v>
      </c>
      <c r="C184" s="212"/>
      <c r="D184" s="212"/>
      <c r="E184" s="212"/>
      <c r="F184" s="212"/>
      <c r="G184" s="212"/>
      <c r="H184" s="212"/>
      <c r="I184" s="212"/>
      <c r="J184" s="212"/>
      <c r="K184" s="213"/>
      <c r="L184" s="129">
        <f>SUM(L185:L185)</f>
        <v>0</v>
      </c>
      <c r="M184" s="130" t="str">
        <f>'BM02'!C97</f>
        <v>m²</v>
      </c>
    </row>
    <row r="185" spans="1:13" s="131" customFormat="1" ht="14.45" customHeight="1">
      <c r="A185" s="132"/>
      <c r="B185" s="209"/>
      <c r="C185" s="210"/>
      <c r="D185" s="134"/>
      <c r="E185" s="134"/>
      <c r="F185" s="134"/>
      <c r="G185" s="134"/>
      <c r="H185" s="134"/>
      <c r="I185" s="134"/>
      <c r="J185" s="135"/>
      <c r="K185" s="135"/>
      <c r="L185" s="134"/>
      <c r="M185" s="136"/>
    </row>
    <row r="186" spans="1:13" s="131" customFormat="1" ht="12.75">
      <c r="A186" s="139"/>
      <c r="B186" s="140"/>
      <c r="C186" s="141"/>
      <c r="D186" s="142"/>
      <c r="E186" s="143"/>
      <c r="F186" s="142"/>
      <c r="G186" s="142"/>
      <c r="H186" s="143"/>
      <c r="I186" s="143"/>
      <c r="J186" s="144"/>
      <c r="K186" s="144"/>
      <c r="L186" s="142"/>
      <c r="M186" s="145"/>
    </row>
    <row r="187" spans="1:13" ht="30" customHeight="1">
      <c r="A187" s="128" t="str">
        <f>'BM02'!A98</f>
        <v>1.8.4</v>
      </c>
      <c r="B187" s="211" t="str">
        <f>'BM02'!B98</f>
        <v>Revestimento cerâmico para parede, 10 x 10 cm, Eliane, linha galeria chumbo mesh ou similar, pei - 2, aplicado com argamassa industrializada ac-ii, rejuntado, exclusive regularização de base ou emboço - Rev 01</v>
      </c>
      <c r="C187" s="212"/>
      <c r="D187" s="212"/>
      <c r="E187" s="212"/>
      <c r="F187" s="212"/>
      <c r="G187" s="212"/>
      <c r="H187" s="212"/>
      <c r="I187" s="212"/>
      <c r="J187" s="212"/>
      <c r="K187" s="213"/>
      <c r="L187" s="129">
        <f>SUM(L189:L209)</f>
        <v>466.0499999999999</v>
      </c>
      <c r="M187" s="130" t="str">
        <f>'BM02'!C98</f>
        <v>m²</v>
      </c>
    </row>
    <row r="188" spans="1:13" s="131" customFormat="1" ht="12.75">
      <c r="A188" s="132"/>
      <c r="B188" s="288" t="s">
        <v>557</v>
      </c>
      <c r="C188" s="289"/>
      <c r="D188" s="134"/>
      <c r="E188" s="134"/>
      <c r="F188" s="134"/>
      <c r="G188" s="134"/>
      <c r="H188" s="134"/>
      <c r="I188" s="134"/>
      <c r="J188" s="135"/>
      <c r="K188" s="135"/>
      <c r="L188" s="134"/>
      <c r="M188" s="136"/>
    </row>
    <row r="189" spans="1:13" s="131" customFormat="1" ht="12.75">
      <c r="A189" s="132"/>
      <c r="B189" s="209" t="s">
        <v>493</v>
      </c>
      <c r="C189" s="210"/>
      <c r="D189" s="134">
        <v>4</v>
      </c>
      <c r="E189" s="134">
        <f>(2*7.2)+7.45</f>
        <v>21.85</v>
      </c>
      <c r="F189" s="134"/>
      <c r="G189" s="134">
        <f>1.52775-0.1</f>
        <v>1.4277499999999999</v>
      </c>
      <c r="H189" s="134"/>
      <c r="I189" s="134"/>
      <c r="J189" s="135"/>
      <c r="K189" s="135">
        <f>E189*G189</f>
        <v>31.196337499999998</v>
      </c>
      <c r="L189" s="134">
        <f t="shared" ref="L189" si="22">ROUND(D189*K189,2)</f>
        <v>124.79</v>
      </c>
      <c r="M189" s="136"/>
    </row>
    <row r="190" spans="1:13" s="131" customFormat="1" ht="12.75">
      <c r="A190" s="132"/>
      <c r="B190" s="209" t="s">
        <v>493</v>
      </c>
      <c r="C190" s="210"/>
      <c r="D190" s="134">
        <v>4</v>
      </c>
      <c r="E190" s="134">
        <v>7.2</v>
      </c>
      <c r="F190" s="134"/>
      <c r="G190" s="134">
        <v>1.1000000000000001</v>
      </c>
      <c r="H190" s="134"/>
      <c r="I190" s="134"/>
      <c r="J190" s="135"/>
      <c r="K190" s="135">
        <f>E190*G190</f>
        <v>7.9200000000000008</v>
      </c>
      <c r="L190" s="134">
        <f t="shared" ref="L190" si="23">ROUND(D190*K190,2)</f>
        <v>31.68</v>
      </c>
      <c r="M190" s="136"/>
    </row>
    <row r="191" spans="1:13" s="131" customFormat="1" ht="12.75">
      <c r="A191" s="132"/>
      <c r="B191" s="209" t="s">
        <v>494</v>
      </c>
      <c r="C191" s="210"/>
      <c r="D191" s="134">
        <v>1</v>
      </c>
      <c r="E191" s="134">
        <v>12</v>
      </c>
      <c r="F191" s="134"/>
      <c r="G191" s="134">
        <f t="shared" ref="G191:G199" si="24">1.52775-0.1</f>
        <v>1.4277499999999999</v>
      </c>
      <c r="H191" s="134"/>
      <c r="I191" s="134"/>
      <c r="J191" s="135"/>
      <c r="K191" s="135">
        <f t="shared" ref="K191:K209" si="25">E191*G191</f>
        <v>17.132999999999999</v>
      </c>
      <c r="L191" s="134">
        <f t="shared" ref="L191:L208" si="26">ROUND(D191*K191,2)</f>
        <v>17.13</v>
      </c>
      <c r="M191" s="136"/>
    </row>
    <row r="192" spans="1:13" s="131" customFormat="1" ht="12.75">
      <c r="A192" s="132"/>
      <c r="B192" s="209" t="s">
        <v>495</v>
      </c>
      <c r="C192" s="210"/>
      <c r="D192" s="134">
        <v>1</v>
      </c>
      <c r="E192" s="134">
        <v>11.6</v>
      </c>
      <c r="F192" s="134"/>
      <c r="G192" s="134">
        <f t="shared" si="24"/>
        <v>1.4277499999999999</v>
      </c>
      <c r="H192" s="134"/>
      <c r="I192" s="134"/>
      <c r="J192" s="135"/>
      <c r="K192" s="135">
        <f t="shared" si="25"/>
        <v>16.561899999999998</v>
      </c>
      <c r="L192" s="134">
        <f t="shared" si="26"/>
        <v>16.559999999999999</v>
      </c>
      <c r="M192" s="136"/>
    </row>
    <row r="193" spans="1:13" s="131" customFormat="1" ht="12.75">
      <c r="A193" s="132"/>
      <c r="B193" s="209" t="s">
        <v>496</v>
      </c>
      <c r="C193" s="210"/>
      <c r="D193" s="134">
        <v>1</v>
      </c>
      <c r="E193" s="134">
        <v>8.6999999999999993</v>
      </c>
      <c r="F193" s="134"/>
      <c r="G193" s="134">
        <f t="shared" si="24"/>
        <v>1.4277499999999999</v>
      </c>
      <c r="H193" s="134"/>
      <c r="I193" s="134"/>
      <c r="J193" s="135"/>
      <c r="K193" s="135">
        <f t="shared" si="25"/>
        <v>12.421424999999997</v>
      </c>
      <c r="L193" s="134">
        <f t="shared" si="26"/>
        <v>12.42</v>
      </c>
      <c r="M193" s="136"/>
    </row>
    <row r="194" spans="1:13" s="131" customFormat="1" ht="13.9" customHeight="1">
      <c r="A194" s="132"/>
      <c r="B194" s="209" t="s">
        <v>497</v>
      </c>
      <c r="C194" s="210"/>
      <c r="D194" s="134">
        <v>1</v>
      </c>
      <c r="E194" s="134">
        <v>11.7</v>
      </c>
      <c r="F194" s="134"/>
      <c r="G194" s="134">
        <f t="shared" si="24"/>
        <v>1.4277499999999999</v>
      </c>
      <c r="H194" s="134"/>
      <c r="I194" s="134"/>
      <c r="J194" s="135"/>
      <c r="K194" s="135">
        <f t="shared" si="25"/>
        <v>16.704674999999998</v>
      </c>
      <c r="L194" s="134">
        <f t="shared" si="26"/>
        <v>16.7</v>
      </c>
      <c r="M194" s="136"/>
    </row>
    <row r="195" spans="1:13" s="131" customFormat="1" ht="13.9" customHeight="1">
      <c r="A195" s="132"/>
      <c r="B195" s="209" t="s">
        <v>550</v>
      </c>
      <c r="C195" s="210"/>
      <c r="D195" s="134">
        <v>1</v>
      </c>
      <c r="E195" s="134">
        <v>95.100000000000023</v>
      </c>
      <c r="F195" s="134"/>
      <c r="G195" s="134">
        <f t="shared" si="24"/>
        <v>1.4277499999999999</v>
      </c>
      <c r="H195" s="134"/>
      <c r="I195" s="134"/>
      <c r="J195" s="135"/>
      <c r="K195" s="135">
        <f t="shared" si="25"/>
        <v>135.77902500000002</v>
      </c>
      <c r="L195" s="134">
        <f t="shared" si="26"/>
        <v>135.78</v>
      </c>
      <c r="M195" s="136"/>
    </row>
    <row r="196" spans="1:13" s="131" customFormat="1" ht="12.75">
      <c r="A196" s="132"/>
      <c r="B196" s="209" t="s">
        <v>499</v>
      </c>
      <c r="C196" s="210"/>
      <c r="D196" s="134">
        <v>9</v>
      </c>
      <c r="E196" s="134">
        <v>1.2</v>
      </c>
      <c r="F196" s="134"/>
      <c r="G196" s="134">
        <f t="shared" si="24"/>
        <v>1.4277499999999999</v>
      </c>
      <c r="H196" s="134"/>
      <c r="I196" s="134"/>
      <c r="J196" s="135"/>
      <c r="K196" s="135">
        <f t="shared" si="25"/>
        <v>1.7132999999999998</v>
      </c>
      <c r="L196" s="134">
        <f t="shared" si="26"/>
        <v>15.42</v>
      </c>
      <c r="M196" s="136"/>
    </row>
    <row r="197" spans="1:13" s="131" customFormat="1" ht="12.75">
      <c r="A197" s="132"/>
      <c r="B197" s="209" t="s">
        <v>500</v>
      </c>
      <c r="C197" s="210"/>
      <c r="D197" s="134">
        <v>1</v>
      </c>
      <c r="E197" s="134">
        <v>6.4</v>
      </c>
      <c r="F197" s="134"/>
      <c r="G197" s="134">
        <f t="shared" si="24"/>
        <v>1.4277499999999999</v>
      </c>
      <c r="H197" s="134"/>
      <c r="I197" s="134"/>
      <c r="J197" s="135"/>
      <c r="K197" s="135">
        <f t="shared" si="25"/>
        <v>9.1375999999999991</v>
      </c>
      <c r="L197" s="134">
        <f t="shared" si="26"/>
        <v>9.14</v>
      </c>
      <c r="M197" s="136"/>
    </row>
    <row r="198" spans="1:13" s="131" customFormat="1" ht="12.75">
      <c r="A198" s="132"/>
      <c r="B198" s="209" t="s">
        <v>501</v>
      </c>
      <c r="C198" s="210"/>
      <c r="D198" s="134">
        <v>1</v>
      </c>
      <c r="E198" s="134">
        <v>6.4</v>
      </c>
      <c r="F198" s="134"/>
      <c r="G198" s="134">
        <f t="shared" si="24"/>
        <v>1.4277499999999999</v>
      </c>
      <c r="H198" s="134"/>
      <c r="I198" s="134"/>
      <c r="J198" s="135"/>
      <c r="K198" s="135">
        <f t="shared" si="25"/>
        <v>9.1375999999999991</v>
      </c>
      <c r="L198" s="134">
        <f t="shared" si="26"/>
        <v>9.14</v>
      </c>
      <c r="M198" s="136"/>
    </row>
    <row r="199" spans="1:13" s="131" customFormat="1" ht="57.6" customHeight="1">
      <c r="A199" s="132"/>
      <c r="B199" s="209" t="s">
        <v>556</v>
      </c>
      <c r="C199" s="210"/>
      <c r="D199" s="134">
        <v>1</v>
      </c>
      <c r="E199" s="134">
        <v>22.3</v>
      </c>
      <c r="F199" s="134"/>
      <c r="G199" s="134">
        <f t="shared" si="24"/>
        <v>1.4277499999999999</v>
      </c>
      <c r="H199" s="134"/>
      <c r="I199" s="134"/>
      <c r="J199" s="135"/>
      <c r="K199" s="135">
        <f t="shared" si="25"/>
        <v>31.838824999999996</v>
      </c>
      <c r="L199" s="134">
        <f t="shared" si="26"/>
        <v>31.84</v>
      </c>
      <c r="M199" s="136"/>
    </row>
    <row r="200" spans="1:13" s="131" customFormat="1" ht="12.75">
      <c r="A200" s="132"/>
      <c r="B200" s="209" t="s">
        <v>508</v>
      </c>
      <c r="C200" s="210"/>
      <c r="D200" s="134">
        <v>1</v>
      </c>
      <c r="E200" s="134">
        <v>20.420000000000002</v>
      </c>
      <c r="F200" s="134"/>
      <c r="G200" s="134">
        <v>1.6</v>
      </c>
      <c r="H200" s="134"/>
      <c r="I200" s="134"/>
      <c r="J200" s="135"/>
      <c r="K200" s="135">
        <f t="shared" si="25"/>
        <v>32.672000000000004</v>
      </c>
      <c r="L200" s="134">
        <f>ROUND(-D200*K200,2)</f>
        <v>-32.67</v>
      </c>
      <c r="M200" s="136"/>
    </row>
    <row r="201" spans="1:13" s="131" customFormat="1" ht="12.75">
      <c r="A201" s="132"/>
      <c r="B201" s="209" t="s">
        <v>509</v>
      </c>
      <c r="C201" s="210"/>
      <c r="D201" s="134">
        <v>1</v>
      </c>
      <c r="E201" s="134">
        <v>7.2</v>
      </c>
      <c r="F201" s="134"/>
      <c r="G201" s="134">
        <v>1.6</v>
      </c>
      <c r="H201" s="134"/>
      <c r="I201" s="134"/>
      <c r="J201" s="135"/>
      <c r="K201" s="135">
        <f t="shared" si="25"/>
        <v>11.520000000000001</v>
      </c>
      <c r="L201" s="134">
        <f t="shared" si="26"/>
        <v>11.52</v>
      </c>
      <c r="M201" s="136"/>
    </row>
    <row r="202" spans="1:13" s="131" customFormat="1" ht="12.75">
      <c r="A202" s="132"/>
      <c r="B202" s="209" t="s">
        <v>510</v>
      </c>
      <c r="C202" s="210"/>
      <c r="D202" s="134">
        <v>1</v>
      </c>
      <c r="E202" s="134">
        <v>10.46</v>
      </c>
      <c r="F202" s="134"/>
      <c r="G202" s="134">
        <v>1.6</v>
      </c>
      <c r="H202" s="134"/>
      <c r="I202" s="134"/>
      <c r="J202" s="135"/>
      <c r="K202" s="135">
        <f t="shared" si="25"/>
        <v>16.736000000000001</v>
      </c>
      <c r="L202" s="134">
        <f t="shared" si="26"/>
        <v>16.739999999999998</v>
      </c>
      <c r="M202" s="136"/>
    </row>
    <row r="203" spans="1:13" s="131" customFormat="1" ht="12.75">
      <c r="A203" s="132"/>
      <c r="B203" s="209" t="s">
        <v>511</v>
      </c>
      <c r="C203" s="210"/>
      <c r="D203" s="134">
        <v>1</v>
      </c>
      <c r="E203" s="134">
        <v>6</v>
      </c>
      <c r="F203" s="134"/>
      <c r="G203" s="134">
        <v>1.6</v>
      </c>
      <c r="H203" s="134"/>
      <c r="I203" s="134"/>
      <c r="J203" s="135"/>
      <c r="K203" s="135">
        <f t="shared" si="25"/>
        <v>9.6000000000000014</v>
      </c>
      <c r="L203" s="134">
        <f t="shared" si="26"/>
        <v>9.6</v>
      </c>
      <c r="M203" s="136"/>
    </row>
    <row r="204" spans="1:13" s="131" customFormat="1" ht="12.75">
      <c r="A204" s="132"/>
      <c r="B204" s="209" t="s">
        <v>551</v>
      </c>
      <c r="C204" s="210"/>
      <c r="D204" s="134">
        <v>1</v>
      </c>
      <c r="E204" s="134">
        <v>5</v>
      </c>
      <c r="F204" s="134"/>
      <c r="G204" s="134">
        <v>1.6</v>
      </c>
      <c r="H204" s="134"/>
      <c r="I204" s="134"/>
      <c r="J204" s="135"/>
      <c r="K204" s="135">
        <f t="shared" si="25"/>
        <v>8</v>
      </c>
      <c r="L204" s="134">
        <f t="shared" si="26"/>
        <v>8</v>
      </c>
      <c r="M204" s="136"/>
    </row>
    <row r="205" spans="1:13" s="131" customFormat="1" ht="12.75">
      <c r="A205" s="132"/>
      <c r="B205" s="209" t="s">
        <v>552</v>
      </c>
      <c r="C205" s="210"/>
      <c r="D205" s="134">
        <v>1</v>
      </c>
      <c r="E205" s="134">
        <v>5.38</v>
      </c>
      <c r="F205" s="134"/>
      <c r="G205" s="134">
        <v>1.6</v>
      </c>
      <c r="H205" s="134"/>
      <c r="I205" s="134"/>
      <c r="J205" s="135"/>
      <c r="K205" s="135">
        <f t="shared" si="25"/>
        <v>8.6080000000000005</v>
      </c>
      <c r="L205" s="134">
        <f t="shared" si="26"/>
        <v>8.61</v>
      </c>
      <c r="M205" s="136"/>
    </row>
    <row r="206" spans="1:13" s="131" customFormat="1" ht="12.75">
      <c r="A206" s="132"/>
      <c r="B206" s="209" t="s">
        <v>553</v>
      </c>
      <c r="C206" s="210"/>
      <c r="D206" s="134">
        <v>1</v>
      </c>
      <c r="E206" s="134">
        <v>7.62</v>
      </c>
      <c r="F206" s="134"/>
      <c r="G206" s="134">
        <v>1.6</v>
      </c>
      <c r="H206" s="134"/>
      <c r="I206" s="134"/>
      <c r="J206" s="135"/>
      <c r="K206" s="135">
        <f t="shared" si="25"/>
        <v>12.192</v>
      </c>
      <c r="L206" s="134">
        <f t="shared" si="26"/>
        <v>12.19</v>
      </c>
      <c r="M206" s="136"/>
    </row>
    <row r="207" spans="1:13" s="131" customFormat="1" ht="12.75">
      <c r="A207" s="132"/>
      <c r="B207" s="209" t="s">
        <v>554</v>
      </c>
      <c r="C207" s="210"/>
      <c r="D207" s="134">
        <v>1</v>
      </c>
      <c r="E207" s="134">
        <v>8.16</v>
      </c>
      <c r="F207" s="134"/>
      <c r="G207" s="134">
        <v>1.6</v>
      </c>
      <c r="H207" s="134"/>
      <c r="I207" s="134"/>
      <c r="J207" s="135"/>
      <c r="K207" s="135">
        <f t="shared" si="25"/>
        <v>13.056000000000001</v>
      </c>
      <c r="L207" s="134">
        <f t="shared" si="26"/>
        <v>13.06</v>
      </c>
      <c r="M207" s="136"/>
    </row>
    <row r="208" spans="1:13" s="131" customFormat="1" ht="12.75">
      <c r="A208" s="132"/>
      <c r="B208" s="209" t="s">
        <v>512</v>
      </c>
      <c r="C208" s="210"/>
      <c r="D208" s="134">
        <v>1</v>
      </c>
      <c r="E208" s="134">
        <v>7.7</v>
      </c>
      <c r="F208" s="134"/>
      <c r="G208" s="134">
        <v>1.6</v>
      </c>
      <c r="H208" s="134"/>
      <c r="I208" s="134"/>
      <c r="J208" s="135"/>
      <c r="K208" s="135">
        <f t="shared" si="25"/>
        <v>12.32</v>
      </c>
      <c r="L208" s="134">
        <f t="shared" si="26"/>
        <v>12.32</v>
      </c>
      <c r="M208" s="136"/>
    </row>
    <row r="209" spans="1:13" s="131" customFormat="1" ht="43.15" customHeight="1">
      <c r="A209" s="132"/>
      <c r="B209" s="209" t="s">
        <v>555</v>
      </c>
      <c r="C209" s="210"/>
      <c r="D209" s="134">
        <v>1</v>
      </c>
      <c r="E209" s="134">
        <v>8.6999999999999993</v>
      </c>
      <c r="F209" s="134"/>
      <c r="G209" s="134">
        <v>1.6</v>
      </c>
      <c r="H209" s="134"/>
      <c r="I209" s="134"/>
      <c r="J209" s="135"/>
      <c r="K209" s="135">
        <f t="shared" si="25"/>
        <v>13.92</v>
      </c>
      <c r="L209" s="134">
        <f>ROUND(-D209*K209,2)</f>
        <v>-13.92</v>
      </c>
      <c r="M209" s="136"/>
    </row>
    <row r="210" spans="1:13" s="131" customFormat="1" ht="13.5" thickBot="1">
      <c r="A210" s="139"/>
      <c r="B210" s="140"/>
      <c r="C210" s="141"/>
      <c r="D210" s="142"/>
      <c r="E210" s="143"/>
      <c r="F210" s="142"/>
      <c r="G210" s="142"/>
      <c r="H210" s="143"/>
      <c r="I210" s="143"/>
      <c r="J210" s="144"/>
      <c r="K210" s="144"/>
      <c r="L210" s="142"/>
      <c r="M210" s="145"/>
    </row>
    <row r="211" spans="1:13" ht="13.5" thickBot="1">
      <c r="A211" s="121" t="str">
        <f>'BM02'!A100</f>
        <v>1.9</v>
      </c>
      <c r="B211" s="122" t="str">
        <f>'BM02'!B100</f>
        <v>PINTURA</v>
      </c>
      <c r="C211" s="122"/>
      <c r="D211" s="122"/>
      <c r="E211" s="122"/>
      <c r="F211" s="122"/>
      <c r="G211" s="122"/>
      <c r="H211" s="122"/>
      <c r="I211" s="122"/>
      <c r="J211" s="122"/>
      <c r="K211" s="122"/>
      <c r="L211" s="122"/>
      <c r="M211" s="123"/>
    </row>
    <row r="212" spans="1:13" ht="12.75">
      <c r="A212" s="124"/>
      <c r="B212" s="125"/>
      <c r="C212" s="125"/>
      <c r="D212" s="125"/>
      <c r="E212" s="125"/>
      <c r="F212" s="125"/>
      <c r="G212" s="125"/>
      <c r="H212" s="125"/>
      <c r="I212" s="125"/>
      <c r="J212" s="125"/>
      <c r="K212" s="126"/>
      <c r="L212" s="125"/>
      <c r="M212" s="127"/>
    </row>
    <row r="213" spans="1:13" ht="13.5" thickBot="1">
      <c r="A213" s="184" t="str">
        <f>'BM02'!A102</f>
        <v>1.9.1</v>
      </c>
      <c r="B213" s="211" t="str">
        <f>'BM02'!B102</f>
        <v>APLICAÇÃO DE FUNDO SELADOR ACRÍLICO EM PAREDES, UMA DEMÃO. AF_06/2014</v>
      </c>
      <c r="C213" s="212"/>
      <c r="D213" s="212"/>
      <c r="E213" s="212"/>
      <c r="F213" s="212"/>
      <c r="G213" s="212"/>
      <c r="H213" s="212"/>
      <c r="I213" s="212"/>
      <c r="J213" s="212"/>
      <c r="K213" s="213"/>
      <c r="L213" s="129">
        <f>L214</f>
        <v>0</v>
      </c>
      <c r="M213" s="185" t="str">
        <f>'BM02'!C102</f>
        <v>m²</v>
      </c>
    </row>
    <row r="214" spans="1:13" s="131" customFormat="1" ht="12.75">
      <c r="A214" s="132"/>
      <c r="B214" s="209"/>
      <c r="C214" s="210"/>
      <c r="D214" s="134"/>
      <c r="E214" s="134"/>
      <c r="F214" s="134"/>
      <c r="G214" s="134"/>
      <c r="H214" s="134"/>
      <c r="I214" s="134"/>
      <c r="J214" s="135"/>
      <c r="K214" s="135"/>
      <c r="L214" s="134">
        <f>ROUND(D214*K214,2)</f>
        <v>0</v>
      </c>
      <c r="M214" s="136"/>
    </row>
    <row r="215" spans="1:13" s="131" customFormat="1" ht="12.75">
      <c r="A215" s="139"/>
      <c r="B215" s="140"/>
      <c r="C215" s="141"/>
      <c r="D215" s="142"/>
      <c r="E215" s="143"/>
      <c r="F215" s="142"/>
      <c r="G215" s="142"/>
      <c r="H215" s="143"/>
      <c r="I215" s="143"/>
      <c r="J215" s="144"/>
      <c r="K215" s="144"/>
      <c r="L215" s="142"/>
      <c r="M215" s="145"/>
    </row>
    <row r="216" spans="1:13" ht="13.5" thickBot="1">
      <c r="A216" s="184" t="str">
        <f>'BM02'!A103</f>
        <v>1.9.2</v>
      </c>
      <c r="B216" s="211" t="str">
        <f>'BM02'!B103</f>
        <v>APLICAÇÃO E LIXAMENTO DE MASSA LÁTEX EM PAREDES, DUAS DEMÃOS. AF_06/2014</v>
      </c>
      <c r="C216" s="212"/>
      <c r="D216" s="212"/>
      <c r="E216" s="212"/>
      <c r="F216" s="212"/>
      <c r="G216" s="212"/>
      <c r="H216" s="212"/>
      <c r="I216" s="212"/>
      <c r="J216" s="212"/>
      <c r="K216" s="213"/>
      <c r="L216" s="129">
        <f>L217</f>
        <v>0</v>
      </c>
      <c r="M216" s="185" t="str">
        <f>'BM02'!C103</f>
        <v>m²</v>
      </c>
    </row>
    <row r="217" spans="1:13" s="131" customFormat="1" ht="12.75">
      <c r="A217" s="132"/>
      <c r="B217" s="209"/>
      <c r="C217" s="210"/>
      <c r="D217" s="134"/>
      <c r="E217" s="134"/>
      <c r="F217" s="134"/>
      <c r="G217" s="134"/>
      <c r="H217" s="134"/>
      <c r="I217" s="134"/>
      <c r="J217" s="135"/>
      <c r="K217" s="135"/>
      <c r="L217" s="134">
        <f>ROUND(D217*K217,2)</f>
        <v>0</v>
      </c>
      <c r="M217" s="136"/>
    </row>
    <row r="218" spans="1:13" s="131" customFormat="1" ht="12.75">
      <c r="A218" s="139"/>
      <c r="B218" s="140"/>
      <c r="C218" s="141"/>
      <c r="D218" s="142"/>
      <c r="E218" s="143"/>
      <c r="F218" s="142"/>
      <c r="G218" s="142"/>
      <c r="H218" s="143"/>
      <c r="I218" s="143"/>
      <c r="J218" s="144"/>
      <c r="K218" s="144"/>
      <c r="L218" s="142"/>
      <c r="M218" s="145"/>
    </row>
    <row r="219" spans="1:13" ht="30" customHeight="1">
      <c r="A219" s="128" t="str">
        <f>'BM02'!A104</f>
        <v>1.9.3</v>
      </c>
      <c r="B219" s="211" t="str">
        <f>'BM02'!B104</f>
        <v>APLICAÇÃO MANUAL DE MASSA ACRÍLICA EM PANOS DE FACHADA SEM PRESENÇA DE VÃOS, DE EDIFÍCIOS DE MÚLTIPLOS PAVIMENTOS, DUAS DEMÃOS. AF_05/2017</v>
      </c>
      <c r="C219" s="212"/>
      <c r="D219" s="212"/>
      <c r="E219" s="212"/>
      <c r="F219" s="212"/>
      <c r="G219" s="212"/>
      <c r="H219" s="212"/>
      <c r="I219" s="212"/>
      <c r="J219" s="212"/>
      <c r="K219" s="213"/>
      <c r="L219" s="129">
        <f>L220</f>
        <v>0</v>
      </c>
      <c r="M219" s="185" t="str">
        <f>'BM02'!C104</f>
        <v>m²</v>
      </c>
    </row>
    <row r="220" spans="1:13" s="131" customFormat="1" ht="12.75">
      <c r="A220" s="132"/>
      <c r="B220" s="209"/>
      <c r="C220" s="210"/>
      <c r="D220" s="134"/>
      <c r="E220" s="134"/>
      <c r="F220" s="134"/>
      <c r="G220" s="134"/>
      <c r="H220" s="134"/>
      <c r="I220" s="134"/>
      <c r="J220" s="135"/>
      <c r="K220" s="135"/>
      <c r="L220" s="134">
        <f>ROUND(D220*K220,2)</f>
        <v>0</v>
      </c>
      <c r="M220" s="136"/>
    </row>
    <row r="221" spans="1:13" s="131" customFormat="1" ht="12.75">
      <c r="A221" s="139"/>
      <c r="B221" s="140"/>
      <c r="C221" s="141"/>
      <c r="D221" s="142"/>
      <c r="E221" s="143"/>
      <c r="F221" s="142"/>
      <c r="G221" s="142"/>
      <c r="H221" s="143"/>
      <c r="I221" s="143"/>
      <c r="J221" s="144"/>
      <c r="K221" s="144"/>
      <c r="L221" s="142"/>
      <c r="M221" s="145"/>
    </row>
    <row r="222" spans="1:13" ht="12.75">
      <c r="A222" s="184" t="str">
        <f>'BM02'!A105</f>
        <v>1.9.4</v>
      </c>
      <c r="B222" s="211" t="str">
        <f>'BM02'!B105</f>
        <v>APLICAÇÃO MANUAL DE PINTURA COM TINTA LÁTEX ACRÍLICA EM PAREDES, DUAS DEMÃOS. AF_06/2014</v>
      </c>
      <c r="C222" s="212"/>
      <c r="D222" s="212"/>
      <c r="E222" s="212"/>
      <c r="F222" s="212"/>
      <c r="G222" s="212"/>
      <c r="H222" s="212"/>
      <c r="I222" s="212"/>
      <c r="J222" s="212"/>
      <c r="K222" s="213"/>
      <c r="L222" s="129">
        <f>L223</f>
        <v>0</v>
      </c>
      <c r="M222" s="185" t="str">
        <f>'BM02'!C105</f>
        <v>m²</v>
      </c>
    </row>
    <row r="223" spans="1:13" s="131" customFormat="1" ht="12.75">
      <c r="A223" s="132"/>
      <c r="B223" s="209"/>
      <c r="C223" s="210"/>
      <c r="D223" s="134"/>
      <c r="E223" s="134"/>
      <c r="F223" s="134"/>
      <c r="G223" s="134"/>
      <c r="H223" s="134"/>
      <c r="I223" s="134"/>
      <c r="J223" s="135"/>
      <c r="K223" s="135"/>
      <c r="L223" s="134">
        <f>ROUND(D223*K223,2)</f>
        <v>0</v>
      </c>
      <c r="M223" s="136"/>
    </row>
    <row r="224" spans="1:13" s="131" customFormat="1" ht="12.75">
      <c r="A224" s="139"/>
      <c r="B224" s="140"/>
      <c r="C224" s="141"/>
      <c r="D224" s="142"/>
      <c r="E224" s="143"/>
      <c r="F224" s="142"/>
      <c r="G224" s="142"/>
      <c r="H224" s="143"/>
      <c r="I224" s="143"/>
      <c r="J224" s="144"/>
      <c r="K224" s="144"/>
      <c r="L224" s="142"/>
      <c r="M224" s="145"/>
    </row>
    <row r="225" spans="1:13" ht="12.75">
      <c r="A225" s="184" t="str">
        <f>'BM02'!A106</f>
        <v>1.9.5</v>
      </c>
      <c r="B225" s="211" t="str">
        <f>'BM02'!B106</f>
        <v>PINTURA TINTA DE ACABAMENTO (PIGMENTADA) ESMALTE SINTÉTICO FOSCO EM MADEIRA, 3 DEMÃOS. AF_01/2021</v>
      </c>
      <c r="C225" s="212"/>
      <c r="D225" s="212"/>
      <c r="E225" s="212"/>
      <c r="F225" s="212"/>
      <c r="G225" s="212"/>
      <c r="H225" s="212"/>
      <c r="I225" s="212"/>
      <c r="J225" s="212"/>
      <c r="K225" s="213"/>
      <c r="L225" s="129">
        <f>L226</f>
        <v>0</v>
      </c>
      <c r="M225" s="185" t="str">
        <f>'BM02'!C106</f>
        <v>m²</v>
      </c>
    </row>
    <row r="226" spans="1:13" s="131" customFormat="1" ht="12.75">
      <c r="A226" s="132"/>
      <c r="B226" s="209"/>
      <c r="C226" s="210"/>
      <c r="D226" s="134"/>
      <c r="E226" s="134"/>
      <c r="F226" s="134"/>
      <c r="G226" s="134"/>
      <c r="H226" s="134"/>
      <c r="I226" s="134"/>
      <c r="J226" s="135"/>
      <c r="K226" s="135"/>
      <c r="L226" s="134">
        <f>ROUND(D226*K226,2)</f>
        <v>0</v>
      </c>
      <c r="M226" s="136"/>
    </row>
    <row r="227" spans="1:13" s="131" customFormat="1" ht="12.75">
      <c r="A227" s="139"/>
      <c r="B227" s="140"/>
      <c r="C227" s="141"/>
      <c r="D227" s="142"/>
      <c r="E227" s="143"/>
      <c r="F227" s="142"/>
      <c r="G227" s="142"/>
      <c r="H227" s="143"/>
      <c r="I227" s="143"/>
      <c r="J227" s="144"/>
      <c r="K227" s="144"/>
      <c r="L227" s="142"/>
      <c r="M227" s="145"/>
    </row>
    <row r="228" spans="1:13" ht="30" customHeight="1">
      <c r="A228" s="128" t="str">
        <f>'BM02'!A107</f>
        <v>1.9.6</v>
      </c>
      <c r="B228" s="211" t="str">
        <f>'BM02'!B107</f>
        <v>PINTURA COM TINTA ALQUÍDICA DE FUNDO E ACABAMENTO (ESMALTE SINTÉTICO GRAFITE) APLICADA A ROLO OU PINCEL SOBRE SUPERFÍCIES METÁLICAS (EXCETO PERFIL) EXECUTADO EM OBRA (POR DEMÃO). AF_01/2020</v>
      </c>
      <c r="C228" s="212"/>
      <c r="D228" s="212"/>
      <c r="E228" s="212"/>
      <c r="F228" s="212"/>
      <c r="G228" s="212"/>
      <c r="H228" s="212"/>
      <c r="I228" s="212"/>
      <c r="J228" s="212"/>
      <c r="K228" s="213"/>
      <c r="L228" s="129">
        <f>L229</f>
        <v>0</v>
      </c>
      <c r="M228" s="185" t="str">
        <f>'BM02'!C107</f>
        <v>m²</v>
      </c>
    </row>
    <row r="229" spans="1:13" s="131" customFormat="1" ht="12.75">
      <c r="A229" s="132"/>
      <c r="B229" s="209"/>
      <c r="C229" s="210"/>
      <c r="D229" s="134"/>
      <c r="E229" s="134"/>
      <c r="F229" s="134"/>
      <c r="G229" s="134"/>
      <c r="H229" s="134"/>
      <c r="I229" s="134"/>
      <c r="J229" s="135"/>
      <c r="K229" s="135"/>
      <c r="L229" s="134">
        <f>ROUND(D229*K229,2)</f>
        <v>0</v>
      </c>
      <c r="M229" s="136"/>
    </row>
    <row r="230" spans="1:13" s="131" customFormat="1" ht="12.75">
      <c r="A230" s="139"/>
      <c r="B230" s="140"/>
      <c r="C230" s="141"/>
      <c r="D230" s="142"/>
      <c r="E230" s="143"/>
      <c r="F230" s="142"/>
      <c r="G230" s="142"/>
      <c r="H230" s="143"/>
      <c r="I230" s="143"/>
      <c r="J230" s="144"/>
      <c r="K230" s="144"/>
      <c r="L230" s="142"/>
      <c r="M230" s="145"/>
    </row>
    <row r="231" spans="1:13" ht="12.75">
      <c r="A231" s="184" t="str">
        <f>'BM02'!A108</f>
        <v>1.9.7</v>
      </c>
      <c r="B231" s="211" t="str">
        <f>'BM02'!B108</f>
        <v>APLICAÇÃO MANUAL DE PINTURA COM TINTA LÁTEX PVA EM PAREDES, DUAS DEMÃOS. AF_06/2014</v>
      </c>
      <c r="C231" s="212"/>
      <c r="D231" s="212"/>
      <c r="E231" s="212"/>
      <c r="F231" s="212"/>
      <c r="G231" s="212"/>
      <c r="H231" s="212"/>
      <c r="I231" s="212"/>
      <c r="J231" s="212"/>
      <c r="K231" s="213"/>
      <c r="L231" s="129">
        <f>L232</f>
        <v>0</v>
      </c>
      <c r="M231" s="185" t="str">
        <f>'BM02'!C108</f>
        <v>m²</v>
      </c>
    </row>
    <row r="232" spans="1:13" s="131" customFormat="1" ht="12.75">
      <c r="A232" s="132"/>
      <c r="B232" s="209"/>
      <c r="C232" s="210"/>
      <c r="D232" s="134"/>
      <c r="E232" s="134"/>
      <c r="F232" s="134"/>
      <c r="G232" s="134"/>
      <c r="H232" s="134"/>
      <c r="I232" s="134"/>
      <c r="J232" s="135"/>
      <c r="K232" s="135"/>
      <c r="L232" s="134">
        <f>ROUND(D232*K232,2)</f>
        <v>0</v>
      </c>
      <c r="M232" s="136"/>
    </row>
    <row r="233" spans="1:13" s="131" customFormat="1" ht="12.75">
      <c r="A233" s="139"/>
      <c r="B233" s="140"/>
      <c r="C233" s="141"/>
      <c r="D233" s="142"/>
      <c r="E233" s="143"/>
      <c r="F233" s="142"/>
      <c r="G233" s="142"/>
      <c r="H233" s="143"/>
      <c r="I233" s="143"/>
      <c r="J233" s="144"/>
      <c r="K233" s="144"/>
      <c r="L233" s="142"/>
      <c r="M233" s="145"/>
    </row>
    <row r="234" spans="1:13" ht="12.75">
      <c r="A234" s="184" t="str">
        <f>'BM02'!A109</f>
        <v>1.9.8</v>
      </c>
      <c r="B234" s="211" t="str">
        <f>'BM02'!B109</f>
        <v>PINTURA IMUNIZANTE PARA MADEIRA, 1 DEMÃO. AF_01/2021</v>
      </c>
      <c r="C234" s="212"/>
      <c r="D234" s="212"/>
      <c r="E234" s="212"/>
      <c r="F234" s="212"/>
      <c r="G234" s="212"/>
      <c r="H234" s="212"/>
      <c r="I234" s="212"/>
      <c r="J234" s="212"/>
      <c r="K234" s="213"/>
      <c r="L234" s="129">
        <f>L235</f>
        <v>0</v>
      </c>
      <c r="M234" s="185" t="str">
        <f>'BM02'!C109</f>
        <v>m²</v>
      </c>
    </row>
    <row r="235" spans="1:13" s="131" customFormat="1" ht="12.75">
      <c r="A235" s="132"/>
      <c r="B235" s="209"/>
      <c r="C235" s="210"/>
      <c r="D235" s="134"/>
      <c r="E235" s="134"/>
      <c r="F235" s="134"/>
      <c r="G235" s="134"/>
      <c r="H235" s="134"/>
      <c r="I235" s="134"/>
      <c r="J235" s="135"/>
      <c r="K235" s="135"/>
      <c r="L235" s="134">
        <f>ROUND(D235*K235,2)</f>
        <v>0</v>
      </c>
      <c r="M235" s="136"/>
    </row>
    <row r="236" spans="1:13" s="131" customFormat="1" ht="13.5" thickBot="1">
      <c r="A236" s="139"/>
      <c r="B236" s="140"/>
      <c r="C236" s="141"/>
      <c r="D236" s="142"/>
      <c r="E236" s="143"/>
      <c r="F236" s="142"/>
      <c r="G236" s="142"/>
      <c r="H236" s="143"/>
      <c r="I236" s="143"/>
      <c r="J236" s="144"/>
      <c r="K236" s="144"/>
      <c r="L236" s="142"/>
      <c r="M236" s="145"/>
    </row>
    <row r="237" spans="1:13" ht="13.5" thickBot="1">
      <c r="A237" s="121" t="str">
        <f>'BM02'!A111</f>
        <v>1.10</v>
      </c>
      <c r="B237" s="122" t="str">
        <f>'BM02'!B111</f>
        <v>PAVIMENTAÇÃO</v>
      </c>
      <c r="C237" s="122"/>
      <c r="D237" s="122"/>
      <c r="E237" s="122"/>
      <c r="F237" s="122"/>
      <c r="G237" s="122"/>
      <c r="H237" s="122"/>
      <c r="I237" s="122"/>
      <c r="J237" s="122"/>
      <c r="K237" s="122"/>
      <c r="L237" s="122"/>
      <c r="M237" s="123"/>
    </row>
    <row r="238" spans="1:13" ht="12.75">
      <c r="A238" s="124"/>
      <c r="B238" s="125"/>
      <c r="C238" s="125"/>
      <c r="D238" s="125"/>
      <c r="E238" s="125"/>
      <c r="F238" s="125"/>
      <c r="G238" s="125"/>
      <c r="H238" s="125"/>
      <c r="I238" s="125"/>
      <c r="J238" s="125"/>
      <c r="K238" s="126"/>
      <c r="L238" s="125"/>
      <c r="M238" s="127"/>
    </row>
    <row r="239" spans="1:13" ht="12.75">
      <c r="A239" s="184" t="str">
        <f>'BM02'!A113</f>
        <v>1.10.1</v>
      </c>
      <c r="B239" s="211" t="str">
        <f>'BM02'!B113</f>
        <v>LASTRO DE CONCRETO MAGRO, APLICADO EM PISOS OU RADIERS, ESPESSURA DE 5 CM. AF_07/2016</v>
      </c>
      <c r="C239" s="212"/>
      <c r="D239" s="212"/>
      <c r="E239" s="212"/>
      <c r="F239" s="212"/>
      <c r="G239" s="212"/>
      <c r="H239" s="212"/>
      <c r="I239" s="212"/>
      <c r="J239" s="212"/>
      <c r="K239" s="213"/>
      <c r="L239" s="129">
        <f>SUM(L240:L249)</f>
        <v>109.10999999999999</v>
      </c>
      <c r="M239" s="185" t="str">
        <f>'BM02'!C113</f>
        <v>m²</v>
      </c>
    </row>
    <row r="240" spans="1:13" s="131" customFormat="1" ht="12.75">
      <c r="A240" s="132"/>
      <c r="B240" s="209" t="s">
        <v>477</v>
      </c>
      <c r="C240" s="210"/>
      <c r="D240" s="134">
        <v>1</v>
      </c>
      <c r="E240" s="134">
        <v>1.6</v>
      </c>
      <c r="F240" s="134"/>
      <c r="G240" s="134">
        <v>2.25</v>
      </c>
      <c r="H240" s="134"/>
      <c r="I240" s="134"/>
      <c r="J240" s="135"/>
      <c r="K240" s="135">
        <f t="shared" ref="K240" si="27">E240*G240</f>
        <v>3.6</v>
      </c>
      <c r="L240" s="134">
        <f t="shared" ref="L240" si="28">ROUND(D240*K240,2)</f>
        <v>3.6</v>
      </c>
      <c r="M240" s="136"/>
    </row>
    <row r="241" spans="1:13" s="131" customFormat="1" ht="12.75">
      <c r="A241" s="263"/>
      <c r="B241" s="275" t="s">
        <v>558</v>
      </c>
      <c r="C241" s="276"/>
      <c r="D241" s="134">
        <v>1</v>
      </c>
      <c r="E241" s="134">
        <v>2</v>
      </c>
      <c r="F241" s="134"/>
      <c r="G241" s="134">
        <v>2.5499999999999998</v>
      </c>
      <c r="H241" s="134"/>
      <c r="I241" s="134"/>
      <c r="J241" s="135"/>
      <c r="K241" s="135">
        <f t="shared" ref="K241" si="29">E241*G241</f>
        <v>5.0999999999999996</v>
      </c>
      <c r="L241" s="134">
        <f t="shared" ref="L241" si="30">ROUND(D241*K241,2)</f>
        <v>5.0999999999999996</v>
      </c>
      <c r="M241" s="136"/>
    </row>
    <row r="242" spans="1:13" s="131" customFormat="1" ht="13.15" customHeight="1">
      <c r="A242" s="269"/>
      <c r="B242" s="286"/>
      <c r="C242" s="287"/>
      <c r="D242" s="134">
        <v>1</v>
      </c>
      <c r="E242" s="134">
        <v>5.4</v>
      </c>
      <c r="F242" s="134"/>
      <c r="G242" s="134">
        <v>1.95</v>
      </c>
      <c r="H242" s="134"/>
      <c r="I242" s="134"/>
      <c r="J242" s="135"/>
      <c r="K242" s="135">
        <f t="shared" ref="K242" si="31">E242*G242</f>
        <v>10.530000000000001</v>
      </c>
      <c r="L242" s="134">
        <f t="shared" ref="L242" si="32">ROUND(D242*K242,2)</f>
        <v>10.53</v>
      </c>
      <c r="M242" s="136"/>
    </row>
    <row r="243" spans="1:13" s="131" customFormat="1" ht="14.45" customHeight="1">
      <c r="A243" s="269"/>
      <c r="B243" s="286"/>
      <c r="C243" s="287"/>
      <c r="D243" s="134">
        <v>1</v>
      </c>
      <c r="E243" s="134">
        <v>5.48</v>
      </c>
      <c r="F243" s="134"/>
      <c r="G243" s="134">
        <v>8.4499999999999993</v>
      </c>
      <c r="H243" s="134"/>
      <c r="I243" s="134"/>
      <c r="J243" s="135"/>
      <c r="K243" s="135">
        <f t="shared" ref="K243:K249" si="33">E243*G243</f>
        <v>46.305999999999997</v>
      </c>
      <c r="L243" s="134">
        <f t="shared" ref="L243:L249" si="34">ROUND(D243*K243,2)</f>
        <v>46.31</v>
      </c>
      <c r="M243" s="136"/>
    </row>
    <row r="244" spans="1:13" s="131" customFormat="1" ht="14.45" customHeight="1">
      <c r="A244" s="269"/>
      <c r="B244" s="286"/>
      <c r="C244" s="287"/>
      <c r="D244" s="134">
        <v>1</v>
      </c>
      <c r="E244" s="134">
        <v>6.48</v>
      </c>
      <c r="F244" s="134"/>
      <c r="G244" s="134">
        <v>1.27</v>
      </c>
      <c r="H244" s="134"/>
      <c r="I244" s="134"/>
      <c r="J244" s="135"/>
      <c r="K244" s="135">
        <f t="shared" si="33"/>
        <v>8.2296000000000014</v>
      </c>
      <c r="L244" s="134">
        <f t="shared" si="34"/>
        <v>8.23</v>
      </c>
      <c r="M244" s="136"/>
    </row>
    <row r="245" spans="1:13" s="131" customFormat="1" ht="14.45" customHeight="1">
      <c r="A245" s="264"/>
      <c r="B245" s="277"/>
      <c r="C245" s="278"/>
      <c r="D245" s="134">
        <v>2</v>
      </c>
      <c r="E245" s="134">
        <v>1.35</v>
      </c>
      <c r="F245" s="134"/>
      <c r="G245" s="134">
        <v>0.93</v>
      </c>
      <c r="H245" s="134"/>
      <c r="I245" s="134"/>
      <c r="J245" s="135"/>
      <c r="K245" s="135">
        <f t="shared" si="33"/>
        <v>1.2555000000000001</v>
      </c>
      <c r="L245" s="134">
        <f t="shared" si="34"/>
        <v>2.5099999999999998</v>
      </c>
      <c r="M245" s="136"/>
    </row>
    <row r="246" spans="1:13" s="131" customFormat="1" ht="12.75">
      <c r="A246" s="132"/>
      <c r="B246" s="209" t="s">
        <v>508</v>
      </c>
      <c r="C246" s="210"/>
      <c r="D246" s="134">
        <v>1</v>
      </c>
      <c r="E246" s="134">
        <v>5.18</v>
      </c>
      <c r="F246" s="134"/>
      <c r="G246" s="134">
        <v>4.03</v>
      </c>
      <c r="H246" s="134"/>
      <c r="I246" s="134"/>
      <c r="J246" s="135"/>
      <c r="K246" s="135">
        <f t="shared" si="33"/>
        <v>20.875399999999999</v>
      </c>
      <c r="L246" s="134">
        <f t="shared" si="34"/>
        <v>20.88</v>
      </c>
      <c r="M246" s="136"/>
    </row>
    <row r="247" spans="1:13" s="131" customFormat="1" ht="12.75">
      <c r="A247" s="132"/>
      <c r="B247" s="209" t="s">
        <v>509</v>
      </c>
      <c r="C247" s="210"/>
      <c r="D247" s="134">
        <v>1</v>
      </c>
      <c r="E247" s="134">
        <v>1.8</v>
      </c>
      <c r="F247" s="134"/>
      <c r="G247" s="134">
        <v>1.8</v>
      </c>
      <c r="H247" s="134"/>
      <c r="I247" s="134"/>
      <c r="J247" s="135"/>
      <c r="K247" s="135">
        <f t="shared" si="33"/>
        <v>3.24</v>
      </c>
      <c r="L247" s="134">
        <f t="shared" si="34"/>
        <v>3.24</v>
      </c>
      <c r="M247" s="136"/>
    </row>
    <row r="248" spans="1:13" s="131" customFormat="1" ht="12.75">
      <c r="A248" s="132"/>
      <c r="B248" s="209" t="s">
        <v>510</v>
      </c>
      <c r="C248" s="210"/>
      <c r="D248" s="134">
        <v>1</v>
      </c>
      <c r="E248" s="134">
        <v>3.15</v>
      </c>
      <c r="F248" s="134"/>
      <c r="G248" s="134">
        <v>2.08</v>
      </c>
      <c r="H248" s="134"/>
      <c r="I248" s="134"/>
      <c r="J248" s="135"/>
      <c r="K248" s="135">
        <f t="shared" si="33"/>
        <v>6.5519999999999996</v>
      </c>
      <c r="L248" s="134">
        <f t="shared" si="34"/>
        <v>6.55</v>
      </c>
      <c r="M248" s="136"/>
    </row>
    <row r="249" spans="1:13" s="131" customFormat="1" ht="12.75">
      <c r="A249" s="132"/>
      <c r="B249" s="209" t="s">
        <v>511</v>
      </c>
      <c r="C249" s="210"/>
      <c r="D249" s="134">
        <v>1</v>
      </c>
      <c r="E249" s="134">
        <v>1.2</v>
      </c>
      <c r="F249" s="134"/>
      <c r="G249" s="134">
        <v>1.8</v>
      </c>
      <c r="H249" s="134"/>
      <c r="I249" s="134"/>
      <c r="J249" s="135"/>
      <c r="K249" s="135">
        <f t="shared" si="33"/>
        <v>2.16</v>
      </c>
      <c r="L249" s="134">
        <f t="shared" si="34"/>
        <v>2.16</v>
      </c>
      <c r="M249" s="136"/>
    </row>
    <row r="250" spans="1:13" s="131" customFormat="1" ht="12.75">
      <c r="A250" s="139"/>
      <c r="B250" s="140"/>
      <c r="C250" s="141"/>
      <c r="D250" s="142"/>
      <c r="E250" s="143"/>
      <c r="F250" s="142"/>
      <c r="G250" s="142"/>
      <c r="H250" s="143"/>
      <c r="I250" s="143"/>
      <c r="J250" s="144"/>
      <c r="K250" s="144"/>
      <c r="L250" s="142"/>
      <c r="M250" s="145"/>
    </row>
    <row r="251" spans="1:13" ht="12.75">
      <c r="A251" s="184" t="str">
        <f>'BM02'!A114</f>
        <v>1.10.2</v>
      </c>
      <c r="B251" s="211" t="str">
        <f>'BM02'!B114</f>
        <v>Regularização de base para revest. de pisos com arg. traço t4, esp. média = 2,5cm</v>
      </c>
      <c r="C251" s="212"/>
      <c r="D251" s="212"/>
      <c r="E251" s="212"/>
      <c r="F251" s="212"/>
      <c r="G251" s="212"/>
      <c r="H251" s="212"/>
      <c r="I251" s="212"/>
      <c r="J251" s="212"/>
      <c r="K251" s="213"/>
      <c r="L251" s="129">
        <f>SUM(L252:L274)</f>
        <v>424.17000000000013</v>
      </c>
      <c r="M251" s="185" t="str">
        <f>'BM02'!C114</f>
        <v>m²</v>
      </c>
    </row>
    <row r="252" spans="1:13" s="131" customFormat="1" ht="12.75">
      <c r="A252" s="132"/>
      <c r="B252" s="209" t="s">
        <v>493</v>
      </c>
      <c r="C252" s="210"/>
      <c r="D252" s="134">
        <v>4</v>
      </c>
      <c r="E252" s="134">
        <v>7.2</v>
      </c>
      <c r="F252" s="134"/>
      <c r="G252" s="134">
        <v>7.2</v>
      </c>
      <c r="H252" s="134"/>
      <c r="I252" s="134"/>
      <c r="J252" s="135"/>
      <c r="K252" s="135">
        <f>E252*G252</f>
        <v>51.84</v>
      </c>
      <c r="L252" s="134">
        <f>ROUND(D252*K252,2)</f>
        <v>207.36</v>
      </c>
      <c r="M252" s="136"/>
    </row>
    <row r="253" spans="1:13" s="131" customFormat="1" ht="12.75">
      <c r="A253" s="132"/>
      <c r="B253" s="209" t="s">
        <v>527</v>
      </c>
      <c r="C253" s="210"/>
      <c r="D253" s="134">
        <v>1</v>
      </c>
      <c r="E253" s="134">
        <v>29.25</v>
      </c>
      <c r="F253" s="134"/>
      <c r="G253" s="134">
        <v>2</v>
      </c>
      <c r="H253" s="134"/>
      <c r="I253" s="134"/>
      <c r="J253" s="135"/>
      <c r="K253" s="135">
        <f>E253*G253</f>
        <v>58.5</v>
      </c>
      <c r="L253" s="134">
        <f t="shared" ref="L253:L274" si="35">ROUND(D253*K253,2)</f>
        <v>58.5</v>
      </c>
      <c r="M253" s="136"/>
    </row>
    <row r="254" spans="1:13" s="131" customFormat="1" ht="12.75">
      <c r="A254" s="132"/>
      <c r="B254" s="209" t="s">
        <v>494</v>
      </c>
      <c r="C254" s="210"/>
      <c r="D254" s="134">
        <v>1</v>
      </c>
      <c r="E254" s="134">
        <v>2.8</v>
      </c>
      <c r="F254" s="134"/>
      <c r="G254" s="134">
        <v>3.5</v>
      </c>
      <c r="H254" s="134"/>
      <c r="I254" s="134"/>
      <c r="J254" s="135"/>
      <c r="K254" s="135">
        <f t="shared" ref="K254:K274" si="36">E254*G254</f>
        <v>9.7999999999999989</v>
      </c>
      <c r="L254" s="134">
        <f t="shared" si="35"/>
        <v>9.8000000000000007</v>
      </c>
      <c r="M254" s="136"/>
    </row>
    <row r="255" spans="1:13" s="131" customFormat="1" ht="12.75">
      <c r="A255" s="132"/>
      <c r="B255" s="209" t="s">
        <v>495</v>
      </c>
      <c r="C255" s="210"/>
      <c r="D255" s="134">
        <v>1</v>
      </c>
      <c r="E255" s="134">
        <v>2.2999999999999998</v>
      </c>
      <c r="F255" s="134"/>
      <c r="G255" s="134">
        <v>3.5</v>
      </c>
      <c r="H255" s="134"/>
      <c r="I255" s="134"/>
      <c r="J255" s="135"/>
      <c r="K255" s="135">
        <f t="shared" si="36"/>
        <v>8.0499999999999989</v>
      </c>
      <c r="L255" s="134">
        <f t="shared" si="35"/>
        <v>8.0500000000000007</v>
      </c>
      <c r="M255" s="136"/>
    </row>
    <row r="256" spans="1:13" s="131" customFormat="1" ht="12.75">
      <c r="A256" s="132"/>
      <c r="B256" s="209" t="s">
        <v>496</v>
      </c>
      <c r="C256" s="210"/>
      <c r="D256" s="134">
        <v>1</v>
      </c>
      <c r="E256" s="134">
        <v>1.8</v>
      </c>
      <c r="F256" s="134"/>
      <c r="G256" s="134">
        <v>2.5499999999999998</v>
      </c>
      <c r="H256" s="134"/>
      <c r="I256" s="134"/>
      <c r="J256" s="135"/>
      <c r="K256" s="135">
        <f t="shared" si="36"/>
        <v>4.59</v>
      </c>
      <c r="L256" s="134">
        <f t="shared" si="35"/>
        <v>4.59</v>
      </c>
      <c r="M256" s="136"/>
    </row>
    <row r="257" spans="1:13" s="131" customFormat="1" ht="12.75">
      <c r="A257" s="132"/>
      <c r="B257" s="209" t="s">
        <v>497</v>
      </c>
      <c r="C257" s="210"/>
      <c r="D257" s="134">
        <v>1</v>
      </c>
      <c r="E257" s="134">
        <v>3.3</v>
      </c>
      <c r="F257" s="134"/>
      <c r="G257" s="134">
        <v>2.5499999999999998</v>
      </c>
      <c r="H257" s="134"/>
      <c r="I257" s="134"/>
      <c r="J257" s="135"/>
      <c r="K257" s="135">
        <f t="shared" si="36"/>
        <v>8.4149999999999991</v>
      </c>
      <c r="L257" s="134">
        <f t="shared" si="35"/>
        <v>8.42</v>
      </c>
      <c r="M257" s="136"/>
    </row>
    <row r="258" spans="1:13" s="131" customFormat="1" ht="12.75">
      <c r="A258" s="132"/>
      <c r="B258" s="209" t="s">
        <v>528</v>
      </c>
      <c r="C258" s="210"/>
      <c r="D258" s="134">
        <v>1</v>
      </c>
      <c r="E258" s="134">
        <v>1.3</v>
      </c>
      <c r="F258" s="134"/>
      <c r="G258" s="134">
        <v>1.2</v>
      </c>
      <c r="H258" s="134"/>
      <c r="I258" s="134"/>
      <c r="J258" s="135"/>
      <c r="K258" s="135">
        <f t="shared" si="36"/>
        <v>1.56</v>
      </c>
      <c r="L258" s="134">
        <f t="shared" si="35"/>
        <v>1.56</v>
      </c>
      <c r="M258" s="136"/>
    </row>
    <row r="259" spans="1:13" s="131" customFormat="1" ht="12.75">
      <c r="A259" s="132"/>
      <c r="B259" s="209" t="s">
        <v>529</v>
      </c>
      <c r="C259" s="210"/>
      <c r="D259" s="134">
        <v>1</v>
      </c>
      <c r="E259" s="134">
        <v>2.31</v>
      </c>
      <c r="F259" s="134"/>
      <c r="G259" s="134">
        <v>1.5</v>
      </c>
      <c r="H259" s="134"/>
      <c r="I259" s="134"/>
      <c r="J259" s="135"/>
      <c r="K259" s="135">
        <f t="shared" si="36"/>
        <v>3.4649999999999999</v>
      </c>
      <c r="L259" s="134">
        <f t="shared" si="35"/>
        <v>3.47</v>
      </c>
      <c r="M259" s="136"/>
    </row>
    <row r="260" spans="1:13" s="131" customFormat="1" ht="12.75">
      <c r="A260" s="132"/>
      <c r="B260" s="209" t="s">
        <v>530</v>
      </c>
      <c r="C260" s="210"/>
      <c r="D260" s="134">
        <v>1</v>
      </c>
      <c r="E260" s="134">
        <v>1.49</v>
      </c>
      <c r="F260" s="134"/>
      <c r="G260" s="134">
        <v>1.2</v>
      </c>
      <c r="H260" s="134"/>
      <c r="I260" s="134"/>
      <c r="J260" s="135"/>
      <c r="K260" s="135">
        <f t="shared" si="36"/>
        <v>1.788</v>
      </c>
      <c r="L260" s="134">
        <f t="shared" si="35"/>
        <v>1.79</v>
      </c>
      <c r="M260" s="136"/>
    </row>
    <row r="261" spans="1:13" s="131" customFormat="1" ht="12.75">
      <c r="A261" s="132"/>
      <c r="B261" s="209" t="s">
        <v>531</v>
      </c>
      <c r="C261" s="210"/>
      <c r="D261" s="134">
        <v>1</v>
      </c>
      <c r="E261" s="134">
        <v>2.58</v>
      </c>
      <c r="F261" s="134"/>
      <c r="G261" s="134">
        <v>1.5</v>
      </c>
      <c r="H261" s="134"/>
      <c r="I261" s="134"/>
      <c r="J261" s="135"/>
      <c r="K261" s="135">
        <f t="shared" si="36"/>
        <v>3.87</v>
      </c>
      <c r="L261" s="134">
        <f t="shared" si="35"/>
        <v>3.87</v>
      </c>
      <c r="M261" s="136"/>
    </row>
    <row r="262" spans="1:13" s="131" customFormat="1" ht="12.75">
      <c r="A262" s="132"/>
      <c r="B262" s="209" t="s">
        <v>512</v>
      </c>
      <c r="C262" s="210"/>
      <c r="D262" s="134">
        <v>1</v>
      </c>
      <c r="E262" s="134">
        <v>1</v>
      </c>
      <c r="F262" s="134"/>
      <c r="G262" s="134">
        <v>2.85</v>
      </c>
      <c r="H262" s="134"/>
      <c r="I262" s="134"/>
      <c r="J262" s="135"/>
      <c r="K262" s="135">
        <f t="shared" si="36"/>
        <v>2.85</v>
      </c>
      <c r="L262" s="134">
        <f t="shared" si="35"/>
        <v>2.85</v>
      </c>
      <c r="M262" s="136"/>
    </row>
    <row r="263" spans="1:13" s="131" customFormat="1" ht="12.75">
      <c r="A263" s="132"/>
      <c r="B263" s="209" t="s">
        <v>500</v>
      </c>
      <c r="C263" s="210"/>
      <c r="D263" s="134">
        <v>1</v>
      </c>
      <c r="E263" s="134">
        <v>2</v>
      </c>
      <c r="F263" s="134"/>
      <c r="G263" s="134">
        <v>1.2</v>
      </c>
      <c r="H263" s="134"/>
      <c r="I263" s="134"/>
      <c r="J263" s="135"/>
      <c r="K263" s="135">
        <f t="shared" si="36"/>
        <v>2.4</v>
      </c>
      <c r="L263" s="134">
        <f t="shared" si="35"/>
        <v>2.4</v>
      </c>
      <c r="M263" s="136"/>
    </row>
    <row r="264" spans="1:13" s="131" customFormat="1" ht="12.75">
      <c r="A264" s="132"/>
      <c r="B264" s="209" t="s">
        <v>501</v>
      </c>
      <c r="C264" s="210"/>
      <c r="D264" s="134">
        <v>1</v>
      </c>
      <c r="E264" s="134">
        <v>2</v>
      </c>
      <c r="F264" s="134"/>
      <c r="G264" s="134">
        <v>1.2</v>
      </c>
      <c r="H264" s="134"/>
      <c r="I264" s="134"/>
      <c r="J264" s="135"/>
      <c r="K264" s="135">
        <f t="shared" si="36"/>
        <v>2.4</v>
      </c>
      <c r="L264" s="134">
        <f t="shared" si="35"/>
        <v>2.4</v>
      </c>
      <c r="M264" s="136"/>
    </row>
    <row r="265" spans="1:13" s="131" customFormat="1" ht="12.75">
      <c r="A265" s="132"/>
      <c r="B265" s="209" t="s">
        <v>477</v>
      </c>
      <c r="C265" s="210"/>
      <c r="D265" s="134">
        <v>1</v>
      </c>
      <c r="E265" s="134">
        <v>1.6</v>
      </c>
      <c r="F265" s="134"/>
      <c r="G265" s="134">
        <v>2.25</v>
      </c>
      <c r="H265" s="134"/>
      <c r="I265" s="134"/>
      <c r="J265" s="135"/>
      <c r="K265" s="135">
        <f t="shared" si="36"/>
        <v>3.6</v>
      </c>
      <c r="L265" s="134">
        <f t="shared" si="35"/>
        <v>3.6</v>
      </c>
      <c r="M265" s="136"/>
    </row>
    <row r="266" spans="1:13" s="131" customFormat="1" ht="12.75">
      <c r="A266" s="263"/>
      <c r="B266" s="275" t="s">
        <v>558</v>
      </c>
      <c r="C266" s="276"/>
      <c r="D266" s="134">
        <v>1</v>
      </c>
      <c r="E266" s="134">
        <v>2</v>
      </c>
      <c r="F266" s="134"/>
      <c r="G266" s="134">
        <v>2.5499999999999998</v>
      </c>
      <c r="H266" s="134"/>
      <c r="I266" s="134"/>
      <c r="J266" s="135"/>
      <c r="K266" s="135">
        <f t="shared" si="36"/>
        <v>5.0999999999999996</v>
      </c>
      <c r="L266" s="134">
        <f t="shared" si="35"/>
        <v>5.0999999999999996</v>
      </c>
      <c r="M266" s="136"/>
    </row>
    <row r="267" spans="1:13" s="131" customFormat="1" ht="12.75">
      <c r="A267" s="269"/>
      <c r="B267" s="286"/>
      <c r="C267" s="287"/>
      <c r="D267" s="134">
        <v>1</v>
      </c>
      <c r="E267" s="134">
        <v>5.4</v>
      </c>
      <c r="F267" s="134"/>
      <c r="G267" s="134">
        <v>1.95</v>
      </c>
      <c r="H267" s="134"/>
      <c r="I267" s="134"/>
      <c r="J267" s="135"/>
      <c r="K267" s="135">
        <f t="shared" si="36"/>
        <v>10.530000000000001</v>
      </c>
      <c r="L267" s="134">
        <f t="shared" si="35"/>
        <v>10.53</v>
      </c>
      <c r="M267" s="136"/>
    </row>
    <row r="268" spans="1:13" s="131" customFormat="1" ht="12.75">
      <c r="A268" s="269"/>
      <c r="B268" s="286"/>
      <c r="C268" s="287"/>
      <c r="D268" s="134">
        <v>1</v>
      </c>
      <c r="E268" s="134">
        <v>5.48</v>
      </c>
      <c r="F268" s="134"/>
      <c r="G268" s="134">
        <v>8.4499999999999993</v>
      </c>
      <c r="H268" s="134"/>
      <c r="I268" s="134"/>
      <c r="J268" s="135"/>
      <c r="K268" s="135">
        <f t="shared" si="36"/>
        <v>46.305999999999997</v>
      </c>
      <c r="L268" s="134">
        <f t="shared" si="35"/>
        <v>46.31</v>
      </c>
      <c r="M268" s="136"/>
    </row>
    <row r="269" spans="1:13" s="131" customFormat="1" ht="12.75">
      <c r="A269" s="269"/>
      <c r="B269" s="286"/>
      <c r="C269" s="287"/>
      <c r="D269" s="134">
        <v>1</v>
      </c>
      <c r="E269" s="134">
        <v>6.48</v>
      </c>
      <c r="F269" s="134"/>
      <c r="G269" s="134">
        <v>1.27</v>
      </c>
      <c r="H269" s="134"/>
      <c r="I269" s="134"/>
      <c r="J269" s="135"/>
      <c r="K269" s="135">
        <f t="shared" si="36"/>
        <v>8.2296000000000014</v>
      </c>
      <c r="L269" s="134">
        <f t="shared" si="35"/>
        <v>8.23</v>
      </c>
      <c r="M269" s="136"/>
    </row>
    <row r="270" spans="1:13" s="131" customFormat="1" ht="12.75">
      <c r="A270" s="264"/>
      <c r="B270" s="277"/>
      <c r="C270" s="278"/>
      <c r="D270" s="134">
        <v>2</v>
      </c>
      <c r="E270" s="134">
        <v>1.35</v>
      </c>
      <c r="F270" s="134"/>
      <c r="G270" s="134">
        <v>0.93</v>
      </c>
      <c r="H270" s="134"/>
      <c r="I270" s="134"/>
      <c r="J270" s="135"/>
      <c r="K270" s="135">
        <f t="shared" si="36"/>
        <v>1.2555000000000001</v>
      </c>
      <c r="L270" s="134">
        <f t="shared" si="35"/>
        <v>2.5099999999999998</v>
      </c>
      <c r="M270" s="136"/>
    </row>
    <row r="271" spans="1:13" s="131" customFormat="1" ht="12.75">
      <c r="A271" s="132"/>
      <c r="B271" s="209" t="s">
        <v>508</v>
      </c>
      <c r="C271" s="210"/>
      <c r="D271" s="134">
        <v>1</v>
      </c>
      <c r="E271" s="134">
        <v>5.18</v>
      </c>
      <c r="F271" s="134"/>
      <c r="G271" s="134">
        <v>4.03</v>
      </c>
      <c r="H271" s="134"/>
      <c r="I271" s="134"/>
      <c r="J271" s="135"/>
      <c r="K271" s="135">
        <f t="shared" si="36"/>
        <v>20.875399999999999</v>
      </c>
      <c r="L271" s="134">
        <f t="shared" si="35"/>
        <v>20.88</v>
      </c>
      <c r="M271" s="136"/>
    </row>
    <row r="272" spans="1:13" s="131" customFormat="1" ht="12.75">
      <c r="A272" s="132"/>
      <c r="B272" s="209" t="s">
        <v>509</v>
      </c>
      <c r="C272" s="210"/>
      <c r="D272" s="134">
        <v>1</v>
      </c>
      <c r="E272" s="134">
        <v>1.8</v>
      </c>
      <c r="F272" s="134"/>
      <c r="G272" s="134">
        <v>1.8</v>
      </c>
      <c r="H272" s="134"/>
      <c r="I272" s="134"/>
      <c r="J272" s="135"/>
      <c r="K272" s="135">
        <f t="shared" si="36"/>
        <v>3.24</v>
      </c>
      <c r="L272" s="134">
        <f t="shared" si="35"/>
        <v>3.24</v>
      </c>
      <c r="M272" s="136"/>
    </row>
    <row r="273" spans="1:13" s="131" customFormat="1" ht="12.75">
      <c r="A273" s="132"/>
      <c r="B273" s="209" t="s">
        <v>510</v>
      </c>
      <c r="C273" s="210"/>
      <c r="D273" s="134">
        <v>1</v>
      </c>
      <c r="E273" s="134">
        <v>3.15</v>
      </c>
      <c r="F273" s="134"/>
      <c r="G273" s="134">
        <v>2.08</v>
      </c>
      <c r="H273" s="134"/>
      <c r="I273" s="134"/>
      <c r="J273" s="135"/>
      <c r="K273" s="135">
        <f t="shared" si="36"/>
        <v>6.5519999999999996</v>
      </c>
      <c r="L273" s="134">
        <f t="shared" si="35"/>
        <v>6.55</v>
      </c>
      <c r="M273" s="136"/>
    </row>
    <row r="274" spans="1:13" s="131" customFormat="1" ht="12.75">
      <c r="A274" s="132"/>
      <c r="B274" s="209" t="s">
        <v>511</v>
      </c>
      <c r="C274" s="210"/>
      <c r="D274" s="134">
        <v>1</v>
      </c>
      <c r="E274" s="134">
        <v>1.2</v>
      </c>
      <c r="F274" s="134"/>
      <c r="G274" s="134">
        <v>1.8</v>
      </c>
      <c r="H274" s="134"/>
      <c r="I274" s="134"/>
      <c r="J274" s="135"/>
      <c r="K274" s="135">
        <f t="shared" si="36"/>
        <v>2.16</v>
      </c>
      <c r="L274" s="134">
        <f t="shared" si="35"/>
        <v>2.16</v>
      </c>
      <c r="M274" s="136"/>
    </row>
    <row r="275" spans="1:13" s="131" customFormat="1" ht="12.75">
      <c r="A275" s="139"/>
      <c r="B275" s="140"/>
      <c r="C275" s="141"/>
      <c r="D275" s="142"/>
      <c r="E275" s="143"/>
      <c r="F275" s="142"/>
      <c r="G275" s="142"/>
      <c r="H275" s="143"/>
      <c r="I275" s="143"/>
      <c r="J275" s="144"/>
      <c r="K275" s="144"/>
      <c r="L275" s="142"/>
      <c r="M275" s="145"/>
    </row>
    <row r="276" spans="1:13" ht="30" customHeight="1">
      <c r="A276" s="128" t="str">
        <f>'BM02'!A115</f>
        <v>1.10.3</v>
      </c>
      <c r="B276" s="211" t="str">
        <f>'BM02'!B115</f>
        <v>REVESTIMENTO CERÂMICO PARA PISO COM PLACAS TIPO ESMALTADA EXTRA DE DIMENSÕES 45X45 CM APLICADA EM AMBIENTES DE ÁREA MENOR QUE 5 M2. AF_06/2014</v>
      </c>
      <c r="C276" s="212"/>
      <c r="D276" s="212"/>
      <c r="E276" s="212"/>
      <c r="F276" s="212"/>
      <c r="G276" s="212"/>
      <c r="H276" s="212"/>
      <c r="I276" s="212"/>
      <c r="J276" s="212"/>
      <c r="K276" s="213"/>
      <c r="L276" s="129">
        <f>L277</f>
        <v>0</v>
      </c>
      <c r="M276" s="185" t="str">
        <f>'BM02'!C115</f>
        <v>m²</v>
      </c>
    </row>
    <row r="277" spans="1:13" s="131" customFormat="1" ht="13.5" thickBot="1">
      <c r="A277" s="132"/>
      <c r="B277" s="209"/>
      <c r="C277" s="210"/>
      <c r="D277" s="134"/>
      <c r="E277" s="134"/>
      <c r="F277" s="134"/>
      <c r="G277" s="134"/>
      <c r="H277" s="134"/>
      <c r="I277" s="134"/>
      <c r="J277" s="135"/>
      <c r="K277" s="135"/>
      <c r="L277" s="134">
        <f>ROUND(D277*K277,2)</f>
        <v>0</v>
      </c>
      <c r="M277" s="136"/>
    </row>
    <row r="278" spans="1:13" s="131" customFormat="1" ht="12.75">
      <c r="A278" s="139"/>
      <c r="B278" s="140"/>
      <c r="C278" s="141"/>
      <c r="D278" s="142"/>
      <c r="E278" s="143"/>
      <c r="F278" s="142"/>
      <c r="G278" s="142"/>
      <c r="H278" s="143"/>
      <c r="I278" s="143"/>
      <c r="J278" s="144"/>
      <c r="K278" s="144"/>
      <c r="L278" s="142"/>
      <c r="M278" s="145"/>
    </row>
    <row r="279" spans="1:13" ht="13.5" thickBot="1">
      <c r="A279" s="184" t="str">
        <f>'BM02'!A116</f>
        <v>1.10.4</v>
      </c>
      <c r="B279" s="211" t="str">
        <f>'BM02'!B116</f>
        <v>PISO EM GRANILITE, MARMORITE OU GRANITINA EM AMBIENTES INTERNOS. AF_09/2020</v>
      </c>
      <c r="C279" s="212"/>
      <c r="D279" s="212"/>
      <c r="E279" s="212"/>
      <c r="F279" s="212"/>
      <c r="G279" s="212"/>
      <c r="H279" s="212"/>
      <c r="I279" s="212"/>
      <c r="J279" s="212"/>
      <c r="K279" s="213"/>
      <c r="L279" s="129">
        <f>L280</f>
        <v>0</v>
      </c>
      <c r="M279" s="185" t="str">
        <f>'BM02'!C116</f>
        <v>m²</v>
      </c>
    </row>
    <row r="280" spans="1:13" s="131" customFormat="1" ht="13.5" thickBot="1">
      <c r="A280" s="132"/>
      <c r="B280" s="209"/>
      <c r="C280" s="210"/>
      <c r="D280" s="134"/>
      <c r="E280" s="134"/>
      <c r="F280" s="134"/>
      <c r="G280" s="134"/>
      <c r="H280" s="134"/>
      <c r="I280" s="134"/>
      <c r="J280" s="135"/>
      <c r="K280" s="135"/>
      <c r="L280" s="134">
        <f>ROUND(D280*K280,2)</f>
        <v>0</v>
      </c>
      <c r="M280" s="136"/>
    </row>
    <row r="281" spans="1:13" s="131" customFormat="1" ht="12.75">
      <c r="A281" s="139"/>
      <c r="B281" s="140"/>
      <c r="C281" s="141"/>
      <c r="D281" s="142"/>
      <c r="E281" s="143"/>
      <c r="F281" s="142"/>
      <c r="G281" s="142"/>
      <c r="H281" s="143"/>
      <c r="I281" s="143"/>
      <c r="J281" s="144"/>
      <c r="K281" s="144"/>
      <c r="L281" s="142"/>
      <c r="M281" s="145"/>
    </row>
    <row r="282" spans="1:13" ht="30" customHeight="1">
      <c r="A282" s="128" t="str">
        <f>'BM02'!A117</f>
        <v>1.10.5</v>
      </c>
      <c r="B282" s="211" t="str">
        <f>'BM02'!B117</f>
        <v>EXECUÇÃO DE PASSEIO (CALÇADA) OU PISO DE CONCRETO COM CONCRETO MOLDADO IN LOCO, FEITO EM OBRA, ACABAMENTO CONVENCIONAL, ESPESSURA 6 CM, ARMADO. AF_07/2016</v>
      </c>
      <c r="C282" s="212"/>
      <c r="D282" s="212"/>
      <c r="E282" s="212"/>
      <c r="F282" s="212"/>
      <c r="G282" s="212"/>
      <c r="H282" s="212"/>
      <c r="I282" s="212"/>
      <c r="J282" s="212"/>
      <c r="K282" s="213"/>
      <c r="L282" s="129">
        <f>L283</f>
        <v>99.37</v>
      </c>
      <c r="M282" s="185" t="str">
        <f>'BM02'!C117</f>
        <v>m²</v>
      </c>
    </row>
    <row r="283" spans="1:13" s="131" customFormat="1" ht="28.9" customHeight="1">
      <c r="A283" s="132"/>
      <c r="B283" s="209" t="s">
        <v>559</v>
      </c>
      <c r="C283" s="210"/>
      <c r="D283" s="134">
        <v>1</v>
      </c>
      <c r="E283" s="134">
        <v>29.7</v>
      </c>
      <c r="F283" s="134"/>
      <c r="G283" s="134">
        <v>3.3456999999999999</v>
      </c>
      <c r="H283" s="134"/>
      <c r="I283" s="134"/>
      <c r="J283" s="135"/>
      <c r="K283" s="135">
        <f t="shared" ref="K283" si="37">E283*G283</f>
        <v>99.367289999999997</v>
      </c>
      <c r="L283" s="134">
        <f t="shared" ref="L283" si="38">ROUND(D283*K283,2)</f>
        <v>99.37</v>
      </c>
      <c r="M283" s="136"/>
    </row>
    <row r="284" spans="1:13" s="131" customFormat="1" ht="12.75">
      <c r="A284" s="139"/>
      <c r="B284" s="140"/>
      <c r="C284" s="141"/>
      <c r="D284" s="142"/>
      <c r="E284" s="143"/>
      <c r="F284" s="142"/>
      <c r="G284" s="142"/>
      <c r="H284" s="143"/>
      <c r="I284" s="143"/>
      <c r="J284" s="144"/>
      <c r="K284" s="144"/>
      <c r="L284" s="142"/>
      <c r="M284" s="145"/>
    </row>
    <row r="285" spans="1:13" ht="30" customHeight="1">
      <c r="A285" s="128" t="str">
        <f>'BM02'!A118</f>
        <v>1.10.6</v>
      </c>
      <c r="B285" s="211" t="str">
        <f>'BM02'!B118</f>
        <v>EXECUÇÃO DE PASSEIO (CALÇADA) OU PISO DE CONCRETO COM CONCRETO MOLDADO IN LOCO, FEITO EM OBRA, ACABAMENTO CONVENCIONAL, ESPESSURA 6 CM, ARMADO. AF_07/2016</v>
      </c>
      <c r="C285" s="212"/>
      <c r="D285" s="212"/>
      <c r="E285" s="212"/>
      <c r="F285" s="212"/>
      <c r="G285" s="212"/>
      <c r="H285" s="212"/>
      <c r="I285" s="212"/>
      <c r="J285" s="212"/>
      <c r="K285" s="213"/>
      <c r="L285" s="129">
        <f>L286</f>
        <v>0</v>
      </c>
      <c r="M285" s="185" t="str">
        <f>'BM02'!C118</f>
        <v>m²</v>
      </c>
    </row>
    <row r="286" spans="1:13" s="131" customFormat="1" ht="12.75">
      <c r="A286" s="132"/>
      <c r="B286" s="209"/>
      <c r="C286" s="210"/>
      <c r="D286" s="134"/>
      <c r="E286" s="134"/>
      <c r="F286" s="134"/>
      <c r="G286" s="134"/>
      <c r="H286" s="134"/>
      <c r="I286" s="134"/>
      <c r="J286" s="135"/>
      <c r="K286" s="135"/>
      <c r="L286" s="134">
        <f>ROUND(D286*K286,2)</f>
        <v>0</v>
      </c>
      <c r="M286" s="136"/>
    </row>
    <row r="287" spans="1:13" s="131" customFormat="1" ht="12.75">
      <c r="A287" s="139"/>
      <c r="B287" s="140"/>
      <c r="C287" s="141"/>
      <c r="D287" s="142"/>
      <c r="E287" s="143"/>
      <c r="F287" s="142"/>
      <c r="G287" s="142"/>
      <c r="H287" s="143"/>
      <c r="I287" s="143"/>
      <c r="J287" s="144"/>
      <c r="K287" s="144"/>
      <c r="L287" s="142"/>
      <c r="M287" s="145"/>
    </row>
    <row r="288" spans="1:13" ht="30" customHeight="1">
      <c r="A288" s="128" t="str">
        <f>'BM02'!A119</f>
        <v>1.10.7</v>
      </c>
      <c r="B288" s="211" t="str">
        <f>'BM02'!B119</f>
        <v>EXECUÇÃO DE PASSEIO EM PISO INTERTRAVADO, COM BLOCO RETANGULAR COR NATURAL DE 20 X 10 CM, ESPESSURA 6 CM. AF_12/2015</v>
      </c>
      <c r="C288" s="212"/>
      <c r="D288" s="212"/>
      <c r="E288" s="212"/>
      <c r="F288" s="212"/>
      <c r="G288" s="212"/>
      <c r="H288" s="212"/>
      <c r="I288" s="212"/>
      <c r="J288" s="212"/>
      <c r="K288" s="213"/>
      <c r="L288" s="129">
        <f>L289</f>
        <v>0</v>
      </c>
      <c r="M288" s="185" t="str">
        <f>'BM02'!C119</f>
        <v>m²</v>
      </c>
    </row>
    <row r="289" spans="1:13" s="131" customFormat="1" ht="12.75">
      <c r="A289" s="132"/>
      <c r="B289" s="209"/>
      <c r="C289" s="210"/>
      <c r="D289" s="134"/>
      <c r="E289" s="134"/>
      <c r="F289" s="134"/>
      <c r="G289" s="134"/>
      <c r="H289" s="134"/>
      <c r="I289" s="134"/>
      <c r="J289" s="135"/>
      <c r="K289" s="135"/>
      <c r="L289" s="134">
        <f>ROUND(D289*K289,2)</f>
        <v>0</v>
      </c>
      <c r="M289" s="136"/>
    </row>
    <row r="290" spans="1:13" s="131" customFormat="1" ht="12.75">
      <c r="A290" s="139"/>
      <c r="B290" s="140"/>
      <c r="C290" s="141"/>
      <c r="D290" s="142"/>
      <c r="E290" s="143"/>
      <c r="F290" s="142"/>
      <c r="G290" s="142"/>
      <c r="H290" s="143"/>
      <c r="I290" s="143"/>
      <c r="J290" s="144"/>
      <c r="K290" s="144"/>
      <c r="L290" s="142"/>
      <c r="M290" s="145"/>
    </row>
    <row r="291" spans="1:13" ht="43.15" customHeight="1">
      <c r="A291" s="128" t="str">
        <f>'BM02'!A120</f>
        <v>1.10.8</v>
      </c>
      <c r="B291" s="211" t="str">
        <f>'BM02'!B120</f>
        <v>RAMPA DE CALÇADA DE PASSEIO EM CONCRETO PARA ACESSIBILIDADE DE PORTADORES DE NECESSIDADES ESPECIAIS (PNE) EXECUTADA CONCRETO ESTRUTURAL INCLUSIVE SINALIZAÇÃO TATIL DE ALERTA (25X25CM) E SINALIZAÇÃO UNIVERSAL EM TINTA ACRILICA-ESTIRENADA (0,80 X 1,60)M</v>
      </c>
      <c r="C291" s="212"/>
      <c r="D291" s="212"/>
      <c r="E291" s="212"/>
      <c r="F291" s="212"/>
      <c r="G291" s="212"/>
      <c r="H291" s="212"/>
      <c r="I291" s="212"/>
      <c r="J291" s="212"/>
      <c r="K291" s="213"/>
      <c r="L291" s="129">
        <f>L292</f>
        <v>0</v>
      </c>
      <c r="M291" s="185" t="str">
        <f>'BM02'!C120</f>
        <v>un</v>
      </c>
    </row>
    <row r="292" spans="1:13" s="131" customFormat="1" ht="12.75">
      <c r="A292" s="132"/>
      <c r="B292" s="209"/>
      <c r="C292" s="210"/>
      <c r="D292" s="134"/>
      <c r="E292" s="134"/>
      <c r="F292" s="134"/>
      <c r="G292" s="134"/>
      <c r="H292" s="134"/>
      <c r="I292" s="134"/>
      <c r="J292" s="135"/>
      <c r="K292" s="135"/>
      <c r="L292" s="134">
        <f>ROUND(D292*K292,2)</f>
        <v>0</v>
      </c>
      <c r="M292" s="136"/>
    </row>
    <row r="293" spans="1:13" s="131" customFormat="1" ht="13.5" thickBot="1">
      <c r="A293" s="139"/>
      <c r="B293" s="140"/>
      <c r="C293" s="141"/>
      <c r="D293" s="142"/>
      <c r="E293" s="143"/>
      <c r="F293" s="142"/>
      <c r="G293" s="142"/>
      <c r="H293" s="143"/>
      <c r="I293" s="143"/>
      <c r="J293" s="144"/>
      <c r="K293" s="144"/>
      <c r="L293" s="142"/>
      <c r="M293" s="145"/>
    </row>
    <row r="294" spans="1:13" ht="13.5" thickBot="1">
      <c r="A294" s="121" t="str">
        <f>'BM02'!A122</f>
        <v>1.11</v>
      </c>
      <c r="B294" s="122" t="str">
        <f>'BM02'!B122</f>
        <v>INSTALAÇÕES HIDRAULICAS - LOUÇAS E METAIS</v>
      </c>
      <c r="C294" s="122"/>
      <c r="D294" s="122"/>
      <c r="E294" s="122"/>
      <c r="F294" s="122"/>
      <c r="G294" s="122"/>
      <c r="H294" s="122"/>
      <c r="I294" s="122"/>
      <c r="J294" s="122"/>
      <c r="K294" s="122"/>
      <c r="L294" s="122"/>
      <c r="M294" s="123"/>
    </row>
    <row r="295" spans="1:13" ht="12.75">
      <c r="A295" s="124"/>
      <c r="B295" s="125"/>
      <c r="C295" s="125"/>
      <c r="D295" s="125"/>
      <c r="E295" s="125"/>
      <c r="F295" s="125"/>
      <c r="G295" s="125"/>
      <c r="H295" s="125"/>
      <c r="I295" s="125"/>
      <c r="J295" s="125"/>
      <c r="K295" s="126"/>
      <c r="L295" s="125"/>
      <c r="M295" s="127"/>
    </row>
    <row r="296" spans="1:13" ht="43.15" customHeight="1">
      <c r="A296" s="128" t="str">
        <f>'BM02'!A124</f>
        <v>1.11.1</v>
      </c>
      <c r="B296" s="211" t="str">
        <f>'BM02'!B124</f>
        <v>RAMPA DE CALÇADA DE PASSEIO EM CONCRETO PARA ACESSIBILIDADE DE PORTADORES DE NECESSIDADES ESPECIAIS (PNE) EXECUTADA CONCRETO ESTRUTURAL INCLUSIVE SINALIZAÇÃO TATIL DE ALERTA (25X25CM) E SINALIZAÇÃO UNIVERSAL EM TINTA ACRILICA-ESTIRENADA (0,80 X 1,60)M</v>
      </c>
      <c r="C296" s="212"/>
      <c r="D296" s="212"/>
      <c r="E296" s="212"/>
      <c r="F296" s="212"/>
      <c r="G296" s="212"/>
      <c r="H296" s="212"/>
      <c r="I296" s="212"/>
      <c r="J296" s="212"/>
      <c r="K296" s="213"/>
      <c r="L296" s="129">
        <f>L297</f>
        <v>0</v>
      </c>
      <c r="M296" s="130" t="str">
        <f>'BM02'!C124</f>
        <v>un</v>
      </c>
    </row>
    <row r="297" spans="1:13" s="131" customFormat="1" ht="12.75">
      <c r="A297" s="132"/>
      <c r="B297" s="209"/>
      <c r="C297" s="210"/>
      <c r="D297" s="134"/>
      <c r="E297" s="134"/>
      <c r="F297" s="134"/>
      <c r="G297" s="134"/>
      <c r="H297" s="134"/>
      <c r="I297" s="134"/>
      <c r="J297" s="135"/>
      <c r="K297" s="135"/>
      <c r="L297" s="134">
        <f>ROUND(D297*K297,2)</f>
        <v>0</v>
      </c>
      <c r="M297" s="136"/>
    </row>
    <row r="298" spans="1:13" s="131" customFormat="1" ht="12.75">
      <c r="A298" s="139"/>
      <c r="B298" s="140"/>
      <c r="C298" s="141"/>
      <c r="D298" s="142"/>
      <c r="E298" s="143"/>
      <c r="F298" s="142"/>
      <c r="G298" s="142"/>
      <c r="H298" s="143"/>
      <c r="I298" s="143"/>
      <c r="J298" s="144"/>
      <c r="K298" s="144"/>
      <c r="L298" s="142"/>
      <c r="M298" s="145"/>
    </row>
    <row r="299" spans="1:13" ht="30" customHeight="1">
      <c r="A299" s="128" t="str">
        <f>'BM02'!A125</f>
        <v>1.11.2</v>
      </c>
      <c r="B299" s="211" t="str">
        <f>'BM02'!B125</f>
        <v>VASO SANITARIO SIFONADO CONVENCIONAL PARA PCD SEM FURO FRONTAL COM LOUÇA BRANCA SEM ASSENTO, INCLUSO CONJUNTO DE LIGAÇÃO PARA BACIA SANITÁRIA AJUSTÁVEL - FORNECIMENTO E INSTALAÇÃO. AF_01/2020</v>
      </c>
      <c r="C299" s="212"/>
      <c r="D299" s="212"/>
      <c r="E299" s="212"/>
      <c r="F299" s="212"/>
      <c r="G299" s="212"/>
      <c r="H299" s="212"/>
      <c r="I299" s="212"/>
      <c r="J299" s="212"/>
      <c r="K299" s="213"/>
      <c r="L299" s="129">
        <f>L300</f>
        <v>0</v>
      </c>
      <c r="M299" s="130" t="str">
        <f>'BM02'!C125</f>
        <v>un</v>
      </c>
    </row>
    <row r="300" spans="1:13" s="131" customFormat="1" ht="12.75">
      <c r="A300" s="132"/>
      <c r="B300" s="209"/>
      <c r="C300" s="210"/>
      <c r="D300" s="134"/>
      <c r="E300" s="134"/>
      <c r="F300" s="134"/>
      <c r="G300" s="134"/>
      <c r="H300" s="134"/>
      <c r="I300" s="134"/>
      <c r="J300" s="135"/>
      <c r="K300" s="135"/>
      <c r="L300" s="134">
        <f>ROUND(D300*K300,2)</f>
        <v>0</v>
      </c>
      <c r="M300" s="136"/>
    </row>
    <row r="301" spans="1:13" s="131" customFormat="1" ht="12.75">
      <c r="A301" s="139"/>
      <c r="B301" s="140"/>
      <c r="C301" s="141"/>
      <c r="D301" s="142"/>
      <c r="E301" s="143"/>
      <c r="F301" s="142"/>
      <c r="G301" s="142"/>
      <c r="H301" s="143"/>
      <c r="I301" s="143"/>
      <c r="J301" s="144"/>
      <c r="K301" s="144"/>
      <c r="L301" s="142"/>
      <c r="M301" s="145"/>
    </row>
    <row r="302" spans="1:13" ht="30" customHeight="1">
      <c r="A302" s="128" t="str">
        <f>'BM02'!A126</f>
        <v>1.11.3</v>
      </c>
      <c r="B302" s="211" t="str">
        <f>'BM02'!B126</f>
        <v>Lavatório louça de canto (Deca-Izy, ref L-10117 ou similar) sem coluna, c/ sifão cromado, válvula cromada, engate cromado, exclusive torneira</v>
      </c>
      <c r="C302" s="212"/>
      <c r="D302" s="212"/>
      <c r="E302" s="212"/>
      <c r="F302" s="212"/>
      <c r="G302" s="212"/>
      <c r="H302" s="212"/>
      <c r="I302" s="212"/>
      <c r="J302" s="212"/>
      <c r="K302" s="213"/>
      <c r="L302" s="129">
        <f>L303</f>
        <v>0</v>
      </c>
      <c r="M302" s="130" t="str">
        <f>'BM02'!C126</f>
        <v>un</v>
      </c>
    </row>
    <row r="303" spans="1:13" s="131" customFormat="1" ht="12.75">
      <c r="A303" s="132"/>
      <c r="B303" s="209"/>
      <c r="C303" s="210"/>
      <c r="D303" s="134"/>
      <c r="E303" s="134"/>
      <c r="F303" s="134"/>
      <c r="G303" s="134"/>
      <c r="H303" s="134"/>
      <c r="I303" s="134"/>
      <c r="J303" s="135"/>
      <c r="K303" s="135"/>
      <c r="L303" s="134">
        <f>ROUND(D303*K303,2)</f>
        <v>0</v>
      </c>
      <c r="M303" s="136"/>
    </row>
    <row r="304" spans="1:13" s="131" customFormat="1" ht="12.75">
      <c r="A304" s="139"/>
      <c r="B304" s="140"/>
      <c r="C304" s="141"/>
      <c r="D304" s="142"/>
      <c r="E304" s="143"/>
      <c r="F304" s="142"/>
      <c r="G304" s="142"/>
      <c r="H304" s="143"/>
      <c r="I304" s="143"/>
      <c r="J304" s="144"/>
      <c r="K304" s="144"/>
      <c r="L304" s="142"/>
      <c r="M304" s="145"/>
    </row>
    <row r="305" spans="1:13" ht="30" customHeight="1">
      <c r="A305" s="128" t="str">
        <f>'BM02'!A127</f>
        <v>1.11.4</v>
      </c>
      <c r="B305" s="211" t="str">
        <f>'BM02'!B127</f>
        <v>Lavatório louça (Deca-Ravena ref L-915) sem coluna, c/válvula, sifão, engate e torneira (herc ref 1994) todos de plástico, conj. de fixação (deca ref sp7) ou similares</v>
      </c>
      <c r="C305" s="212"/>
      <c r="D305" s="212"/>
      <c r="E305" s="212"/>
      <c r="F305" s="212"/>
      <c r="G305" s="212"/>
      <c r="H305" s="212"/>
      <c r="I305" s="212"/>
      <c r="J305" s="212"/>
      <c r="K305" s="213"/>
      <c r="L305" s="129">
        <f>L306</f>
        <v>0</v>
      </c>
      <c r="M305" s="130" t="str">
        <f>'BM02'!C127</f>
        <v>un</v>
      </c>
    </row>
    <row r="306" spans="1:13" s="131" customFormat="1" ht="12.75">
      <c r="A306" s="132"/>
      <c r="B306" s="209"/>
      <c r="C306" s="210"/>
      <c r="D306" s="134"/>
      <c r="E306" s="134"/>
      <c r="F306" s="134"/>
      <c r="G306" s="134"/>
      <c r="H306" s="134"/>
      <c r="I306" s="134"/>
      <c r="J306" s="135"/>
      <c r="K306" s="135"/>
      <c r="L306" s="134">
        <f>ROUND(D306*K306,2)</f>
        <v>0</v>
      </c>
      <c r="M306" s="136"/>
    </row>
    <row r="307" spans="1:13" s="131" customFormat="1" ht="12.75">
      <c r="A307" s="139"/>
      <c r="B307" s="140"/>
      <c r="C307" s="141"/>
      <c r="D307" s="142"/>
      <c r="E307" s="143"/>
      <c r="F307" s="142"/>
      <c r="G307" s="142"/>
      <c r="H307" s="143"/>
      <c r="I307" s="143"/>
      <c r="J307" s="144"/>
      <c r="K307" s="144"/>
      <c r="L307" s="142"/>
      <c r="M307" s="145"/>
    </row>
    <row r="308" spans="1:13" ht="43.15" customHeight="1">
      <c r="A308" s="128" t="str">
        <f>'BM02'!A128</f>
        <v>1.11.5</v>
      </c>
      <c r="B308" s="211" t="str">
        <f>'BM02'!B128</f>
        <v>REGISTRO DE GAVETA BRUTO, LATÃO, ROSCÁVEL, 1 1/2, COM ACABAMENTO E CANOPLA CROMADOS, INSTALADO EM RESERVAÇÃO DE ÁGUA DE EDIFICAÇÃO QUE POSSUA RESERVATÓRIO DE FIBRA/FIBROCIMENTO FORNECIMENTO E INSTALAÇÃO. AF_06/2016</v>
      </c>
      <c r="C308" s="212"/>
      <c r="D308" s="212"/>
      <c r="E308" s="212"/>
      <c r="F308" s="212"/>
      <c r="G308" s="212"/>
      <c r="H308" s="212"/>
      <c r="I308" s="212"/>
      <c r="J308" s="212"/>
      <c r="K308" s="213"/>
      <c r="L308" s="129">
        <f>L309</f>
        <v>0</v>
      </c>
      <c r="M308" s="130" t="str">
        <f>'BM02'!C128</f>
        <v>un</v>
      </c>
    </row>
    <row r="309" spans="1:13" s="131" customFormat="1" ht="12.75">
      <c r="A309" s="132"/>
      <c r="B309" s="209"/>
      <c r="C309" s="210"/>
      <c r="D309" s="134"/>
      <c r="E309" s="134"/>
      <c r="F309" s="134"/>
      <c r="G309" s="134"/>
      <c r="H309" s="134"/>
      <c r="I309" s="134"/>
      <c r="J309" s="135"/>
      <c r="K309" s="135"/>
      <c r="L309" s="134">
        <f>ROUND(D309*K309,2)</f>
        <v>0</v>
      </c>
      <c r="M309" s="136"/>
    </row>
    <row r="310" spans="1:13" s="131" customFormat="1" ht="12.75">
      <c r="A310" s="139"/>
      <c r="B310" s="140"/>
      <c r="C310" s="141"/>
      <c r="D310" s="142"/>
      <c r="E310" s="143"/>
      <c r="F310" s="142"/>
      <c r="G310" s="142"/>
      <c r="H310" s="143"/>
      <c r="I310" s="143"/>
      <c r="J310" s="144"/>
      <c r="K310" s="144"/>
      <c r="L310" s="142"/>
      <c r="M310" s="145"/>
    </row>
    <row r="311" spans="1:13" ht="30" customHeight="1">
      <c r="A311" s="128" t="str">
        <f>'BM02'!A129</f>
        <v>1.11.6</v>
      </c>
      <c r="B311" s="211" t="str">
        <f>'BM02'!B129</f>
        <v>REGISTRO DE PRESSÃO BRUTO, LATÃO, ROSCÁVEL, 3/4", COM ACABAMENTO E CANOPLA CROMADOS. FORNECIDO E INSTALADO EM RAMAL DE ÁGUA. AF_12/2014</v>
      </c>
      <c r="C311" s="212"/>
      <c r="D311" s="212"/>
      <c r="E311" s="212"/>
      <c r="F311" s="212"/>
      <c r="G311" s="212"/>
      <c r="H311" s="212"/>
      <c r="I311" s="212"/>
      <c r="J311" s="212"/>
      <c r="K311" s="213"/>
      <c r="L311" s="129">
        <f>L312</f>
        <v>0</v>
      </c>
      <c r="M311" s="130" t="str">
        <f>'BM02'!C129</f>
        <v>un</v>
      </c>
    </row>
    <row r="312" spans="1:13" s="131" customFormat="1" ht="12.75">
      <c r="A312" s="132"/>
      <c r="B312" s="209"/>
      <c r="C312" s="210"/>
      <c r="D312" s="134"/>
      <c r="E312" s="134"/>
      <c r="F312" s="134"/>
      <c r="G312" s="134"/>
      <c r="H312" s="134"/>
      <c r="I312" s="134"/>
      <c r="J312" s="135"/>
      <c r="K312" s="135"/>
      <c r="L312" s="134">
        <f>ROUND(D312*K312,2)</f>
        <v>0</v>
      </c>
      <c r="M312" s="136"/>
    </row>
    <row r="313" spans="1:13" s="131" customFormat="1" ht="12.75">
      <c r="A313" s="139"/>
      <c r="B313" s="140"/>
      <c r="C313" s="141"/>
      <c r="D313" s="142"/>
      <c r="E313" s="143"/>
      <c r="F313" s="142"/>
      <c r="G313" s="142"/>
      <c r="H313" s="143"/>
      <c r="I313" s="143"/>
      <c r="J313" s="144"/>
      <c r="K313" s="144"/>
      <c r="L313" s="142"/>
      <c r="M313" s="145"/>
    </row>
    <row r="314" spans="1:13" ht="30" customHeight="1">
      <c r="A314" s="128" t="str">
        <f>'BM02'!A130</f>
        <v>1.11.7</v>
      </c>
      <c r="B314" s="211" t="str">
        <f>'BM02'!B130</f>
        <v>TORNEIRA CROMADA TUBO MÓVEL, DE PAREDE, 1/2 OU 3/4, PARA PIA DE COZINHA, PADRÃO MÉDIO - FORNECIMENTO E INSTALAÇÃO. AF_01/2020</v>
      </c>
      <c r="C314" s="212"/>
      <c r="D314" s="212"/>
      <c r="E314" s="212"/>
      <c r="F314" s="212"/>
      <c r="G314" s="212"/>
      <c r="H314" s="212"/>
      <c r="I314" s="212"/>
      <c r="J314" s="212"/>
      <c r="K314" s="213"/>
      <c r="L314" s="129">
        <f>L315</f>
        <v>0</v>
      </c>
      <c r="M314" s="130" t="str">
        <f>'BM02'!C130</f>
        <v>un</v>
      </c>
    </row>
    <row r="315" spans="1:13" s="131" customFormat="1" ht="12.75">
      <c r="A315" s="132"/>
      <c r="B315" s="209"/>
      <c r="C315" s="210"/>
      <c r="D315" s="134"/>
      <c r="E315" s="134"/>
      <c r="F315" s="134"/>
      <c r="G315" s="134"/>
      <c r="H315" s="134"/>
      <c r="I315" s="134"/>
      <c r="J315" s="135"/>
      <c r="K315" s="135"/>
      <c r="L315" s="134">
        <f>ROUND(D315*K315,2)</f>
        <v>0</v>
      </c>
      <c r="M315" s="136"/>
    </row>
    <row r="316" spans="1:13" s="131" customFormat="1" ht="12.75">
      <c r="A316" s="139"/>
      <c r="B316" s="140"/>
      <c r="C316" s="141"/>
      <c r="D316" s="142"/>
      <c r="E316" s="143"/>
      <c r="F316" s="142"/>
      <c r="G316" s="142"/>
      <c r="H316" s="143"/>
      <c r="I316" s="143"/>
      <c r="J316" s="144"/>
      <c r="K316" s="144"/>
      <c r="L316" s="142"/>
      <c r="M316" s="145"/>
    </row>
    <row r="317" spans="1:13" ht="30" customHeight="1">
      <c r="A317" s="128" t="str">
        <f>'BM02'!A131</f>
        <v>1.11.8</v>
      </c>
      <c r="B317" s="211" t="str">
        <f>'BM02'!B131</f>
        <v>TORNEIRA CROMADA DE MESA, 1/2 OU 3/4, PARA LAVATÓRIO, PADRÃO MÉDIO - FORNECIMENTO E INSTALAÇÃO. AF_01/2020</v>
      </c>
      <c r="C317" s="212"/>
      <c r="D317" s="212"/>
      <c r="E317" s="212"/>
      <c r="F317" s="212"/>
      <c r="G317" s="212"/>
      <c r="H317" s="212"/>
      <c r="I317" s="212"/>
      <c r="J317" s="212"/>
      <c r="K317" s="213"/>
      <c r="L317" s="129">
        <f>L318</f>
        <v>0</v>
      </c>
      <c r="M317" s="130" t="str">
        <f>'BM02'!C131</f>
        <v>un</v>
      </c>
    </row>
    <row r="318" spans="1:13" s="131" customFormat="1" ht="12.75">
      <c r="A318" s="132"/>
      <c r="B318" s="209"/>
      <c r="C318" s="210"/>
      <c r="D318" s="134"/>
      <c r="E318" s="134"/>
      <c r="F318" s="134"/>
      <c r="G318" s="134"/>
      <c r="H318" s="134"/>
      <c r="I318" s="134"/>
      <c r="J318" s="135"/>
      <c r="K318" s="135"/>
      <c r="L318" s="134">
        <f>ROUND(D318*K318,2)</f>
        <v>0</v>
      </c>
      <c r="M318" s="136"/>
    </row>
    <row r="319" spans="1:13" s="131" customFormat="1" ht="12.75">
      <c r="A319" s="139"/>
      <c r="B319" s="140"/>
      <c r="C319" s="141"/>
      <c r="D319" s="142"/>
      <c r="E319" s="143"/>
      <c r="F319" s="142"/>
      <c r="G319" s="142"/>
      <c r="H319" s="143"/>
      <c r="I319" s="143"/>
      <c r="J319" s="144"/>
      <c r="K319" s="144"/>
      <c r="L319" s="142"/>
      <c r="M319" s="145"/>
    </row>
    <row r="320" spans="1:13" ht="12.75">
      <c r="A320" s="128" t="str">
        <f>'BM02'!A132</f>
        <v>1.11.9</v>
      </c>
      <c r="B320" s="211" t="str">
        <f>'BM02'!B132</f>
        <v>TORNEIRA CROMADA 1/2 OU 3/4 PARA TANQUE, PADRÃO MÉDIO - FORNECIMENTO E INSTALAÇÃO. AF_01/2020</v>
      </c>
      <c r="C320" s="212"/>
      <c r="D320" s="212"/>
      <c r="E320" s="212"/>
      <c r="F320" s="212"/>
      <c r="G320" s="212"/>
      <c r="H320" s="212"/>
      <c r="I320" s="212"/>
      <c r="J320" s="212"/>
      <c r="K320" s="213"/>
      <c r="L320" s="129">
        <f>L321</f>
        <v>0</v>
      </c>
      <c r="M320" s="130" t="str">
        <f>'BM02'!C132</f>
        <v>un</v>
      </c>
    </row>
    <row r="321" spans="1:13" s="131" customFormat="1" ht="12.75">
      <c r="A321" s="132"/>
      <c r="B321" s="209"/>
      <c r="C321" s="210"/>
      <c r="D321" s="134"/>
      <c r="E321" s="134"/>
      <c r="F321" s="134"/>
      <c r="G321" s="134"/>
      <c r="H321" s="134"/>
      <c r="I321" s="134"/>
      <c r="J321" s="135"/>
      <c r="K321" s="135"/>
      <c r="L321" s="134">
        <f>ROUND(D321*K321,2)</f>
        <v>0</v>
      </c>
      <c r="M321" s="136"/>
    </row>
    <row r="322" spans="1:13" s="131" customFormat="1" ht="12.75">
      <c r="A322" s="139"/>
      <c r="B322" s="140"/>
      <c r="C322" s="141"/>
      <c r="D322" s="142"/>
      <c r="E322" s="143"/>
      <c r="F322" s="142"/>
      <c r="G322" s="142"/>
      <c r="H322" s="143"/>
      <c r="I322" s="143"/>
      <c r="J322" s="144"/>
      <c r="K322" s="144"/>
      <c r="L322" s="142"/>
      <c r="M322" s="145"/>
    </row>
    <row r="323" spans="1:13" ht="12.75">
      <c r="A323" s="184" t="str">
        <f>'BM02'!A133</f>
        <v>1.11.10</v>
      </c>
      <c r="B323" s="211" t="str">
        <f>'BM02'!B133</f>
        <v>Cabide em aço inox, MOLDENOX, linha stylus 108 RSL ou similar</v>
      </c>
      <c r="C323" s="212"/>
      <c r="D323" s="212"/>
      <c r="E323" s="212"/>
      <c r="F323" s="212"/>
      <c r="G323" s="212"/>
      <c r="H323" s="212"/>
      <c r="I323" s="212"/>
      <c r="J323" s="212"/>
      <c r="K323" s="213"/>
      <c r="L323" s="129">
        <f>L324</f>
        <v>0</v>
      </c>
      <c r="M323" s="130" t="str">
        <f>'BM02'!C133</f>
        <v>un</v>
      </c>
    </row>
    <row r="324" spans="1:13" s="131" customFormat="1" ht="12.75">
      <c r="A324" s="132"/>
      <c r="B324" s="209"/>
      <c r="C324" s="210"/>
      <c r="D324" s="134"/>
      <c r="E324" s="134"/>
      <c r="F324" s="134"/>
      <c r="G324" s="134"/>
      <c r="H324" s="134"/>
      <c r="I324" s="134"/>
      <c r="J324" s="135"/>
      <c r="K324" s="135"/>
      <c r="L324" s="134">
        <f>ROUND(D324*K324,2)</f>
        <v>0</v>
      </c>
      <c r="M324" s="136"/>
    </row>
    <row r="325" spans="1:13" s="131" customFormat="1" ht="12.75">
      <c r="A325" s="139"/>
      <c r="B325" s="140"/>
      <c r="C325" s="141"/>
      <c r="D325" s="142"/>
      <c r="E325" s="143"/>
      <c r="F325" s="142"/>
      <c r="G325" s="142"/>
      <c r="H325" s="143"/>
      <c r="I325" s="143"/>
      <c r="J325" s="144"/>
      <c r="K325" s="144"/>
      <c r="L325" s="142"/>
      <c r="M325" s="145"/>
    </row>
    <row r="326" spans="1:13" ht="12.75">
      <c r="A326" s="184" t="str">
        <f>'BM02'!A134</f>
        <v>1.11.11</v>
      </c>
      <c r="B326" s="211" t="str">
        <f>'BM02'!B134</f>
        <v>Chuveiro plástico sem registro</v>
      </c>
      <c r="C326" s="212"/>
      <c r="D326" s="212"/>
      <c r="E326" s="212"/>
      <c r="F326" s="212"/>
      <c r="G326" s="212"/>
      <c r="H326" s="212"/>
      <c r="I326" s="212"/>
      <c r="J326" s="212"/>
      <c r="K326" s="213"/>
      <c r="L326" s="129">
        <f>L327</f>
        <v>0</v>
      </c>
      <c r="M326" s="130" t="str">
        <f>'BM02'!C134</f>
        <v>un</v>
      </c>
    </row>
    <row r="327" spans="1:13" s="131" customFormat="1" ht="12.75">
      <c r="A327" s="132"/>
      <c r="B327" s="209"/>
      <c r="C327" s="210"/>
      <c r="D327" s="134"/>
      <c r="E327" s="134"/>
      <c r="F327" s="134"/>
      <c r="G327" s="134"/>
      <c r="H327" s="134"/>
      <c r="I327" s="134"/>
      <c r="J327" s="135"/>
      <c r="K327" s="135"/>
      <c r="L327" s="134">
        <f>ROUND(D327*K327,2)</f>
        <v>0</v>
      </c>
      <c r="M327" s="136"/>
    </row>
    <row r="328" spans="1:13" s="131" customFormat="1" ht="12.75">
      <c r="A328" s="139"/>
      <c r="B328" s="140"/>
      <c r="C328" s="141"/>
      <c r="D328" s="142"/>
      <c r="E328" s="143"/>
      <c r="F328" s="142"/>
      <c r="G328" s="142"/>
      <c r="H328" s="143"/>
      <c r="I328" s="143"/>
      <c r="J328" s="144"/>
      <c r="K328" s="144"/>
      <c r="L328" s="142"/>
      <c r="M328" s="145"/>
    </row>
    <row r="329" spans="1:13" ht="30" customHeight="1">
      <c r="A329" s="128" t="str">
        <f>'BM02'!A135</f>
        <v>1.11.12</v>
      </c>
      <c r="B329" s="211" t="str">
        <f>'BM02'!B135</f>
        <v>SABONETEIRA PLASTICA TIPO DISPENSER PARA SABONETE LIQUIDO COM RESERVATORIO 800 A 1500 ML, INCLUSO FIXAÇÃO. AF_01/2020</v>
      </c>
      <c r="C329" s="212"/>
      <c r="D329" s="212"/>
      <c r="E329" s="212"/>
      <c r="F329" s="212"/>
      <c r="G329" s="212"/>
      <c r="H329" s="212"/>
      <c r="I329" s="212"/>
      <c r="J329" s="212"/>
      <c r="K329" s="213"/>
      <c r="L329" s="129">
        <f>L330</f>
        <v>0</v>
      </c>
      <c r="M329" s="130" t="str">
        <f>'BM02'!C135</f>
        <v>un</v>
      </c>
    </row>
    <row r="330" spans="1:13" s="131" customFormat="1" ht="12.75">
      <c r="A330" s="132"/>
      <c r="B330" s="209"/>
      <c r="C330" s="210"/>
      <c r="D330" s="134"/>
      <c r="E330" s="134"/>
      <c r="F330" s="134"/>
      <c r="G330" s="134"/>
      <c r="H330" s="134"/>
      <c r="I330" s="134"/>
      <c r="J330" s="135"/>
      <c r="K330" s="135"/>
      <c r="L330" s="134">
        <f>ROUND(D330*K330,2)</f>
        <v>0</v>
      </c>
      <c r="M330" s="136"/>
    </row>
    <row r="331" spans="1:13" s="131" customFormat="1" ht="12.75">
      <c r="A331" s="139"/>
      <c r="B331" s="140"/>
      <c r="C331" s="141"/>
      <c r="D331" s="142"/>
      <c r="E331" s="143"/>
      <c r="F331" s="142"/>
      <c r="G331" s="142"/>
      <c r="H331" s="143"/>
      <c r="I331" s="143"/>
      <c r="J331" s="144"/>
      <c r="K331" s="144"/>
      <c r="L331" s="142"/>
      <c r="M331" s="145"/>
    </row>
    <row r="332" spans="1:13" ht="12.75">
      <c r="A332" s="184" t="str">
        <f>'BM02'!A136</f>
        <v>1.11.13</v>
      </c>
      <c r="B332" s="211" t="str">
        <f>'BM02'!B136</f>
        <v>Dispenser para toalha interfolhada</v>
      </c>
      <c r="C332" s="212"/>
      <c r="D332" s="212"/>
      <c r="E332" s="212"/>
      <c r="F332" s="212"/>
      <c r="G332" s="212"/>
      <c r="H332" s="212"/>
      <c r="I332" s="212"/>
      <c r="J332" s="212"/>
      <c r="K332" s="213"/>
      <c r="L332" s="129">
        <f>L333</f>
        <v>0</v>
      </c>
      <c r="M332" s="130" t="str">
        <f>'BM02'!C136</f>
        <v>un</v>
      </c>
    </row>
    <row r="333" spans="1:13" s="131" customFormat="1" ht="12.75">
      <c r="A333" s="132"/>
      <c r="B333" s="209"/>
      <c r="C333" s="210"/>
      <c r="D333" s="134"/>
      <c r="E333" s="134"/>
      <c r="F333" s="134"/>
      <c r="G333" s="134"/>
      <c r="H333" s="134"/>
      <c r="I333" s="134"/>
      <c r="J333" s="135"/>
      <c r="K333" s="135"/>
      <c r="L333" s="134">
        <f>ROUND(D333*K333,2)</f>
        <v>0</v>
      </c>
      <c r="M333" s="136"/>
    </row>
    <row r="334" spans="1:13" s="131" customFormat="1" ht="12.75">
      <c r="A334" s="139"/>
      <c r="B334" s="140"/>
      <c r="C334" s="141"/>
      <c r="D334" s="142"/>
      <c r="E334" s="143"/>
      <c r="F334" s="142"/>
      <c r="G334" s="142"/>
      <c r="H334" s="143"/>
      <c r="I334" s="143"/>
      <c r="J334" s="144"/>
      <c r="K334" s="144"/>
      <c r="L334" s="142"/>
      <c r="M334" s="145"/>
    </row>
    <row r="335" spans="1:13" ht="12.75">
      <c r="A335" s="184" t="str">
        <f>'BM02'!A137</f>
        <v>1.11.14</v>
      </c>
      <c r="B335" s="211" t="str">
        <f>'BM02'!B137</f>
        <v>Dispenser, em plástico, para papel higiênico em rolo</v>
      </c>
      <c r="C335" s="212"/>
      <c r="D335" s="212"/>
      <c r="E335" s="212"/>
      <c r="F335" s="212"/>
      <c r="G335" s="212"/>
      <c r="H335" s="212"/>
      <c r="I335" s="212"/>
      <c r="J335" s="212"/>
      <c r="K335" s="213"/>
      <c r="L335" s="129">
        <f>L336</f>
        <v>0</v>
      </c>
      <c r="M335" s="130" t="str">
        <f>'BM02'!C137</f>
        <v>un</v>
      </c>
    </row>
    <row r="336" spans="1:13" s="131" customFormat="1" ht="12.75">
      <c r="A336" s="132"/>
      <c r="B336" s="209"/>
      <c r="C336" s="210"/>
      <c r="D336" s="134"/>
      <c r="E336" s="134"/>
      <c r="F336" s="134"/>
      <c r="G336" s="134"/>
      <c r="H336" s="134"/>
      <c r="I336" s="134"/>
      <c r="J336" s="135"/>
      <c r="K336" s="135"/>
      <c r="L336" s="134">
        <f>ROUND(D336*K336,2)</f>
        <v>0</v>
      </c>
      <c r="M336" s="136"/>
    </row>
    <row r="337" spans="1:13" s="131" customFormat="1" ht="12.75">
      <c r="A337" s="139"/>
      <c r="B337" s="140"/>
      <c r="C337" s="141"/>
      <c r="D337" s="142"/>
      <c r="E337" s="143"/>
      <c r="F337" s="142"/>
      <c r="G337" s="142"/>
      <c r="H337" s="143"/>
      <c r="I337" s="143"/>
      <c r="J337" s="144"/>
      <c r="K337" s="144"/>
      <c r="L337" s="142"/>
      <c r="M337" s="145"/>
    </row>
    <row r="338" spans="1:13" ht="30" customHeight="1">
      <c r="A338" s="128" t="str">
        <f>'BM02'!A138</f>
        <v>1.11.15</v>
      </c>
      <c r="B338" s="211" t="str">
        <f>'BM02'!B138</f>
        <v>RALO SIFONADO, PVC, DN 100 X 40 MM, JUNTA SOLDÁVEL, FORNECIDO E INSTALADO EM RAMAL DE DESCARGA OU EM RAMAL DE ESGOTO SANITÁRIO. AF_12/2014</v>
      </c>
      <c r="C338" s="212"/>
      <c r="D338" s="212"/>
      <c r="E338" s="212"/>
      <c r="F338" s="212"/>
      <c r="G338" s="212"/>
      <c r="H338" s="212"/>
      <c r="I338" s="212"/>
      <c r="J338" s="212"/>
      <c r="K338" s="213"/>
      <c r="L338" s="129">
        <f>L339</f>
        <v>0</v>
      </c>
      <c r="M338" s="130" t="str">
        <f>'BM02'!C138</f>
        <v>un</v>
      </c>
    </row>
    <row r="339" spans="1:13" s="131" customFormat="1" ht="12.75">
      <c r="A339" s="132"/>
      <c r="B339" s="209"/>
      <c r="C339" s="210"/>
      <c r="D339" s="134"/>
      <c r="E339" s="134"/>
      <c r="F339" s="134"/>
      <c r="G339" s="134"/>
      <c r="H339" s="134"/>
      <c r="I339" s="134"/>
      <c r="J339" s="135"/>
      <c r="K339" s="135"/>
      <c r="L339" s="134">
        <f>ROUND(D339*K339,2)</f>
        <v>0</v>
      </c>
      <c r="M339" s="136"/>
    </row>
    <row r="340" spans="1:13" s="131" customFormat="1" ht="12.75">
      <c r="A340" s="139"/>
      <c r="B340" s="140"/>
      <c r="C340" s="141"/>
      <c r="D340" s="142"/>
      <c r="E340" s="143"/>
      <c r="F340" s="142"/>
      <c r="G340" s="142"/>
      <c r="H340" s="143"/>
      <c r="I340" s="143"/>
      <c r="J340" s="144"/>
      <c r="K340" s="144"/>
      <c r="L340" s="142"/>
      <c r="M340" s="145"/>
    </row>
    <row r="341" spans="1:13" ht="12.75">
      <c r="A341" s="184" t="str">
        <f>'BM02'!A139</f>
        <v>1.11.16</v>
      </c>
      <c r="B341" s="211" t="str">
        <f>'BM02'!B139</f>
        <v>TANQUE DE MÁRMORE SINTÉTICO SUSPENSO, 22L OU EQUIVALENTE - FORNECIMENTO E INSTALAÇÃO. AF_01/2020</v>
      </c>
      <c r="C341" s="212"/>
      <c r="D341" s="212"/>
      <c r="E341" s="212"/>
      <c r="F341" s="212"/>
      <c r="G341" s="212"/>
      <c r="H341" s="212"/>
      <c r="I341" s="212"/>
      <c r="J341" s="212"/>
      <c r="K341" s="213"/>
      <c r="L341" s="129">
        <f>L342</f>
        <v>0</v>
      </c>
      <c r="M341" s="130" t="str">
        <f>'BM02'!C139</f>
        <v>un</v>
      </c>
    </row>
    <row r="342" spans="1:13" s="131" customFormat="1" ht="12.75">
      <c r="A342" s="132"/>
      <c r="B342" s="209"/>
      <c r="C342" s="210"/>
      <c r="D342" s="134"/>
      <c r="E342" s="134"/>
      <c r="F342" s="134"/>
      <c r="G342" s="134"/>
      <c r="H342" s="134"/>
      <c r="I342" s="134"/>
      <c r="J342" s="135"/>
      <c r="K342" s="135"/>
      <c r="L342" s="134">
        <f>ROUND(D342*K342,2)</f>
        <v>0</v>
      </c>
      <c r="M342" s="136"/>
    </row>
    <row r="343" spans="1:13" s="131" customFormat="1" ht="12.75">
      <c r="A343" s="139"/>
      <c r="B343" s="140"/>
      <c r="C343" s="141"/>
      <c r="D343" s="142"/>
      <c r="E343" s="143"/>
      <c r="F343" s="142"/>
      <c r="G343" s="142"/>
      <c r="H343" s="143"/>
      <c r="I343" s="143"/>
      <c r="J343" s="144"/>
      <c r="K343" s="144"/>
      <c r="L343" s="142"/>
      <c r="M343" s="145"/>
    </row>
    <row r="344" spans="1:13" ht="30" customHeight="1">
      <c r="A344" s="128" t="str">
        <f>'BM02'!A140</f>
        <v>1.11.17</v>
      </c>
      <c r="B344" s="211" t="str">
        <f>'BM02'!B140</f>
        <v>BANCADA DE MÁRMORE SINTÉTICO, DE 120 X 60CM, COM CUBA INTEGRADA - FORNECIMENTO E INSTALAÇÃO. AF_01/2020</v>
      </c>
      <c r="C344" s="212"/>
      <c r="D344" s="212"/>
      <c r="E344" s="212"/>
      <c r="F344" s="212"/>
      <c r="G344" s="212"/>
      <c r="H344" s="212"/>
      <c r="I344" s="212"/>
      <c r="J344" s="212"/>
      <c r="K344" s="213"/>
      <c r="L344" s="129">
        <f>L345</f>
        <v>0</v>
      </c>
      <c r="M344" s="130" t="str">
        <f>'BM02'!C140</f>
        <v>un</v>
      </c>
    </row>
    <row r="345" spans="1:13" s="131" customFormat="1" ht="12.75">
      <c r="A345" s="132"/>
      <c r="B345" s="209"/>
      <c r="C345" s="210"/>
      <c r="D345" s="134"/>
      <c r="E345" s="134"/>
      <c r="F345" s="134"/>
      <c r="G345" s="134"/>
      <c r="H345" s="134"/>
      <c r="I345" s="134"/>
      <c r="J345" s="135"/>
      <c r="K345" s="135"/>
      <c r="L345" s="134">
        <f>ROUND(D345*K345,2)</f>
        <v>0</v>
      </c>
      <c r="M345" s="136"/>
    </row>
    <row r="346" spans="1:13" s="131" customFormat="1" ht="12.75">
      <c r="A346" s="139"/>
      <c r="B346" s="140"/>
      <c r="C346" s="141"/>
      <c r="D346" s="142"/>
      <c r="E346" s="143"/>
      <c r="F346" s="142"/>
      <c r="G346" s="142"/>
      <c r="H346" s="143"/>
      <c r="I346" s="143"/>
      <c r="J346" s="144"/>
      <c r="K346" s="144"/>
      <c r="L346" s="142"/>
      <c r="M346" s="145"/>
    </row>
    <row r="347" spans="1:13" ht="12.75">
      <c r="A347" s="184" t="str">
        <f>'BM02'!A141</f>
        <v>1.11.18</v>
      </c>
      <c r="B347" s="211" t="str">
        <f>'BM02'!B141</f>
        <v>ESPELHO CRISTAL ESPESSURA 4MM</v>
      </c>
      <c r="C347" s="212"/>
      <c r="D347" s="212"/>
      <c r="E347" s="212"/>
      <c r="F347" s="212"/>
      <c r="G347" s="212"/>
      <c r="H347" s="212"/>
      <c r="I347" s="212"/>
      <c r="J347" s="212"/>
      <c r="K347" s="213"/>
      <c r="L347" s="129">
        <f>L348</f>
        <v>0</v>
      </c>
      <c r="M347" s="130" t="str">
        <f>'BM02'!C141</f>
        <v>m²</v>
      </c>
    </row>
    <row r="348" spans="1:13" s="131" customFormat="1" ht="12.75">
      <c r="A348" s="132"/>
      <c r="B348" s="209"/>
      <c r="C348" s="210"/>
      <c r="D348" s="134"/>
      <c r="E348" s="134"/>
      <c r="F348" s="134"/>
      <c r="G348" s="134"/>
      <c r="H348" s="134"/>
      <c r="I348" s="134"/>
      <c r="J348" s="135"/>
      <c r="K348" s="135"/>
      <c r="L348" s="134">
        <f>ROUND(D348*K348,2)</f>
        <v>0</v>
      </c>
      <c r="M348" s="136"/>
    </row>
    <row r="349" spans="1:13" s="131" customFormat="1" ht="12.75">
      <c r="A349" s="139"/>
      <c r="B349" s="140"/>
      <c r="C349" s="141"/>
      <c r="D349" s="142"/>
      <c r="E349" s="143"/>
      <c r="F349" s="142"/>
      <c r="G349" s="142"/>
      <c r="H349" s="143"/>
      <c r="I349" s="143"/>
      <c r="J349" s="144"/>
      <c r="K349" s="144"/>
      <c r="L349" s="142"/>
      <c r="M349" s="145"/>
    </row>
    <row r="350" spans="1:13" ht="12.75">
      <c r="A350" s="184" t="str">
        <f>'BM02'!A142</f>
        <v>1.11.19</v>
      </c>
      <c r="B350" s="211" t="str">
        <f>'BM02'!B142</f>
        <v>BANCO ARTICULADO, EM ACO INOX, PARA PCD, FIXADO NA PAREDE - FORNECIMENTO E INSTALAÇÃO. AF_01/2020</v>
      </c>
      <c r="C350" s="212"/>
      <c r="D350" s="212"/>
      <c r="E350" s="212"/>
      <c r="F350" s="212"/>
      <c r="G350" s="212"/>
      <c r="H350" s="212"/>
      <c r="I350" s="212"/>
      <c r="J350" s="212"/>
      <c r="K350" s="213"/>
      <c r="L350" s="129">
        <f>L351</f>
        <v>0</v>
      </c>
      <c r="M350" s="130" t="str">
        <f>'BM02'!C142</f>
        <v>un</v>
      </c>
    </row>
    <row r="351" spans="1:13" s="131" customFormat="1" ht="12.75">
      <c r="A351" s="132"/>
      <c r="B351" s="209"/>
      <c r="C351" s="210"/>
      <c r="D351" s="134"/>
      <c r="E351" s="134"/>
      <c r="F351" s="134"/>
      <c r="G351" s="134"/>
      <c r="H351" s="134"/>
      <c r="I351" s="134"/>
      <c r="J351" s="135"/>
      <c r="K351" s="135"/>
      <c r="L351" s="134">
        <f>ROUND(D351*K351,2)</f>
        <v>0</v>
      </c>
      <c r="M351" s="136"/>
    </row>
    <row r="352" spans="1:13" s="131" customFormat="1" ht="12.75">
      <c r="A352" s="139"/>
      <c r="B352" s="140"/>
      <c r="C352" s="141"/>
      <c r="D352" s="142"/>
      <c r="E352" s="143"/>
      <c r="F352" s="142"/>
      <c r="G352" s="142"/>
      <c r="H352" s="143"/>
      <c r="I352" s="143"/>
      <c r="J352" s="144"/>
      <c r="K352" s="144"/>
      <c r="L352" s="142"/>
      <c r="M352" s="145"/>
    </row>
    <row r="353" spans="1:13" ht="12.75">
      <c r="A353" s="184" t="str">
        <f>'BM02'!A143</f>
        <v>1.11.20</v>
      </c>
      <c r="B353" s="211" t="str">
        <f>'BM02'!B143</f>
        <v>Bancada em granito cinza andorinha, e=2cm</v>
      </c>
      <c r="C353" s="212"/>
      <c r="D353" s="212"/>
      <c r="E353" s="212"/>
      <c r="F353" s="212"/>
      <c r="G353" s="212"/>
      <c r="H353" s="212"/>
      <c r="I353" s="212"/>
      <c r="J353" s="212"/>
      <c r="K353" s="213"/>
      <c r="L353" s="129">
        <f>L354</f>
        <v>0</v>
      </c>
      <c r="M353" s="130" t="str">
        <f>'BM02'!C143</f>
        <v>m²</v>
      </c>
    </row>
    <row r="354" spans="1:13" s="131" customFormat="1" ht="12.75">
      <c r="A354" s="132"/>
      <c r="B354" s="209"/>
      <c r="C354" s="210"/>
      <c r="D354" s="134"/>
      <c r="E354" s="134"/>
      <c r="F354" s="134"/>
      <c r="G354" s="134"/>
      <c r="H354" s="134"/>
      <c r="I354" s="134"/>
      <c r="J354" s="135"/>
      <c r="K354" s="135"/>
      <c r="L354" s="134">
        <f>ROUND(D354*K354,2)</f>
        <v>0</v>
      </c>
      <c r="M354" s="136"/>
    </row>
    <row r="355" spans="1:13" s="131" customFormat="1" ht="12.75">
      <c r="A355" s="139"/>
      <c r="B355" s="140"/>
      <c r="C355" s="141"/>
      <c r="D355" s="142"/>
      <c r="E355" s="143"/>
      <c r="F355" s="142"/>
      <c r="G355" s="142"/>
      <c r="H355" s="143"/>
      <c r="I355" s="143"/>
      <c r="J355" s="144"/>
      <c r="K355" s="144"/>
      <c r="L355" s="142"/>
      <c r="M355" s="145"/>
    </row>
    <row r="356" spans="1:13" ht="30" customHeight="1">
      <c r="A356" s="128" t="str">
        <f>'BM02'!A144</f>
        <v>1.11.21</v>
      </c>
      <c r="B356" s="211" t="str">
        <f>'BM02'!B144</f>
        <v>PONTO DE CONSUMO TERMINAL DE ÁGUA FRIA (SUBRAMAL) COM TUBULAÇÃO DE PVC, DN 25 MM, INSTALADO EM RAMAL DE ÁGUA, INCLUSOS RASGO E CHUMBAMENTO EM ALVENARIA. AF_12/2014</v>
      </c>
      <c r="C356" s="212"/>
      <c r="D356" s="212"/>
      <c r="E356" s="212"/>
      <c r="F356" s="212"/>
      <c r="G356" s="212"/>
      <c r="H356" s="212"/>
      <c r="I356" s="212"/>
      <c r="J356" s="212"/>
      <c r="K356" s="213"/>
      <c r="L356" s="129">
        <f>L357</f>
        <v>0</v>
      </c>
      <c r="M356" s="130" t="str">
        <f>'BM02'!C144</f>
        <v>un</v>
      </c>
    </row>
    <row r="357" spans="1:13" s="131" customFormat="1" ht="12.75">
      <c r="A357" s="132"/>
      <c r="B357" s="209"/>
      <c r="C357" s="210"/>
      <c r="D357" s="134"/>
      <c r="E357" s="134"/>
      <c r="F357" s="134"/>
      <c r="G357" s="134"/>
      <c r="H357" s="134"/>
      <c r="I357" s="134"/>
      <c r="J357" s="135"/>
      <c r="K357" s="135"/>
      <c r="L357" s="134"/>
      <c r="M357" s="136"/>
    </row>
    <row r="358" spans="1:13" s="131" customFormat="1" ht="12.75">
      <c r="A358" s="139"/>
      <c r="B358" s="140"/>
      <c r="C358" s="141"/>
      <c r="D358" s="142"/>
      <c r="E358" s="143"/>
      <c r="F358" s="142"/>
      <c r="G358" s="142"/>
      <c r="H358" s="143"/>
      <c r="I358" s="143"/>
      <c r="J358" s="144"/>
      <c r="K358" s="144"/>
      <c r="L358" s="142"/>
      <c r="M358" s="145"/>
    </row>
    <row r="359" spans="1:13" ht="30" customHeight="1">
      <c r="A359" s="128" t="str">
        <f>'BM02'!A145</f>
        <v>1.11.22</v>
      </c>
      <c r="B359" s="211" t="str">
        <f>'BM02'!B145</f>
        <v>CAIXA ENTERRADA HIDRÁULICA RETANGULAR EM ALVENARIA COM TIJOLOS CERÂMICOS MACIÇOS, DIMENSÕES INTERNAS: 0,4X0,4X0,4 M PARA REDE DE ESGOTO. AF_12/2020</v>
      </c>
      <c r="C359" s="212"/>
      <c r="D359" s="212"/>
      <c r="E359" s="212"/>
      <c r="F359" s="212"/>
      <c r="G359" s="212"/>
      <c r="H359" s="212"/>
      <c r="I359" s="212"/>
      <c r="J359" s="212"/>
      <c r="K359" s="213"/>
      <c r="L359" s="129">
        <f>L360</f>
        <v>0</v>
      </c>
      <c r="M359" s="130" t="str">
        <f>'BM02'!C145</f>
        <v>un</v>
      </c>
    </row>
    <row r="360" spans="1:13" s="131" customFormat="1" ht="12.75">
      <c r="A360" s="132"/>
      <c r="B360" s="209"/>
      <c r="C360" s="210"/>
      <c r="D360" s="134"/>
      <c r="E360" s="134"/>
      <c r="F360" s="134"/>
      <c r="G360" s="134"/>
      <c r="H360" s="134"/>
      <c r="I360" s="134"/>
      <c r="J360" s="135"/>
      <c r="K360" s="135"/>
      <c r="L360" s="134">
        <f>ROUND(D360*K360,2)</f>
        <v>0</v>
      </c>
      <c r="M360" s="136"/>
    </row>
    <row r="361" spans="1:13" s="131" customFormat="1" ht="12.75">
      <c r="A361" s="139"/>
      <c r="B361" s="140"/>
      <c r="C361" s="141"/>
      <c r="D361" s="142"/>
      <c r="E361" s="143"/>
      <c r="F361" s="142"/>
      <c r="G361" s="142"/>
      <c r="H361" s="143"/>
      <c r="I361" s="143"/>
      <c r="J361" s="144"/>
      <c r="K361" s="144"/>
      <c r="L361" s="142"/>
      <c r="M361" s="145"/>
    </row>
    <row r="362" spans="1:13" ht="69" customHeight="1">
      <c r="A362" s="128" t="str">
        <f>'BM02'!A146</f>
        <v>1.11.23</v>
      </c>
      <c r="B362" s="279" t="s">
        <v>213</v>
      </c>
      <c r="C362" s="280"/>
      <c r="D362" s="280"/>
      <c r="E362" s="280"/>
      <c r="F362" s="280"/>
      <c r="G362" s="280"/>
      <c r="H362" s="280"/>
      <c r="I362" s="280"/>
      <c r="J362" s="280"/>
      <c r="K362" s="281"/>
      <c r="L362" s="129">
        <f>L363</f>
        <v>0</v>
      </c>
      <c r="M362" s="130" t="str">
        <f>'BM02'!C146</f>
        <v>un</v>
      </c>
    </row>
    <row r="363" spans="1:13" s="131" customFormat="1" ht="13.5" thickBot="1">
      <c r="A363" s="132"/>
      <c r="B363" s="209"/>
      <c r="C363" s="210"/>
      <c r="D363" s="134"/>
      <c r="E363" s="134"/>
      <c r="F363" s="134"/>
      <c r="G363" s="134"/>
      <c r="H363" s="134"/>
      <c r="I363" s="134"/>
      <c r="J363" s="135"/>
      <c r="K363" s="135"/>
      <c r="L363" s="134">
        <f>ROUND(D363*K363,2)</f>
        <v>0</v>
      </c>
      <c r="M363" s="136"/>
    </row>
    <row r="364" spans="1:13" s="131" customFormat="1" ht="12.75">
      <c r="A364" s="139"/>
      <c r="B364" s="140"/>
      <c r="C364" s="141"/>
      <c r="D364" s="142"/>
      <c r="E364" s="143"/>
      <c r="F364" s="142"/>
      <c r="G364" s="142"/>
      <c r="H364" s="143"/>
      <c r="I364" s="143"/>
      <c r="J364" s="144"/>
      <c r="K364" s="144"/>
      <c r="L364" s="142"/>
      <c r="M364" s="145"/>
    </row>
    <row r="365" spans="1:13" ht="12.75">
      <c r="A365" s="184" t="str">
        <f>'BM02'!A147</f>
        <v>1.11.24</v>
      </c>
      <c r="B365" s="211" t="str">
        <f>'BM02'!B147</f>
        <v>Caixa d´água em fibra de vidro - instalada, sem estrutura de suporte cap. 10.000 litros</v>
      </c>
      <c r="C365" s="212"/>
      <c r="D365" s="212"/>
      <c r="E365" s="212"/>
      <c r="F365" s="212"/>
      <c r="G365" s="212"/>
      <c r="H365" s="212"/>
      <c r="I365" s="212"/>
      <c r="J365" s="212"/>
      <c r="K365" s="213"/>
      <c r="L365" s="129">
        <f>L366</f>
        <v>0</v>
      </c>
      <c r="M365" s="130" t="str">
        <f>'BM02'!C147</f>
        <v>un</v>
      </c>
    </row>
    <row r="366" spans="1:13" s="131" customFormat="1" ht="13.5" thickBot="1">
      <c r="A366" s="132"/>
      <c r="B366" s="209"/>
      <c r="C366" s="210"/>
      <c r="D366" s="134"/>
      <c r="E366" s="134"/>
      <c r="F366" s="134"/>
      <c r="G366" s="134"/>
      <c r="H366" s="134"/>
      <c r="I366" s="134"/>
      <c r="J366" s="135"/>
      <c r="K366" s="135"/>
      <c r="L366" s="134">
        <f>ROUND(D366*K366,2)</f>
        <v>0</v>
      </c>
      <c r="M366" s="136"/>
    </row>
    <row r="367" spans="1:13" s="131" customFormat="1" ht="13.5" thickBot="1">
      <c r="A367" s="139"/>
      <c r="B367" s="140"/>
      <c r="C367" s="141"/>
      <c r="D367" s="142"/>
      <c r="E367" s="143"/>
      <c r="F367" s="142"/>
      <c r="G367" s="142"/>
      <c r="H367" s="143"/>
      <c r="I367" s="143"/>
      <c r="J367" s="144"/>
      <c r="K367" s="144"/>
      <c r="L367" s="142"/>
      <c r="M367" s="145"/>
    </row>
    <row r="368" spans="1:13" ht="13.5" thickBot="1">
      <c r="A368" s="121" t="str">
        <f>'BM02'!A149</f>
        <v>1.12</v>
      </c>
      <c r="B368" s="122" t="str">
        <f>'BM02'!B149</f>
        <v>INSTALAÇÕES SANITÁRIAS</v>
      </c>
      <c r="C368" s="122"/>
      <c r="D368" s="122"/>
      <c r="E368" s="122"/>
      <c r="F368" s="122"/>
      <c r="G368" s="122"/>
      <c r="H368" s="122"/>
      <c r="I368" s="122"/>
      <c r="J368" s="122"/>
      <c r="K368" s="122"/>
      <c r="L368" s="122"/>
      <c r="M368" s="123"/>
    </row>
    <row r="369" spans="1:13" ht="12.75">
      <c r="A369" s="124"/>
      <c r="B369" s="125"/>
      <c r="C369" s="125"/>
      <c r="D369" s="125"/>
      <c r="E369" s="125"/>
      <c r="F369" s="125"/>
      <c r="G369" s="125"/>
      <c r="H369" s="125"/>
      <c r="I369" s="125"/>
      <c r="J369" s="125"/>
      <c r="K369" s="126"/>
      <c r="L369" s="125"/>
      <c r="M369" s="127"/>
    </row>
    <row r="370" spans="1:13" ht="30" customHeight="1">
      <c r="A370" s="128" t="str">
        <f>'BM02'!A151</f>
        <v>1.12.1</v>
      </c>
      <c r="B370" s="211" t="str">
        <f>'BM02'!B151</f>
        <v>RALO SIFONADO, PVC, DN 100 X 40 MM, JUNTA SOLDÁVEL, FORNECIDO E INSTALADO EM RAMAL DE DESCARGA OU EM RAMAL DE ESGOTO SANITÁRIO. AF_12/2014</v>
      </c>
      <c r="C370" s="212"/>
      <c r="D370" s="212"/>
      <c r="E370" s="212"/>
      <c r="F370" s="212"/>
      <c r="G370" s="212"/>
      <c r="H370" s="212"/>
      <c r="I370" s="212"/>
      <c r="J370" s="212"/>
      <c r="K370" s="213"/>
      <c r="L370" s="129">
        <f>L371</f>
        <v>0</v>
      </c>
      <c r="M370" s="130" t="str">
        <f>'BM02'!C151</f>
        <v>un</v>
      </c>
    </row>
    <row r="371" spans="1:13" s="131" customFormat="1" ht="12.75">
      <c r="A371" s="132"/>
      <c r="B371" s="209"/>
      <c r="C371" s="210"/>
      <c r="D371" s="134"/>
      <c r="E371" s="134"/>
      <c r="F371" s="134"/>
      <c r="G371" s="134"/>
      <c r="H371" s="134"/>
      <c r="I371" s="134"/>
      <c r="J371" s="135"/>
      <c r="K371" s="135"/>
      <c r="L371" s="134">
        <f>ROUND(D371*K371,2)</f>
        <v>0</v>
      </c>
      <c r="M371" s="136"/>
    </row>
    <row r="372" spans="1:13" s="131" customFormat="1" ht="12.75">
      <c r="A372" s="139"/>
      <c r="B372" s="140"/>
      <c r="C372" s="141"/>
      <c r="D372" s="142"/>
      <c r="E372" s="143"/>
      <c r="F372" s="142"/>
      <c r="G372" s="142"/>
      <c r="H372" s="143"/>
      <c r="I372" s="143"/>
      <c r="J372" s="144"/>
      <c r="K372" s="144"/>
      <c r="L372" s="142"/>
      <c r="M372" s="145"/>
    </row>
    <row r="373" spans="1:13" ht="43.15" customHeight="1">
      <c r="A373" s="128" t="str">
        <f>'BM02'!A152</f>
        <v>1.12.2</v>
      </c>
      <c r="B373" s="211" t="str">
        <f>'BM02'!B152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373" s="212"/>
      <c r="D373" s="212"/>
      <c r="E373" s="212"/>
      <c r="F373" s="212"/>
      <c r="G373" s="212"/>
      <c r="H373" s="212"/>
      <c r="I373" s="212"/>
      <c r="J373" s="212"/>
      <c r="K373" s="213"/>
      <c r="L373" s="129">
        <f>L374</f>
        <v>40</v>
      </c>
      <c r="M373" s="130" t="str">
        <f>'BM02'!C152</f>
        <v>m</v>
      </c>
    </row>
    <row r="374" spans="1:13" s="131" customFormat="1" ht="28.9" customHeight="1">
      <c r="A374" s="132"/>
      <c r="B374" s="209" t="s">
        <v>560</v>
      </c>
      <c r="C374" s="210"/>
      <c r="D374" s="134">
        <v>40</v>
      </c>
      <c r="E374" s="134"/>
      <c r="F374" s="134"/>
      <c r="G374" s="134"/>
      <c r="H374" s="134"/>
      <c r="I374" s="134"/>
      <c r="J374" s="135"/>
      <c r="K374" s="135">
        <f>D374</f>
        <v>40</v>
      </c>
      <c r="L374" s="134">
        <f>K374</f>
        <v>40</v>
      </c>
      <c r="M374" s="136"/>
    </row>
    <row r="375" spans="1:13" s="131" customFormat="1" ht="12.75">
      <c r="A375" s="139"/>
      <c r="B375" s="140"/>
      <c r="C375" s="141"/>
      <c r="D375" s="142"/>
      <c r="E375" s="143"/>
      <c r="F375" s="142"/>
      <c r="G375" s="142"/>
      <c r="H375" s="143"/>
      <c r="I375" s="143"/>
      <c r="J375" s="144"/>
      <c r="K375" s="144"/>
      <c r="L375" s="142"/>
      <c r="M375" s="145"/>
    </row>
    <row r="376" spans="1:13" ht="12.75">
      <c r="A376" s="184" t="str">
        <f>'BM02'!A153</f>
        <v>1.12.3</v>
      </c>
      <c r="B376" s="211" t="str">
        <f>'BM02'!B153</f>
        <v>Caixa de inspeção 0.60 x 0.60 x 0.60m</v>
      </c>
      <c r="C376" s="212"/>
      <c r="D376" s="212"/>
      <c r="E376" s="212"/>
      <c r="F376" s="212"/>
      <c r="G376" s="212"/>
      <c r="H376" s="212"/>
      <c r="I376" s="212"/>
      <c r="J376" s="212"/>
      <c r="K376" s="213"/>
      <c r="L376" s="129">
        <f>L377</f>
        <v>2</v>
      </c>
      <c r="M376" s="130" t="str">
        <f>'BM02'!C153</f>
        <v>un</v>
      </c>
    </row>
    <row r="377" spans="1:13" s="131" customFormat="1" ht="12.75">
      <c r="A377" s="132"/>
      <c r="B377" s="209" t="s">
        <v>561</v>
      </c>
      <c r="C377" s="210"/>
      <c r="D377" s="134">
        <v>2</v>
      </c>
      <c r="E377" s="134"/>
      <c r="F377" s="134"/>
      <c r="G377" s="134"/>
      <c r="H377" s="134"/>
      <c r="I377" s="134"/>
      <c r="J377" s="135"/>
      <c r="K377" s="135">
        <f>D377</f>
        <v>2</v>
      </c>
      <c r="L377" s="134">
        <f>K377</f>
        <v>2</v>
      </c>
      <c r="M377" s="136"/>
    </row>
    <row r="378" spans="1:13" s="131" customFormat="1" ht="12.75">
      <c r="A378" s="139"/>
      <c r="B378" s="140"/>
      <c r="C378" s="141"/>
      <c r="D378" s="142"/>
      <c r="E378" s="143"/>
      <c r="F378" s="142"/>
      <c r="G378" s="142"/>
      <c r="H378" s="143"/>
      <c r="I378" s="143"/>
      <c r="J378" s="144"/>
      <c r="K378" s="144"/>
      <c r="L378" s="142"/>
      <c r="M378" s="145"/>
    </row>
    <row r="379" spans="1:13" ht="12.75">
      <c r="A379" s="184" t="str">
        <f>'BM02'!A154</f>
        <v>1.12.4</v>
      </c>
      <c r="B379" s="211" t="str">
        <f>'BM02'!B154</f>
        <v>Caixa de inspeção 0,30 x 0,30 x 0,40m</v>
      </c>
      <c r="C379" s="212"/>
      <c r="D379" s="212"/>
      <c r="E379" s="212"/>
      <c r="F379" s="212"/>
      <c r="G379" s="212"/>
      <c r="H379" s="212"/>
      <c r="I379" s="212"/>
      <c r="J379" s="212"/>
      <c r="K379" s="213"/>
      <c r="L379" s="129">
        <f>L380</f>
        <v>1</v>
      </c>
      <c r="M379" s="130" t="str">
        <f>'BM02'!C154</f>
        <v>un</v>
      </c>
    </row>
    <row r="380" spans="1:13" s="131" customFormat="1" ht="12.75">
      <c r="A380" s="132"/>
      <c r="B380" s="209" t="s">
        <v>562</v>
      </c>
      <c r="C380" s="210"/>
      <c r="D380" s="134">
        <v>1</v>
      </c>
      <c r="E380" s="134"/>
      <c r="F380" s="134"/>
      <c r="G380" s="134"/>
      <c r="H380" s="134"/>
      <c r="I380" s="134"/>
      <c r="J380" s="135"/>
      <c r="K380" s="135">
        <f>D380</f>
        <v>1</v>
      </c>
      <c r="L380" s="134">
        <f>K380</f>
        <v>1</v>
      </c>
      <c r="M380" s="136"/>
    </row>
    <row r="381" spans="1:13" s="131" customFormat="1" ht="12.75">
      <c r="A381" s="139"/>
      <c r="B381" s="140"/>
      <c r="C381" s="141"/>
      <c r="D381" s="142"/>
      <c r="E381" s="143"/>
      <c r="F381" s="142"/>
      <c r="G381" s="142"/>
      <c r="H381" s="143"/>
      <c r="I381" s="143"/>
      <c r="J381" s="144"/>
      <c r="K381" s="144"/>
      <c r="L381" s="142"/>
      <c r="M381" s="145"/>
    </row>
    <row r="382" spans="1:13" ht="12.75">
      <c r="A382" s="184" t="str">
        <f>'BM02'!A155</f>
        <v>1.12.5</v>
      </c>
      <c r="B382" s="211" t="str">
        <f>'BM02'!B155</f>
        <v>Caixa de passagem em alvenaria de tijolos maciços esp. = 0,12m, dim. int. = 0.50 x 0.50 x 0.50m</v>
      </c>
      <c r="C382" s="212"/>
      <c r="D382" s="212"/>
      <c r="E382" s="212"/>
      <c r="F382" s="212"/>
      <c r="G382" s="212"/>
      <c r="H382" s="212"/>
      <c r="I382" s="212"/>
      <c r="J382" s="212"/>
      <c r="K382" s="213"/>
      <c r="L382" s="129">
        <f>L383</f>
        <v>4</v>
      </c>
      <c r="M382" s="130" t="str">
        <f>'BM02'!C155</f>
        <v>un</v>
      </c>
    </row>
    <row r="383" spans="1:13" s="131" customFormat="1" ht="37.5" customHeight="1">
      <c r="A383" s="132"/>
      <c r="B383" s="209" t="s">
        <v>563</v>
      </c>
      <c r="C383" s="210"/>
      <c r="D383" s="134">
        <f>3+1</f>
        <v>4</v>
      </c>
      <c r="E383" s="134"/>
      <c r="F383" s="134"/>
      <c r="G383" s="134"/>
      <c r="H383" s="134"/>
      <c r="I383" s="134"/>
      <c r="J383" s="135"/>
      <c r="K383" s="135">
        <f>D383</f>
        <v>4</v>
      </c>
      <c r="L383" s="134">
        <f>K383</f>
        <v>4</v>
      </c>
      <c r="M383" s="136"/>
    </row>
    <row r="384" spans="1:13" s="131" customFormat="1" ht="12.75">
      <c r="A384" s="139"/>
      <c r="B384" s="140"/>
      <c r="C384" s="141"/>
      <c r="D384" s="142"/>
      <c r="E384" s="143"/>
      <c r="F384" s="142"/>
      <c r="G384" s="142"/>
      <c r="H384" s="143"/>
      <c r="I384" s="143"/>
      <c r="J384" s="144"/>
      <c r="K384" s="144"/>
      <c r="L384" s="142"/>
      <c r="M384" s="145"/>
    </row>
    <row r="385" spans="1:13" ht="12.75">
      <c r="A385" s="184" t="str">
        <f>'BM02'!A156</f>
        <v>1.12.6</v>
      </c>
      <c r="B385" s="211" t="str">
        <f>'BM02'!B156</f>
        <v>Ponto de esgoto com tubo de pvc rígido soldável de Ø 40 mm (lavatórios, mictórios, ralos sifonados, etc...)</v>
      </c>
      <c r="C385" s="212"/>
      <c r="D385" s="212"/>
      <c r="E385" s="212"/>
      <c r="F385" s="212"/>
      <c r="G385" s="212"/>
      <c r="H385" s="212"/>
      <c r="I385" s="212"/>
      <c r="J385" s="212"/>
      <c r="K385" s="213"/>
      <c r="L385" s="129">
        <f>SUM(L386:L386)</f>
        <v>0</v>
      </c>
      <c r="M385" s="130" t="str">
        <f>'BM02'!C156</f>
        <v>un</v>
      </c>
    </row>
    <row r="386" spans="1:13" s="131" customFormat="1" ht="12.75">
      <c r="A386" s="132"/>
      <c r="B386" s="209"/>
      <c r="C386" s="210"/>
      <c r="D386" s="134"/>
      <c r="E386" s="134"/>
      <c r="F386" s="134"/>
      <c r="G386" s="134"/>
      <c r="H386" s="134"/>
      <c r="I386" s="134"/>
      <c r="J386" s="135"/>
      <c r="K386" s="135"/>
      <c r="L386" s="134"/>
      <c r="M386" s="136"/>
    </row>
    <row r="387" spans="1:13" s="131" customFormat="1" ht="12.75">
      <c r="A387" s="139"/>
      <c r="B387" s="140"/>
      <c r="C387" s="141"/>
      <c r="D387" s="142"/>
      <c r="E387" s="143"/>
      <c r="F387" s="142"/>
      <c r="G387" s="142"/>
      <c r="H387" s="143"/>
      <c r="I387" s="143"/>
      <c r="J387" s="144"/>
      <c r="K387" s="144"/>
      <c r="L387" s="142"/>
      <c r="M387" s="145"/>
    </row>
    <row r="388" spans="1:13" ht="12.75">
      <c r="A388" s="184" t="str">
        <f>'BM02'!A157</f>
        <v>1.12.7</v>
      </c>
      <c r="B388" s="211" t="str">
        <f>'BM02'!B157</f>
        <v>Ponto de esgoto com tubo de pvc rígido soldável de Ø 50 mm (pias de cozinha, máquinas de lavar, etc...)</v>
      </c>
      <c r="C388" s="212"/>
      <c r="D388" s="212"/>
      <c r="E388" s="212"/>
      <c r="F388" s="212"/>
      <c r="G388" s="212"/>
      <c r="H388" s="212"/>
      <c r="I388" s="212"/>
      <c r="J388" s="212"/>
      <c r="K388" s="213"/>
      <c r="L388" s="129">
        <f>SUM(L389:L389)</f>
        <v>0</v>
      </c>
      <c r="M388" s="130" t="str">
        <f>'BM02'!C157</f>
        <v>un</v>
      </c>
    </row>
    <row r="389" spans="1:13" s="131" customFormat="1" ht="12.75">
      <c r="A389" s="132"/>
      <c r="B389" s="209"/>
      <c r="C389" s="210"/>
      <c r="D389" s="134"/>
      <c r="E389" s="134"/>
      <c r="F389" s="134"/>
      <c r="G389" s="134"/>
      <c r="H389" s="134"/>
      <c r="I389" s="134"/>
      <c r="J389" s="135"/>
      <c r="K389" s="135"/>
      <c r="L389" s="134"/>
      <c r="M389" s="136"/>
    </row>
    <row r="390" spans="1:13" s="131" customFormat="1" ht="12.75">
      <c r="A390" s="139"/>
      <c r="B390" s="140"/>
      <c r="C390" s="141"/>
      <c r="D390" s="142"/>
      <c r="E390" s="143"/>
      <c r="F390" s="142"/>
      <c r="G390" s="142"/>
      <c r="H390" s="143"/>
      <c r="I390" s="143"/>
      <c r="J390" s="144"/>
      <c r="K390" s="144"/>
      <c r="L390" s="142"/>
      <c r="M390" s="145"/>
    </row>
    <row r="391" spans="1:13" ht="12.75">
      <c r="A391" s="184" t="str">
        <f>'BM02'!A158</f>
        <v>1.12.8</v>
      </c>
      <c r="B391" s="211" t="str">
        <f>'BM02'!B158</f>
        <v>Ponto de esgoto com tubo de pvc rígido soldável de Ø 100 mm (vaso sanitário)</v>
      </c>
      <c r="C391" s="212"/>
      <c r="D391" s="212"/>
      <c r="E391" s="212"/>
      <c r="F391" s="212"/>
      <c r="G391" s="212"/>
      <c r="H391" s="212"/>
      <c r="I391" s="212"/>
      <c r="J391" s="212"/>
      <c r="K391" s="213"/>
      <c r="L391" s="129">
        <f>SUM(L392:L392)</f>
        <v>0</v>
      </c>
      <c r="M391" s="130" t="str">
        <f>'BM02'!C158</f>
        <v>pt</v>
      </c>
    </row>
    <row r="392" spans="1:13" s="131" customFormat="1" ht="12.75">
      <c r="A392" s="132"/>
      <c r="B392" s="209"/>
      <c r="C392" s="210"/>
      <c r="D392" s="134"/>
      <c r="E392" s="134"/>
      <c r="F392" s="134"/>
      <c r="G392" s="134"/>
      <c r="H392" s="134"/>
      <c r="I392" s="134"/>
      <c r="J392" s="135"/>
      <c r="K392" s="135"/>
      <c r="L392" s="134"/>
      <c r="M392" s="136"/>
    </row>
    <row r="393" spans="1:13" s="131" customFormat="1" ht="13.5" thickBot="1">
      <c r="A393" s="139"/>
      <c r="B393" s="140"/>
      <c r="C393" s="141"/>
      <c r="D393" s="142"/>
      <c r="E393" s="143"/>
      <c r="F393" s="142"/>
      <c r="G393" s="142"/>
      <c r="H393" s="143"/>
      <c r="I393" s="143"/>
      <c r="J393" s="144"/>
      <c r="K393" s="144"/>
      <c r="L393" s="142"/>
      <c r="M393" s="145"/>
    </row>
    <row r="394" spans="1:13" ht="13.5" thickBot="1">
      <c r="A394" s="121" t="str">
        <f>'BM02'!A160</f>
        <v>1.13</v>
      </c>
      <c r="B394" s="122" t="str">
        <f>'BM02'!B160</f>
        <v>INSTALAÇÕES ELÉTRICAS, TELEFONICAS E MECANICAS</v>
      </c>
      <c r="C394" s="122"/>
      <c r="D394" s="122"/>
      <c r="E394" s="122"/>
      <c r="F394" s="122"/>
      <c r="G394" s="122"/>
      <c r="H394" s="122"/>
      <c r="I394" s="122"/>
      <c r="J394" s="122"/>
      <c r="K394" s="122"/>
      <c r="L394" s="122"/>
      <c r="M394" s="123"/>
    </row>
    <row r="395" spans="1:13" ht="12.75">
      <c r="A395" s="124"/>
      <c r="B395" s="125"/>
      <c r="C395" s="125"/>
      <c r="D395" s="125"/>
      <c r="E395" s="125"/>
      <c r="F395" s="125"/>
      <c r="G395" s="125"/>
      <c r="H395" s="125"/>
      <c r="I395" s="125"/>
      <c r="J395" s="125"/>
      <c r="K395" s="126"/>
      <c r="L395" s="125"/>
      <c r="M395" s="127"/>
    </row>
    <row r="396" spans="1:13" ht="12.75">
      <c r="A396" s="184" t="str">
        <f>'BM02'!A162</f>
        <v>1.13.1</v>
      </c>
      <c r="B396" s="211" t="str">
        <f>'BM02'!B162</f>
        <v>Caixa de passagem em alvenaria de tijolos maciços esp. = 0,12m, dim. int. = 0.50 x 0.50 x 0.50m</v>
      </c>
      <c r="C396" s="212"/>
      <c r="D396" s="212"/>
      <c r="E396" s="212"/>
      <c r="F396" s="212"/>
      <c r="G396" s="212"/>
      <c r="H396" s="212"/>
      <c r="I396" s="212"/>
      <c r="J396" s="212"/>
      <c r="K396" s="213"/>
      <c r="L396" s="129">
        <f>L397</f>
        <v>0</v>
      </c>
      <c r="M396" s="185" t="str">
        <f>'BM02'!C162</f>
        <v>un</v>
      </c>
    </row>
    <row r="397" spans="1:13" s="131" customFormat="1" ht="12.75">
      <c r="A397" s="132"/>
      <c r="B397" s="209"/>
      <c r="C397" s="210"/>
      <c r="D397" s="134"/>
      <c r="E397" s="134"/>
      <c r="F397" s="134"/>
      <c r="G397" s="134"/>
      <c r="H397" s="134"/>
      <c r="I397" s="134"/>
      <c r="J397" s="135"/>
      <c r="K397" s="135"/>
      <c r="L397" s="134">
        <f>ROUND(D397*K397,2)</f>
        <v>0</v>
      </c>
      <c r="M397" s="136"/>
    </row>
    <row r="398" spans="1:13" s="131" customFormat="1" ht="12.75">
      <c r="A398" s="139"/>
      <c r="B398" s="140"/>
      <c r="C398" s="141"/>
      <c r="D398" s="142"/>
      <c r="E398" s="143"/>
      <c r="F398" s="142"/>
      <c r="G398" s="142"/>
      <c r="H398" s="143"/>
      <c r="I398" s="143"/>
      <c r="J398" s="144"/>
      <c r="K398" s="144"/>
      <c r="L398" s="142"/>
      <c r="M398" s="145"/>
    </row>
    <row r="399" spans="1:13" ht="12.75">
      <c r="A399" s="184" t="str">
        <f>'BM02'!A163</f>
        <v>1.13.2</v>
      </c>
      <c r="B399" s="211" t="str">
        <f>'BM02'!B163</f>
        <v>Caixa de passagem em alvenaria de tijolos maciços esp. = 0,12m, dim. int. = 0.60 x 0.60 x 0.60m</v>
      </c>
      <c r="C399" s="212"/>
      <c r="D399" s="212"/>
      <c r="E399" s="212"/>
      <c r="F399" s="212"/>
      <c r="G399" s="212"/>
      <c r="H399" s="212"/>
      <c r="I399" s="212"/>
      <c r="J399" s="212"/>
      <c r="K399" s="213"/>
      <c r="L399" s="129">
        <f>L400</f>
        <v>0</v>
      </c>
      <c r="M399" s="185" t="str">
        <f>'BM02'!C163</f>
        <v>un</v>
      </c>
    </row>
    <row r="400" spans="1:13" s="131" customFormat="1" ht="12.75">
      <c r="A400" s="132"/>
      <c r="B400" s="209"/>
      <c r="C400" s="210"/>
      <c r="D400" s="134"/>
      <c r="E400" s="134"/>
      <c r="F400" s="134"/>
      <c r="G400" s="134"/>
      <c r="H400" s="134"/>
      <c r="I400" s="134"/>
      <c r="J400" s="135"/>
      <c r="K400" s="135"/>
      <c r="L400" s="134">
        <f>ROUND(D400*K400,2)</f>
        <v>0</v>
      </c>
      <c r="M400" s="136"/>
    </row>
    <row r="401" spans="1:13" s="131" customFormat="1" ht="12.75">
      <c r="A401" s="139"/>
      <c r="B401" s="140"/>
      <c r="C401" s="141"/>
      <c r="D401" s="142"/>
      <c r="E401" s="143"/>
      <c r="F401" s="142"/>
      <c r="G401" s="142"/>
      <c r="H401" s="143"/>
      <c r="I401" s="143"/>
      <c r="J401" s="144"/>
      <c r="K401" s="144"/>
      <c r="L401" s="142"/>
      <c r="M401" s="145"/>
    </row>
    <row r="402" spans="1:13" ht="13.5" thickBot="1">
      <c r="A402" s="184" t="str">
        <f>'BM02'!A164</f>
        <v>1.13.3</v>
      </c>
      <c r="B402" s="211" t="str">
        <f>'BM02'!B164</f>
        <v>DISJUNTOR TRIPOLAR TIPO DIN, CORRENTE NOMINAL DE 10A - FORNECIMENTO E INSTALAÇÃO. AF_10/2020</v>
      </c>
      <c r="C402" s="212"/>
      <c r="D402" s="212"/>
      <c r="E402" s="212"/>
      <c r="F402" s="212"/>
      <c r="G402" s="212"/>
      <c r="H402" s="212"/>
      <c r="I402" s="212"/>
      <c r="J402" s="212"/>
      <c r="K402" s="213"/>
      <c r="L402" s="129">
        <f>L403</f>
        <v>0</v>
      </c>
      <c r="M402" s="185" t="str">
        <f>'BM02'!C164</f>
        <v>un</v>
      </c>
    </row>
    <row r="403" spans="1:13" s="131" customFormat="1" ht="13.5" thickBot="1">
      <c r="A403" s="132"/>
      <c r="B403" s="209"/>
      <c r="C403" s="210"/>
      <c r="D403" s="134"/>
      <c r="E403" s="134"/>
      <c r="F403" s="134"/>
      <c r="G403" s="134"/>
      <c r="H403" s="134"/>
      <c r="I403" s="134"/>
      <c r="J403" s="135"/>
      <c r="K403" s="135"/>
      <c r="L403" s="134">
        <f>ROUND(D403*K403,2)</f>
        <v>0</v>
      </c>
      <c r="M403" s="136"/>
    </row>
    <row r="404" spans="1:13" s="131" customFormat="1" ht="12.75">
      <c r="A404" s="139"/>
      <c r="B404" s="140"/>
      <c r="C404" s="141"/>
      <c r="D404" s="142"/>
      <c r="E404" s="143"/>
      <c r="F404" s="142"/>
      <c r="G404" s="142"/>
      <c r="H404" s="143"/>
      <c r="I404" s="143"/>
      <c r="J404" s="144"/>
      <c r="K404" s="144"/>
      <c r="L404" s="142"/>
      <c r="M404" s="145"/>
    </row>
    <row r="405" spans="1:13" ht="12.75">
      <c r="A405" s="184" t="str">
        <f>'BM02'!A165</f>
        <v>1.13.4</v>
      </c>
      <c r="B405" s="211" t="str">
        <f>'BM02'!B165</f>
        <v>DISJUNTOR TRIPOLAR TIPO DIN, CORRENTE NOMINAL DE 25A - FORNECIMENTO E INSTALAÇÃO. AF_10/2020</v>
      </c>
      <c r="C405" s="212"/>
      <c r="D405" s="212"/>
      <c r="E405" s="212"/>
      <c r="F405" s="212"/>
      <c r="G405" s="212"/>
      <c r="H405" s="212"/>
      <c r="I405" s="212"/>
      <c r="J405" s="212"/>
      <c r="K405" s="213"/>
      <c r="L405" s="129">
        <f>L406</f>
        <v>0</v>
      </c>
      <c r="M405" s="185" t="str">
        <f>'BM02'!C165</f>
        <v>un</v>
      </c>
    </row>
    <row r="406" spans="1:13" s="131" customFormat="1" ht="12.75">
      <c r="A406" s="132"/>
      <c r="B406" s="209"/>
      <c r="C406" s="210"/>
      <c r="D406" s="134"/>
      <c r="E406" s="134"/>
      <c r="F406" s="134"/>
      <c r="G406" s="134"/>
      <c r="H406" s="134"/>
      <c r="I406" s="134"/>
      <c r="J406" s="135"/>
      <c r="K406" s="135"/>
      <c r="L406" s="134">
        <f>ROUND(D406*K406,2)</f>
        <v>0</v>
      </c>
      <c r="M406" s="136"/>
    </row>
    <row r="407" spans="1:13" s="131" customFormat="1" ht="12.75">
      <c r="A407" s="139"/>
      <c r="B407" s="140"/>
      <c r="C407" s="141"/>
      <c r="D407" s="142"/>
      <c r="E407" s="143"/>
      <c r="F407" s="142"/>
      <c r="G407" s="142"/>
      <c r="H407" s="143"/>
      <c r="I407" s="143"/>
      <c r="J407" s="144"/>
      <c r="K407" s="144"/>
      <c r="L407" s="142"/>
      <c r="M407" s="145"/>
    </row>
    <row r="408" spans="1:13" ht="30" customHeight="1">
      <c r="A408" s="128" t="str">
        <f>'BM02'!A166</f>
        <v>1.13.5</v>
      </c>
      <c r="B408" s="211" t="str">
        <f>'BM02'!B166</f>
        <v>DISPOSITIVO DPS CLASSE II, 1 POLO, TENSÃO MAXIMA DE 220/380V, CORRENTE NOMINAL &gt; 20KA TIPO AC - SINAPI (74130/001)</v>
      </c>
      <c r="C408" s="212"/>
      <c r="D408" s="212"/>
      <c r="E408" s="212"/>
      <c r="F408" s="212"/>
      <c r="G408" s="212"/>
      <c r="H408" s="212"/>
      <c r="I408" s="212"/>
      <c r="J408" s="212"/>
      <c r="K408" s="213"/>
      <c r="L408" s="129">
        <f>L409</f>
        <v>0</v>
      </c>
      <c r="M408" s="185" t="str">
        <f>'BM02'!C166</f>
        <v>un</v>
      </c>
    </row>
    <row r="409" spans="1:13" s="131" customFormat="1" ht="12.75">
      <c r="A409" s="132"/>
      <c r="B409" s="209"/>
      <c r="C409" s="210"/>
      <c r="D409" s="134"/>
      <c r="E409" s="134"/>
      <c r="F409" s="134"/>
      <c r="G409" s="134"/>
      <c r="H409" s="134"/>
      <c r="I409" s="134"/>
      <c r="J409" s="135"/>
      <c r="K409" s="135"/>
      <c r="L409" s="134">
        <f>ROUND(D409*K409,2)</f>
        <v>0</v>
      </c>
      <c r="M409" s="136"/>
    </row>
    <row r="410" spans="1:13" s="131" customFormat="1" ht="12.75">
      <c r="A410" s="139"/>
      <c r="B410" s="140"/>
      <c r="C410" s="141"/>
      <c r="D410" s="142"/>
      <c r="E410" s="143"/>
      <c r="F410" s="142"/>
      <c r="G410" s="142"/>
      <c r="H410" s="143"/>
      <c r="I410" s="143"/>
      <c r="J410" s="144"/>
      <c r="K410" s="144"/>
      <c r="L410" s="142"/>
      <c r="M410" s="145"/>
    </row>
    <row r="411" spans="1:13" ht="12.75">
      <c r="A411" s="184" t="str">
        <f>'BM02'!A167</f>
        <v>1.13.6</v>
      </c>
      <c r="B411" s="211" t="str">
        <f>'BM02'!B167</f>
        <v>DISJUNTOR BIPOLAR TIPO DIN, CORRENTE NOMINAL DE 50A - FORNECIMENTO E INSTALAÇÃO. AF_10/2020</v>
      </c>
      <c r="C411" s="212"/>
      <c r="D411" s="212"/>
      <c r="E411" s="212"/>
      <c r="F411" s="212"/>
      <c r="G411" s="212"/>
      <c r="H411" s="212"/>
      <c r="I411" s="212"/>
      <c r="J411" s="212"/>
      <c r="K411" s="213"/>
      <c r="L411" s="129">
        <f>L412</f>
        <v>0</v>
      </c>
      <c r="M411" s="185" t="str">
        <f>'BM02'!C167</f>
        <v>un</v>
      </c>
    </row>
    <row r="412" spans="1:13" s="131" customFormat="1" ht="12.75">
      <c r="A412" s="132"/>
      <c r="B412" s="209"/>
      <c r="C412" s="210"/>
      <c r="D412" s="134"/>
      <c r="E412" s="134"/>
      <c r="F412" s="134"/>
      <c r="G412" s="134"/>
      <c r="H412" s="134"/>
      <c r="I412" s="134"/>
      <c r="J412" s="135"/>
      <c r="K412" s="135"/>
      <c r="L412" s="134">
        <f>ROUND(D412*K412,2)</f>
        <v>0</v>
      </c>
      <c r="M412" s="136"/>
    </row>
    <row r="413" spans="1:13" s="131" customFormat="1" ht="12.75">
      <c r="A413" s="139"/>
      <c r="B413" s="140"/>
      <c r="C413" s="141"/>
      <c r="D413" s="142"/>
      <c r="E413" s="143"/>
      <c r="F413" s="142"/>
      <c r="G413" s="142"/>
      <c r="H413" s="143"/>
      <c r="I413" s="143"/>
      <c r="J413" s="144"/>
      <c r="K413" s="144"/>
      <c r="L413" s="142"/>
      <c r="M413" s="145"/>
    </row>
    <row r="414" spans="1:13" ht="12.75">
      <c r="A414" s="184" t="str">
        <f>'BM02'!A168</f>
        <v>1.13.7</v>
      </c>
      <c r="B414" s="211" t="str">
        <f>'BM02'!B168</f>
        <v>DISJUNTOR TRIPOLAR TIPO NEMA, CORRENTE NOMINAL DE 10 ATÉ 50A - FORNECIMENTO E INSTALAÇÃO. AF_10/2020</v>
      </c>
      <c r="C414" s="212"/>
      <c r="D414" s="212"/>
      <c r="E414" s="212"/>
      <c r="F414" s="212"/>
      <c r="G414" s="212"/>
      <c r="H414" s="212"/>
      <c r="I414" s="212"/>
      <c r="J414" s="212"/>
      <c r="K414" s="213"/>
      <c r="L414" s="129">
        <f>L415</f>
        <v>0</v>
      </c>
      <c r="M414" s="185" t="str">
        <f>'BM02'!C168</f>
        <v>un</v>
      </c>
    </row>
    <row r="415" spans="1:13" s="131" customFormat="1" ht="12.75">
      <c r="A415" s="132"/>
      <c r="B415" s="209"/>
      <c r="C415" s="210"/>
      <c r="D415" s="134"/>
      <c r="E415" s="134"/>
      <c r="F415" s="134"/>
      <c r="G415" s="134"/>
      <c r="H415" s="134"/>
      <c r="I415" s="134"/>
      <c r="J415" s="135"/>
      <c r="K415" s="135"/>
      <c r="L415" s="134">
        <f>ROUND(D415*K415,2)</f>
        <v>0</v>
      </c>
      <c r="M415" s="136"/>
    </row>
    <row r="416" spans="1:13" s="131" customFormat="1" ht="12.75">
      <c r="A416" s="139"/>
      <c r="B416" s="140"/>
      <c r="C416" s="141"/>
      <c r="D416" s="142"/>
      <c r="E416" s="143"/>
      <c r="F416" s="142"/>
      <c r="G416" s="142"/>
      <c r="H416" s="143"/>
      <c r="I416" s="143"/>
      <c r="J416" s="144"/>
      <c r="K416" s="144"/>
      <c r="L416" s="142"/>
      <c r="M416" s="145"/>
    </row>
    <row r="417" spans="1:13" ht="30" customHeight="1">
      <c r="A417" s="128" t="str">
        <f>'BM02'!A169</f>
        <v>1.13.8</v>
      </c>
      <c r="B417" s="211" t="str">
        <f>'BM02'!B169</f>
        <v>INTERRUPTOR SIMPLES (1 MÓDULO), 10A/250V, INCLUINDO SUPORTE E PLACA - FORNECIMENTO E INSTALAÇÃO. AF_12/2015</v>
      </c>
      <c r="C417" s="212"/>
      <c r="D417" s="212"/>
      <c r="E417" s="212"/>
      <c r="F417" s="212"/>
      <c r="G417" s="212"/>
      <c r="H417" s="212"/>
      <c r="I417" s="212"/>
      <c r="J417" s="212"/>
      <c r="K417" s="213"/>
      <c r="L417" s="129">
        <f>L418</f>
        <v>0</v>
      </c>
      <c r="M417" s="185" t="str">
        <f>'BM02'!C169</f>
        <v>un</v>
      </c>
    </row>
    <row r="418" spans="1:13" s="131" customFormat="1" ht="12.75">
      <c r="A418" s="132"/>
      <c r="B418" s="209"/>
      <c r="C418" s="210"/>
      <c r="D418" s="134"/>
      <c r="E418" s="134"/>
      <c r="F418" s="134"/>
      <c r="G418" s="134"/>
      <c r="H418" s="134"/>
      <c r="I418" s="134"/>
      <c r="J418" s="135"/>
      <c r="K418" s="135"/>
      <c r="L418" s="134">
        <f>ROUND(D418*K418,2)</f>
        <v>0</v>
      </c>
      <c r="M418" s="136"/>
    </row>
    <row r="419" spans="1:13" s="131" customFormat="1" ht="12.75">
      <c r="A419" s="139"/>
      <c r="B419" s="140"/>
      <c r="C419" s="141"/>
      <c r="D419" s="142"/>
      <c r="E419" s="143"/>
      <c r="F419" s="142"/>
      <c r="G419" s="142"/>
      <c r="H419" s="143"/>
      <c r="I419" s="143"/>
      <c r="J419" s="144"/>
      <c r="K419" s="144"/>
      <c r="L419" s="142"/>
      <c r="M419" s="145"/>
    </row>
    <row r="420" spans="1:13" ht="30" customHeight="1">
      <c r="A420" s="128" t="str">
        <f>'BM02'!A170</f>
        <v>1.13.9</v>
      </c>
      <c r="B420" s="211" t="str">
        <f>'BM02'!B170</f>
        <v>INTERRUPTOR SIMPLES (2 MÓDULOS), 10A/250V, INCLUINDO SUPORTE E PLACA - FORNECIMENTO E INSTALAÇÃO. AF_12/2015</v>
      </c>
      <c r="C420" s="212"/>
      <c r="D420" s="212"/>
      <c r="E420" s="212"/>
      <c r="F420" s="212"/>
      <c r="G420" s="212"/>
      <c r="H420" s="212"/>
      <c r="I420" s="212"/>
      <c r="J420" s="212"/>
      <c r="K420" s="213"/>
      <c r="L420" s="129">
        <f>L421</f>
        <v>0</v>
      </c>
      <c r="M420" s="185" t="str">
        <f>'BM02'!C170</f>
        <v>un</v>
      </c>
    </row>
    <row r="421" spans="1:13" s="131" customFormat="1" ht="12.75">
      <c r="A421" s="132"/>
      <c r="B421" s="209"/>
      <c r="C421" s="210"/>
      <c r="D421" s="134"/>
      <c r="E421" s="134"/>
      <c r="F421" s="134"/>
      <c r="G421" s="134"/>
      <c r="H421" s="134"/>
      <c r="I421" s="134"/>
      <c r="J421" s="135"/>
      <c r="K421" s="135"/>
      <c r="L421" s="134">
        <f>ROUND(D421*K421,2)</f>
        <v>0</v>
      </c>
      <c r="M421" s="136"/>
    </row>
    <row r="422" spans="1:13" s="131" customFormat="1" ht="12.75">
      <c r="A422" s="139"/>
      <c r="B422" s="140"/>
      <c r="C422" s="141"/>
      <c r="D422" s="142"/>
      <c r="E422" s="143"/>
      <c r="F422" s="142"/>
      <c r="G422" s="142"/>
      <c r="H422" s="143"/>
      <c r="I422" s="143"/>
      <c r="J422" s="144"/>
      <c r="K422" s="144"/>
      <c r="L422" s="142"/>
      <c r="M422" s="145"/>
    </row>
    <row r="423" spans="1:13" ht="30" customHeight="1">
      <c r="A423" s="128" t="str">
        <f>'BM02'!A171</f>
        <v>1.13.10</v>
      </c>
      <c r="B423" s="211" t="str">
        <f>'BM02'!B171</f>
        <v>LUMINÁRIA TIPO CALHA, DE SOBREPOR, COM 2 LÂMPADAS TUBULARES FLUORESCENTES DE 18 W, COM REATOR DE PARTIDA RÁPIDA - FORNECIMENTO E INSTALAÇÃO. AF_02/2020</v>
      </c>
      <c r="C423" s="212"/>
      <c r="D423" s="212"/>
      <c r="E423" s="212"/>
      <c r="F423" s="212"/>
      <c r="G423" s="212"/>
      <c r="H423" s="212"/>
      <c r="I423" s="212"/>
      <c r="J423" s="212"/>
      <c r="K423" s="213"/>
      <c r="L423" s="129">
        <f>L424</f>
        <v>0</v>
      </c>
      <c r="M423" s="185" t="str">
        <f>'BM02'!C171</f>
        <v>un</v>
      </c>
    </row>
    <row r="424" spans="1:13" s="131" customFormat="1" ht="12.75">
      <c r="A424" s="132"/>
      <c r="B424" s="209"/>
      <c r="C424" s="210"/>
      <c r="D424" s="134"/>
      <c r="E424" s="134"/>
      <c r="F424" s="134"/>
      <c r="G424" s="134"/>
      <c r="H424" s="134"/>
      <c r="I424" s="134"/>
      <c r="J424" s="135"/>
      <c r="K424" s="135"/>
      <c r="L424" s="134">
        <f>ROUND(D424*K424,2)</f>
        <v>0</v>
      </c>
      <c r="M424" s="136"/>
    </row>
    <row r="425" spans="1:13" s="131" customFormat="1" ht="12.75">
      <c r="A425" s="139"/>
      <c r="B425" s="140"/>
      <c r="C425" s="141"/>
      <c r="D425" s="142"/>
      <c r="E425" s="143"/>
      <c r="F425" s="142"/>
      <c r="G425" s="142"/>
      <c r="H425" s="143"/>
      <c r="I425" s="143"/>
      <c r="J425" s="144"/>
      <c r="K425" s="144"/>
      <c r="L425" s="142"/>
      <c r="M425" s="145"/>
    </row>
    <row r="426" spans="1:13" ht="30" customHeight="1">
      <c r="A426" s="128" t="str">
        <f>'BM02'!A172</f>
        <v>1.13.11</v>
      </c>
      <c r="B426" s="211" t="str">
        <f>'BM02'!B172</f>
        <v>LUMINÁRIA TIPO CALHA, DE SOBREPOR, COM 2 LÂMPADAS TUBULARES FLUORESCENTES DE 36 W, COM REATOR DE PARTIDA RÁPIDA - FORNECIMENTO E INSTALAÇÃO. AF_02/2020</v>
      </c>
      <c r="C426" s="212"/>
      <c r="D426" s="212"/>
      <c r="E426" s="212"/>
      <c r="F426" s="212"/>
      <c r="G426" s="212"/>
      <c r="H426" s="212"/>
      <c r="I426" s="212"/>
      <c r="J426" s="212"/>
      <c r="K426" s="213"/>
      <c r="L426" s="129">
        <f>L427</f>
        <v>0</v>
      </c>
      <c r="M426" s="185" t="str">
        <f>'BM02'!C172</f>
        <v>un</v>
      </c>
    </row>
    <row r="427" spans="1:13" s="131" customFormat="1" ht="12.75">
      <c r="A427" s="132"/>
      <c r="B427" s="209"/>
      <c r="C427" s="210"/>
      <c r="D427" s="134"/>
      <c r="E427" s="134"/>
      <c r="F427" s="134"/>
      <c r="G427" s="134"/>
      <c r="H427" s="134"/>
      <c r="I427" s="134"/>
      <c r="J427" s="135"/>
      <c r="K427" s="135"/>
      <c r="L427" s="134">
        <f>ROUND(D427*K427,2)</f>
        <v>0</v>
      </c>
      <c r="M427" s="136"/>
    </row>
    <row r="428" spans="1:13" s="131" customFormat="1" ht="12.75">
      <c r="A428" s="139"/>
      <c r="B428" s="140"/>
      <c r="C428" s="141"/>
      <c r="D428" s="142"/>
      <c r="E428" s="143"/>
      <c r="F428" s="142"/>
      <c r="G428" s="142"/>
      <c r="H428" s="143"/>
      <c r="I428" s="143"/>
      <c r="J428" s="144"/>
      <c r="K428" s="144"/>
      <c r="L428" s="142"/>
      <c r="M428" s="145"/>
    </row>
    <row r="429" spans="1:13" ht="30" customHeight="1">
      <c r="A429" s="128" t="str">
        <f>'BM02'!A173</f>
        <v>1.13.12</v>
      </c>
      <c r="B429" s="211" t="str">
        <f>'BM02'!B173</f>
        <v>LUMINÁRIA DE EMERGÊNCIA, COM 30 LÂMPADAS LED DE 2 W, SEM REATOR - FORNECIMENTO E INSTALAÇÃO. AF_02/2020</v>
      </c>
      <c r="C429" s="212"/>
      <c r="D429" s="212"/>
      <c r="E429" s="212"/>
      <c r="F429" s="212"/>
      <c r="G429" s="212"/>
      <c r="H429" s="212"/>
      <c r="I429" s="212"/>
      <c r="J429" s="212"/>
      <c r="K429" s="213"/>
      <c r="L429" s="129">
        <f>L430</f>
        <v>0</v>
      </c>
      <c r="M429" s="185" t="str">
        <f>'BM02'!C173</f>
        <v>un</v>
      </c>
    </row>
    <row r="430" spans="1:13" s="131" customFormat="1" ht="12.75">
      <c r="A430" s="132"/>
      <c r="B430" s="209"/>
      <c r="C430" s="210"/>
      <c r="D430" s="134"/>
      <c r="E430" s="134"/>
      <c r="F430" s="134"/>
      <c r="G430" s="134"/>
      <c r="H430" s="134"/>
      <c r="I430" s="134"/>
      <c r="J430" s="135"/>
      <c r="K430" s="135"/>
      <c r="L430" s="134">
        <f>ROUND(D430*K430,2)</f>
        <v>0</v>
      </c>
      <c r="M430" s="136"/>
    </row>
    <row r="431" spans="1:13" s="131" customFormat="1" ht="12.75">
      <c r="A431" s="139"/>
      <c r="B431" s="140"/>
      <c r="C431" s="141"/>
      <c r="D431" s="142"/>
      <c r="E431" s="143"/>
      <c r="F431" s="142"/>
      <c r="G431" s="142"/>
      <c r="H431" s="143"/>
      <c r="I431" s="143"/>
      <c r="J431" s="144"/>
      <c r="K431" s="144"/>
      <c r="L431" s="142"/>
      <c r="M431" s="145"/>
    </row>
    <row r="432" spans="1:13" ht="30" customHeight="1">
      <c r="A432" s="128" t="str">
        <f>'BM02'!A174</f>
        <v>1.13.13</v>
      </c>
      <c r="B432" s="211" t="str">
        <f>'BM02'!B174</f>
        <v>PONTO DE ILUMINAÇÃO RESIDENCIAL INCLUINDO INTERRUPTOR SIMPLES, CAIXA ELÉTRICA, ELETRODUTO, CABO, RASGO, QUEBRA E CHUMBAMENTO (EXCLUINDO LUMINÁRIA E LÂMPADA). AF_01/2016</v>
      </c>
      <c r="C432" s="212"/>
      <c r="D432" s="212"/>
      <c r="E432" s="212"/>
      <c r="F432" s="212"/>
      <c r="G432" s="212"/>
      <c r="H432" s="212"/>
      <c r="I432" s="212"/>
      <c r="J432" s="212"/>
      <c r="K432" s="213"/>
      <c r="L432" s="129">
        <f>L433</f>
        <v>0</v>
      </c>
      <c r="M432" s="185" t="str">
        <f>'BM02'!C174</f>
        <v>un</v>
      </c>
    </row>
    <row r="433" spans="1:13" s="131" customFormat="1" ht="12.75">
      <c r="A433" s="132"/>
      <c r="B433" s="209"/>
      <c r="C433" s="210"/>
      <c r="D433" s="134"/>
      <c r="E433" s="134"/>
      <c r="F433" s="134"/>
      <c r="G433" s="134"/>
      <c r="H433" s="134"/>
      <c r="I433" s="134"/>
      <c r="J433" s="135"/>
      <c r="K433" s="135"/>
      <c r="L433" s="134">
        <f>ROUND(D433*K433,2)</f>
        <v>0</v>
      </c>
      <c r="M433" s="136"/>
    </row>
    <row r="434" spans="1:13" s="131" customFormat="1" ht="12.75">
      <c r="A434" s="139"/>
      <c r="B434" s="140"/>
      <c r="C434" s="141"/>
      <c r="D434" s="142"/>
      <c r="E434" s="143"/>
      <c r="F434" s="142"/>
      <c r="G434" s="142"/>
      <c r="H434" s="143"/>
      <c r="I434" s="143"/>
      <c r="J434" s="144"/>
      <c r="K434" s="144"/>
      <c r="L434" s="142"/>
      <c r="M434" s="145"/>
    </row>
    <row r="435" spans="1:13" ht="30" customHeight="1">
      <c r="A435" s="128" t="str">
        <f>'BM02'!A175</f>
        <v>1.13.14</v>
      </c>
      <c r="B435" s="211" t="str">
        <f>'BM02'!B175</f>
        <v>PONTO DE TOMADA RESIDENCIAL INCLUINDO TOMADA 10A/250V, CAIXA ELÉTRICA, ELETRODUTO, CABO, RASGO, QUEBRA E CHUMBAMENTO. AF_01/2016</v>
      </c>
      <c r="C435" s="212"/>
      <c r="D435" s="212"/>
      <c r="E435" s="212"/>
      <c r="F435" s="212"/>
      <c r="G435" s="212"/>
      <c r="H435" s="212"/>
      <c r="I435" s="212"/>
      <c r="J435" s="212"/>
      <c r="K435" s="213"/>
      <c r="L435" s="129">
        <f>L436</f>
        <v>0</v>
      </c>
      <c r="M435" s="185" t="str">
        <f>'BM02'!C175</f>
        <v>un</v>
      </c>
    </row>
    <row r="436" spans="1:13" s="131" customFormat="1" ht="12.75">
      <c r="A436" s="132"/>
      <c r="B436" s="209"/>
      <c r="C436" s="210"/>
      <c r="D436" s="134"/>
      <c r="E436" s="134"/>
      <c r="F436" s="134"/>
      <c r="G436" s="134"/>
      <c r="H436" s="134"/>
      <c r="I436" s="134"/>
      <c r="J436" s="135"/>
      <c r="K436" s="135"/>
      <c r="L436" s="134">
        <f>ROUND(D436*K436,2)</f>
        <v>0</v>
      </c>
      <c r="M436" s="136"/>
    </row>
    <row r="437" spans="1:13" s="131" customFormat="1" ht="12.75">
      <c r="A437" s="139"/>
      <c r="B437" s="140"/>
      <c r="C437" s="141"/>
      <c r="D437" s="142"/>
      <c r="E437" s="143"/>
      <c r="F437" s="142"/>
      <c r="G437" s="142"/>
      <c r="H437" s="143"/>
      <c r="I437" s="143"/>
      <c r="J437" s="144"/>
      <c r="K437" s="144"/>
      <c r="L437" s="142"/>
      <c r="M437" s="145"/>
    </row>
    <row r="438" spans="1:13" ht="30" customHeight="1">
      <c r="A438" s="128" t="str">
        <f>'BM02'!A176</f>
        <v>1.13.15</v>
      </c>
      <c r="B438" s="211" t="str">
        <f>'BM02'!B176</f>
        <v>PONTO DE TOMADA RESIDENCIAL INCLUINDO TOMADA 20A/250V, CAIXA ELÉTRICA, ELETRODUTO, CABO, RASGO, QUEBRA E CHUMBAMENTO. AF_01/2016</v>
      </c>
      <c r="C438" s="212"/>
      <c r="D438" s="212"/>
      <c r="E438" s="212"/>
      <c r="F438" s="212"/>
      <c r="G438" s="212"/>
      <c r="H438" s="212"/>
      <c r="I438" s="212"/>
      <c r="J438" s="212"/>
      <c r="K438" s="213"/>
      <c r="L438" s="129">
        <f>L439</f>
        <v>0</v>
      </c>
      <c r="M438" s="185" t="str">
        <f>'BM02'!C176</f>
        <v>un</v>
      </c>
    </row>
    <row r="439" spans="1:13" s="131" customFormat="1" ht="12.75">
      <c r="A439" s="132"/>
      <c r="B439" s="209"/>
      <c r="C439" s="210"/>
      <c r="D439" s="134"/>
      <c r="E439" s="134"/>
      <c r="F439" s="134"/>
      <c r="G439" s="134"/>
      <c r="H439" s="134"/>
      <c r="I439" s="134"/>
      <c r="J439" s="135"/>
      <c r="K439" s="135"/>
      <c r="L439" s="134">
        <f>ROUND(D439*K439,2)</f>
        <v>0</v>
      </c>
      <c r="M439" s="136"/>
    </row>
    <row r="440" spans="1:13" s="131" customFormat="1" ht="12.75">
      <c r="A440" s="139"/>
      <c r="B440" s="140"/>
      <c r="C440" s="141"/>
      <c r="D440" s="142"/>
      <c r="E440" s="143"/>
      <c r="F440" s="142"/>
      <c r="G440" s="142"/>
      <c r="H440" s="143"/>
      <c r="I440" s="143"/>
      <c r="J440" s="144"/>
      <c r="K440" s="144"/>
      <c r="L440" s="142"/>
      <c r="M440" s="145"/>
    </row>
    <row r="441" spans="1:13" ht="30" customHeight="1">
      <c r="A441" s="128" t="str">
        <f>'BM02'!A177</f>
        <v>1.13.16</v>
      </c>
      <c r="B441" s="211" t="str">
        <f>'BM02'!B177</f>
        <v>PONTO DE UTILIZAÇÃO DE EQUIPAMENTOS ELÉTRICOS, RESIDENCIAL, INCLUINDO SUPORTE E PLACA, CAIXA ELÉTRICA, ELETRODUTO, CABO, RASGO, QUEBRA E CHUMBAMENTO. AF_01/2016</v>
      </c>
      <c r="C441" s="212"/>
      <c r="D441" s="212"/>
      <c r="E441" s="212"/>
      <c r="F441" s="212"/>
      <c r="G441" s="212"/>
      <c r="H441" s="212"/>
      <c r="I441" s="212"/>
      <c r="J441" s="212"/>
      <c r="K441" s="213"/>
      <c r="L441" s="129">
        <f>L442</f>
        <v>0</v>
      </c>
      <c r="M441" s="185" t="str">
        <f>'BM02'!C177</f>
        <v>un</v>
      </c>
    </row>
    <row r="442" spans="1:13" s="131" customFormat="1" ht="12.75">
      <c r="A442" s="132"/>
      <c r="B442" s="209"/>
      <c r="C442" s="210"/>
      <c r="D442" s="134"/>
      <c r="E442" s="134"/>
      <c r="F442" s="134"/>
      <c r="G442" s="134"/>
      <c r="H442" s="134"/>
      <c r="I442" s="134"/>
      <c r="J442" s="135"/>
      <c r="K442" s="135"/>
      <c r="L442" s="134">
        <f>ROUND(D442*K442,2)</f>
        <v>0</v>
      </c>
      <c r="M442" s="136"/>
    </row>
    <row r="443" spans="1:13" s="131" customFormat="1" ht="12.75">
      <c r="A443" s="139"/>
      <c r="B443" s="140"/>
      <c r="C443" s="141"/>
      <c r="D443" s="142"/>
      <c r="E443" s="143"/>
      <c r="F443" s="142"/>
      <c r="G443" s="142"/>
      <c r="H443" s="143"/>
      <c r="I443" s="143"/>
      <c r="J443" s="144"/>
      <c r="K443" s="144"/>
      <c r="L443" s="142"/>
      <c r="M443" s="145"/>
    </row>
    <row r="444" spans="1:13" ht="30" customHeight="1">
      <c r="A444" s="128" t="str">
        <f>'BM02'!A178</f>
        <v>1.13.17</v>
      </c>
      <c r="B444" s="211" t="str">
        <f>'BM02'!B178</f>
        <v>PONTO DE UTILIZAÇÃO DE EQUIPAMENTOS ELÉTRICOS, RESIDENCIAL, INCLUINDO SUPORTE E PLACA, CAIXA ELÉTRICA, ELETRODUTO, CABO, RASGO, QUEBRA E CHUMBAMENTO. AF_01/2016</v>
      </c>
      <c r="C444" s="212"/>
      <c r="D444" s="212"/>
      <c r="E444" s="212"/>
      <c r="F444" s="212"/>
      <c r="G444" s="212"/>
      <c r="H444" s="212"/>
      <c r="I444" s="212"/>
      <c r="J444" s="212"/>
      <c r="K444" s="213"/>
      <c r="L444" s="129">
        <f>L445</f>
        <v>0</v>
      </c>
      <c r="M444" s="185" t="str">
        <f>'BM02'!C178</f>
        <v>un</v>
      </c>
    </row>
    <row r="445" spans="1:13" s="131" customFormat="1" ht="12.75">
      <c r="A445" s="132"/>
      <c r="B445" s="209"/>
      <c r="C445" s="210"/>
      <c r="D445" s="134"/>
      <c r="E445" s="134"/>
      <c r="F445" s="134"/>
      <c r="G445" s="134"/>
      <c r="H445" s="134"/>
      <c r="I445" s="134"/>
      <c r="J445" s="135"/>
      <c r="K445" s="135"/>
      <c r="L445" s="134">
        <f>ROUND(D445*K445,2)</f>
        <v>0</v>
      </c>
      <c r="M445" s="136"/>
    </row>
    <row r="446" spans="1:13" s="131" customFormat="1" ht="12.75">
      <c r="A446" s="139"/>
      <c r="B446" s="140"/>
      <c r="C446" s="141"/>
      <c r="D446" s="142"/>
      <c r="E446" s="143"/>
      <c r="F446" s="142"/>
      <c r="G446" s="142"/>
      <c r="H446" s="143"/>
      <c r="I446" s="143"/>
      <c r="J446" s="144"/>
      <c r="K446" s="144"/>
      <c r="L446" s="142"/>
      <c r="M446" s="145"/>
    </row>
    <row r="447" spans="1:13" ht="30" customHeight="1">
      <c r="A447" s="128" t="str">
        <f>'BM02'!A179</f>
        <v>1.13.18</v>
      </c>
      <c r="B447" s="211" t="str">
        <f>'BM02'!B179</f>
        <v>QUADRO DE DISTRIBUIÇÃO DE ENERGIA EM CHAPA DE AÇO GALVANIZADO, DE EMBUTIR, COM BARRAMENTO TRIFÁSICO, PARA 24 DISJUNTORES DIN 100A - FORNECIMENTO E INSTALAÇÃO. AF_10/2020</v>
      </c>
      <c r="C447" s="212"/>
      <c r="D447" s="212"/>
      <c r="E447" s="212"/>
      <c r="F447" s="212"/>
      <c r="G447" s="212"/>
      <c r="H447" s="212"/>
      <c r="I447" s="212"/>
      <c r="J447" s="212"/>
      <c r="K447" s="213"/>
      <c r="L447" s="129">
        <f>L448</f>
        <v>0</v>
      </c>
      <c r="M447" s="185" t="str">
        <f>'BM02'!C179</f>
        <v>un</v>
      </c>
    </row>
    <row r="448" spans="1:13" s="131" customFormat="1" ht="12.75">
      <c r="A448" s="132"/>
      <c r="B448" s="209"/>
      <c r="C448" s="210"/>
      <c r="D448" s="134"/>
      <c r="E448" s="134"/>
      <c r="F448" s="134"/>
      <c r="G448" s="134"/>
      <c r="H448" s="134"/>
      <c r="I448" s="134"/>
      <c r="J448" s="135"/>
      <c r="K448" s="135"/>
      <c r="L448" s="134">
        <f>ROUND(D448*K448,2)</f>
        <v>0</v>
      </c>
      <c r="M448" s="136"/>
    </row>
    <row r="449" spans="1:13" s="131" customFormat="1" ht="12.75">
      <c r="A449" s="139"/>
      <c r="B449" s="140"/>
      <c r="C449" s="141"/>
      <c r="D449" s="142"/>
      <c r="E449" s="143"/>
      <c r="F449" s="142"/>
      <c r="G449" s="142"/>
      <c r="H449" s="143"/>
      <c r="I449" s="143"/>
      <c r="J449" s="144"/>
      <c r="K449" s="144"/>
      <c r="L449" s="142"/>
      <c r="M449" s="145"/>
    </row>
    <row r="450" spans="1:13" ht="30" customHeight="1">
      <c r="A450" s="128" t="str">
        <f>'BM02'!A180</f>
        <v>1.13.19</v>
      </c>
      <c r="B450" s="211" t="str">
        <f>'BM02'!B180</f>
        <v>QUADRO DE DISTRIBUIÇÃO DE ENERGIA EM CHAPA DE AÇO GALVANIZADO, DE EMBUTIR, COM BARRAMENTO TRIFÁSICO, PARA 12 DISJUNTORES DIN 100A - FORNECIMENTO E INSTALAÇÃO. AF_10/2020</v>
      </c>
      <c r="C450" s="212"/>
      <c r="D450" s="212"/>
      <c r="E450" s="212"/>
      <c r="F450" s="212"/>
      <c r="G450" s="212"/>
      <c r="H450" s="212"/>
      <c r="I450" s="212"/>
      <c r="J450" s="212"/>
      <c r="K450" s="213"/>
      <c r="L450" s="129">
        <f>L451</f>
        <v>0</v>
      </c>
      <c r="M450" s="185" t="str">
        <f>'BM02'!C180</f>
        <v>un</v>
      </c>
    </row>
    <row r="451" spans="1:13" s="131" customFormat="1" ht="12.75">
      <c r="A451" s="132"/>
      <c r="B451" s="209"/>
      <c r="C451" s="210"/>
      <c r="D451" s="134"/>
      <c r="E451" s="134"/>
      <c r="F451" s="134"/>
      <c r="G451" s="134"/>
      <c r="H451" s="134"/>
      <c r="I451" s="134"/>
      <c r="J451" s="135"/>
      <c r="K451" s="135"/>
      <c r="L451" s="134">
        <f>ROUND(D451*K451,2)</f>
        <v>0</v>
      </c>
      <c r="M451" s="136"/>
    </row>
    <row r="452" spans="1:13" s="131" customFormat="1" ht="12.75">
      <c r="A452" s="139"/>
      <c r="B452" s="140"/>
      <c r="C452" s="141"/>
      <c r="D452" s="142"/>
      <c r="E452" s="143"/>
      <c r="F452" s="142"/>
      <c r="G452" s="142"/>
      <c r="H452" s="143"/>
      <c r="I452" s="143"/>
      <c r="J452" s="144"/>
      <c r="K452" s="144"/>
      <c r="L452" s="142"/>
      <c r="M452" s="145"/>
    </row>
    <row r="453" spans="1:13" ht="12.6" customHeight="1">
      <c r="A453" s="184" t="str">
        <f>'BM02'!A181</f>
        <v>1.13.20</v>
      </c>
      <c r="B453" s="211" t="str">
        <f>'BM02'!B181</f>
        <v>Ponto de telefone, com eletroduto de pvc rígido embutido Ø 3/4"</v>
      </c>
      <c r="C453" s="212"/>
      <c r="D453" s="212"/>
      <c r="E453" s="212"/>
      <c r="F453" s="212"/>
      <c r="G453" s="212"/>
      <c r="H453" s="212"/>
      <c r="I453" s="212"/>
      <c r="J453" s="212"/>
      <c r="K453" s="213"/>
      <c r="L453" s="129">
        <f>L454</f>
        <v>0</v>
      </c>
      <c r="M453" s="185" t="str">
        <f>'BM02'!C181</f>
        <v>un</v>
      </c>
    </row>
    <row r="454" spans="1:13" s="131" customFormat="1" ht="12.75">
      <c r="A454" s="132"/>
      <c r="B454" s="209"/>
      <c r="C454" s="210"/>
      <c r="D454" s="134"/>
      <c r="E454" s="134"/>
      <c r="F454" s="134"/>
      <c r="G454" s="134"/>
      <c r="H454" s="134"/>
      <c r="I454" s="134"/>
      <c r="J454" s="135"/>
      <c r="K454" s="135"/>
      <c r="L454" s="134">
        <f>ROUND(D454*K454,2)</f>
        <v>0</v>
      </c>
      <c r="M454" s="136"/>
    </row>
    <row r="455" spans="1:13" s="131" customFormat="1" ht="12.75">
      <c r="A455" s="139"/>
      <c r="B455" s="140"/>
      <c r="C455" s="141"/>
      <c r="D455" s="142"/>
      <c r="E455" s="143"/>
      <c r="F455" s="142"/>
      <c r="G455" s="142"/>
      <c r="H455" s="143"/>
      <c r="I455" s="143"/>
      <c r="J455" s="144"/>
      <c r="K455" s="144"/>
      <c r="L455" s="142"/>
      <c r="M455" s="145"/>
    </row>
    <row r="456" spans="1:13" ht="12.6" customHeight="1">
      <c r="A456" s="184" t="str">
        <f>'BM02'!A182</f>
        <v>1.13.21</v>
      </c>
      <c r="B456" s="211" t="str">
        <f>'BM02'!B182</f>
        <v>Ponto para cabeamento estruturado embutido, com eletroduto pvc rígido Ø 3/4" c/cabo UTP 4 pares cat. 6</v>
      </c>
      <c r="C456" s="212"/>
      <c r="D456" s="212"/>
      <c r="E456" s="212"/>
      <c r="F456" s="212"/>
      <c r="G456" s="212"/>
      <c r="H456" s="212"/>
      <c r="I456" s="212"/>
      <c r="J456" s="212"/>
      <c r="K456" s="213"/>
      <c r="L456" s="129">
        <f>L457</f>
        <v>0</v>
      </c>
      <c r="M456" s="185" t="str">
        <f>'BM02'!C182</f>
        <v>pt</v>
      </c>
    </row>
    <row r="457" spans="1:13" s="131" customFormat="1" ht="12.75">
      <c r="A457" s="132"/>
      <c r="B457" s="209"/>
      <c r="C457" s="210"/>
      <c r="D457" s="134"/>
      <c r="E457" s="134"/>
      <c r="F457" s="134"/>
      <c r="G457" s="134"/>
      <c r="H457" s="134"/>
      <c r="I457" s="134"/>
      <c r="J457" s="135"/>
      <c r="K457" s="135"/>
      <c r="L457" s="134">
        <f>ROUND(D457*K457,2)</f>
        <v>0</v>
      </c>
      <c r="M457" s="136"/>
    </row>
    <row r="458" spans="1:13" s="131" customFormat="1" ht="12.75">
      <c r="A458" s="139"/>
      <c r="B458" s="140"/>
      <c r="C458" s="141"/>
      <c r="D458" s="142"/>
      <c r="E458" s="143"/>
      <c r="F458" s="142"/>
      <c r="G458" s="142"/>
      <c r="H458" s="143"/>
      <c r="I458" s="143"/>
      <c r="J458" s="144"/>
      <c r="K458" s="144"/>
      <c r="L458" s="142"/>
      <c r="M458" s="145"/>
    </row>
    <row r="459" spans="1:13" ht="30" customHeight="1">
      <c r="A459" s="128" t="str">
        <f>'BM02'!A183</f>
        <v>1.13.22</v>
      </c>
      <c r="B459" s="211" t="str">
        <f>'BM02'!B183</f>
        <v>Conjunto moto-bomba com motor de 3/4 cv, trifásico, bomba centrífuga, sucção=1", recalque=1", pr. máx. 26 mca, alt. sucção 8 mca. faixas hm (m) - q (m3/h) : (23-3,4)(20-4,7)(17-5,7)(14-6,6)(11- 7,3), inclusive chave de partida direta</v>
      </c>
      <c r="C459" s="212"/>
      <c r="D459" s="212"/>
      <c r="E459" s="212"/>
      <c r="F459" s="212"/>
      <c r="G459" s="212"/>
      <c r="H459" s="212"/>
      <c r="I459" s="212"/>
      <c r="J459" s="212"/>
      <c r="K459" s="213"/>
      <c r="L459" s="129">
        <f>L460</f>
        <v>0</v>
      </c>
      <c r="M459" s="185" t="str">
        <f>'BM02'!C183</f>
        <v>un</v>
      </c>
    </row>
    <row r="460" spans="1:13" s="131" customFormat="1" ht="12.75">
      <c r="A460" s="132"/>
      <c r="B460" s="209"/>
      <c r="C460" s="210"/>
      <c r="D460" s="134"/>
      <c r="E460" s="134"/>
      <c r="F460" s="134"/>
      <c r="G460" s="134"/>
      <c r="H460" s="134"/>
      <c r="I460" s="134"/>
      <c r="J460" s="135"/>
      <c r="K460" s="135"/>
      <c r="L460" s="134">
        <f>ROUND(D460*K460,2)</f>
        <v>0</v>
      </c>
      <c r="M460" s="136"/>
    </row>
    <row r="461" spans="1:13" s="131" customFormat="1" ht="12.75">
      <c r="A461" s="139"/>
      <c r="B461" s="140"/>
      <c r="C461" s="141"/>
      <c r="D461" s="142"/>
      <c r="E461" s="143"/>
      <c r="F461" s="142"/>
      <c r="G461" s="142"/>
      <c r="H461" s="143"/>
      <c r="I461" s="143"/>
      <c r="J461" s="144"/>
      <c r="K461" s="144"/>
      <c r="L461" s="142"/>
      <c r="M461" s="145"/>
    </row>
    <row r="462" spans="1:13" ht="30" customHeight="1">
      <c r="A462" s="128" t="str">
        <f>'BM02'!A184</f>
        <v>1.13.23</v>
      </c>
      <c r="B462" s="211" t="str">
        <f>'BM02'!B184</f>
        <v>INTERRUPTOR PULSADOR CAMPAINHA (1 MÓDULO), 10A/250V, INCLUINDO SUPORTE E PLACA - FORNECIMENTO E INSTALAÇÃO. AF_09/2017</v>
      </c>
      <c r="C462" s="212"/>
      <c r="D462" s="212"/>
      <c r="E462" s="212"/>
      <c r="F462" s="212"/>
      <c r="G462" s="212"/>
      <c r="H462" s="212"/>
      <c r="I462" s="212"/>
      <c r="J462" s="212"/>
      <c r="K462" s="213"/>
      <c r="L462" s="129">
        <f>L463</f>
        <v>0</v>
      </c>
      <c r="M462" s="185" t="str">
        <f>'BM02'!C184</f>
        <v>un</v>
      </c>
    </row>
    <row r="463" spans="1:13" s="131" customFormat="1" ht="12.75">
      <c r="A463" s="132"/>
      <c r="B463" s="209"/>
      <c r="C463" s="210"/>
      <c r="D463" s="134"/>
      <c r="E463" s="134"/>
      <c r="F463" s="134"/>
      <c r="G463" s="134"/>
      <c r="H463" s="134"/>
      <c r="I463" s="134"/>
      <c r="J463" s="135"/>
      <c r="K463" s="135"/>
      <c r="L463" s="134">
        <f>ROUND(D463*K463,2)</f>
        <v>0</v>
      </c>
      <c r="M463" s="136"/>
    </row>
    <row r="464" spans="1:13" s="131" customFormat="1" ht="12.75">
      <c r="A464" s="139"/>
      <c r="B464" s="140"/>
      <c r="C464" s="141"/>
      <c r="D464" s="142"/>
      <c r="E464" s="143"/>
      <c r="F464" s="142"/>
      <c r="G464" s="142"/>
      <c r="H464" s="143"/>
      <c r="I464" s="143"/>
      <c r="J464" s="144"/>
      <c r="K464" s="144"/>
      <c r="L464" s="142"/>
      <c r="M464" s="145"/>
    </row>
    <row r="465" spans="1:13" ht="30" customHeight="1">
      <c r="A465" s="128" t="str">
        <f>'BM02'!A185</f>
        <v>1.13.24</v>
      </c>
      <c r="B465" s="211" t="str">
        <f>'BM02'!B185</f>
        <v>ENTRADA DE ENERGIA ELÉTRICA, AÉREA, TRIFÁSICA, COM CAIXA DE EMBUTIR, CABO DE 10 MM2 E DISJUNTOR DIN 50A (NÃO INCLUSO O POSTE DE CONCRETO). AF_07/2020</v>
      </c>
      <c r="C465" s="212"/>
      <c r="D465" s="212"/>
      <c r="E465" s="212"/>
      <c r="F465" s="212"/>
      <c r="G465" s="212"/>
      <c r="H465" s="212"/>
      <c r="I465" s="212"/>
      <c r="J465" s="212"/>
      <c r="K465" s="213"/>
      <c r="L465" s="129">
        <f>L466</f>
        <v>1</v>
      </c>
      <c r="M465" s="185" t="str">
        <f>'BM02'!C185</f>
        <v>un</v>
      </c>
    </row>
    <row r="466" spans="1:13" s="131" customFormat="1" ht="12.75">
      <c r="A466" s="132"/>
      <c r="B466" s="209" t="s">
        <v>564</v>
      </c>
      <c r="C466" s="210"/>
      <c r="D466" s="134">
        <f>1</f>
        <v>1</v>
      </c>
      <c r="E466" s="134"/>
      <c r="F466" s="134"/>
      <c r="G466" s="134"/>
      <c r="H466" s="134"/>
      <c r="I466" s="134"/>
      <c r="J466" s="135"/>
      <c r="K466" s="135">
        <f>D466</f>
        <v>1</v>
      </c>
      <c r="L466" s="134">
        <f>K466</f>
        <v>1</v>
      </c>
      <c r="M466" s="136"/>
    </row>
    <row r="467" spans="1:13" s="131" customFormat="1" ht="13.5" thickBot="1">
      <c r="A467" s="139"/>
      <c r="B467" s="140"/>
      <c r="C467" s="141"/>
      <c r="D467" s="142"/>
      <c r="E467" s="143"/>
      <c r="F467" s="142"/>
      <c r="G467" s="142"/>
      <c r="H467" s="143"/>
      <c r="I467" s="143"/>
      <c r="J467" s="144"/>
      <c r="K467" s="144"/>
      <c r="L467" s="142"/>
      <c r="M467" s="145"/>
    </row>
    <row r="468" spans="1:13" ht="13.5" thickBot="1">
      <c r="A468" s="121" t="str">
        <f>'BM02'!A187</f>
        <v>1.14</v>
      </c>
      <c r="B468" s="122" t="str">
        <f>'BM02'!B187</f>
        <v>ELEMENTOS DECORATIVOS MOBILIARIO</v>
      </c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3"/>
    </row>
    <row r="469" spans="1:13" ht="12.75">
      <c r="A469" s="124"/>
      <c r="B469" s="125"/>
      <c r="C469" s="125"/>
      <c r="D469" s="125"/>
      <c r="E469" s="125"/>
      <c r="F469" s="125"/>
      <c r="G469" s="125"/>
      <c r="H469" s="125"/>
      <c r="I469" s="125"/>
      <c r="J469" s="125"/>
      <c r="K469" s="126"/>
      <c r="L469" s="125"/>
      <c r="M469" s="127"/>
    </row>
    <row r="470" spans="1:13" ht="30" customHeight="1">
      <c r="A470" s="128" t="str">
        <f>'BM02'!A189</f>
        <v>1.14.1</v>
      </c>
      <c r="B470" s="211" t="str">
        <f>'BM02'!B189</f>
        <v>Pintura de Letras - letreiro, sobre paredes, com lixamento, aplicação de 01 demão de líquido selador acrílico, 02 demãos de massa acrílica e 02 demãos de tinta pva latex convencional para exteriores</v>
      </c>
      <c r="C470" s="212"/>
      <c r="D470" s="212"/>
      <c r="E470" s="212"/>
      <c r="F470" s="212"/>
      <c r="G470" s="212"/>
      <c r="H470" s="212"/>
      <c r="I470" s="212"/>
      <c r="J470" s="212"/>
      <c r="K470" s="213"/>
      <c r="L470" s="129">
        <f>L471</f>
        <v>0</v>
      </c>
      <c r="M470" s="130" t="str">
        <f>'BM02'!C189</f>
        <v>un</v>
      </c>
    </row>
    <row r="471" spans="1:13" s="131" customFormat="1" ht="12.75">
      <c r="A471" s="132"/>
      <c r="B471" s="209"/>
      <c r="C471" s="210"/>
      <c r="D471" s="134"/>
      <c r="E471" s="134"/>
      <c r="F471" s="134"/>
      <c r="G471" s="134"/>
      <c r="H471" s="134"/>
      <c r="I471" s="134"/>
      <c r="J471" s="135"/>
      <c r="K471" s="135"/>
      <c r="L471" s="134">
        <f>ROUND(D471*K471,2)</f>
        <v>0</v>
      </c>
      <c r="M471" s="136"/>
    </row>
    <row r="472" spans="1:13" s="131" customFormat="1" ht="12.75">
      <c r="A472" s="139"/>
      <c r="B472" s="140"/>
      <c r="C472" s="141"/>
      <c r="D472" s="142"/>
      <c r="E472" s="143"/>
      <c r="F472" s="142"/>
      <c r="G472" s="142"/>
      <c r="H472" s="143"/>
      <c r="I472" s="143"/>
      <c r="J472" s="144"/>
      <c r="K472" s="144"/>
      <c r="L472" s="142"/>
      <c r="M472" s="145"/>
    </row>
    <row r="473" spans="1:13" ht="12.6" customHeight="1">
      <c r="A473" s="184" t="str">
        <f>'BM02'!A190</f>
        <v>1.14.2</v>
      </c>
      <c r="B473" s="211" t="str">
        <f>'BM02'!B190</f>
        <v>Placa de inauguração em alumínio com Acrilico, 80x60cm,com logomarca e moldura</v>
      </c>
      <c r="C473" s="212"/>
      <c r="D473" s="212"/>
      <c r="E473" s="212"/>
      <c r="F473" s="212"/>
      <c r="G473" s="212"/>
      <c r="H473" s="212"/>
      <c r="I473" s="212"/>
      <c r="J473" s="212"/>
      <c r="K473" s="213"/>
      <c r="L473" s="129">
        <f>L474</f>
        <v>0</v>
      </c>
      <c r="M473" s="130" t="str">
        <f>'BM02'!C190</f>
        <v>un</v>
      </c>
    </row>
    <row r="474" spans="1:13" s="131" customFormat="1" ht="12.75">
      <c r="A474" s="132"/>
      <c r="B474" s="209"/>
      <c r="C474" s="210"/>
      <c r="D474" s="134"/>
      <c r="E474" s="134"/>
      <c r="F474" s="134"/>
      <c r="G474" s="134"/>
      <c r="H474" s="134"/>
      <c r="I474" s="134"/>
      <c r="J474" s="135"/>
      <c r="K474" s="135"/>
      <c r="L474" s="134">
        <f>ROUND(D474*K474,2)</f>
        <v>0</v>
      </c>
      <c r="M474" s="136"/>
    </row>
    <row r="475" spans="1:13" s="131" customFormat="1" ht="12.75">
      <c r="A475" s="139"/>
      <c r="B475" s="140"/>
      <c r="C475" s="141"/>
      <c r="D475" s="142"/>
      <c r="E475" s="143"/>
      <c r="F475" s="142"/>
      <c r="G475" s="142"/>
      <c r="H475" s="143"/>
      <c r="I475" s="143"/>
      <c r="J475" s="144"/>
      <c r="K475" s="144"/>
      <c r="L475" s="142"/>
      <c r="M475" s="145"/>
    </row>
    <row r="476" spans="1:13" ht="12.6" customHeight="1">
      <c r="A476" s="184" t="str">
        <f>'BM02'!A191</f>
        <v>1.14.3</v>
      </c>
      <c r="B476" s="211" t="str">
        <f>'BM02'!B191</f>
        <v>Mastro simples em tubo ferro galvanizado, alt (útil)= 6m (3,80m x 2" + 2,20m x 1 1/2")</v>
      </c>
      <c r="C476" s="212"/>
      <c r="D476" s="212"/>
      <c r="E476" s="212"/>
      <c r="F476" s="212"/>
      <c r="G476" s="212"/>
      <c r="H476" s="212"/>
      <c r="I476" s="212"/>
      <c r="J476" s="212"/>
      <c r="K476" s="213"/>
      <c r="L476" s="129">
        <f>L477</f>
        <v>0</v>
      </c>
      <c r="M476" s="130" t="str">
        <f>'BM02'!C191</f>
        <v>un</v>
      </c>
    </row>
    <row r="477" spans="1:13" s="131" customFormat="1" ht="12.75">
      <c r="A477" s="132"/>
      <c r="B477" s="209"/>
      <c r="C477" s="210"/>
      <c r="D477" s="134"/>
      <c r="E477" s="134"/>
      <c r="F477" s="134"/>
      <c r="G477" s="134"/>
      <c r="H477" s="134"/>
      <c r="I477" s="134"/>
      <c r="J477" s="135"/>
      <c r="K477" s="135"/>
      <c r="L477" s="134">
        <f>ROUND(D477*K477,2)</f>
        <v>0</v>
      </c>
      <c r="M477" s="136"/>
    </row>
    <row r="478" spans="1:13" s="131" customFormat="1" ht="12.75">
      <c r="A478" s="139"/>
      <c r="B478" s="140"/>
      <c r="C478" s="141"/>
      <c r="D478" s="142"/>
      <c r="E478" s="143"/>
      <c r="F478" s="142"/>
      <c r="G478" s="142"/>
      <c r="H478" s="143"/>
      <c r="I478" s="143"/>
      <c r="J478" s="144"/>
      <c r="K478" s="144"/>
      <c r="L478" s="142"/>
      <c r="M478" s="145"/>
    </row>
    <row r="479" spans="1:13" ht="12.6" customHeight="1">
      <c r="A479" s="184" t="str">
        <f>'BM02'!A192</f>
        <v>1.14.4</v>
      </c>
      <c r="B479" s="211" t="str">
        <f>'BM02'!B192</f>
        <v>Mastro simples em tubo ferro galvanizado, alt (útil)= 6m (3,80m x 2" + 2,20m x 1 1/2")</v>
      </c>
      <c r="C479" s="212"/>
      <c r="D479" s="212"/>
      <c r="E479" s="212"/>
      <c r="F479" s="212"/>
      <c r="G479" s="212"/>
      <c r="H479" s="212"/>
      <c r="I479" s="212"/>
      <c r="J479" s="212"/>
      <c r="K479" s="213"/>
      <c r="L479" s="129">
        <f>L480</f>
        <v>0</v>
      </c>
      <c r="M479" s="130" t="str">
        <f>'BM02'!C192</f>
        <v>un</v>
      </c>
    </row>
    <row r="480" spans="1:13" s="131" customFormat="1" ht="12.75">
      <c r="A480" s="132"/>
      <c r="B480" s="209"/>
      <c r="C480" s="210"/>
      <c r="D480" s="134"/>
      <c r="E480" s="134"/>
      <c r="F480" s="134"/>
      <c r="G480" s="134"/>
      <c r="H480" s="134"/>
      <c r="I480" s="134"/>
      <c r="J480" s="135"/>
      <c r="K480" s="135"/>
      <c r="L480" s="134">
        <f>ROUND(D480*K480,2)</f>
        <v>0</v>
      </c>
      <c r="M480" s="136"/>
    </row>
    <row r="481" spans="1:13" s="131" customFormat="1" ht="12.75">
      <c r="A481" s="139"/>
      <c r="B481" s="140"/>
      <c r="C481" s="141"/>
      <c r="D481" s="142"/>
      <c r="E481" s="143"/>
      <c r="F481" s="142"/>
      <c r="G481" s="142"/>
      <c r="H481" s="143"/>
      <c r="I481" s="143"/>
      <c r="J481" s="144"/>
      <c r="K481" s="144"/>
      <c r="L481" s="142"/>
      <c r="M481" s="145"/>
    </row>
    <row r="482" spans="1:13" ht="12.6" customHeight="1">
      <c r="A482" s="184" t="str">
        <f>'BM02'!A193</f>
        <v>1.14.5</v>
      </c>
      <c r="B482" s="211" t="str">
        <f>'BM02'!B193</f>
        <v>Quadro escolar em fórmica branca com moldura</v>
      </c>
      <c r="C482" s="212"/>
      <c r="D482" s="212"/>
      <c r="E482" s="212"/>
      <c r="F482" s="212"/>
      <c r="G482" s="212"/>
      <c r="H482" s="212"/>
      <c r="I482" s="212"/>
      <c r="J482" s="212"/>
      <c r="K482" s="213"/>
      <c r="L482" s="129">
        <f>L483</f>
        <v>0</v>
      </c>
      <c r="M482" s="130" t="str">
        <f>'BM02'!C193</f>
        <v>m²</v>
      </c>
    </row>
    <row r="483" spans="1:13" s="131" customFormat="1" ht="12.75">
      <c r="A483" s="132"/>
      <c r="B483" s="209"/>
      <c r="C483" s="210"/>
      <c r="D483" s="134"/>
      <c r="E483" s="134"/>
      <c r="F483" s="134"/>
      <c r="G483" s="134"/>
      <c r="H483" s="134"/>
      <c r="I483" s="134"/>
      <c r="J483" s="135"/>
      <c r="K483" s="135"/>
      <c r="L483" s="134">
        <f>ROUND(D483*K483,2)</f>
        <v>0</v>
      </c>
      <c r="M483" s="136"/>
    </row>
    <row r="484" spans="1:13" s="131" customFormat="1" ht="12.75">
      <c r="A484" s="139"/>
      <c r="B484" s="140"/>
      <c r="C484" s="141"/>
      <c r="D484" s="142"/>
      <c r="E484" s="143"/>
      <c r="F484" s="142"/>
      <c r="G484" s="142"/>
      <c r="H484" s="143"/>
      <c r="I484" s="143"/>
      <c r="J484" s="144"/>
      <c r="K484" s="144"/>
      <c r="L484" s="142"/>
      <c r="M484" s="145"/>
    </row>
    <row r="485" spans="1:13" ht="30" customHeight="1">
      <c r="A485" s="128" t="str">
        <f>'BM02'!A194</f>
        <v>1.14.6</v>
      </c>
      <c r="B485" s="211" t="str">
        <f>'BM02'!B194</f>
        <v>EXTINTOR DE INCÊNDIO PORTÁTIL COM CARGA DE ÁGUA PRESSURIZADA DE 10 L, CLASSE A - FORNECIMENTO E INSTALAÇÃO. AF_10/2020_P</v>
      </c>
      <c r="C485" s="212"/>
      <c r="D485" s="212"/>
      <c r="E485" s="212"/>
      <c r="F485" s="212"/>
      <c r="G485" s="212"/>
      <c r="H485" s="212"/>
      <c r="I485" s="212"/>
      <c r="J485" s="212"/>
      <c r="K485" s="213"/>
      <c r="L485" s="129">
        <f>L486</f>
        <v>0</v>
      </c>
      <c r="M485" s="130" t="str">
        <f>'BM02'!C194</f>
        <v>un</v>
      </c>
    </row>
    <row r="486" spans="1:13" s="131" customFormat="1" ht="12.75">
      <c r="A486" s="132"/>
      <c r="B486" s="209"/>
      <c r="C486" s="210"/>
      <c r="D486" s="134"/>
      <c r="E486" s="134"/>
      <c r="F486" s="134"/>
      <c r="G486" s="134"/>
      <c r="H486" s="134"/>
      <c r="I486" s="134"/>
      <c r="J486" s="135"/>
      <c r="K486" s="135"/>
      <c r="L486" s="134">
        <f>ROUND(D486*K486,2)</f>
        <v>0</v>
      </c>
      <c r="M486" s="136"/>
    </row>
    <row r="487" spans="1:13" s="131" customFormat="1" ht="12.75">
      <c r="A487" s="139"/>
      <c r="B487" s="140"/>
      <c r="C487" s="141"/>
      <c r="D487" s="142"/>
      <c r="E487" s="143"/>
      <c r="F487" s="142"/>
      <c r="G487" s="142"/>
      <c r="H487" s="143"/>
      <c r="I487" s="143"/>
      <c r="J487" s="144"/>
      <c r="K487" s="144"/>
      <c r="L487" s="142"/>
      <c r="M487" s="145"/>
    </row>
    <row r="488" spans="1:13" ht="30" customHeight="1">
      <c r="A488" s="128" t="str">
        <f>'BM02'!A195</f>
        <v>1.14.7</v>
      </c>
      <c r="B488" s="211" t="str">
        <f>'BM02'!B195</f>
        <v>EXTINTOR DE INCÊNDIO PORTÁTIL COM CARGA DE PQS DE 4 KG, CLASSE BC - FORNECIMENTO E INSTALAÇÃO. AF_10/2020_P</v>
      </c>
      <c r="C488" s="212"/>
      <c r="D488" s="212"/>
      <c r="E488" s="212"/>
      <c r="F488" s="212"/>
      <c r="G488" s="212"/>
      <c r="H488" s="212"/>
      <c r="I488" s="212"/>
      <c r="J488" s="212"/>
      <c r="K488" s="213"/>
      <c r="L488" s="129">
        <f>L489</f>
        <v>0</v>
      </c>
      <c r="M488" s="130" t="str">
        <f>'BM02'!C195</f>
        <v>un</v>
      </c>
    </row>
    <row r="489" spans="1:13" s="131" customFormat="1" ht="12.75">
      <c r="A489" s="132"/>
      <c r="B489" s="209"/>
      <c r="C489" s="210"/>
      <c r="D489" s="134"/>
      <c r="E489" s="134"/>
      <c r="F489" s="134"/>
      <c r="G489" s="134"/>
      <c r="H489" s="134"/>
      <c r="I489" s="134"/>
      <c r="J489" s="135"/>
      <c r="K489" s="135"/>
      <c r="L489" s="134">
        <f>ROUND(D489*K489,2)</f>
        <v>0</v>
      </c>
      <c r="M489" s="136"/>
    </row>
    <row r="490" spans="1:13" s="131" customFormat="1" ht="13.5" thickBot="1">
      <c r="A490" s="139"/>
      <c r="B490" s="140"/>
      <c r="C490" s="141"/>
      <c r="D490" s="142"/>
      <c r="E490" s="143"/>
      <c r="F490" s="142"/>
      <c r="G490" s="142"/>
      <c r="H490" s="143"/>
      <c r="I490" s="143"/>
      <c r="J490" s="144"/>
      <c r="K490" s="144"/>
      <c r="L490" s="142"/>
      <c r="M490" s="145"/>
    </row>
    <row r="491" spans="1:13" ht="13.5" thickBot="1">
      <c r="A491" s="121" t="str">
        <f>'BM02'!A197</f>
        <v>1.15</v>
      </c>
      <c r="B491" s="122" t="str">
        <f>'BM02'!B197</f>
        <v>LIMPEZA, ENTREGA DA OBRA</v>
      </c>
      <c r="C491" s="122"/>
      <c r="D491" s="122"/>
      <c r="E491" s="122"/>
      <c r="F491" s="122"/>
      <c r="G491" s="122"/>
      <c r="H491" s="122"/>
      <c r="I491" s="122"/>
      <c r="J491" s="122"/>
      <c r="K491" s="122"/>
      <c r="L491" s="122"/>
      <c r="M491" s="123"/>
    </row>
    <row r="492" spans="1:13" ht="12.75">
      <c r="A492" s="124"/>
      <c r="B492" s="125"/>
      <c r="C492" s="125"/>
      <c r="D492" s="125"/>
      <c r="E492" s="125"/>
      <c r="F492" s="125"/>
      <c r="G492" s="125"/>
      <c r="H492" s="125"/>
      <c r="I492" s="125"/>
      <c r="J492" s="125"/>
      <c r="K492" s="126"/>
      <c r="L492" s="125"/>
      <c r="M492" s="127"/>
    </row>
    <row r="493" spans="1:13" ht="12.6" customHeight="1">
      <c r="A493" s="184" t="str">
        <f>'BM02'!A199</f>
        <v>1.15.1</v>
      </c>
      <c r="B493" s="211" t="str">
        <f>'BM02'!B199</f>
        <v>Limpeza geral</v>
      </c>
      <c r="C493" s="212"/>
      <c r="D493" s="212"/>
      <c r="E493" s="212"/>
      <c r="F493" s="212"/>
      <c r="G493" s="212"/>
      <c r="H493" s="212"/>
      <c r="I493" s="212"/>
      <c r="J493" s="212"/>
      <c r="K493" s="213"/>
      <c r="L493" s="129">
        <f>L494</f>
        <v>0</v>
      </c>
      <c r="M493" s="185" t="str">
        <f>'BM02'!C199</f>
        <v>m²</v>
      </c>
    </row>
    <row r="494" spans="1:13" s="131" customFormat="1" ht="12.75">
      <c r="A494" s="132"/>
      <c r="B494" s="209"/>
      <c r="C494" s="210"/>
      <c r="D494" s="134"/>
      <c r="E494" s="134"/>
      <c r="F494" s="134"/>
      <c r="G494" s="134"/>
      <c r="H494" s="134"/>
      <c r="I494" s="134"/>
      <c r="J494" s="135"/>
      <c r="K494" s="135"/>
      <c r="L494" s="134">
        <f>ROUND(D494*K494,2)</f>
        <v>0</v>
      </c>
      <c r="M494" s="136"/>
    </row>
    <row r="495" spans="1:13" s="131" customFormat="1" ht="12.75">
      <c r="A495" s="139"/>
      <c r="B495" s="140"/>
      <c r="C495" s="141"/>
      <c r="D495" s="142"/>
      <c r="E495" s="143"/>
      <c r="F495" s="142"/>
      <c r="G495" s="142"/>
      <c r="H495" s="143"/>
      <c r="I495" s="143"/>
      <c r="J495" s="144"/>
      <c r="K495" s="144"/>
      <c r="L495" s="142"/>
      <c r="M495" s="145"/>
    </row>
    <row r="496" spans="1:13" ht="12.6" customHeight="1">
      <c r="A496" s="184" t="str">
        <f>'BM02'!A200</f>
        <v>1.15.2</v>
      </c>
      <c r="B496" s="211" t="str">
        <f>'BM02'!B200</f>
        <v>bota-fora (carga manual, transporte e descarga mecanica, caminhão basculante de 10m³) ate 5,00km</v>
      </c>
      <c r="C496" s="212"/>
      <c r="D496" s="212"/>
      <c r="E496" s="212"/>
      <c r="F496" s="212"/>
      <c r="G496" s="212"/>
      <c r="H496" s="212"/>
      <c r="I496" s="212"/>
      <c r="J496" s="212"/>
      <c r="K496" s="213"/>
      <c r="L496" s="129">
        <f>L497</f>
        <v>0</v>
      </c>
      <c r="M496" s="185" t="str">
        <f>'BM02'!C200</f>
        <v>m³</v>
      </c>
    </row>
    <row r="497" spans="1:13" s="131" customFormat="1" ht="12.75">
      <c r="A497" s="132"/>
      <c r="B497" s="209"/>
      <c r="C497" s="210"/>
      <c r="D497" s="134"/>
      <c r="E497" s="134"/>
      <c r="F497" s="134"/>
      <c r="G497" s="134"/>
      <c r="H497" s="134"/>
      <c r="I497" s="134"/>
      <c r="J497" s="135"/>
      <c r="K497" s="135"/>
      <c r="L497" s="134">
        <f>ROUND(D497*K497,2)</f>
        <v>0</v>
      </c>
      <c r="M497" s="136"/>
    </row>
    <row r="498" spans="1:13" s="131" customFormat="1" ht="13.5" thickBot="1">
      <c r="A498" s="139"/>
      <c r="B498" s="140"/>
      <c r="C498" s="141"/>
      <c r="D498" s="142"/>
      <c r="E498" s="143"/>
      <c r="F498" s="142"/>
      <c r="G498" s="142"/>
      <c r="H498" s="143"/>
      <c r="I498" s="143"/>
      <c r="J498" s="144"/>
      <c r="K498" s="144"/>
      <c r="L498" s="142"/>
      <c r="M498" s="145"/>
    </row>
    <row r="499" spans="1:13" ht="13.9" customHeight="1" thickBot="1">
      <c r="A499" s="272" t="str">
        <f>'BM02'!A202</f>
        <v>ETAPA 02: RECREIO COBERTO</v>
      </c>
      <c r="B499" s="273"/>
      <c r="C499" s="273"/>
      <c r="D499" s="273"/>
      <c r="E499" s="273"/>
      <c r="F499" s="273"/>
      <c r="G499" s="273"/>
      <c r="H499" s="273"/>
      <c r="I499" s="273"/>
      <c r="J499" s="273"/>
      <c r="K499" s="273"/>
      <c r="L499" s="273"/>
      <c r="M499" s="274"/>
    </row>
    <row r="500" spans="1:13" s="131" customFormat="1" ht="13.5" thickBot="1">
      <c r="A500" s="139"/>
      <c r="B500" s="140"/>
      <c r="C500" s="141"/>
      <c r="D500" s="142"/>
      <c r="E500" s="143"/>
      <c r="F500" s="142"/>
      <c r="G500" s="142"/>
      <c r="H500" s="143"/>
      <c r="I500" s="143"/>
      <c r="J500" s="144"/>
      <c r="K500" s="144"/>
      <c r="L500" s="142"/>
      <c r="M500" s="145"/>
    </row>
    <row r="501" spans="1:13" ht="13.5" thickBot="1">
      <c r="A501" s="121" t="str">
        <f>'BM02'!A204</f>
        <v>2.1</v>
      </c>
      <c r="B501" s="122" t="str">
        <f>'BM02'!B204</f>
        <v>SERVIÇOS PRELIMINARES</v>
      </c>
      <c r="C501" s="122"/>
      <c r="D501" s="122"/>
      <c r="E501" s="122"/>
      <c r="F501" s="122"/>
      <c r="G501" s="122"/>
      <c r="H501" s="122"/>
      <c r="I501" s="122"/>
      <c r="J501" s="122"/>
      <c r="K501" s="122"/>
      <c r="L501" s="122"/>
      <c r="M501" s="123"/>
    </row>
    <row r="502" spans="1:13" ht="12.75">
      <c r="A502" s="124"/>
      <c r="B502" s="125"/>
      <c r="C502" s="125"/>
      <c r="D502" s="125"/>
      <c r="E502" s="125"/>
      <c r="F502" s="125"/>
      <c r="G502" s="125"/>
      <c r="H502" s="125"/>
      <c r="I502" s="125"/>
      <c r="J502" s="125"/>
      <c r="K502" s="126"/>
      <c r="L502" s="125"/>
      <c r="M502" s="127"/>
    </row>
    <row r="503" spans="1:13" ht="30" customHeight="1">
      <c r="A503" s="128" t="str">
        <f>'BM02'!A206</f>
        <v>2.1.1</v>
      </c>
      <c r="B503" s="211" t="str">
        <f>'BM02'!B206</f>
        <v>LOCACAO CONVENCIONAL DE OBRA, UTILIZANDO GABARITO DE TÁBUAS CORRIDAS PONTALETADAS A CADA 2,00M - 2 UTILIZAÇÕES. AF_10/2018</v>
      </c>
      <c r="C503" s="212"/>
      <c r="D503" s="212"/>
      <c r="E503" s="212"/>
      <c r="F503" s="212"/>
      <c r="G503" s="212"/>
      <c r="H503" s="212"/>
      <c r="I503" s="212"/>
      <c r="J503" s="212"/>
      <c r="K503" s="213"/>
      <c r="L503" s="129">
        <f>L504</f>
        <v>0</v>
      </c>
      <c r="M503" s="130" t="str">
        <f>'BM02'!C206</f>
        <v>m</v>
      </c>
    </row>
    <row r="504" spans="1:13" s="131" customFormat="1" ht="12.75">
      <c r="A504" s="132"/>
      <c r="B504" s="209"/>
      <c r="C504" s="210"/>
      <c r="D504" s="134"/>
      <c r="E504" s="134"/>
      <c r="F504" s="134"/>
      <c r="G504" s="134"/>
      <c r="H504" s="134"/>
      <c r="I504" s="134"/>
      <c r="J504" s="135"/>
      <c r="K504" s="135"/>
      <c r="L504" s="134"/>
      <c r="M504" s="136"/>
    </row>
    <row r="505" spans="1:13" s="131" customFormat="1" ht="13.5" thickBot="1">
      <c r="A505" s="139"/>
      <c r="B505" s="140"/>
      <c r="C505" s="141"/>
      <c r="D505" s="142"/>
      <c r="E505" s="143"/>
      <c r="F505" s="142"/>
      <c r="G505" s="142"/>
      <c r="H505" s="143"/>
      <c r="I505" s="143"/>
      <c r="J505" s="144"/>
      <c r="K505" s="144"/>
      <c r="L505" s="142"/>
      <c r="M505" s="145"/>
    </row>
    <row r="506" spans="1:13" ht="13.5" thickBot="1">
      <c r="A506" s="121" t="str">
        <f>'BM02'!A208</f>
        <v>2.2</v>
      </c>
      <c r="B506" s="122" t="str">
        <f>'BM02'!B208</f>
        <v>MOVIMENTO DE TERRA</v>
      </c>
      <c r="C506" s="122"/>
      <c r="D506" s="122"/>
      <c r="E506" s="122"/>
      <c r="F506" s="122"/>
      <c r="G506" s="122"/>
      <c r="H506" s="122"/>
      <c r="I506" s="122"/>
      <c r="J506" s="122"/>
      <c r="K506" s="122"/>
      <c r="L506" s="122"/>
      <c r="M506" s="123"/>
    </row>
    <row r="507" spans="1:13" ht="12.75">
      <c r="A507" s="124"/>
      <c r="B507" s="125"/>
      <c r="C507" s="125"/>
      <c r="D507" s="125"/>
      <c r="E507" s="125"/>
      <c r="F507" s="125"/>
      <c r="G507" s="125"/>
      <c r="H507" s="125"/>
      <c r="I507" s="125"/>
      <c r="J507" s="125"/>
      <c r="K507" s="126"/>
      <c r="L507" s="125"/>
      <c r="M507" s="127"/>
    </row>
    <row r="508" spans="1:13" ht="30" customHeight="1">
      <c r="A508" s="128" t="str">
        <f>'BM02'!A210</f>
        <v>2.2.1</v>
      </c>
      <c r="B508" s="211" t="str">
        <f>'BM02'!B210</f>
        <v>ESCAVACAO MECANICA DE VALA EM MATERIAL DE 2A. CATEGORIA ATE 2 M DE PROFUNDIDADE COM UTILIZACAO DE ESCAVADEIRA HIDRAULICA</v>
      </c>
      <c r="C508" s="212"/>
      <c r="D508" s="212"/>
      <c r="E508" s="212"/>
      <c r="F508" s="212"/>
      <c r="G508" s="212"/>
      <c r="H508" s="212"/>
      <c r="I508" s="212"/>
      <c r="J508" s="212"/>
      <c r="K508" s="213"/>
      <c r="L508" s="129">
        <f>L509</f>
        <v>0</v>
      </c>
      <c r="M508" s="130" t="str">
        <f>'BM02'!C210</f>
        <v>m³</v>
      </c>
    </row>
    <row r="509" spans="1:13" s="131" customFormat="1" ht="12.75">
      <c r="A509" s="132"/>
      <c r="B509" s="209"/>
      <c r="C509" s="210"/>
      <c r="D509" s="134"/>
      <c r="E509" s="134"/>
      <c r="F509" s="134"/>
      <c r="G509" s="134"/>
      <c r="H509" s="134"/>
      <c r="I509" s="134"/>
      <c r="J509" s="135"/>
      <c r="K509" s="135"/>
      <c r="L509" s="134"/>
      <c r="M509" s="136"/>
    </row>
    <row r="510" spans="1:13" s="131" customFormat="1" ht="12.75">
      <c r="A510" s="139"/>
      <c r="B510" s="140"/>
      <c r="C510" s="141"/>
      <c r="D510" s="142"/>
      <c r="E510" s="143"/>
      <c r="F510" s="142"/>
      <c r="G510" s="142"/>
      <c r="H510" s="143"/>
      <c r="I510" s="143"/>
      <c r="J510" s="144"/>
      <c r="K510" s="144"/>
      <c r="L510" s="142"/>
      <c r="M510" s="145"/>
    </row>
    <row r="511" spans="1:13" ht="12.75">
      <c r="A511" s="128" t="str">
        <f>'BM02'!A211</f>
        <v>2.2.2</v>
      </c>
      <c r="B511" s="211" t="str">
        <f>'BM02'!B211</f>
        <v>EMBASAMENTO C/PEDRA ARGAMASSADA UTILIZADO ARG.CIM/AREIA 1:4 (ADAPTADO SINAPI 95467)</v>
      </c>
      <c r="C511" s="212"/>
      <c r="D511" s="212"/>
      <c r="E511" s="212"/>
      <c r="F511" s="212"/>
      <c r="G511" s="212"/>
      <c r="H511" s="212"/>
      <c r="I511" s="212"/>
      <c r="J511" s="212"/>
      <c r="K511" s="213"/>
      <c r="L511" s="129">
        <f>L512</f>
        <v>0</v>
      </c>
      <c r="M511" s="130" t="str">
        <f>'BM02'!C211</f>
        <v>m³</v>
      </c>
    </row>
    <row r="512" spans="1:13" s="131" customFormat="1" ht="12.75">
      <c r="A512" s="132"/>
      <c r="B512" s="209"/>
      <c r="C512" s="210"/>
      <c r="D512" s="134"/>
      <c r="E512" s="134"/>
      <c r="F512" s="134"/>
      <c r="G512" s="134"/>
      <c r="H512" s="134"/>
      <c r="I512" s="134"/>
      <c r="J512" s="135"/>
      <c r="K512" s="135"/>
      <c r="L512" s="134"/>
      <c r="M512" s="136"/>
    </row>
    <row r="513" spans="1:13" s="131" customFormat="1" ht="13.5" thickBot="1">
      <c r="A513" s="139"/>
      <c r="B513" s="140"/>
      <c r="C513" s="141"/>
      <c r="D513" s="142"/>
      <c r="E513" s="143"/>
      <c r="F513" s="142"/>
      <c r="G513" s="142"/>
      <c r="H513" s="143"/>
      <c r="I513" s="143"/>
      <c r="J513" s="144"/>
      <c r="K513" s="144"/>
      <c r="L513" s="142"/>
      <c r="M513" s="145"/>
    </row>
    <row r="514" spans="1:13" ht="13.5" thickBot="1">
      <c r="A514" s="121" t="str">
        <f>'BM02'!A213</f>
        <v>2.3</v>
      </c>
      <c r="B514" s="122" t="str">
        <f>'BM02'!B213</f>
        <v>FUNDAÇÃO</v>
      </c>
      <c r="C514" s="122"/>
      <c r="D514" s="122"/>
      <c r="E514" s="122"/>
      <c r="F514" s="122"/>
      <c r="G514" s="122"/>
      <c r="H514" s="122"/>
      <c r="I514" s="122"/>
      <c r="J514" s="122"/>
      <c r="K514" s="122"/>
      <c r="L514" s="122"/>
      <c r="M514" s="123"/>
    </row>
    <row r="515" spans="1:13" ht="13.5" thickBot="1">
      <c r="A515" s="124"/>
      <c r="B515" s="125"/>
      <c r="C515" s="125"/>
      <c r="D515" s="125"/>
      <c r="E515" s="125"/>
      <c r="F515" s="125"/>
      <c r="G515" s="125"/>
      <c r="H515" s="125"/>
      <c r="I515" s="125"/>
      <c r="J515" s="125"/>
      <c r="K515" s="126"/>
      <c r="L515" s="125"/>
      <c r="M515" s="127"/>
    </row>
    <row r="516" spans="1:13" ht="12.6" customHeight="1">
      <c r="A516" s="184" t="str">
        <f>'BM02'!A215</f>
        <v>2.3.1</v>
      </c>
      <c r="B516" s="211" t="str">
        <f>'BM02'!B215</f>
        <v>LASTRO DE CONCRETO MAGRO, APLICADO EM BLOCOS DE COROAMENTO OU SAPATAS. AF_08/2017</v>
      </c>
      <c r="C516" s="212"/>
      <c r="D516" s="212"/>
      <c r="E516" s="212"/>
      <c r="F516" s="212"/>
      <c r="G516" s="212"/>
      <c r="H516" s="212"/>
      <c r="I516" s="212"/>
      <c r="J516" s="212"/>
      <c r="K516" s="213"/>
      <c r="L516" s="129">
        <f>L517</f>
        <v>0</v>
      </c>
      <c r="M516" s="185" t="str">
        <f>'BM02'!C215</f>
        <v>m³</v>
      </c>
    </row>
    <row r="517" spans="1:13" s="131" customFormat="1" ht="13.5" thickBot="1">
      <c r="A517" s="132"/>
      <c r="B517" s="209"/>
      <c r="C517" s="210"/>
      <c r="D517" s="134"/>
      <c r="E517" s="134"/>
      <c r="F517" s="134"/>
      <c r="G517" s="134"/>
      <c r="H517" s="134"/>
      <c r="I517" s="134"/>
      <c r="J517" s="135"/>
      <c r="K517" s="135"/>
      <c r="L517" s="134"/>
      <c r="M517" s="136"/>
    </row>
    <row r="518" spans="1:13" s="131" customFormat="1" ht="12.75">
      <c r="A518" s="139"/>
      <c r="B518" s="140"/>
      <c r="C518" s="141"/>
      <c r="D518" s="142"/>
      <c r="E518" s="143"/>
      <c r="F518" s="142"/>
      <c r="G518" s="142"/>
      <c r="H518" s="143"/>
      <c r="I518" s="143"/>
      <c r="J518" s="144"/>
      <c r="K518" s="144"/>
      <c r="L518" s="142"/>
      <c r="M518" s="145"/>
    </row>
    <row r="519" spans="1:13" ht="30" customHeight="1">
      <c r="A519" s="128" t="str">
        <f>'BM02'!A216</f>
        <v>2.3.2</v>
      </c>
      <c r="B519" s="211" t="str">
        <f>'BM02'!B216</f>
        <v>LOCACAO CONVENCIONAL DE OBRA, UTILIZANDO GABARITO DE TÁBUAS CORRIDAS PONTALETADAS A CADA 2,00M - 2 UTILIZAÇÕES. AF_10/2020</v>
      </c>
      <c r="C519" s="212"/>
      <c r="D519" s="212"/>
      <c r="E519" s="212"/>
      <c r="F519" s="212"/>
      <c r="G519" s="212"/>
      <c r="H519" s="212"/>
      <c r="I519" s="212"/>
      <c r="J519" s="212"/>
      <c r="K519" s="213"/>
      <c r="L519" s="129">
        <f>L520</f>
        <v>0</v>
      </c>
      <c r="M519" s="185" t="str">
        <f>'BM02'!C216</f>
        <v>m³</v>
      </c>
    </row>
    <row r="520" spans="1:13" s="131" customFormat="1" ht="12.75">
      <c r="A520" s="132"/>
      <c r="B520" s="209"/>
      <c r="C520" s="210"/>
      <c r="D520" s="134"/>
      <c r="E520" s="134"/>
      <c r="F520" s="134"/>
      <c r="G520" s="134"/>
      <c r="H520" s="134"/>
      <c r="I520" s="134"/>
      <c r="J520" s="135"/>
      <c r="K520" s="135"/>
      <c r="L520" s="134"/>
      <c r="M520" s="136"/>
    </row>
    <row r="521" spans="1:13" s="131" customFormat="1" ht="12.75">
      <c r="A521" s="139"/>
      <c r="B521" s="140"/>
      <c r="C521" s="141"/>
      <c r="D521" s="142"/>
      <c r="E521" s="143"/>
      <c r="F521" s="142"/>
      <c r="G521" s="142"/>
      <c r="H521" s="143"/>
      <c r="I521" s="143"/>
      <c r="J521" s="144"/>
      <c r="K521" s="144"/>
      <c r="L521" s="142"/>
      <c r="M521" s="145"/>
    </row>
    <row r="522" spans="1:13" ht="30" customHeight="1">
      <c r="A522" s="128" t="str">
        <f>'BM02'!A217</f>
        <v>2.3.3</v>
      </c>
      <c r="B522" s="211" t="str">
        <f>'BM02'!B217</f>
        <v>(COMPOSIÇÃO REPRESENTATIVA) EXECUÇÃO DE ESTRUTURAS DE CONCRETO ARMADO CONVENCIONAL, PARA EDIFICAÇÃO HABITACIONAL MULTIFAMILIAR (PRÉDIO), FCK = 25 MPA. AF_01/2017</v>
      </c>
      <c r="C522" s="212"/>
      <c r="D522" s="212"/>
      <c r="E522" s="212"/>
      <c r="F522" s="212"/>
      <c r="G522" s="212"/>
      <c r="H522" s="212"/>
      <c r="I522" s="212"/>
      <c r="J522" s="212"/>
      <c r="K522" s="213"/>
      <c r="L522" s="129">
        <f>L523</f>
        <v>0</v>
      </c>
      <c r="M522" s="185" t="str">
        <f>'BM02'!C217</f>
        <v>m³</v>
      </c>
    </row>
    <row r="523" spans="1:13" s="131" customFormat="1" ht="14.45" customHeight="1">
      <c r="A523" s="132"/>
      <c r="B523" s="209"/>
      <c r="C523" s="210"/>
      <c r="D523" s="134"/>
      <c r="E523" s="134"/>
      <c r="F523" s="134"/>
      <c r="G523" s="134"/>
      <c r="H523" s="134"/>
      <c r="I523" s="134"/>
      <c r="J523" s="135"/>
      <c r="K523" s="135"/>
      <c r="L523" s="134"/>
      <c r="M523" s="136"/>
    </row>
    <row r="524" spans="1:13" s="131" customFormat="1" ht="13.5" thickBot="1">
      <c r="A524" s="139"/>
      <c r="B524" s="140"/>
      <c r="C524" s="141"/>
      <c r="D524" s="142"/>
      <c r="E524" s="143"/>
      <c r="F524" s="142"/>
      <c r="G524" s="142"/>
      <c r="H524" s="143"/>
      <c r="I524" s="143"/>
      <c r="J524" s="144"/>
      <c r="K524" s="144"/>
      <c r="L524" s="142"/>
      <c r="M524" s="145"/>
    </row>
    <row r="525" spans="1:13" ht="13.5" thickBot="1">
      <c r="A525" s="121" t="str">
        <f>'BM02'!A219</f>
        <v>2.4</v>
      </c>
      <c r="B525" s="122" t="str">
        <f>'BM02'!B219</f>
        <v>ESTRUTURA</v>
      </c>
      <c r="C525" s="122"/>
      <c r="D525" s="122"/>
      <c r="E525" s="122"/>
      <c r="F525" s="122"/>
      <c r="G525" s="122"/>
      <c r="H525" s="122"/>
      <c r="I525" s="122"/>
      <c r="J525" s="122"/>
      <c r="K525" s="122"/>
      <c r="L525" s="122"/>
      <c r="M525" s="123"/>
    </row>
    <row r="526" spans="1:13" ht="12.75">
      <c r="A526" s="124"/>
      <c r="B526" s="125">
        <f>'BM02'!B220</f>
        <v>0</v>
      </c>
      <c r="C526" s="125"/>
      <c r="D526" s="125"/>
      <c r="E526" s="125"/>
      <c r="F526" s="125"/>
      <c r="G526" s="125"/>
      <c r="H526" s="125"/>
      <c r="I526" s="125"/>
      <c r="J526" s="125"/>
      <c r="K526" s="126"/>
      <c r="L526" s="125"/>
      <c r="M526" s="127"/>
    </row>
    <row r="527" spans="1:13" ht="30" customHeight="1">
      <c r="A527" s="128" t="str">
        <f>'BM02'!A221</f>
        <v>2.4.1</v>
      </c>
      <c r="B527" s="211" t="str">
        <f>'BM02'!B221</f>
        <v>(COMPOSIÇÃO REPRESENTATIVA) EXECUÇÃO DE ESTRUTURAS DE CONCRETO ARMADO, PARA EDIFICAÇÃO HABITACIONAL UNIFAMILIAR COM DOIS PAVIMENTOS (CASA EM EMPREENDIMENTOS), FCK = 25 MPA. AF_01/2017</v>
      </c>
      <c r="C527" s="212"/>
      <c r="D527" s="212"/>
      <c r="E527" s="212"/>
      <c r="F527" s="212"/>
      <c r="G527" s="212"/>
      <c r="H527" s="212"/>
      <c r="I527" s="212"/>
      <c r="J527" s="212"/>
      <c r="K527" s="213"/>
      <c r="L527" s="129">
        <f>L528</f>
        <v>0</v>
      </c>
      <c r="M527" s="185" t="str">
        <f>'BM02'!C221</f>
        <v>m³</v>
      </c>
    </row>
    <row r="528" spans="1:13" s="131" customFormat="1" ht="12.75">
      <c r="A528" s="132"/>
      <c r="B528" s="209"/>
      <c r="C528" s="210"/>
      <c r="D528" s="134"/>
      <c r="E528" s="134"/>
      <c r="F528" s="134"/>
      <c r="G528" s="134"/>
      <c r="H528" s="134"/>
      <c r="I528" s="134"/>
      <c r="J528" s="135"/>
      <c r="K528" s="135"/>
      <c r="L528" s="134"/>
      <c r="M528" s="136"/>
    </row>
    <row r="529" spans="1:13" s="131" customFormat="1" ht="13.5" thickBot="1">
      <c r="A529" s="139"/>
      <c r="B529" s="140"/>
      <c r="C529" s="141"/>
      <c r="D529" s="142"/>
      <c r="E529" s="143"/>
      <c r="F529" s="142"/>
      <c r="G529" s="142"/>
      <c r="H529" s="143"/>
      <c r="I529" s="143"/>
      <c r="J529" s="144"/>
      <c r="K529" s="144"/>
      <c r="L529" s="142"/>
      <c r="M529" s="145"/>
    </row>
    <row r="530" spans="1:13" ht="13.5" thickBot="1">
      <c r="A530" s="121" t="str">
        <f>'BM02'!A223</f>
        <v>2.5</v>
      </c>
      <c r="B530" s="122" t="str">
        <f>'BM02'!B223</f>
        <v>ALVENARIA</v>
      </c>
      <c r="C530" s="122"/>
      <c r="D530" s="122"/>
      <c r="E530" s="122"/>
      <c r="F530" s="122"/>
      <c r="G530" s="122"/>
      <c r="H530" s="122"/>
      <c r="I530" s="122"/>
      <c r="J530" s="122"/>
      <c r="K530" s="122"/>
      <c r="L530" s="122"/>
      <c r="M530" s="123"/>
    </row>
    <row r="531" spans="1:13" ht="12.75">
      <c r="A531" s="124"/>
      <c r="B531" s="125"/>
      <c r="C531" s="125"/>
      <c r="D531" s="125"/>
      <c r="E531" s="125"/>
      <c r="F531" s="125"/>
      <c r="G531" s="125"/>
      <c r="H531" s="125"/>
      <c r="I531" s="125"/>
      <c r="J531" s="125"/>
      <c r="K531" s="126"/>
      <c r="L531" s="125"/>
      <c r="M531" s="127"/>
    </row>
    <row r="532" spans="1:13" ht="43.15" customHeight="1">
      <c r="A532" s="128" t="str">
        <f>'BM02'!A225</f>
        <v>2.5.1</v>
      </c>
      <c r="B532" s="211" t="str">
        <f>'BM02'!B225</f>
        <v>ALVENARIA DE VEDAÇÃO DE BLOCOS CERÂMICOS FURADOS NA HORIZONTAL DE 9X19X19CM (ESPESSURA 9CM) DE PAREDES COM ÁREA LÍQUIDA MAIOR OU IGUAL A 6M² SEM VÃOS E ARGAMASSA DE ASSENTAMENTO COM PREPARO MANUAL. AF_06/2014</v>
      </c>
      <c r="C532" s="212"/>
      <c r="D532" s="212"/>
      <c r="E532" s="212"/>
      <c r="F532" s="212"/>
      <c r="G532" s="212"/>
      <c r="H532" s="212"/>
      <c r="I532" s="212"/>
      <c r="J532" s="212"/>
      <c r="K532" s="213"/>
      <c r="L532" s="129">
        <f>L533</f>
        <v>0</v>
      </c>
      <c r="M532" s="185" t="str">
        <f>'BM02'!C225</f>
        <v>m²</v>
      </c>
    </row>
    <row r="533" spans="1:13" s="131" customFormat="1" ht="12.75">
      <c r="A533" s="132"/>
      <c r="B533" s="209"/>
      <c r="C533" s="210"/>
      <c r="D533" s="134"/>
      <c r="E533" s="134"/>
      <c r="F533" s="134"/>
      <c r="G533" s="134"/>
      <c r="H533" s="134"/>
      <c r="I533" s="134"/>
      <c r="J533" s="135"/>
      <c r="K533" s="135"/>
      <c r="L533" s="134">
        <f>ROUND(D533*K533,2)</f>
        <v>0</v>
      </c>
      <c r="M533" s="136"/>
    </row>
    <row r="534" spans="1:13" s="131" customFormat="1" ht="13.5" thickBot="1">
      <c r="A534" s="139"/>
      <c r="B534" s="140"/>
      <c r="C534" s="141"/>
      <c r="D534" s="142"/>
      <c r="E534" s="143"/>
      <c r="F534" s="142"/>
      <c r="G534" s="142"/>
      <c r="H534" s="143"/>
      <c r="I534" s="143"/>
      <c r="J534" s="144"/>
      <c r="K534" s="144"/>
      <c r="L534" s="142"/>
      <c r="M534" s="145"/>
    </row>
    <row r="535" spans="1:13" ht="13.5" thickBot="1">
      <c r="A535" s="121" t="str">
        <f>'BM02'!A227</f>
        <v>2.6</v>
      </c>
      <c r="B535" s="122" t="str">
        <f>'BM02'!B227</f>
        <v>COBERTURA</v>
      </c>
      <c r="C535" s="122"/>
      <c r="D535" s="122"/>
      <c r="E535" s="122"/>
      <c r="F535" s="122"/>
      <c r="G535" s="122"/>
      <c r="H535" s="122"/>
      <c r="I535" s="122"/>
      <c r="J535" s="122"/>
      <c r="K535" s="122"/>
      <c r="L535" s="122"/>
      <c r="M535" s="123"/>
    </row>
    <row r="536" spans="1:13" ht="12.75">
      <c r="A536" s="124"/>
      <c r="B536" s="125"/>
      <c r="C536" s="125"/>
      <c r="D536" s="125"/>
      <c r="E536" s="125"/>
      <c r="F536" s="125"/>
      <c r="G536" s="125"/>
      <c r="H536" s="125"/>
      <c r="I536" s="125"/>
      <c r="J536" s="125"/>
      <c r="K536" s="126"/>
      <c r="L536" s="125"/>
      <c r="M536" s="127"/>
    </row>
    <row r="537" spans="1:13" ht="30" customHeight="1">
      <c r="A537" s="128" t="str">
        <f>'BM02'!A229</f>
        <v>2.6.1</v>
      </c>
      <c r="B537" s="211" t="str">
        <f>'BM02'!B229</f>
        <v>FABRICAÇÃO E INSTALAÇÃO DE ESTRUTURA PONTALETADA DE MADEIRA NÃO APARELHADA PARA TELHADOS COM ATÉ 2 ÁGUAS E PARA TELHA CERÂMICA OU DE CONCRETO, INCLUSO TRANSPORTE VERTICAL. AF_12/2015</v>
      </c>
      <c r="C537" s="212"/>
      <c r="D537" s="212"/>
      <c r="E537" s="212"/>
      <c r="F537" s="212"/>
      <c r="G537" s="212"/>
      <c r="H537" s="212"/>
      <c r="I537" s="212"/>
      <c r="J537" s="212"/>
      <c r="K537" s="213"/>
      <c r="L537" s="129">
        <f>L538</f>
        <v>0</v>
      </c>
      <c r="M537" s="130" t="str">
        <f>'BM02'!C229</f>
        <v>m²</v>
      </c>
    </row>
    <row r="538" spans="1:13" s="131" customFormat="1" ht="12.75">
      <c r="A538" s="132"/>
      <c r="B538" s="209"/>
      <c r="C538" s="210"/>
      <c r="D538" s="134"/>
      <c r="E538" s="134"/>
      <c r="F538" s="134"/>
      <c r="G538" s="134"/>
      <c r="H538" s="134"/>
      <c r="I538" s="134"/>
      <c r="J538" s="135"/>
      <c r="K538" s="135"/>
      <c r="L538" s="134">
        <f>ROUND(D538*K538,2)</f>
        <v>0</v>
      </c>
      <c r="M538" s="136"/>
    </row>
    <row r="539" spans="1:13" s="131" customFormat="1" ht="12.75">
      <c r="A539" s="139"/>
      <c r="B539" s="140"/>
      <c r="C539" s="141"/>
      <c r="D539" s="142"/>
      <c r="E539" s="143"/>
      <c r="F539" s="142"/>
      <c r="G539" s="142"/>
      <c r="H539" s="143"/>
      <c r="I539" s="143"/>
      <c r="J539" s="144"/>
      <c r="K539" s="144"/>
      <c r="L539" s="142"/>
      <c r="M539" s="145"/>
    </row>
    <row r="540" spans="1:13" ht="30" customHeight="1">
      <c r="A540" s="128" t="str">
        <f>'BM02'!A230</f>
        <v>2.6.2</v>
      </c>
      <c r="B540" s="211" t="str">
        <f>'BM02'!B230</f>
        <v>INSTALAÇÃO DE TESOURA (INTEIRA OU MEIA), BIAPOIADA, EM MADEIRA NÃO APARELHADA, PARA VÃOS MAIORES OU IGUAIS A 6,0 M E MENORES QUE 8,0 M, INCLUSO IÇAMENTO. AF_07/2019</v>
      </c>
      <c r="C540" s="212"/>
      <c r="D540" s="212"/>
      <c r="E540" s="212"/>
      <c r="F540" s="212"/>
      <c r="G540" s="212"/>
      <c r="H540" s="212"/>
      <c r="I540" s="212"/>
      <c r="J540" s="212"/>
      <c r="K540" s="213"/>
      <c r="L540" s="129">
        <f>L541</f>
        <v>0</v>
      </c>
      <c r="M540" s="130" t="str">
        <f>'BM02'!C230</f>
        <v>un</v>
      </c>
    </row>
    <row r="541" spans="1:13" s="131" customFormat="1" ht="12.75">
      <c r="A541" s="132"/>
      <c r="B541" s="209"/>
      <c r="C541" s="210"/>
      <c r="D541" s="134"/>
      <c r="E541" s="134"/>
      <c r="F541" s="134"/>
      <c r="G541" s="134"/>
      <c r="H541" s="134"/>
      <c r="I541" s="134"/>
      <c r="J541" s="135"/>
      <c r="K541" s="135"/>
      <c r="L541" s="134">
        <f>ROUND(D541*K541,2)</f>
        <v>0</v>
      </c>
      <c r="M541" s="136"/>
    </row>
    <row r="542" spans="1:13" s="131" customFormat="1" ht="12.75">
      <c r="A542" s="139"/>
      <c r="B542" s="140"/>
      <c r="C542" s="141"/>
      <c r="D542" s="142"/>
      <c r="E542" s="143"/>
      <c r="F542" s="142"/>
      <c r="G542" s="142"/>
      <c r="H542" s="143"/>
      <c r="I542" s="143"/>
      <c r="J542" s="144"/>
      <c r="K542" s="144"/>
      <c r="L542" s="142"/>
      <c r="M542" s="145"/>
    </row>
    <row r="543" spans="1:13" ht="30" customHeight="1">
      <c r="A543" s="128" t="str">
        <f>'BM02'!A231</f>
        <v>2.6.3</v>
      </c>
      <c r="B543" s="211" t="str">
        <f>'BM02'!B231</f>
        <v>TELHAMENTO COM TELHA CERÂMICA CAPA-CANAL, TIPO PLAN, COM ATÉ 2 ÁGUAS, INCLUSO TRANSPORTE VERTICAL. AF_07/2019</v>
      </c>
      <c r="C543" s="212"/>
      <c r="D543" s="212"/>
      <c r="E543" s="212"/>
      <c r="F543" s="212"/>
      <c r="G543" s="212"/>
      <c r="H543" s="212"/>
      <c r="I543" s="212"/>
      <c r="J543" s="212"/>
      <c r="K543" s="213"/>
      <c r="L543" s="129">
        <f>L544</f>
        <v>0</v>
      </c>
      <c r="M543" s="130" t="str">
        <f>'BM02'!C231</f>
        <v>m²</v>
      </c>
    </row>
    <row r="544" spans="1:13" s="131" customFormat="1" ht="12.75">
      <c r="A544" s="132"/>
      <c r="B544" s="209"/>
      <c r="C544" s="210"/>
      <c r="D544" s="134"/>
      <c r="E544" s="134"/>
      <c r="F544" s="134"/>
      <c r="G544" s="134"/>
      <c r="H544" s="134"/>
      <c r="I544" s="134"/>
      <c r="J544" s="135"/>
      <c r="K544" s="135"/>
      <c r="L544" s="134">
        <f>ROUND(D544*K544,2)</f>
        <v>0</v>
      </c>
      <c r="M544" s="136"/>
    </row>
    <row r="545" spans="1:13" s="131" customFormat="1" ht="12.75">
      <c r="A545" s="139"/>
      <c r="B545" s="140"/>
      <c r="C545" s="141"/>
      <c r="D545" s="142"/>
      <c r="E545" s="143"/>
      <c r="F545" s="142"/>
      <c r="G545" s="142"/>
      <c r="H545" s="143"/>
      <c r="I545" s="143"/>
      <c r="J545" s="144"/>
      <c r="K545" s="144"/>
      <c r="L545" s="142"/>
      <c r="M545" s="145"/>
    </row>
    <row r="546" spans="1:13" ht="30" customHeight="1">
      <c r="A546" s="128" t="str">
        <f>'BM02'!A232</f>
        <v>2.6.4</v>
      </c>
      <c r="B546" s="211" t="str">
        <f>'BM02'!B232</f>
        <v>CUMEEIRA PARA TELHA CERÂMICA EMBOÇADA COM ARGAMASSA TRAÇO 1:2:9 (CIMENTO, CAL E AREIA) PARA TELHADOS COM ATÉ 2 ÁGUAS, INCLUSO TRANSPORTE VERTICAL. AF_07/2019</v>
      </c>
      <c r="C546" s="212"/>
      <c r="D546" s="212"/>
      <c r="E546" s="212"/>
      <c r="F546" s="212"/>
      <c r="G546" s="212"/>
      <c r="H546" s="212"/>
      <c r="I546" s="212"/>
      <c r="J546" s="212"/>
      <c r="K546" s="213"/>
      <c r="L546" s="129">
        <f>L547</f>
        <v>0</v>
      </c>
      <c r="M546" s="130" t="str">
        <f>'BM02'!C232</f>
        <v xml:space="preserve">m </v>
      </c>
    </row>
    <row r="547" spans="1:13" s="131" customFormat="1" ht="12.75">
      <c r="A547" s="132"/>
      <c r="B547" s="209"/>
      <c r="C547" s="210"/>
      <c r="D547" s="134"/>
      <c r="E547" s="134"/>
      <c r="F547" s="134"/>
      <c r="G547" s="134"/>
      <c r="H547" s="134"/>
      <c r="I547" s="134"/>
      <c r="J547" s="135"/>
      <c r="K547" s="135"/>
      <c r="L547" s="134">
        <f>ROUND(D547*K547,2)</f>
        <v>0</v>
      </c>
      <c r="M547" s="136"/>
    </row>
    <row r="548" spans="1:13" s="131" customFormat="1" ht="13.5" thickBot="1">
      <c r="A548" s="139"/>
      <c r="B548" s="140"/>
      <c r="C548" s="141"/>
      <c r="D548" s="142"/>
      <c r="E548" s="143"/>
      <c r="F548" s="142"/>
      <c r="G548" s="142"/>
      <c r="H548" s="143"/>
      <c r="I548" s="143"/>
      <c r="J548" s="144"/>
      <c r="K548" s="144"/>
      <c r="L548" s="142"/>
      <c r="M548" s="145"/>
    </row>
    <row r="549" spans="1:13" ht="13.5" thickBot="1">
      <c r="A549" s="121" t="str">
        <f>'BM02'!A234</f>
        <v>2.7</v>
      </c>
      <c r="B549" s="122" t="str">
        <f>'BM02'!B234</f>
        <v>REVESTIMENTO</v>
      </c>
      <c r="C549" s="122"/>
      <c r="D549" s="122"/>
      <c r="E549" s="122"/>
      <c r="F549" s="122"/>
      <c r="G549" s="122"/>
      <c r="H549" s="122"/>
      <c r="I549" s="122"/>
      <c r="J549" s="122"/>
      <c r="K549" s="122"/>
      <c r="L549" s="122"/>
      <c r="M549" s="123"/>
    </row>
    <row r="550" spans="1:13" ht="12.75">
      <c r="A550" s="124"/>
      <c r="B550" s="125"/>
      <c r="C550" s="125"/>
      <c r="D550" s="125"/>
      <c r="E550" s="125"/>
      <c r="F550" s="125"/>
      <c r="G550" s="125"/>
      <c r="H550" s="125"/>
      <c r="I550" s="125"/>
      <c r="J550" s="125"/>
      <c r="K550" s="126"/>
      <c r="L550" s="125"/>
      <c r="M550" s="127"/>
    </row>
    <row r="551" spans="1:13" ht="30" customHeight="1">
      <c r="A551" s="128" t="str">
        <f>'BM02'!A236</f>
        <v>2.7.1</v>
      </c>
      <c r="B551" s="211" t="str">
        <f>'BM02'!B236</f>
        <v>CHAPISCO APLICADO EM ALVENARIAS E ESTRUTURAS DE CONCRETO INTERNAS, COM COLHER DE PEDREIRO. ARGAMASSA TRAÇO 1:3 COM PREPARO EM BETONEIRA 400L. AF_06/2014</v>
      </c>
      <c r="C551" s="212"/>
      <c r="D551" s="212"/>
      <c r="E551" s="212"/>
      <c r="F551" s="212"/>
      <c r="G551" s="212"/>
      <c r="H551" s="212"/>
      <c r="I551" s="212"/>
      <c r="J551" s="212"/>
      <c r="K551" s="213"/>
      <c r="L551" s="129">
        <f>L552</f>
        <v>0</v>
      </c>
      <c r="M551" s="130" t="str">
        <f>'BM02'!C236</f>
        <v>m²</v>
      </c>
    </row>
    <row r="552" spans="1:13" s="131" customFormat="1" ht="12.75">
      <c r="A552" s="132"/>
      <c r="B552" s="209"/>
      <c r="C552" s="210"/>
      <c r="D552" s="134"/>
      <c r="E552" s="134"/>
      <c r="F552" s="134"/>
      <c r="G552" s="134"/>
      <c r="H552" s="134"/>
      <c r="I552" s="134"/>
      <c r="J552" s="135"/>
      <c r="K552" s="135"/>
      <c r="L552" s="134">
        <f>ROUND(D552*K552,2)</f>
        <v>0</v>
      </c>
      <c r="M552" s="136"/>
    </row>
    <row r="553" spans="1:13" s="131" customFormat="1" ht="12.75">
      <c r="A553" s="139"/>
      <c r="B553" s="140"/>
      <c r="C553" s="141"/>
      <c r="D553" s="142"/>
      <c r="E553" s="143"/>
      <c r="F553" s="142"/>
      <c r="G553" s="142"/>
      <c r="H553" s="143"/>
      <c r="I553" s="143"/>
      <c r="J553" s="144"/>
      <c r="K553" s="144"/>
      <c r="L553" s="142"/>
      <c r="M553" s="145"/>
    </row>
    <row r="554" spans="1:13" ht="43.15" customHeight="1">
      <c r="A554" s="128" t="str">
        <f>'BM02'!A237</f>
        <v>2.7.2</v>
      </c>
      <c r="B554" s="211" t="str">
        <f>'BM02'!B237</f>
        <v>MASSA ÚNICA, PARA RECEBIMENTO DE PINTURA, EM ARGAMASSA TRAÇO 1:2:8, PREPARO MECÂNICO COM BETONEIRA 400L, APLICADA MANUALMENTE EM FACES INTERNAS DE PAREDES, ESPESSURA DE 20MM, COM EXECUÇÃO DE TALISCAS. AF_06/2014</v>
      </c>
      <c r="C554" s="212"/>
      <c r="D554" s="212"/>
      <c r="E554" s="212"/>
      <c r="F554" s="212"/>
      <c r="G554" s="212"/>
      <c r="H554" s="212"/>
      <c r="I554" s="212"/>
      <c r="J554" s="212"/>
      <c r="K554" s="213"/>
      <c r="L554" s="129">
        <f>L555</f>
        <v>0</v>
      </c>
      <c r="M554" s="130" t="str">
        <f>'BM02'!C237</f>
        <v>m²</v>
      </c>
    </row>
    <row r="555" spans="1:13" s="131" customFormat="1" ht="12.75">
      <c r="A555" s="132"/>
      <c r="B555" s="209"/>
      <c r="C555" s="210"/>
      <c r="D555" s="134"/>
      <c r="E555" s="134"/>
      <c r="F555" s="134"/>
      <c r="G555" s="134"/>
      <c r="H555" s="134"/>
      <c r="I555" s="134"/>
      <c r="J555" s="135"/>
      <c r="K555" s="135"/>
      <c r="L555" s="134">
        <f>ROUND(D555*K555,2)</f>
        <v>0</v>
      </c>
      <c r="M555" s="136"/>
    </row>
    <row r="556" spans="1:13" s="131" customFormat="1" ht="12.75">
      <c r="A556" s="139"/>
      <c r="B556" s="140"/>
      <c r="C556" s="141"/>
      <c r="D556" s="142"/>
      <c r="E556" s="143"/>
      <c r="F556" s="142"/>
      <c r="G556" s="142"/>
      <c r="H556" s="143"/>
      <c r="I556" s="143"/>
      <c r="J556" s="144"/>
      <c r="K556" s="144"/>
      <c r="L556" s="142"/>
      <c r="M556" s="145"/>
    </row>
    <row r="557" spans="1:13" ht="12.6" customHeight="1">
      <c r="A557" s="128" t="str">
        <f>'BM02'!A238</f>
        <v>2.7.3</v>
      </c>
      <c r="B557" s="211" t="str">
        <f>'BM02'!B238</f>
        <v>Revestimento cerâmico para parede, 10 x 10 cm, Eliane, linha galeria chumbo mesh ou similar, pei - 2, aplicado com argamassa industrializada ac-ii, rejuntado, exclusive regularização de base ou emboço - Rev 01</v>
      </c>
      <c r="C557" s="212"/>
      <c r="D557" s="212"/>
      <c r="E557" s="212"/>
      <c r="F557" s="212"/>
      <c r="G557" s="212"/>
      <c r="H557" s="212"/>
      <c r="I557" s="212"/>
      <c r="J557" s="212"/>
      <c r="K557" s="213"/>
      <c r="L557" s="129">
        <f>L558</f>
        <v>0</v>
      </c>
      <c r="M557" s="130" t="str">
        <f>'BM02'!C238</f>
        <v>m²</v>
      </c>
    </row>
    <row r="558" spans="1:13" s="131" customFormat="1" ht="12.75">
      <c r="A558" s="132"/>
      <c r="B558" s="209"/>
      <c r="C558" s="210"/>
      <c r="D558" s="134"/>
      <c r="E558" s="134"/>
      <c r="F558" s="134"/>
      <c r="G558" s="134"/>
      <c r="H558" s="134"/>
      <c r="I558" s="134"/>
      <c r="J558" s="135"/>
      <c r="K558" s="135"/>
      <c r="L558" s="134">
        <f>ROUND(D558*K558,2)</f>
        <v>0</v>
      </c>
      <c r="M558" s="136"/>
    </row>
    <row r="559" spans="1:13" s="131" customFormat="1" ht="13.5" thickBot="1">
      <c r="A559" s="139"/>
      <c r="B559" s="140"/>
      <c r="C559" s="141"/>
      <c r="D559" s="142"/>
      <c r="E559" s="143"/>
      <c r="F559" s="142"/>
      <c r="G559" s="142"/>
      <c r="H559" s="143"/>
      <c r="I559" s="143"/>
      <c r="J559" s="144"/>
      <c r="K559" s="144"/>
      <c r="L559" s="142"/>
      <c r="M559" s="145"/>
    </row>
    <row r="560" spans="1:13" ht="13.5" thickBot="1">
      <c r="A560" s="121" t="str">
        <f>'BM02'!A240</f>
        <v>2.8</v>
      </c>
      <c r="B560" s="122" t="str">
        <f>'BM02'!B240</f>
        <v>PISOS</v>
      </c>
      <c r="C560" s="122"/>
      <c r="D560" s="122"/>
      <c r="E560" s="122"/>
      <c r="F560" s="122"/>
      <c r="G560" s="122"/>
      <c r="H560" s="122"/>
      <c r="I560" s="122"/>
      <c r="J560" s="122"/>
      <c r="K560" s="122"/>
      <c r="L560" s="122"/>
      <c r="M560" s="123"/>
    </row>
    <row r="561" spans="1:13" ht="12.75">
      <c r="A561" s="124"/>
      <c r="B561" s="125"/>
      <c r="C561" s="125"/>
      <c r="D561" s="125"/>
      <c r="E561" s="125"/>
      <c r="F561" s="125"/>
      <c r="G561" s="125"/>
      <c r="H561" s="125"/>
      <c r="I561" s="125"/>
      <c r="J561" s="125"/>
      <c r="K561" s="126"/>
      <c r="L561" s="125"/>
      <c r="M561" s="127"/>
    </row>
    <row r="562" spans="1:13" ht="12.6" customHeight="1">
      <c r="A562" s="128" t="str">
        <f>'BM02'!A242</f>
        <v>2.8.1</v>
      </c>
      <c r="B562" s="211" t="str">
        <f>'BM02'!B242</f>
        <v>LASTRO DE CONCRETO MAGRO, APLICADO EM PISOS OU RADIERS, ESPESSURA DE 5 CM. AF_07/2016</v>
      </c>
      <c r="C562" s="212"/>
      <c r="D562" s="212"/>
      <c r="E562" s="212"/>
      <c r="F562" s="212"/>
      <c r="G562" s="212"/>
      <c r="H562" s="212"/>
      <c r="I562" s="212"/>
      <c r="J562" s="212"/>
      <c r="K562" s="213"/>
      <c r="L562" s="129">
        <f>L563</f>
        <v>47.3</v>
      </c>
      <c r="M562" s="130" t="str">
        <f>'BM02'!C242</f>
        <v>m²</v>
      </c>
    </row>
    <row r="563" spans="1:13" s="131" customFormat="1" ht="12.75">
      <c r="A563" s="132"/>
      <c r="B563" s="209" t="s">
        <v>565</v>
      </c>
      <c r="C563" s="210"/>
      <c r="D563" s="134">
        <v>0.65690000000000004</v>
      </c>
      <c r="E563" s="134">
        <v>12</v>
      </c>
      <c r="F563" s="134"/>
      <c r="G563" s="134">
        <v>6</v>
      </c>
      <c r="H563" s="134"/>
      <c r="I563" s="134"/>
      <c r="J563" s="135"/>
      <c r="K563" s="135">
        <f>E563*G563</f>
        <v>72</v>
      </c>
      <c r="L563" s="134">
        <f>ROUND(D563*K563,2)</f>
        <v>47.3</v>
      </c>
      <c r="M563" s="136"/>
    </row>
    <row r="564" spans="1:13" s="131" customFormat="1" ht="12.75">
      <c r="A564" s="139"/>
      <c r="B564" s="140"/>
      <c r="C564" s="141"/>
      <c r="D564" s="142"/>
      <c r="E564" s="143"/>
      <c r="F564" s="142"/>
      <c r="G564" s="142"/>
      <c r="H564" s="143"/>
      <c r="I564" s="143"/>
      <c r="J564" s="144"/>
      <c r="K564" s="144"/>
      <c r="L564" s="142"/>
      <c r="M564" s="145"/>
    </row>
    <row r="565" spans="1:13" ht="12.6" customHeight="1">
      <c r="A565" s="128" t="str">
        <f>'BM02'!A243</f>
        <v>2.8.2</v>
      </c>
      <c r="B565" s="211" t="str">
        <f>'BM02'!B243</f>
        <v>Regularização de base para revest. de pisos com arg. traço t4, esp. média = 2,5cm</v>
      </c>
      <c r="C565" s="212"/>
      <c r="D565" s="212"/>
      <c r="E565" s="212"/>
      <c r="F565" s="212"/>
      <c r="G565" s="212"/>
      <c r="H565" s="212"/>
      <c r="I565" s="212"/>
      <c r="J565" s="212"/>
      <c r="K565" s="213"/>
      <c r="L565" s="129">
        <f>L566</f>
        <v>47.3</v>
      </c>
      <c r="M565" s="130" t="str">
        <f>'BM02'!C243</f>
        <v>m²</v>
      </c>
    </row>
    <row r="566" spans="1:13" s="131" customFormat="1" ht="12.75">
      <c r="A566" s="132"/>
      <c r="B566" s="209" t="s">
        <v>565</v>
      </c>
      <c r="C566" s="210"/>
      <c r="D566" s="134">
        <v>0.65690000000000004</v>
      </c>
      <c r="E566" s="134">
        <v>12</v>
      </c>
      <c r="F566" s="134"/>
      <c r="G566" s="134">
        <v>6</v>
      </c>
      <c r="H566" s="134"/>
      <c r="I566" s="134"/>
      <c r="J566" s="135"/>
      <c r="K566" s="135">
        <f>E566*G566</f>
        <v>72</v>
      </c>
      <c r="L566" s="134">
        <f>ROUND(D566*K566,2)</f>
        <v>47.3</v>
      </c>
      <c r="M566" s="136"/>
    </row>
    <row r="567" spans="1:13" s="131" customFormat="1" ht="12.75">
      <c r="A567" s="139"/>
      <c r="B567" s="140"/>
      <c r="C567" s="141"/>
      <c r="D567" s="142"/>
      <c r="E567" s="143"/>
      <c r="F567" s="142"/>
      <c r="G567" s="142"/>
      <c r="H567" s="143"/>
      <c r="I567" s="143"/>
      <c r="J567" s="144"/>
      <c r="K567" s="144"/>
      <c r="L567" s="142"/>
      <c r="M567" s="145"/>
    </row>
    <row r="568" spans="1:13" ht="12.6" customHeight="1">
      <c r="A568" s="128" t="str">
        <f>'BM02'!A244</f>
        <v>2.8.3</v>
      </c>
      <c r="B568" s="211" t="str">
        <f>'BM02'!B244</f>
        <v>PISO EM GRANILITE, MARMORITE OU GRANITINA EM AMBIENTES INTERNOS. AF_09/2020</v>
      </c>
      <c r="C568" s="212"/>
      <c r="D568" s="212"/>
      <c r="E568" s="212"/>
      <c r="F568" s="212"/>
      <c r="G568" s="212"/>
      <c r="H568" s="212"/>
      <c r="I568" s="212"/>
      <c r="J568" s="212"/>
      <c r="K568" s="213"/>
      <c r="L568" s="129">
        <f>L569</f>
        <v>0</v>
      </c>
      <c r="M568" s="130" t="str">
        <f>'BM02'!C244</f>
        <v>m²</v>
      </c>
    </row>
    <row r="569" spans="1:13" s="131" customFormat="1" ht="12.75">
      <c r="A569" s="132"/>
      <c r="B569" s="209"/>
      <c r="C569" s="210"/>
      <c r="D569" s="134"/>
      <c r="E569" s="134"/>
      <c r="F569" s="134"/>
      <c r="G569" s="134"/>
      <c r="H569" s="134"/>
      <c r="I569" s="134"/>
      <c r="J569" s="135"/>
      <c r="K569" s="135"/>
      <c r="L569" s="134">
        <f>ROUND(D569*K569,2)</f>
        <v>0</v>
      </c>
      <c r="M569" s="136"/>
    </row>
    <row r="570" spans="1:13" s="131" customFormat="1" ht="13.5" thickBot="1">
      <c r="A570" s="139"/>
      <c r="B570" s="140"/>
      <c r="C570" s="141"/>
      <c r="D570" s="142"/>
      <c r="E570" s="143"/>
      <c r="F570" s="142"/>
      <c r="G570" s="142"/>
      <c r="H570" s="143"/>
      <c r="I570" s="143"/>
      <c r="J570" s="144"/>
      <c r="K570" s="144"/>
      <c r="L570" s="142"/>
      <c r="M570" s="145"/>
    </row>
    <row r="571" spans="1:13" ht="13.5" thickBot="1">
      <c r="A571" s="121" t="str">
        <f>'BM02'!A246</f>
        <v>2.9</v>
      </c>
      <c r="B571" s="122" t="str">
        <f>'BM02'!B246</f>
        <v>INSTALAÇÃO ELÉTRICA</v>
      </c>
      <c r="C571" s="122"/>
      <c r="D571" s="122"/>
      <c r="E571" s="122"/>
      <c r="F571" s="122"/>
      <c r="G571" s="122"/>
      <c r="H571" s="122"/>
      <c r="I571" s="122"/>
      <c r="J571" s="122"/>
      <c r="K571" s="122"/>
      <c r="L571" s="122"/>
      <c r="M571" s="123"/>
    </row>
    <row r="572" spans="1:13" ht="12.75">
      <c r="A572" s="124"/>
      <c r="B572" s="125"/>
      <c r="C572" s="125"/>
      <c r="D572" s="125"/>
      <c r="E572" s="125"/>
      <c r="F572" s="125"/>
      <c r="G572" s="125"/>
      <c r="H572" s="125"/>
      <c r="I572" s="125"/>
      <c r="J572" s="125"/>
      <c r="K572" s="126"/>
      <c r="L572" s="125"/>
      <c r="M572" s="127"/>
    </row>
    <row r="573" spans="1:13" ht="30" customHeight="1">
      <c r="A573" s="128" t="str">
        <f>'BM02'!A248</f>
        <v>2.9.1</v>
      </c>
      <c r="B573" s="211" t="str">
        <f>'BM02'!B248</f>
        <v>PONTO DE TOMADA RESIDENCIAL INCLUINDO TOMADA 10A/250V, CAIXA ELÉTRICA, ELETRODUTO, CABO, RASGO, QUEBRA E CHUMBAMENTO. AF_01/2016</v>
      </c>
      <c r="C573" s="212"/>
      <c r="D573" s="212"/>
      <c r="E573" s="212"/>
      <c r="F573" s="212"/>
      <c r="G573" s="212"/>
      <c r="H573" s="212"/>
      <c r="I573" s="212"/>
      <c r="J573" s="212"/>
      <c r="K573" s="213"/>
      <c r="L573" s="129">
        <f>L574</f>
        <v>0</v>
      </c>
      <c r="M573" s="130" t="str">
        <f>'BM02'!C248</f>
        <v>un</v>
      </c>
    </row>
    <row r="574" spans="1:13" s="131" customFormat="1" ht="12.75">
      <c r="A574" s="132"/>
      <c r="B574" s="209"/>
      <c r="C574" s="210"/>
      <c r="D574" s="134"/>
      <c r="E574" s="134"/>
      <c r="F574" s="134"/>
      <c r="G574" s="134"/>
      <c r="H574" s="134"/>
      <c r="I574" s="134"/>
      <c r="J574" s="135"/>
      <c r="K574" s="135"/>
      <c r="L574" s="134">
        <f>ROUND(D574*K574,2)</f>
        <v>0</v>
      </c>
      <c r="M574" s="136"/>
    </row>
    <row r="575" spans="1:13" s="131" customFormat="1" ht="12.75">
      <c r="A575" s="139"/>
      <c r="B575" s="140"/>
      <c r="C575" s="141"/>
      <c r="D575" s="142"/>
      <c r="E575" s="143"/>
      <c r="F575" s="142"/>
      <c r="G575" s="142"/>
      <c r="H575" s="143"/>
      <c r="I575" s="143"/>
      <c r="J575" s="144"/>
      <c r="K575" s="144"/>
      <c r="L575" s="142"/>
      <c r="M575" s="145"/>
    </row>
    <row r="576" spans="1:13" ht="30" customHeight="1">
      <c r="A576" s="128" t="str">
        <f>'BM02'!A249</f>
        <v>2.9.2</v>
      </c>
      <c r="B576" s="211" t="str">
        <f>'BM02'!B249</f>
        <v>PONTO DE ILUMINAÇÃO RESIDENCIAL INCLUINDO INTERRUPTOR SIMPLES, CAIXA ELÉTRICA, ELETRODUTO, CABO, RASGO, QUEBRA E CHUMBAMENTO (EXCLUINDO LUMINÁRIA E LÂMPADA). AF_01/2016</v>
      </c>
      <c r="C576" s="212"/>
      <c r="D576" s="212"/>
      <c r="E576" s="212"/>
      <c r="F576" s="212"/>
      <c r="G576" s="212"/>
      <c r="H576" s="212"/>
      <c r="I576" s="212"/>
      <c r="J576" s="212"/>
      <c r="K576" s="213"/>
      <c r="L576" s="129">
        <f>L577</f>
        <v>0</v>
      </c>
      <c r="M576" s="130" t="str">
        <f>'BM02'!C249</f>
        <v>un</v>
      </c>
    </row>
    <row r="577" spans="1:13" s="131" customFormat="1" ht="12.75">
      <c r="A577" s="132"/>
      <c r="B577" s="209"/>
      <c r="C577" s="210"/>
      <c r="D577" s="134"/>
      <c r="E577" s="134"/>
      <c r="F577" s="134"/>
      <c r="G577" s="134"/>
      <c r="H577" s="134"/>
      <c r="I577" s="134"/>
      <c r="J577" s="135"/>
      <c r="K577" s="135"/>
      <c r="L577" s="134">
        <f>ROUND(D577*K577,2)</f>
        <v>0</v>
      </c>
      <c r="M577" s="136"/>
    </row>
    <row r="578" spans="1:13" s="131" customFormat="1" ht="12.75">
      <c r="A578" s="139"/>
      <c r="B578" s="140"/>
      <c r="C578" s="141"/>
      <c r="D578" s="142"/>
      <c r="E578" s="143"/>
      <c r="F578" s="142"/>
      <c r="G578" s="142"/>
      <c r="H578" s="143"/>
      <c r="I578" s="143"/>
      <c r="J578" s="144"/>
      <c r="K578" s="144"/>
      <c r="L578" s="142"/>
      <c r="M578" s="145"/>
    </row>
    <row r="579" spans="1:13" ht="12.6" customHeight="1">
      <c r="A579" s="128" t="str">
        <f>'BM02'!A250</f>
        <v>2.9.3</v>
      </c>
      <c r="B579" s="211" t="str">
        <f>'BM02'!B250</f>
        <v>Refletor Slim LED 150W de potência, branco Frio, 6500k, Autovolt, marca G-light ou similar - Rev 01</v>
      </c>
      <c r="C579" s="212"/>
      <c r="D579" s="212"/>
      <c r="E579" s="212"/>
      <c r="F579" s="212"/>
      <c r="G579" s="212"/>
      <c r="H579" s="212"/>
      <c r="I579" s="212"/>
      <c r="J579" s="212"/>
      <c r="K579" s="213"/>
      <c r="L579" s="129">
        <f>L580</f>
        <v>0</v>
      </c>
      <c r="M579" s="130" t="str">
        <f>'BM02'!C250</f>
        <v>un</v>
      </c>
    </row>
    <row r="580" spans="1:13" s="131" customFormat="1" ht="12.75">
      <c r="A580" s="132"/>
      <c r="B580" s="209"/>
      <c r="C580" s="210"/>
      <c r="D580" s="134"/>
      <c r="E580" s="134"/>
      <c r="F580" s="134"/>
      <c r="G580" s="134"/>
      <c r="H580" s="134"/>
      <c r="I580" s="134"/>
      <c r="J580" s="135"/>
      <c r="K580" s="135"/>
      <c r="L580" s="134">
        <f>ROUND(D580*K580,2)</f>
        <v>0</v>
      </c>
      <c r="M580" s="136"/>
    </row>
    <row r="581" spans="1:13" s="131" customFormat="1" ht="12.75">
      <c r="A581" s="139"/>
      <c r="B581" s="140"/>
      <c r="C581" s="141"/>
      <c r="D581" s="142"/>
      <c r="E581" s="143"/>
      <c r="F581" s="142"/>
      <c r="G581" s="142"/>
      <c r="H581" s="143"/>
      <c r="I581" s="143"/>
      <c r="J581" s="144"/>
      <c r="K581" s="144"/>
      <c r="L581" s="142"/>
      <c r="M581" s="145"/>
    </row>
    <row r="582" spans="1:13" ht="30" customHeight="1">
      <c r="A582" s="128" t="str">
        <f>'BM02'!A251</f>
        <v>2.9.4</v>
      </c>
      <c r="B582" s="211" t="str">
        <f>'BM02'!B251</f>
        <v>CAIXA RETANGULAR 4" X 4" MÉDIA (1,30 M DO PISO), PVC, INSTALADA EM PAREDE - FORNECIMENTO E INSTALAÇÃO. AF_12/2015</v>
      </c>
      <c r="C582" s="212"/>
      <c r="D582" s="212"/>
      <c r="E582" s="212"/>
      <c r="F582" s="212"/>
      <c r="G582" s="212"/>
      <c r="H582" s="212"/>
      <c r="I582" s="212"/>
      <c r="J582" s="212"/>
      <c r="K582" s="213"/>
      <c r="L582" s="129">
        <f>L583</f>
        <v>0</v>
      </c>
      <c r="M582" s="130" t="str">
        <f>'BM02'!C251</f>
        <v>un</v>
      </c>
    </row>
    <row r="583" spans="1:13" s="131" customFormat="1" ht="12.75">
      <c r="A583" s="132"/>
      <c r="B583" s="209"/>
      <c r="C583" s="210"/>
      <c r="D583" s="134"/>
      <c r="E583" s="134"/>
      <c r="F583" s="134"/>
      <c r="G583" s="134"/>
      <c r="H583" s="134"/>
      <c r="I583" s="134"/>
      <c r="J583" s="135"/>
      <c r="K583" s="135"/>
      <c r="L583" s="134">
        <f>ROUND(D583*K583,2)</f>
        <v>0</v>
      </c>
      <c r="M583" s="136"/>
    </row>
    <row r="584" spans="1:13" s="131" customFormat="1" ht="12.75">
      <c r="A584" s="139"/>
      <c r="B584" s="140"/>
      <c r="C584" s="141"/>
      <c r="D584" s="142"/>
      <c r="E584" s="143"/>
      <c r="F584" s="142"/>
      <c r="G584" s="142"/>
      <c r="H584" s="143"/>
      <c r="I584" s="143"/>
      <c r="J584" s="144"/>
      <c r="K584" s="144"/>
      <c r="L584" s="142"/>
      <c r="M584" s="145"/>
    </row>
    <row r="585" spans="1:13" ht="30" customHeight="1">
      <c r="A585" s="128" t="str">
        <f>'BM02'!A252</f>
        <v>2.9.5</v>
      </c>
      <c r="B585" s="211" t="str">
        <f>'BM02'!B252</f>
        <v>CABO DE COBRE FLEXÍVEL ISOLADO, 2,5 MM², ANTI-CHAMA 0,6/1,0 KV, PARA CIRCUITOS TERMINAIS - FORNECIMENTO E INSTALAÇÃO. AF_12/2015</v>
      </c>
      <c r="C585" s="212"/>
      <c r="D585" s="212"/>
      <c r="E585" s="212"/>
      <c r="F585" s="212"/>
      <c r="G585" s="212"/>
      <c r="H585" s="212"/>
      <c r="I585" s="212"/>
      <c r="J585" s="212"/>
      <c r="K585" s="213"/>
      <c r="L585" s="129">
        <f>L586</f>
        <v>0</v>
      </c>
      <c r="M585" s="130" t="str">
        <f>'BM02'!C252</f>
        <v>m²</v>
      </c>
    </row>
    <row r="586" spans="1:13" s="131" customFormat="1" ht="12.75">
      <c r="A586" s="132"/>
      <c r="B586" s="209"/>
      <c r="C586" s="210"/>
      <c r="D586" s="134"/>
      <c r="E586" s="134"/>
      <c r="F586" s="134"/>
      <c r="G586" s="134"/>
      <c r="H586" s="134"/>
      <c r="I586" s="134"/>
      <c r="J586" s="135"/>
      <c r="K586" s="135"/>
      <c r="L586" s="134">
        <f>ROUND(D586*K586,2)</f>
        <v>0</v>
      </c>
      <c r="M586" s="136"/>
    </row>
    <row r="587" spans="1:13" s="131" customFormat="1" ht="12.75">
      <c r="A587" s="139"/>
      <c r="B587" s="140"/>
      <c r="C587" s="141"/>
      <c r="D587" s="142"/>
      <c r="E587" s="143"/>
      <c r="F587" s="142"/>
      <c r="G587" s="142"/>
      <c r="H587" s="143"/>
      <c r="I587" s="143"/>
      <c r="J587" s="144"/>
      <c r="K587" s="144"/>
      <c r="L587" s="142"/>
      <c r="M587" s="145"/>
    </row>
  </sheetData>
  <protectedRanges>
    <protectedRange sqref="L240:L245 L265:L270 L177:L178 L189:L209 L170:L174" name="Intervalo1_1_2"/>
    <protectedRange sqref="L79:L81" name="Intervalo1_1_3"/>
    <protectedRange sqref="L165:L167 L86:L93" name="Intervalo1_1_4"/>
    <protectedRange sqref="L252:L264 L283" name="Intervalo1_1_7"/>
    <protectedRange sqref="L69:L70" name="Intervalo1_1_5"/>
  </protectedRanges>
  <mergeCells count="381"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A10:M10"/>
    <mergeCell ref="B14:K14"/>
    <mergeCell ref="B15:C15"/>
    <mergeCell ref="B17:K17"/>
    <mergeCell ref="B18:C18"/>
    <mergeCell ref="B20:K20"/>
    <mergeCell ref="A7:A8"/>
    <mergeCell ref="B7:C8"/>
    <mergeCell ref="D7:D8"/>
    <mergeCell ref="E7:J7"/>
    <mergeCell ref="K7:L7"/>
    <mergeCell ref="M7:M8"/>
    <mergeCell ref="B30:C30"/>
    <mergeCell ref="B32:K32"/>
    <mergeCell ref="B33:C33"/>
    <mergeCell ref="B35:K35"/>
    <mergeCell ref="B36:C36"/>
    <mergeCell ref="B40:K40"/>
    <mergeCell ref="B21:C21"/>
    <mergeCell ref="B23:K23"/>
    <mergeCell ref="B24:C24"/>
    <mergeCell ref="B26:K26"/>
    <mergeCell ref="B27:C27"/>
    <mergeCell ref="B29:K29"/>
    <mergeCell ref="B57:K57"/>
    <mergeCell ref="B60:K60"/>
    <mergeCell ref="B63:K63"/>
    <mergeCell ref="B68:K68"/>
    <mergeCell ref="B41:C41"/>
    <mergeCell ref="B43:K43"/>
    <mergeCell ref="B44:C44"/>
    <mergeCell ref="B47:C47"/>
    <mergeCell ref="B51:K51"/>
    <mergeCell ref="B54:K54"/>
    <mergeCell ref="B73:C73"/>
    <mergeCell ref="B76:C76"/>
    <mergeCell ref="B78:K78"/>
    <mergeCell ref="B79:C79"/>
    <mergeCell ref="B85:K85"/>
    <mergeCell ref="B69:C69"/>
    <mergeCell ref="B72:K72"/>
    <mergeCell ref="B87:C87"/>
    <mergeCell ref="B88:C88"/>
    <mergeCell ref="B80:C80"/>
    <mergeCell ref="B81:C81"/>
    <mergeCell ref="B70:C70"/>
    <mergeCell ref="B86:C86"/>
    <mergeCell ref="B98:K98"/>
    <mergeCell ref="B99:C99"/>
    <mergeCell ref="B103:K103"/>
    <mergeCell ref="B104:C104"/>
    <mergeCell ref="B106:K106"/>
    <mergeCell ref="B89:C89"/>
    <mergeCell ref="B90:C90"/>
    <mergeCell ref="B96:C96"/>
    <mergeCell ref="B95:K95"/>
    <mergeCell ref="B92:C92"/>
    <mergeCell ref="B93:C93"/>
    <mergeCell ref="B91:C91"/>
    <mergeCell ref="B116:C116"/>
    <mergeCell ref="B118:K118"/>
    <mergeCell ref="B119:C119"/>
    <mergeCell ref="B121:K121"/>
    <mergeCell ref="B122:C122"/>
    <mergeCell ref="B124:K124"/>
    <mergeCell ref="B107:C107"/>
    <mergeCell ref="B109:K109"/>
    <mergeCell ref="B110:C110"/>
    <mergeCell ref="B112:K112"/>
    <mergeCell ref="B113:C113"/>
    <mergeCell ref="B115:K115"/>
    <mergeCell ref="B134:C134"/>
    <mergeCell ref="B138:K138"/>
    <mergeCell ref="B139:C139"/>
    <mergeCell ref="B141:K141"/>
    <mergeCell ref="B142:C142"/>
    <mergeCell ref="B144:K144"/>
    <mergeCell ref="B125:C125"/>
    <mergeCell ref="B127:K127"/>
    <mergeCell ref="B128:C128"/>
    <mergeCell ref="B130:K130"/>
    <mergeCell ref="B131:C131"/>
    <mergeCell ref="B133:K133"/>
    <mergeCell ref="B154:C154"/>
    <mergeCell ref="B156:K156"/>
    <mergeCell ref="B157:C157"/>
    <mergeCell ref="B159:K159"/>
    <mergeCell ref="B160:C160"/>
    <mergeCell ref="B164:K164"/>
    <mergeCell ref="B145:C145"/>
    <mergeCell ref="B147:K147"/>
    <mergeCell ref="B148:C148"/>
    <mergeCell ref="B150:K150"/>
    <mergeCell ref="B151:C151"/>
    <mergeCell ref="B153:K153"/>
    <mergeCell ref="B187:K187"/>
    <mergeCell ref="B189:C189"/>
    <mergeCell ref="B167:C167"/>
    <mergeCell ref="B182:C182"/>
    <mergeCell ref="B185:C185"/>
    <mergeCell ref="B184:K184"/>
    <mergeCell ref="B193:C193"/>
    <mergeCell ref="B176:C176"/>
    <mergeCell ref="B165:C165"/>
    <mergeCell ref="B169:K169"/>
    <mergeCell ref="B170:C170"/>
    <mergeCell ref="B166:C166"/>
    <mergeCell ref="B177:C177"/>
    <mergeCell ref="B178:C178"/>
    <mergeCell ref="B179:C179"/>
    <mergeCell ref="B180:C180"/>
    <mergeCell ref="B181:C181"/>
    <mergeCell ref="B171:C171"/>
    <mergeCell ref="B248:C248"/>
    <mergeCell ref="B249:C249"/>
    <mergeCell ref="B209:C209"/>
    <mergeCell ref="B231:K231"/>
    <mergeCell ref="B232:C232"/>
    <mergeCell ref="B234:K234"/>
    <mergeCell ref="B235:C235"/>
    <mergeCell ref="B239:K239"/>
    <mergeCell ref="B222:K222"/>
    <mergeCell ref="B223:C223"/>
    <mergeCell ref="B225:K225"/>
    <mergeCell ref="B226:C226"/>
    <mergeCell ref="B228:K228"/>
    <mergeCell ref="B229:C229"/>
    <mergeCell ref="B213:K213"/>
    <mergeCell ref="B214:C214"/>
    <mergeCell ref="B216:K216"/>
    <mergeCell ref="B217:C217"/>
    <mergeCell ref="B219:K219"/>
    <mergeCell ref="B220:C220"/>
    <mergeCell ref="B240:C240"/>
    <mergeCell ref="B241:C245"/>
    <mergeCell ref="B280:C280"/>
    <mergeCell ref="B282:K282"/>
    <mergeCell ref="B283:C283"/>
    <mergeCell ref="B285:K285"/>
    <mergeCell ref="B286:C286"/>
    <mergeCell ref="B288:K288"/>
    <mergeCell ref="B251:K251"/>
    <mergeCell ref="B252:C252"/>
    <mergeCell ref="B276:K276"/>
    <mergeCell ref="B277:C277"/>
    <mergeCell ref="B279:K279"/>
    <mergeCell ref="B259:C259"/>
    <mergeCell ref="B271:C271"/>
    <mergeCell ref="B272:C272"/>
    <mergeCell ref="B273:C273"/>
    <mergeCell ref="B253:C253"/>
    <mergeCell ref="B254:C254"/>
    <mergeCell ref="B255:C255"/>
    <mergeCell ref="B256:C256"/>
    <mergeCell ref="B257:C257"/>
    <mergeCell ref="B258:C258"/>
    <mergeCell ref="B300:C300"/>
    <mergeCell ref="B302:K302"/>
    <mergeCell ref="B303:C303"/>
    <mergeCell ref="B305:K305"/>
    <mergeCell ref="B306:C306"/>
    <mergeCell ref="B308:K308"/>
    <mergeCell ref="B289:C289"/>
    <mergeCell ref="B291:K291"/>
    <mergeCell ref="B292:C292"/>
    <mergeCell ref="B296:K296"/>
    <mergeCell ref="B297:C297"/>
    <mergeCell ref="B299:K299"/>
    <mergeCell ref="B318:C318"/>
    <mergeCell ref="B320:K320"/>
    <mergeCell ref="B321:C321"/>
    <mergeCell ref="B323:K323"/>
    <mergeCell ref="B324:C324"/>
    <mergeCell ref="B326:K326"/>
    <mergeCell ref="B309:C309"/>
    <mergeCell ref="B311:K311"/>
    <mergeCell ref="B312:C312"/>
    <mergeCell ref="B314:K314"/>
    <mergeCell ref="B315:C315"/>
    <mergeCell ref="B317:K317"/>
    <mergeCell ref="B336:C336"/>
    <mergeCell ref="B338:K338"/>
    <mergeCell ref="B339:C339"/>
    <mergeCell ref="B341:K341"/>
    <mergeCell ref="B342:C342"/>
    <mergeCell ref="B344:K344"/>
    <mergeCell ref="B327:C327"/>
    <mergeCell ref="B329:K329"/>
    <mergeCell ref="B330:C330"/>
    <mergeCell ref="B332:K332"/>
    <mergeCell ref="B333:C333"/>
    <mergeCell ref="B335:K335"/>
    <mergeCell ref="B359:K359"/>
    <mergeCell ref="B360:C360"/>
    <mergeCell ref="B362:K362"/>
    <mergeCell ref="B363:C363"/>
    <mergeCell ref="B365:K365"/>
    <mergeCell ref="B354:C354"/>
    <mergeCell ref="B356:K356"/>
    <mergeCell ref="B357:C357"/>
    <mergeCell ref="B345:C345"/>
    <mergeCell ref="B347:K347"/>
    <mergeCell ref="B348:C348"/>
    <mergeCell ref="B350:K350"/>
    <mergeCell ref="B351:C351"/>
    <mergeCell ref="B353:K353"/>
    <mergeCell ref="B377:C377"/>
    <mergeCell ref="B379:K379"/>
    <mergeCell ref="B380:C380"/>
    <mergeCell ref="B382:K382"/>
    <mergeCell ref="B383:C383"/>
    <mergeCell ref="B385:K385"/>
    <mergeCell ref="B366:C366"/>
    <mergeCell ref="B370:K370"/>
    <mergeCell ref="B371:C371"/>
    <mergeCell ref="B373:K373"/>
    <mergeCell ref="B374:C374"/>
    <mergeCell ref="B376:K376"/>
    <mergeCell ref="B392:C392"/>
    <mergeCell ref="B396:K396"/>
    <mergeCell ref="B397:C397"/>
    <mergeCell ref="B399:K399"/>
    <mergeCell ref="B400:C400"/>
    <mergeCell ref="B402:K402"/>
    <mergeCell ref="B386:C386"/>
    <mergeCell ref="B388:K388"/>
    <mergeCell ref="B389:C389"/>
    <mergeCell ref="B391:K391"/>
    <mergeCell ref="B412:C412"/>
    <mergeCell ref="B414:K414"/>
    <mergeCell ref="B415:C415"/>
    <mergeCell ref="B417:K417"/>
    <mergeCell ref="B418:C418"/>
    <mergeCell ref="B420:K420"/>
    <mergeCell ref="B403:C403"/>
    <mergeCell ref="B405:K405"/>
    <mergeCell ref="B406:C406"/>
    <mergeCell ref="B408:K408"/>
    <mergeCell ref="B409:C409"/>
    <mergeCell ref="B411:K411"/>
    <mergeCell ref="B430:C430"/>
    <mergeCell ref="B432:K432"/>
    <mergeCell ref="B433:C433"/>
    <mergeCell ref="B435:K435"/>
    <mergeCell ref="B436:C436"/>
    <mergeCell ref="B438:K438"/>
    <mergeCell ref="B421:C421"/>
    <mergeCell ref="B423:K423"/>
    <mergeCell ref="B424:C424"/>
    <mergeCell ref="B426:K426"/>
    <mergeCell ref="B427:C427"/>
    <mergeCell ref="B429:K429"/>
    <mergeCell ref="B448:C448"/>
    <mergeCell ref="B450:K450"/>
    <mergeCell ref="B451:C451"/>
    <mergeCell ref="B453:K453"/>
    <mergeCell ref="B454:C454"/>
    <mergeCell ref="B456:K456"/>
    <mergeCell ref="B439:C439"/>
    <mergeCell ref="B441:K441"/>
    <mergeCell ref="B442:C442"/>
    <mergeCell ref="B444:K444"/>
    <mergeCell ref="B445:C445"/>
    <mergeCell ref="B447:K447"/>
    <mergeCell ref="B466:C466"/>
    <mergeCell ref="B470:K470"/>
    <mergeCell ref="B471:C471"/>
    <mergeCell ref="B473:K473"/>
    <mergeCell ref="B474:C474"/>
    <mergeCell ref="B476:K476"/>
    <mergeCell ref="B457:C457"/>
    <mergeCell ref="B459:K459"/>
    <mergeCell ref="B460:C460"/>
    <mergeCell ref="B462:K462"/>
    <mergeCell ref="B463:C463"/>
    <mergeCell ref="B465:K465"/>
    <mergeCell ref="B486:C486"/>
    <mergeCell ref="B488:K488"/>
    <mergeCell ref="B489:C489"/>
    <mergeCell ref="B493:K493"/>
    <mergeCell ref="B494:C494"/>
    <mergeCell ref="B496:K496"/>
    <mergeCell ref="B477:C477"/>
    <mergeCell ref="B479:K479"/>
    <mergeCell ref="B480:C480"/>
    <mergeCell ref="B482:K482"/>
    <mergeCell ref="B483:C483"/>
    <mergeCell ref="B485:K485"/>
    <mergeCell ref="B511:K511"/>
    <mergeCell ref="B512:C512"/>
    <mergeCell ref="B516:K516"/>
    <mergeCell ref="B497:C497"/>
    <mergeCell ref="A499:M499"/>
    <mergeCell ref="B503:K503"/>
    <mergeCell ref="B504:C504"/>
    <mergeCell ref="B508:K508"/>
    <mergeCell ref="B509:C509"/>
    <mergeCell ref="B527:K527"/>
    <mergeCell ref="B528:C528"/>
    <mergeCell ref="B532:K532"/>
    <mergeCell ref="B533:C533"/>
    <mergeCell ref="B537:K537"/>
    <mergeCell ref="B538:C538"/>
    <mergeCell ref="B517:C517"/>
    <mergeCell ref="B519:K519"/>
    <mergeCell ref="B520:C520"/>
    <mergeCell ref="B522:K522"/>
    <mergeCell ref="B523:C523"/>
    <mergeCell ref="B554:K554"/>
    <mergeCell ref="B555:C555"/>
    <mergeCell ref="B557:K557"/>
    <mergeCell ref="B558:C558"/>
    <mergeCell ref="B540:K540"/>
    <mergeCell ref="B541:C541"/>
    <mergeCell ref="B543:K543"/>
    <mergeCell ref="B544:C544"/>
    <mergeCell ref="B546:K546"/>
    <mergeCell ref="B547:C547"/>
    <mergeCell ref="B582:K582"/>
    <mergeCell ref="B583:C583"/>
    <mergeCell ref="B585:K585"/>
    <mergeCell ref="B586:C586"/>
    <mergeCell ref="B172:C172"/>
    <mergeCell ref="B173:C173"/>
    <mergeCell ref="B174:C174"/>
    <mergeCell ref="B175:C175"/>
    <mergeCell ref="B191:C191"/>
    <mergeCell ref="B192:C192"/>
    <mergeCell ref="B573:K573"/>
    <mergeCell ref="B574:C574"/>
    <mergeCell ref="B576:K576"/>
    <mergeCell ref="B577:C577"/>
    <mergeCell ref="B579:K579"/>
    <mergeCell ref="B580:C580"/>
    <mergeCell ref="B562:K562"/>
    <mergeCell ref="B563:C563"/>
    <mergeCell ref="B565:K565"/>
    <mergeCell ref="B566:C566"/>
    <mergeCell ref="B568:K568"/>
    <mergeCell ref="B569:C569"/>
    <mergeCell ref="B551:K551"/>
    <mergeCell ref="B552:C552"/>
    <mergeCell ref="A241:A245"/>
    <mergeCell ref="B188:C188"/>
    <mergeCell ref="B246:C246"/>
    <mergeCell ref="B247:C247"/>
    <mergeCell ref="B206:C206"/>
    <mergeCell ref="B207:C207"/>
    <mergeCell ref="B208:C208"/>
    <mergeCell ref="B200:C200"/>
    <mergeCell ref="B201:C201"/>
    <mergeCell ref="B202:C202"/>
    <mergeCell ref="B203:C203"/>
    <mergeCell ref="B204:C204"/>
    <mergeCell ref="B205:C205"/>
    <mergeCell ref="B194:C194"/>
    <mergeCell ref="B195:C195"/>
    <mergeCell ref="B196:C196"/>
    <mergeCell ref="B197:C197"/>
    <mergeCell ref="B198:C198"/>
    <mergeCell ref="B199:C199"/>
    <mergeCell ref="B190:C190"/>
    <mergeCell ref="A266:A270"/>
    <mergeCell ref="B266:C270"/>
    <mergeCell ref="B274:C274"/>
    <mergeCell ref="B260:C260"/>
    <mergeCell ref="B261:C261"/>
    <mergeCell ref="B262:C262"/>
    <mergeCell ref="B263:C263"/>
    <mergeCell ref="B264:C264"/>
    <mergeCell ref="B265:C265"/>
  </mergeCells>
  <printOptions horizontalCentered="1"/>
  <pageMargins left="0.70866141732283472" right="0.70866141732283472" top="0.92519685039370081" bottom="0.92519685039370081" header="0.31496062992125984" footer="0.31496062992125984"/>
  <pageSetup paperSize="9" scale="6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N297"/>
  <sheetViews>
    <sheetView view="pageBreakPreview" topLeftCell="A211" zoomScale="70" zoomScaleNormal="85" zoomScaleSheetLayoutView="70" workbookViewId="0">
      <selection activeCell="I19" sqref="I19:L19"/>
    </sheetView>
  </sheetViews>
  <sheetFormatPr defaultColWidth="11" defaultRowHeight="15.75"/>
  <cols>
    <col min="1" max="1" width="8.5703125" style="104" customWidth="1"/>
    <col min="2" max="2" width="88.42578125" style="105" customWidth="1"/>
    <col min="3" max="3" width="6" style="106" bestFit="1" customWidth="1"/>
    <col min="4" max="4" width="10.140625" style="106" bestFit="1" customWidth="1"/>
    <col min="5" max="5" width="12.5703125" style="23" bestFit="1" customWidth="1"/>
    <col min="6" max="6" width="17.5703125" style="23" bestFit="1" customWidth="1"/>
    <col min="7" max="7" width="16.42578125" style="23" customWidth="1"/>
    <col min="8" max="8" width="15" style="107" bestFit="1" customWidth="1"/>
    <col min="9" max="9" width="18.28515625" style="23" customWidth="1"/>
    <col min="10" max="10" width="16.28515625" style="23" customWidth="1"/>
    <col min="11" max="11" width="15" style="23" customWidth="1"/>
    <col min="12" max="12" width="18.42578125" style="23" customWidth="1"/>
    <col min="13" max="13" width="15.5703125" style="24" bestFit="1" customWidth="1"/>
    <col min="14" max="14" width="11.28515625" style="14" bestFit="1" customWidth="1"/>
    <col min="15" max="15" width="10.42578125" style="15" customWidth="1"/>
    <col min="16" max="16" width="11.42578125" style="7" customWidth="1"/>
    <col min="17" max="17" width="18.7109375" style="24" bestFit="1" customWidth="1"/>
    <col min="18" max="18" width="19.85546875" style="24" bestFit="1" customWidth="1"/>
    <col min="19" max="19" width="7.42578125" style="24" customWidth="1"/>
    <col min="20" max="20" width="6" style="8" bestFit="1" customWidth="1"/>
    <col min="21" max="21" width="6.5703125" style="9" bestFit="1" customWidth="1"/>
    <col min="22" max="23" width="11" style="9"/>
    <col min="24" max="24" width="6" style="10" bestFit="1" customWidth="1"/>
    <col min="25" max="25" width="11" style="9"/>
    <col min="26" max="16384" width="11" style="12"/>
  </cols>
  <sheetData>
    <row r="1" spans="1:62" ht="60" hidden="1" customHeight="1">
      <c r="A1" s="249"/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4"/>
      <c r="N1" s="5"/>
      <c r="O1" s="6"/>
      <c r="Q1" s="4"/>
      <c r="R1" s="4"/>
      <c r="S1" s="4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</row>
    <row r="2" spans="1:62" ht="18.75" hidden="1" customHeight="1">
      <c r="A2" s="250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13"/>
      <c r="Q2" s="13"/>
      <c r="R2" s="13"/>
      <c r="S2" s="13"/>
      <c r="T2" s="16"/>
      <c r="X2" s="17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</row>
    <row r="3" spans="1:62" hidden="1">
      <c r="A3" s="251" t="s">
        <v>14</v>
      </c>
      <c r="B3" s="252" t="s">
        <v>26</v>
      </c>
      <c r="C3" s="252" t="s">
        <v>27</v>
      </c>
      <c r="D3" s="252" t="s">
        <v>28</v>
      </c>
      <c r="E3" s="252" t="s">
        <v>15</v>
      </c>
      <c r="F3" s="252"/>
      <c r="G3" s="252"/>
      <c r="H3" s="252" t="s">
        <v>29</v>
      </c>
      <c r="I3" s="252" t="s">
        <v>30</v>
      </c>
      <c r="J3" s="252"/>
      <c r="K3" s="252" t="s">
        <v>29</v>
      </c>
      <c r="L3" s="252" t="s">
        <v>30</v>
      </c>
      <c r="M3" s="13"/>
      <c r="Q3" s="13"/>
      <c r="R3" s="13"/>
      <c r="S3" s="13"/>
      <c r="T3" s="16"/>
      <c r="X3" s="17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</row>
    <row r="4" spans="1:62" ht="16.5" hidden="1" thickBot="1">
      <c r="A4" s="18"/>
      <c r="B4" s="19"/>
      <c r="C4" s="20"/>
      <c r="D4" s="20"/>
      <c r="E4" s="21"/>
      <c r="F4" s="21"/>
      <c r="G4" s="21"/>
      <c r="H4" s="22"/>
      <c r="I4" s="2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</row>
    <row r="5" spans="1:62" ht="16.5" hidden="1" thickBot="1">
      <c r="A5" s="25"/>
      <c r="B5" s="19"/>
      <c r="C5" s="20"/>
      <c r="D5" s="20"/>
      <c r="E5" s="21"/>
      <c r="F5" s="21"/>
      <c r="G5" s="21"/>
      <c r="H5" s="22"/>
      <c r="I5" s="21"/>
      <c r="J5" s="21"/>
      <c r="K5" s="21"/>
      <c r="L5" s="2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</row>
    <row r="6" spans="1:62" ht="16.5" hidden="1" thickBot="1">
      <c r="A6" s="26"/>
      <c r="B6" s="27"/>
      <c r="C6" s="28"/>
      <c r="D6" s="21"/>
      <c r="E6" s="29"/>
      <c r="F6" s="29"/>
      <c r="G6" s="29"/>
      <c r="H6" s="30"/>
      <c r="I6" s="29"/>
      <c r="J6" s="29"/>
      <c r="K6" s="21"/>
      <c r="L6" s="21"/>
      <c r="M6" s="31"/>
      <c r="Q6" s="32"/>
      <c r="R6" s="12"/>
      <c r="S6" s="12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</row>
    <row r="7" spans="1:62" ht="16.5" hidden="1" thickBot="1">
      <c r="A7" s="26"/>
      <c r="B7" s="33"/>
      <c r="C7" s="34"/>
      <c r="D7" s="35"/>
      <c r="E7" s="36"/>
      <c r="F7" s="36"/>
      <c r="G7" s="36"/>
      <c r="H7" s="37"/>
      <c r="I7" s="36"/>
      <c r="J7" s="36"/>
      <c r="K7" s="21"/>
      <c r="L7" s="21"/>
      <c r="Q7" s="12"/>
      <c r="R7" s="12"/>
      <c r="S7" s="12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</row>
    <row r="8" spans="1:62" ht="16.5" hidden="1" thickBot="1">
      <c r="A8" s="38"/>
      <c r="B8" s="39"/>
      <c r="C8" s="29"/>
      <c r="D8" s="29"/>
      <c r="E8" s="253" t="s">
        <v>32</v>
      </c>
      <c r="F8" s="254"/>
      <c r="G8" s="254"/>
      <c r="H8" s="254"/>
      <c r="I8" s="254"/>
      <c r="J8" s="254"/>
      <c r="K8" s="254"/>
      <c r="L8" s="254"/>
      <c r="M8" s="13"/>
      <c r="Q8" s="13"/>
      <c r="R8" s="13"/>
      <c r="S8" s="13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</row>
    <row r="9" spans="1:62" hidden="1">
      <c r="A9" s="40"/>
      <c r="B9" s="41"/>
      <c r="C9" s="42"/>
      <c r="D9" s="42"/>
      <c r="E9" s="255" t="s">
        <v>31</v>
      </c>
      <c r="F9" s="256"/>
      <c r="G9" s="256"/>
      <c r="H9" s="256"/>
      <c r="I9" s="256"/>
      <c r="J9" s="186"/>
      <c r="K9" s="256"/>
      <c r="L9" s="256"/>
      <c r="M9" s="13"/>
      <c r="Q9" s="13"/>
      <c r="R9" s="13"/>
      <c r="S9" s="13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</row>
    <row r="10" spans="1:62">
      <c r="A10" s="43"/>
      <c r="B10" s="44"/>
      <c r="C10" s="45"/>
      <c r="D10" s="45"/>
      <c r="E10" s="46"/>
      <c r="F10" s="46"/>
      <c r="G10" s="46"/>
      <c r="H10" s="46"/>
      <c r="I10" s="46"/>
      <c r="J10" s="46"/>
      <c r="K10" s="46"/>
      <c r="L10" s="46"/>
      <c r="M10" s="13"/>
      <c r="Q10" s="13"/>
      <c r="R10" s="13"/>
      <c r="S10" s="13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</row>
    <row r="11" spans="1:62">
      <c r="A11" s="47"/>
      <c r="B11" s="44"/>
      <c r="C11" s="45"/>
      <c r="D11" s="45"/>
      <c r="E11" s="46"/>
      <c r="F11" s="46"/>
      <c r="G11" s="46"/>
      <c r="H11" s="46"/>
      <c r="I11" s="46"/>
      <c r="J11" s="46"/>
      <c r="M11" s="13"/>
      <c r="Q11" s="13"/>
      <c r="R11" s="13"/>
      <c r="S11" s="13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</row>
    <row r="12" spans="1:62">
      <c r="A12" s="43"/>
      <c r="B12" s="44"/>
      <c r="C12" s="45"/>
      <c r="D12" s="45"/>
      <c r="E12" s="46"/>
      <c r="F12" s="46"/>
      <c r="G12" s="46"/>
      <c r="H12" s="46"/>
      <c r="I12" s="46"/>
      <c r="J12" s="46"/>
      <c r="K12" s="46"/>
      <c r="L12" s="46"/>
      <c r="M12" s="13"/>
      <c r="Q12" s="13"/>
      <c r="R12" s="13"/>
      <c r="S12" s="13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</row>
    <row r="13" spans="1:62">
      <c r="A13" s="43"/>
      <c r="B13" s="44"/>
      <c r="C13" s="45"/>
      <c r="D13" s="45"/>
      <c r="E13" s="46"/>
      <c r="F13" s="46"/>
      <c r="G13" s="46"/>
      <c r="H13" s="46"/>
      <c r="I13" s="46"/>
      <c r="J13" s="46"/>
      <c r="M13" s="13"/>
      <c r="Q13" s="13"/>
      <c r="R13" s="13"/>
      <c r="S13" s="13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</row>
    <row r="14" spans="1:62">
      <c r="A14" s="43"/>
      <c r="B14" s="44"/>
      <c r="C14" s="45"/>
      <c r="D14" s="45"/>
      <c r="E14" s="46"/>
      <c r="F14" s="46"/>
      <c r="G14" s="46"/>
      <c r="H14" s="46"/>
      <c r="I14" s="46"/>
      <c r="J14" s="46"/>
      <c r="M14" s="13"/>
      <c r="Q14" s="13"/>
      <c r="R14" s="13"/>
      <c r="S14" s="13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</row>
    <row r="15" spans="1:62">
      <c r="A15" s="246" t="s">
        <v>425</v>
      </c>
      <c r="B15" s="246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13"/>
      <c r="Q15" s="13"/>
      <c r="R15" s="13"/>
      <c r="S15" s="13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</row>
    <row r="16" spans="1:62">
      <c r="A16" s="246" t="s">
        <v>427</v>
      </c>
      <c r="B16" s="246"/>
      <c r="C16" s="246"/>
      <c r="D16" s="246"/>
      <c r="E16" s="246"/>
      <c r="F16" s="246"/>
      <c r="G16" s="246"/>
      <c r="H16" s="246"/>
      <c r="I16" s="246"/>
      <c r="J16" s="246"/>
      <c r="K16" s="246"/>
      <c r="L16" s="246"/>
      <c r="M16" s="13"/>
      <c r="Q16" s="13"/>
      <c r="R16" s="13"/>
      <c r="S16" s="13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</row>
    <row r="17" spans="1:62">
      <c r="A17" s="43"/>
      <c r="B17" s="44"/>
      <c r="C17" s="45"/>
      <c r="D17" s="45"/>
      <c r="E17" s="46"/>
      <c r="F17" s="46"/>
      <c r="G17" s="46"/>
      <c r="H17" s="46"/>
      <c r="I17" s="46"/>
      <c r="J17" s="46"/>
      <c r="M17" s="13"/>
      <c r="Q17" s="13"/>
      <c r="R17" s="13"/>
      <c r="S17" s="13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</row>
    <row r="18" spans="1:62" s="54" customFormat="1">
      <c r="A18" s="48"/>
      <c r="B18" s="49"/>
      <c r="C18" s="50"/>
      <c r="D18" s="51"/>
      <c r="E18" s="52"/>
      <c r="F18" s="52"/>
      <c r="G18" s="52"/>
      <c r="H18" s="52"/>
      <c r="I18" s="52"/>
      <c r="J18" s="52"/>
      <c r="K18" s="52"/>
      <c r="L18" s="53"/>
    </row>
    <row r="19" spans="1:62" s="54" customFormat="1" ht="18">
      <c r="A19" s="48"/>
      <c r="B19" s="48"/>
      <c r="C19" s="48"/>
      <c r="E19" s="48"/>
      <c r="F19" s="48"/>
      <c r="G19" s="48"/>
      <c r="H19" s="48"/>
      <c r="I19" s="285" t="s">
        <v>535</v>
      </c>
      <c r="J19" s="285"/>
      <c r="K19" s="285"/>
      <c r="L19" s="285"/>
    </row>
    <row r="20" spans="1:62" s="54" customFormat="1">
      <c r="A20" s="260"/>
      <c r="B20" s="260"/>
      <c r="C20" s="260"/>
      <c r="D20" s="260"/>
      <c r="E20" s="260"/>
      <c r="F20" s="260"/>
      <c r="G20" s="260"/>
      <c r="H20" s="260"/>
      <c r="I20" s="55" t="s">
        <v>33</v>
      </c>
      <c r="J20" s="56"/>
      <c r="K20" s="56"/>
      <c r="L20" s="57">
        <v>44841</v>
      </c>
    </row>
    <row r="21" spans="1:62" s="54" customFormat="1">
      <c r="A21" s="1"/>
      <c r="B21" s="53"/>
      <c r="C21" s="1"/>
      <c r="D21" s="1"/>
      <c r="E21" s="1"/>
      <c r="F21" s="1"/>
      <c r="G21" s="1"/>
      <c r="H21" s="1"/>
      <c r="I21" s="55" t="s">
        <v>420</v>
      </c>
      <c r="J21" s="56"/>
      <c r="K21" s="56"/>
      <c r="L21" s="2">
        <f>F255</f>
        <v>648279.26860000018</v>
      </c>
      <c r="M21" s="58">
        <v>719635.08</v>
      </c>
      <c r="N21" s="59">
        <v>719635.08</v>
      </c>
      <c r="O21" s="60">
        <v>0.23880000000000001</v>
      </c>
    </row>
    <row r="22" spans="1:62" s="54" customFormat="1">
      <c r="A22" s="1"/>
      <c r="B22" s="53"/>
      <c r="C22" s="1"/>
      <c r="D22" s="1"/>
      <c r="E22" s="1"/>
      <c r="F22" s="1"/>
      <c r="G22" s="1"/>
      <c r="H22" s="1"/>
      <c r="I22" s="55" t="s">
        <v>34</v>
      </c>
      <c r="J22" s="56"/>
      <c r="K22" s="56"/>
      <c r="L22" s="2">
        <f>L21-L23-L24</f>
        <v>310665.7394000002</v>
      </c>
      <c r="M22" s="61" t="e">
        <f>SUM(L21+#REF!)</f>
        <v>#REF!</v>
      </c>
      <c r="N22" s="59">
        <f>SUM(N21*O21+N21)</f>
        <v>891483.93710400001</v>
      </c>
      <c r="O22" s="59"/>
    </row>
    <row r="23" spans="1:62" s="54" customFormat="1">
      <c r="C23" s="1"/>
      <c r="D23" s="1"/>
      <c r="E23" s="1"/>
      <c r="F23" s="1"/>
      <c r="G23" s="1"/>
      <c r="H23" s="1"/>
      <c r="I23" s="55" t="s">
        <v>35</v>
      </c>
      <c r="J23" s="56"/>
      <c r="K23" s="56"/>
      <c r="L23" s="2">
        <f>J255</f>
        <v>239793.20850000001</v>
      </c>
      <c r="M23" s="61"/>
      <c r="N23" s="62"/>
      <c r="O23" s="62"/>
    </row>
    <row r="24" spans="1:62" s="54" customFormat="1">
      <c r="A24" s="247" t="s">
        <v>428</v>
      </c>
      <c r="B24" s="247"/>
      <c r="C24" s="49"/>
      <c r="D24" s="50"/>
      <c r="E24" s="49"/>
      <c r="F24" s="49"/>
      <c r="G24" s="49"/>
      <c r="H24" s="49"/>
      <c r="I24" s="63" t="s">
        <v>36</v>
      </c>
      <c r="J24" s="64"/>
      <c r="K24" s="64"/>
      <c r="L24" s="3">
        <f>K255</f>
        <v>97820.320699999967</v>
      </c>
    </row>
    <row r="25" spans="1:62" s="54" customFormat="1">
      <c r="A25" s="247" t="s">
        <v>526</v>
      </c>
      <c r="B25" s="247"/>
      <c r="C25" s="49"/>
      <c r="D25" s="50"/>
      <c r="E25" s="49"/>
      <c r="F25" s="49"/>
      <c r="G25" s="49"/>
      <c r="H25" s="49"/>
    </row>
    <row r="26" spans="1:62" s="54" customFormat="1">
      <c r="A26" s="48" t="s">
        <v>429</v>
      </c>
      <c r="B26" s="49"/>
      <c r="C26" s="50"/>
      <c r="D26" s="51"/>
      <c r="E26" s="52"/>
      <c r="F26" s="52"/>
      <c r="G26" s="52"/>
      <c r="H26" s="52"/>
      <c r="AN26" s="54" t="str">
        <f>IF(AL26=100%,"à medir","medido")</f>
        <v>medido</v>
      </c>
    </row>
    <row r="27" spans="1:62" s="54" customFormat="1">
      <c r="A27" s="48"/>
      <c r="B27" s="49"/>
      <c r="C27" s="50"/>
      <c r="D27" s="51"/>
      <c r="E27" s="52"/>
      <c r="F27" s="52"/>
      <c r="G27" s="52"/>
      <c r="H27" s="52"/>
      <c r="I27" s="65"/>
      <c r="J27" s="65"/>
      <c r="K27" s="52"/>
      <c r="L27" s="67"/>
    </row>
    <row r="28" spans="1:62" s="54" customFormat="1">
      <c r="A28" s="299" t="s">
        <v>14</v>
      </c>
      <c r="B28" s="295" t="s">
        <v>26</v>
      </c>
      <c r="C28" s="294" t="s">
        <v>27</v>
      </c>
      <c r="D28" s="294" t="s">
        <v>15</v>
      </c>
      <c r="E28" s="293" t="s">
        <v>28</v>
      </c>
      <c r="F28" s="293" t="s">
        <v>38</v>
      </c>
      <c r="G28" s="293" t="s">
        <v>539</v>
      </c>
      <c r="H28" s="293"/>
      <c r="I28" s="293"/>
      <c r="J28" s="293" t="s">
        <v>540</v>
      </c>
      <c r="K28" s="293"/>
      <c r="L28" s="293"/>
    </row>
    <row r="29" spans="1:62" ht="50.25" customHeight="1">
      <c r="A29" s="299"/>
      <c r="B29" s="295"/>
      <c r="C29" s="294"/>
      <c r="D29" s="294"/>
      <c r="E29" s="293"/>
      <c r="F29" s="293"/>
      <c r="G29" s="189" t="s">
        <v>533</v>
      </c>
      <c r="H29" s="189" t="s">
        <v>37</v>
      </c>
      <c r="I29" s="189" t="s">
        <v>39</v>
      </c>
      <c r="J29" s="189" t="s">
        <v>533</v>
      </c>
      <c r="K29" s="189" t="s">
        <v>37</v>
      </c>
      <c r="L29" s="189" t="s">
        <v>39</v>
      </c>
      <c r="M29" s="72"/>
      <c r="N29" s="73"/>
      <c r="O29" s="74"/>
      <c r="Q29" s="73"/>
      <c r="R29" s="73"/>
      <c r="S29" s="72"/>
      <c r="T29" s="16"/>
      <c r="X29" s="17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</row>
    <row r="30" spans="1:62" ht="24.6" customHeight="1">
      <c r="A30" s="296" t="s">
        <v>40</v>
      </c>
      <c r="B30" s="297"/>
      <c r="C30" s="297"/>
      <c r="D30" s="297"/>
      <c r="E30" s="297"/>
      <c r="F30" s="297"/>
      <c r="G30" s="297"/>
      <c r="H30" s="297"/>
      <c r="I30" s="297"/>
      <c r="J30" s="297"/>
      <c r="K30" s="297"/>
      <c r="L30" s="298"/>
      <c r="M30" s="72"/>
      <c r="N30" s="73"/>
      <c r="O30" s="74"/>
      <c r="Q30" s="73"/>
      <c r="R30" s="73"/>
      <c r="S30" s="72"/>
      <c r="T30" s="16"/>
      <c r="X30" s="17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</row>
    <row r="31" spans="1:62" s="87" customFormat="1">
      <c r="A31" s="148" t="s">
        <v>1</v>
      </c>
      <c r="B31" s="149" t="s">
        <v>0</v>
      </c>
      <c r="C31" s="150"/>
      <c r="D31" s="151"/>
      <c r="E31" s="150"/>
      <c r="F31" s="150">
        <f>SUM(F32:F40)</f>
        <v>16737.77</v>
      </c>
      <c r="G31" s="150"/>
      <c r="H31" s="150"/>
      <c r="I31" s="150"/>
      <c r="J31" s="150">
        <f>SUM(J32:J40)</f>
        <v>7213.12</v>
      </c>
      <c r="K31" s="150">
        <f>SUM(K32:K40)</f>
        <v>0</v>
      </c>
      <c r="L31" s="150">
        <f>SUM(L32:L40)</f>
        <v>7213.12</v>
      </c>
      <c r="M31" s="188">
        <f>L31/F31</f>
        <v>0.43094868671274605</v>
      </c>
      <c r="N31" s="80"/>
      <c r="O31" s="81"/>
      <c r="P31" s="7"/>
      <c r="Q31" s="79"/>
      <c r="R31" s="79"/>
      <c r="S31" s="79"/>
      <c r="T31" s="16"/>
      <c r="U31" s="82"/>
      <c r="V31" s="14"/>
      <c r="W31" s="83"/>
      <c r="X31" s="84"/>
      <c r="Y31" s="83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</row>
    <row r="32" spans="1:62">
      <c r="A32" s="88"/>
      <c r="B32" s="89"/>
      <c r="C32" s="88"/>
      <c r="D32" s="90"/>
      <c r="E32" s="152"/>
      <c r="F32" s="152"/>
      <c r="G32" s="152"/>
      <c r="H32" s="152"/>
      <c r="I32" s="152"/>
      <c r="J32" s="152"/>
      <c r="K32" s="152"/>
      <c r="L32" s="152"/>
      <c r="M32" s="188"/>
      <c r="N32" s="80"/>
      <c r="O32" s="81"/>
      <c r="Q32" s="80"/>
      <c r="R32" s="80"/>
      <c r="S32" s="91"/>
      <c r="U32" s="82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</row>
    <row r="33" spans="1:62">
      <c r="A33" s="153" t="s">
        <v>41</v>
      </c>
      <c r="B33" s="154" t="s">
        <v>366</v>
      </c>
      <c r="C33" s="155" t="s">
        <v>16</v>
      </c>
      <c r="D33" s="156">
        <v>6</v>
      </c>
      <c r="E33" s="156">
        <v>297.62</v>
      </c>
      <c r="F33" s="156">
        <f>D33*E33</f>
        <v>1785.72</v>
      </c>
      <c r="G33" s="156">
        <v>6</v>
      </c>
      <c r="H33" s="156"/>
      <c r="I33" s="156">
        <f>G33+H33</f>
        <v>6</v>
      </c>
      <c r="J33" s="156">
        <f>E33*G33</f>
        <v>1785.72</v>
      </c>
      <c r="K33" s="156">
        <f t="shared" ref="K33:K40" si="0">H33*E33</f>
        <v>0</v>
      </c>
      <c r="L33" s="156">
        <f>J33+K33</f>
        <v>1785.72</v>
      </c>
      <c r="M33" s="188">
        <f t="shared" ref="M33:M94" si="1">L33/F33</f>
        <v>1</v>
      </c>
      <c r="N33" s="92"/>
      <c r="O33" s="81"/>
      <c r="Q33" s="92"/>
      <c r="R33" s="92"/>
      <c r="S33" s="93"/>
      <c r="U33" s="82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</row>
    <row r="34" spans="1:62" ht="28.5">
      <c r="A34" s="153" t="s">
        <v>42</v>
      </c>
      <c r="B34" s="154" t="s">
        <v>305</v>
      </c>
      <c r="C34" s="155" t="s">
        <v>43</v>
      </c>
      <c r="D34" s="156">
        <v>140</v>
      </c>
      <c r="E34" s="156">
        <v>36.409999999999997</v>
      </c>
      <c r="F34" s="156">
        <f t="shared" ref="F34:F40" si="2">D34*E34</f>
        <v>5097.3999999999996</v>
      </c>
      <c r="G34" s="156">
        <v>140</v>
      </c>
      <c r="H34" s="156"/>
      <c r="I34" s="156">
        <f t="shared" ref="I34:I40" si="3">G34+H34</f>
        <v>140</v>
      </c>
      <c r="J34" s="156">
        <f t="shared" ref="J34:J39" si="4">E34*G34</f>
        <v>5097.3999999999996</v>
      </c>
      <c r="K34" s="156">
        <f t="shared" si="0"/>
        <v>0</v>
      </c>
      <c r="L34" s="156">
        <f t="shared" ref="L34:L40" si="5">J34+K34</f>
        <v>5097.3999999999996</v>
      </c>
      <c r="M34" s="188">
        <f t="shared" si="1"/>
        <v>1</v>
      </c>
      <c r="N34" s="80"/>
      <c r="O34" s="81"/>
      <c r="Q34" s="80"/>
      <c r="R34" s="80"/>
      <c r="S34" s="91"/>
      <c r="U34" s="82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</row>
    <row r="35" spans="1:62" ht="42.75">
      <c r="A35" s="153" t="s">
        <v>44</v>
      </c>
      <c r="B35" s="154" t="s">
        <v>367</v>
      </c>
      <c r="C35" s="155" t="s">
        <v>16</v>
      </c>
      <c r="D35" s="156">
        <v>1500</v>
      </c>
      <c r="E35" s="156">
        <v>0.22</v>
      </c>
      <c r="F35" s="156">
        <f t="shared" si="2"/>
        <v>330</v>
      </c>
      <c r="G35" s="156">
        <v>1500</v>
      </c>
      <c r="H35" s="156"/>
      <c r="I35" s="156">
        <f t="shared" si="3"/>
        <v>1500</v>
      </c>
      <c r="J35" s="156">
        <f t="shared" si="4"/>
        <v>330</v>
      </c>
      <c r="K35" s="156">
        <f t="shared" si="0"/>
        <v>0</v>
      </c>
      <c r="L35" s="156">
        <f t="shared" si="5"/>
        <v>330</v>
      </c>
      <c r="M35" s="188">
        <f t="shared" si="1"/>
        <v>1</v>
      </c>
      <c r="N35" s="80"/>
      <c r="O35" s="81"/>
      <c r="Q35" s="80"/>
      <c r="R35" s="80"/>
      <c r="S35" s="91"/>
      <c r="U35" s="82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</row>
    <row r="36" spans="1:62" s="87" customFormat="1" ht="42.75">
      <c r="A36" s="153" t="s">
        <v>45</v>
      </c>
      <c r="B36" s="154" t="s">
        <v>368</v>
      </c>
      <c r="C36" s="155" t="s">
        <v>7</v>
      </c>
      <c r="D36" s="156">
        <v>1</v>
      </c>
      <c r="E36" s="156">
        <v>414.92</v>
      </c>
      <c r="F36" s="156">
        <f t="shared" si="2"/>
        <v>414.92</v>
      </c>
      <c r="G36" s="156">
        <v>0</v>
      </c>
      <c r="H36" s="156"/>
      <c r="I36" s="156">
        <f t="shared" si="3"/>
        <v>0</v>
      </c>
      <c r="J36" s="156">
        <f t="shared" si="4"/>
        <v>0</v>
      </c>
      <c r="K36" s="156">
        <f t="shared" si="0"/>
        <v>0</v>
      </c>
      <c r="L36" s="156">
        <f t="shared" si="5"/>
        <v>0</v>
      </c>
      <c r="M36" s="188">
        <f t="shared" si="1"/>
        <v>0</v>
      </c>
      <c r="N36" s="80"/>
      <c r="O36" s="81"/>
      <c r="P36" s="7"/>
      <c r="Q36" s="79"/>
      <c r="R36" s="79"/>
      <c r="S36" s="79"/>
      <c r="T36" s="16"/>
      <c r="U36" s="82"/>
      <c r="V36" s="14"/>
      <c r="W36" s="83"/>
      <c r="X36" s="84"/>
      <c r="Y36" s="83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</row>
    <row r="37" spans="1:62" s="87" customFormat="1" ht="34.5" customHeight="1">
      <c r="A37" s="153" t="s">
        <v>46</v>
      </c>
      <c r="B37" s="157" t="s">
        <v>369</v>
      </c>
      <c r="C37" s="155" t="s">
        <v>7</v>
      </c>
      <c r="D37" s="156">
        <v>1</v>
      </c>
      <c r="E37" s="156">
        <v>1100.67</v>
      </c>
      <c r="F37" s="156">
        <f t="shared" si="2"/>
        <v>1100.67</v>
      </c>
      <c r="G37" s="156">
        <v>0</v>
      </c>
      <c r="H37" s="156"/>
      <c r="I37" s="156">
        <f t="shared" si="3"/>
        <v>0</v>
      </c>
      <c r="J37" s="156">
        <f t="shared" si="4"/>
        <v>0</v>
      </c>
      <c r="K37" s="156">
        <f t="shared" si="0"/>
        <v>0</v>
      </c>
      <c r="L37" s="156">
        <f t="shared" si="5"/>
        <v>0</v>
      </c>
      <c r="M37" s="188">
        <f t="shared" si="1"/>
        <v>0</v>
      </c>
      <c r="N37" s="80"/>
      <c r="O37" s="81"/>
      <c r="P37" s="7"/>
      <c r="Q37" s="79"/>
      <c r="R37" s="79"/>
      <c r="S37" s="79"/>
      <c r="T37" s="16"/>
      <c r="U37" s="82"/>
      <c r="V37" s="14"/>
      <c r="W37" s="83"/>
      <c r="X37" s="84"/>
      <c r="Y37" s="83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</row>
    <row r="38" spans="1:62" s="87" customFormat="1" ht="42.75">
      <c r="A38" s="153" t="s">
        <v>47</v>
      </c>
      <c r="B38" s="157" t="s">
        <v>370</v>
      </c>
      <c r="C38" s="155" t="s">
        <v>7</v>
      </c>
      <c r="D38" s="156">
        <v>1</v>
      </c>
      <c r="E38" s="156">
        <v>467.94</v>
      </c>
      <c r="F38" s="156">
        <f t="shared" si="2"/>
        <v>467.94</v>
      </c>
      <c r="G38" s="156">
        <v>0</v>
      </c>
      <c r="H38" s="156"/>
      <c r="I38" s="156">
        <f t="shared" si="3"/>
        <v>0</v>
      </c>
      <c r="J38" s="156">
        <f t="shared" si="4"/>
        <v>0</v>
      </c>
      <c r="K38" s="156">
        <f t="shared" si="0"/>
        <v>0</v>
      </c>
      <c r="L38" s="156">
        <f t="shared" si="5"/>
        <v>0</v>
      </c>
      <c r="M38" s="188">
        <f t="shared" si="1"/>
        <v>0</v>
      </c>
      <c r="N38" s="80"/>
      <c r="O38" s="81"/>
      <c r="P38" s="7"/>
      <c r="Q38" s="79"/>
      <c r="R38" s="79"/>
      <c r="S38" s="79"/>
      <c r="T38" s="16"/>
      <c r="U38" s="82"/>
      <c r="V38" s="14"/>
      <c r="W38" s="83"/>
      <c r="X38" s="84"/>
      <c r="Y38" s="83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</row>
    <row r="39" spans="1:62" s="87" customFormat="1">
      <c r="A39" s="153" t="s">
        <v>48</v>
      </c>
      <c r="B39" s="158" t="s">
        <v>371</v>
      </c>
      <c r="C39" s="155" t="s">
        <v>50</v>
      </c>
      <c r="D39" s="156">
        <v>8</v>
      </c>
      <c r="E39" s="156">
        <v>490.5</v>
      </c>
      <c r="F39" s="156">
        <f t="shared" si="2"/>
        <v>3924</v>
      </c>
      <c r="G39" s="156">
        <v>0</v>
      </c>
      <c r="H39" s="156"/>
      <c r="I39" s="156">
        <f t="shared" si="3"/>
        <v>0</v>
      </c>
      <c r="J39" s="156">
        <f t="shared" si="4"/>
        <v>0</v>
      </c>
      <c r="K39" s="156">
        <f t="shared" si="0"/>
        <v>0</v>
      </c>
      <c r="L39" s="156">
        <f t="shared" si="5"/>
        <v>0</v>
      </c>
      <c r="M39" s="188">
        <f t="shared" si="1"/>
        <v>0</v>
      </c>
      <c r="N39" s="80"/>
      <c r="O39" s="81"/>
      <c r="P39" s="7"/>
      <c r="Q39" s="79"/>
      <c r="R39" s="79"/>
      <c r="S39" s="79"/>
      <c r="T39" s="16"/>
      <c r="U39" s="82"/>
      <c r="V39" s="14"/>
      <c r="W39" s="83"/>
      <c r="X39" s="84"/>
      <c r="Y39" s="83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</row>
    <row r="40" spans="1:62" s="87" customFormat="1">
      <c r="A40" s="153" t="s">
        <v>49</v>
      </c>
      <c r="B40" s="158" t="s">
        <v>372</v>
      </c>
      <c r="C40" s="155" t="s">
        <v>50</v>
      </c>
      <c r="D40" s="156">
        <v>8</v>
      </c>
      <c r="E40" s="156">
        <v>452.14</v>
      </c>
      <c r="F40" s="156">
        <f t="shared" si="2"/>
        <v>3617.12</v>
      </c>
      <c r="G40" s="156">
        <v>0</v>
      </c>
      <c r="H40" s="156"/>
      <c r="I40" s="156">
        <f t="shared" si="3"/>
        <v>0</v>
      </c>
      <c r="J40" s="156">
        <f>E40*G40</f>
        <v>0</v>
      </c>
      <c r="K40" s="156">
        <f t="shared" si="0"/>
        <v>0</v>
      </c>
      <c r="L40" s="156">
        <f t="shared" si="5"/>
        <v>0</v>
      </c>
      <c r="M40" s="188">
        <f t="shared" si="1"/>
        <v>0</v>
      </c>
      <c r="N40" s="80"/>
      <c r="O40" s="81"/>
      <c r="P40" s="7"/>
      <c r="Q40" s="79"/>
      <c r="R40" s="79"/>
      <c r="S40" s="79"/>
      <c r="T40" s="16"/>
      <c r="U40" s="82"/>
      <c r="V40" s="14"/>
      <c r="W40" s="83"/>
      <c r="X40" s="84"/>
      <c r="Y40" s="83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</row>
    <row r="41" spans="1:62">
      <c r="A41" s="156"/>
      <c r="B41" s="159"/>
      <c r="C41" s="155"/>
      <c r="D41" s="156"/>
      <c r="E41" s="156"/>
      <c r="F41" s="156"/>
      <c r="G41" s="156"/>
      <c r="H41" s="156"/>
      <c r="I41" s="156"/>
      <c r="J41" s="156"/>
      <c r="K41" s="156"/>
      <c r="L41" s="156"/>
      <c r="M41" s="188"/>
      <c r="N41" s="80"/>
      <c r="O41" s="81"/>
      <c r="Q41" s="80"/>
      <c r="R41" s="80"/>
      <c r="S41" s="91"/>
      <c r="U41" s="82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</row>
    <row r="42" spans="1:62" s="87" customFormat="1">
      <c r="A42" s="160" t="s">
        <v>19</v>
      </c>
      <c r="B42" s="161" t="s">
        <v>12</v>
      </c>
      <c r="C42" s="162"/>
      <c r="D42" s="163"/>
      <c r="E42" s="162"/>
      <c r="F42" s="162">
        <f>SUM(F43:F47)</f>
        <v>7361.0879999999997</v>
      </c>
      <c r="G42" s="162"/>
      <c r="H42" s="162"/>
      <c r="I42" s="162"/>
      <c r="J42" s="162">
        <f>SUM(J43:J46)</f>
        <v>5249.1596</v>
      </c>
      <c r="K42" s="162">
        <f>SUM(K43:K46)</f>
        <v>0</v>
      </c>
      <c r="L42" s="162">
        <f>SUM(L43:L47)</f>
        <v>5249.1596</v>
      </c>
      <c r="M42" s="188">
        <f t="shared" si="1"/>
        <v>0.71309561847379088</v>
      </c>
      <c r="N42" s="80"/>
      <c r="O42" s="81"/>
      <c r="P42" s="7"/>
      <c r="Q42" s="79"/>
      <c r="R42" s="79"/>
      <c r="S42" s="79"/>
      <c r="T42" s="16"/>
      <c r="U42" s="82"/>
      <c r="V42" s="14"/>
      <c r="W42" s="83"/>
      <c r="X42" s="84"/>
      <c r="Y42" s="83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</row>
    <row r="43" spans="1:62">
      <c r="A43" s="156"/>
      <c r="B43" s="159" t="s">
        <v>25</v>
      </c>
      <c r="C43" s="155"/>
      <c r="D43" s="156"/>
      <c r="E43" s="156"/>
      <c r="F43" s="156"/>
      <c r="G43" s="156"/>
      <c r="H43" s="156"/>
      <c r="I43" s="156"/>
      <c r="J43" s="156"/>
      <c r="K43" s="156"/>
      <c r="L43" s="156"/>
      <c r="M43" s="188"/>
      <c r="N43" s="80"/>
      <c r="O43" s="81"/>
      <c r="Q43" s="80"/>
      <c r="R43" s="80"/>
      <c r="S43" s="91"/>
      <c r="U43" s="82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</row>
    <row r="44" spans="1:62" ht="28.5">
      <c r="A44" s="156" t="s">
        <v>51</v>
      </c>
      <c r="B44" s="157" t="s">
        <v>52</v>
      </c>
      <c r="C44" s="155" t="s">
        <v>17</v>
      </c>
      <c r="D44" s="156">
        <v>122.16</v>
      </c>
      <c r="E44" s="156">
        <v>8.32</v>
      </c>
      <c r="F44" s="156">
        <f t="shared" ref="F44:F46" si="6">D44*E44</f>
        <v>1016.3712</v>
      </c>
      <c r="G44" s="156">
        <v>83.940000000000012</v>
      </c>
      <c r="H44" s="156"/>
      <c r="I44" s="156">
        <f t="shared" ref="I44:I46" si="7">G44+H44</f>
        <v>83.940000000000012</v>
      </c>
      <c r="J44" s="156">
        <f>E44*G44</f>
        <v>698.38080000000014</v>
      </c>
      <c r="K44" s="156">
        <f>H44*E44</f>
        <v>0</v>
      </c>
      <c r="L44" s="156">
        <f t="shared" ref="L44:L46" si="8">J44+K44</f>
        <v>698.38080000000014</v>
      </c>
      <c r="M44" s="188">
        <f t="shared" si="1"/>
        <v>0.68713163064833016</v>
      </c>
      <c r="N44" s="81"/>
      <c r="O44" s="7"/>
      <c r="P44" s="80"/>
      <c r="Q44" s="80"/>
      <c r="R44" s="91"/>
      <c r="S44" s="8"/>
      <c r="T44" s="82"/>
      <c r="W44" s="10"/>
      <c r="X44" s="9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</row>
    <row r="45" spans="1:62">
      <c r="A45" s="156" t="s">
        <v>53</v>
      </c>
      <c r="B45" s="157" t="s">
        <v>54</v>
      </c>
      <c r="C45" s="155" t="s">
        <v>17</v>
      </c>
      <c r="D45" s="156">
        <v>122.16</v>
      </c>
      <c r="E45" s="156">
        <v>17.899999999999999</v>
      </c>
      <c r="F45" s="156">
        <f t="shared" si="6"/>
        <v>2186.6639999999998</v>
      </c>
      <c r="G45" s="156">
        <v>21.940000000000005</v>
      </c>
      <c r="H45" s="156"/>
      <c r="I45" s="156">
        <f t="shared" si="7"/>
        <v>21.940000000000005</v>
      </c>
      <c r="J45" s="156">
        <f t="shared" ref="J45:J46" si="9">E45*G45</f>
        <v>392.72600000000006</v>
      </c>
      <c r="K45" s="156">
        <f t="shared" ref="K45:K46" si="10">H45*E45</f>
        <v>0</v>
      </c>
      <c r="L45" s="156">
        <f t="shared" si="8"/>
        <v>392.72600000000006</v>
      </c>
      <c r="M45" s="188">
        <f t="shared" si="1"/>
        <v>0.17960052390307799</v>
      </c>
      <c r="N45" s="81"/>
      <c r="O45" s="7"/>
      <c r="P45" s="80"/>
      <c r="Q45" s="80"/>
      <c r="R45" s="91"/>
      <c r="S45" s="8"/>
      <c r="T45" s="82"/>
      <c r="W45" s="10"/>
      <c r="X45" s="9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</row>
    <row r="46" spans="1:62" ht="28.5">
      <c r="A46" s="156" t="s">
        <v>55</v>
      </c>
      <c r="B46" s="157" t="s">
        <v>56</v>
      </c>
      <c r="C46" s="155" t="s">
        <v>17</v>
      </c>
      <c r="D46" s="156">
        <v>142.01</v>
      </c>
      <c r="E46" s="156">
        <v>29.28</v>
      </c>
      <c r="F46" s="156">
        <f t="shared" si="6"/>
        <v>4158.0527999999995</v>
      </c>
      <c r="G46" s="156">
        <v>142.01</v>
      </c>
      <c r="H46" s="156"/>
      <c r="I46" s="156">
        <f t="shared" si="7"/>
        <v>142.01</v>
      </c>
      <c r="J46" s="156">
        <f t="shared" si="9"/>
        <v>4158.0527999999995</v>
      </c>
      <c r="K46" s="156">
        <f t="shared" si="10"/>
        <v>0</v>
      </c>
      <c r="L46" s="156">
        <f t="shared" si="8"/>
        <v>4158.0527999999995</v>
      </c>
      <c r="M46" s="188">
        <f t="shared" si="1"/>
        <v>1</v>
      </c>
      <c r="N46" s="81"/>
      <c r="O46" s="7"/>
      <c r="P46" s="80"/>
      <c r="Q46" s="80"/>
      <c r="R46" s="91"/>
      <c r="S46" s="8"/>
      <c r="T46" s="82"/>
      <c r="W46" s="10"/>
      <c r="X46" s="9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</row>
    <row r="47" spans="1:62">
      <c r="A47" s="156"/>
      <c r="B47" s="154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88"/>
      <c r="N47" s="80"/>
      <c r="O47" s="81"/>
      <c r="Q47" s="80"/>
      <c r="R47" s="80"/>
      <c r="S47" s="91"/>
      <c r="U47" s="82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</row>
    <row r="48" spans="1:62" s="87" customFormat="1">
      <c r="A48" s="160" t="s">
        <v>20</v>
      </c>
      <c r="B48" s="161" t="s">
        <v>57</v>
      </c>
      <c r="C48" s="162"/>
      <c r="D48" s="163"/>
      <c r="E48" s="162"/>
      <c r="F48" s="162">
        <f>SUM(F49:F54)</f>
        <v>72072.818199999994</v>
      </c>
      <c r="G48" s="162"/>
      <c r="H48" s="162"/>
      <c r="I48" s="162"/>
      <c r="J48" s="162">
        <f>SUM(J49:J54)</f>
        <v>57065.177300000003</v>
      </c>
      <c r="K48" s="162">
        <f>SUM(K49:K54)</f>
        <v>0</v>
      </c>
      <c r="L48" s="162">
        <f>SUM(L49:L54)</f>
        <v>57065.177300000003</v>
      </c>
      <c r="M48" s="188">
        <f t="shared" si="1"/>
        <v>0.79177113820699752</v>
      </c>
      <c r="N48" s="80"/>
      <c r="O48" s="81"/>
      <c r="P48" s="7"/>
      <c r="Q48" s="79"/>
      <c r="R48" s="79"/>
      <c r="S48" s="79"/>
      <c r="T48" s="16"/>
      <c r="U48" s="82"/>
      <c r="V48" s="14"/>
      <c r="W48" s="83"/>
      <c r="X48" s="84"/>
      <c r="Y48" s="83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  <c r="AY48" s="86"/>
      <c r="AZ48" s="86"/>
      <c r="BA48" s="86"/>
      <c r="BB48" s="86"/>
      <c r="BC48" s="86"/>
      <c r="BD48" s="86"/>
      <c r="BE48" s="86"/>
      <c r="BF48" s="86"/>
      <c r="BG48" s="86"/>
      <c r="BH48" s="86"/>
      <c r="BI48" s="86"/>
      <c r="BJ48" s="86"/>
    </row>
    <row r="49" spans="1:62">
      <c r="A49" s="156"/>
      <c r="B49" s="154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88"/>
      <c r="N49" s="81"/>
      <c r="O49" s="7"/>
      <c r="P49" s="80"/>
      <c r="Q49" s="80"/>
      <c r="R49" s="91"/>
      <c r="S49" s="8"/>
      <c r="T49" s="82"/>
      <c r="U49" s="95"/>
      <c r="V49" s="95"/>
      <c r="W49" s="10"/>
      <c r="X49" s="9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</row>
    <row r="50" spans="1:62" ht="28.5">
      <c r="A50" s="156" t="s">
        <v>58</v>
      </c>
      <c r="B50" s="157" t="s">
        <v>59</v>
      </c>
      <c r="C50" s="156" t="s">
        <v>17</v>
      </c>
      <c r="D50" s="156">
        <v>84.24</v>
      </c>
      <c r="E50" s="156">
        <v>339.77</v>
      </c>
      <c r="F50" s="156">
        <f t="shared" ref="F50:F54" si="11">D50*E50</f>
        <v>28622.224799999996</v>
      </c>
      <c r="G50" s="156">
        <v>40.07</v>
      </c>
      <c r="H50" s="156"/>
      <c r="I50" s="156">
        <f t="shared" ref="I50:I54" si="12">G50+H50</f>
        <v>40.07</v>
      </c>
      <c r="J50" s="156">
        <f t="shared" ref="J50:J54" si="13">E50*G50</f>
        <v>13614.5839</v>
      </c>
      <c r="K50" s="156">
        <f t="shared" ref="K50:K54" si="14">H50*E50</f>
        <v>0</v>
      </c>
      <c r="L50" s="156">
        <f t="shared" ref="L50:L54" si="15">J50+K50</f>
        <v>13614.5839</v>
      </c>
      <c r="M50" s="188">
        <f t="shared" si="1"/>
        <v>0.47566476733143404</v>
      </c>
      <c r="N50" s="81"/>
      <c r="O50" s="7"/>
      <c r="P50" s="80"/>
      <c r="Q50" s="80"/>
      <c r="R50" s="91"/>
      <c r="S50" s="8"/>
      <c r="T50" s="82"/>
      <c r="U50" s="95"/>
      <c r="V50" s="95"/>
      <c r="W50" s="10"/>
      <c r="X50" s="9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</row>
    <row r="51" spans="1:62" ht="63.75" customHeight="1">
      <c r="A51" s="156" t="s">
        <v>60</v>
      </c>
      <c r="B51" s="157" t="s">
        <v>61</v>
      </c>
      <c r="C51" s="156" t="s">
        <v>16</v>
      </c>
      <c r="D51" s="156">
        <v>28.19</v>
      </c>
      <c r="E51" s="156">
        <v>55.26</v>
      </c>
      <c r="F51" s="156">
        <f t="shared" si="11"/>
        <v>1557.7794000000001</v>
      </c>
      <c r="G51" s="156">
        <v>28.19</v>
      </c>
      <c r="H51" s="156"/>
      <c r="I51" s="156">
        <f t="shared" si="12"/>
        <v>28.19</v>
      </c>
      <c r="J51" s="156">
        <f t="shared" si="13"/>
        <v>1557.7794000000001</v>
      </c>
      <c r="K51" s="156">
        <f t="shared" si="14"/>
        <v>0</v>
      </c>
      <c r="L51" s="156">
        <f t="shared" si="15"/>
        <v>1557.7794000000001</v>
      </c>
      <c r="M51" s="188">
        <f t="shared" si="1"/>
        <v>1</v>
      </c>
      <c r="N51" s="81"/>
      <c r="O51" s="7"/>
      <c r="P51" s="80"/>
      <c r="Q51" s="80"/>
      <c r="R51" s="91"/>
      <c r="S51" s="8"/>
      <c r="T51" s="82"/>
      <c r="U51" s="95"/>
      <c r="V51" s="95"/>
      <c r="W51" s="10"/>
      <c r="X51" s="9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</row>
    <row r="52" spans="1:62" ht="29.25" customHeight="1">
      <c r="A52" s="156" t="s">
        <v>62</v>
      </c>
      <c r="B52" s="157" t="s">
        <v>63</v>
      </c>
      <c r="C52" s="156" t="s">
        <v>17</v>
      </c>
      <c r="D52" s="156">
        <v>5</v>
      </c>
      <c r="E52" s="156">
        <v>394.47</v>
      </c>
      <c r="F52" s="156">
        <f t="shared" si="11"/>
        <v>1972.3500000000001</v>
      </c>
      <c r="G52" s="156">
        <v>5</v>
      </c>
      <c r="H52" s="156"/>
      <c r="I52" s="156">
        <f t="shared" si="12"/>
        <v>5</v>
      </c>
      <c r="J52" s="156">
        <f t="shared" si="13"/>
        <v>1972.3500000000001</v>
      </c>
      <c r="K52" s="156">
        <f t="shared" si="14"/>
        <v>0</v>
      </c>
      <c r="L52" s="156">
        <f t="shared" si="15"/>
        <v>1972.3500000000001</v>
      </c>
      <c r="M52" s="188">
        <f t="shared" si="1"/>
        <v>1</v>
      </c>
      <c r="N52" s="81"/>
      <c r="O52" s="7"/>
      <c r="P52" s="80"/>
      <c r="Q52" s="80"/>
      <c r="R52" s="91"/>
      <c r="S52" s="8"/>
      <c r="T52" s="82"/>
      <c r="U52" s="95"/>
      <c r="V52" s="95"/>
      <c r="W52" s="10"/>
      <c r="X52" s="9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</row>
    <row r="53" spans="1:62" ht="36.75" customHeight="1">
      <c r="A53" s="156" t="s">
        <v>64</v>
      </c>
      <c r="B53" s="157" t="s">
        <v>65</v>
      </c>
      <c r="C53" s="156" t="s">
        <v>17</v>
      </c>
      <c r="D53" s="156">
        <v>15.01</v>
      </c>
      <c r="E53" s="156">
        <v>1613.6</v>
      </c>
      <c r="F53" s="156">
        <f t="shared" si="11"/>
        <v>24220.135999999999</v>
      </c>
      <c r="G53" s="156">
        <v>15.01</v>
      </c>
      <c r="H53" s="156"/>
      <c r="I53" s="156">
        <f t="shared" si="12"/>
        <v>15.01</v>
      </c>
      <c r="J53" s="156">
        <f t="shared" si="13"/>
        <v>24220.135999999999</v>
      </c>
      <c r="K53" s="156">
        <f t="shared" si="14"/>
        <v>0</v>
      </c>
      <c r="L53" s="156">
        <f t="shared" si="15"/>
        <v>24220.135999999999</v>
      </c>
      <c r="M53" s="188">
        <f t="shared" si="1"/>
        <v>1</v>
      </c>
      <c r="N53" s="81"/>
      <c r="O53" s="7"/>
      <c r="P53" s="80"/>
      <c r="Q53" s="80"/>
      <c r="R53" s="91"/>
      <c r="S53" s="8"/>
      <c r="T53" s="82"/>
      <c r="U53" s="95"/>
      <c r="V53" s="95"/>
      <c r="W53" s="10"/>
      <c r="X53" s="9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</row>
    <row r="54" spans="1:62" ht="28.5">
      <c r="A54" s="156" t="s">
        <v>66</v>
      </c>
      <c r="B54" s="157" t="s">
        <v>67</v>
      </c>
      <c r="C54" s="156" t="s">
        <v>17</v>
      </c>
      <c r="D54" s="156">
        <v>9.73</v>
      </c>
      <c r="E54" s="156">
        <v>1613.6</v>
      </c>
      <c r="F54" s="156">
        <f t="shared" si="11"/>
        <v>15700.328</v>
      </c>
      <c r="G54" s="156">
        <v>9.73</v>
      </c>
      <c r="H54" s="156"/>
      <c r="I54" s="156">
        <f t="shared" si="12"/>
        <v>9.73</v>
      </c>
      <c r="J54" s="156">
        <f t="shared" si="13"/>
        <v>15700.328</v>
      </c>
      <c r="K54" s="156">
        <f t="shared" si="14"/>
        <v>0</v>
      </c>
      <c r="L54" s="156">
        <f t="shared" si="15"/>
        <v>15700.328</v>
      </c>
      <c r="M54" s="188">
        <f t="shared" si="1"/>
        <v>1</v>
      </c>
      <c r="N54" s="81"/>
      <c r="O54" s="7"/>
      <c r="P54" s="80"/>
      <c r="Q54" s="80"/>
      <c r="R54" s="91"/>
      <c r="S54" s="8"/>
      <c r="T54" s="82"/>
      <c r="U54" s="95"/>
      <c r="V54" s="95"/>
      <c r="W54" s="10"/>
      <c r="X54" s="9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</row>
    <row r="55" spans="1:62">
      <c r="A55" s="156"/>
      <c r="B55" s="154"/>
      <c r="C55" s="156"/>
      <c r="D55" s="156"/>
      <c r="E55" s="156"/>
      <c r="F55" s="156"/>
      <c r="G55" s="156"/>
      <c r="H55" s="156"/>
      <c r="I55" s="156"/>
      <c r="J55" s="156"/>
      <c r="K55" s="156"/>
      <c r="L55" s="156"/>
      <c r="M55" s="188"/>
      <c r="N55" s="80"/>
      <c r="O55" s="81"/>
      <c r="Q55" s="80"/>
      <c r="R55" s="80"/>
      <c r="S55" s="91"/>
      <c r="U55" s="82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</row>
    <row r="56" spans="1:62" s="87" customFormat="1">
      <c r="A56" s="160" t="s">
        <v>21</v>
      </c>
      <c r="B56" s="161" t="s">
        <v>68</v>
      </c>
      <c r="C56" s="162"/>
      <c r="D56" s="163"/>
      <c r="E56" s="162"/>
      <c r="F56" s="162">
        <f>SUM(F57:F61)</f>
        <v>114480.3824</v>
      </c>
      <c r="G56" s="162"/>
      <c r="H56" s="162"/>
      <c r="I56" s="162"/>
      <c r="J56" s="162">
        <f>SUM(J57:J61)</f>
        <v>52315.170999999988</v>
      </c>
      <c r="K56" s="162">
        <f>SUM(K57:K61)</f>
        <v>50650.471199999993</v>
      </c>
      <c r="L56" s="162">
        <f>SUM(L57:L61)</f>
        <v>102965.64219999997</v>
      </c>
      <c r="M56" s="188">
        <f t="shared" si="1"/>
        <v>0.89941735030402881</v>
      </c>
      <c r="N56" s="80"/>
      <c r="O56" s="81"/>
      <c r="P56" s="7"/>
      <c r="Q56" s="79"/>
      <c r="R56" s="79"/>
      <c r="S56" s="79"/>
      <c r="T56" s="16"/>
      <c r="U56" s="82"/>
      <c r="V56" s="14"/>
      <c r="W56" s="83"/>
      <c r="X56" s="84"/>
      <c r="Y56" s="83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  <c r="BB56" s="86"/>
      <c r="BC56" s="86"/>
      <c r="BD56" s="86"/>
      <c r="BE56" s="86"/>
      <c r="BF56" s="86"/>
      <c r="BG56" s="86"/>
      <c r="BH56" s="86"/>
      <c r="BI56" s="86"/>
      <c r="BJ56" s="86"/>
    </row>
    <row r="57" spans="1:62">
      <c r="A57" s="156"/>
      <c r="B57" s="154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88"/>
      <c r="N57" s="80"/>
      <c r="O57" s="81"/>
      <c r="Q57" s="80"/>
      <c r="R57" s="80"/>
      <c r="S57" s="91"/>
      <c r="U57" s="82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</row>
    <row r="58" spans="1:62" ht="48" customHeight="1">
      <c r="A58" s="156" t="s">
        <v>69</v>
      </c>
      <c r="B58" s="157" t="s">
        <v>70</v>
      </c>
      <c r="C58" s="156" t="s">
        <v>16</v>
      </c>
      <c r="D58" s="156">
        <v>18.920000000000002</v>
      </c>
      <c r="E58" s="156">
        <v>1806.13</v>
      </c>
      <c r="F58" s="156">
        <f t="shared" ref="F58" si="16">D58*E58</f>
        <v>34171.979600000006</v>
      </c>
      <c r="G58" s="156">
        <v>18.009999999999994</v>
      </c>
      <c r="H58" s="156">
        <f>'MEMORIA BM 03'!L68</f>
        <v>0.24</v>
      </c>
      <c r="I58" s="156">
        <f t="shared" ref="I58:I61" si="17">G58+H58</f>
        <v>18.249999999999993</v>
      </c>
      <c r="J58" s="156">
        <f t="shared" ref="J58:J61" si="18">E58*G58</f>
        <v>32528.40129999999</v>
      </c>
      <c r="K58" s="156">
        <f t="shared" ref="K58:K61" si="19">H58*E58</f>
        <v>433.47120000000001</v>
      </c>
      <c r="L58" s="156">
        <f t="shared" ref="L58:L61" si="20">J58+K58</f>
        <v>32961.87249999999</v>
      </c>
      <c r="M58" s="188">
        <f t="shared" si="1"/>
        <v>0.96458773784355134</v>
      </c>
      <c r="N58" s="81"/>
      <c r="O58" s="7"/>
      <c r="P58" s="80"/>
      <c r="Q58" s="80"/>
      <c r="R58" s="91"/>
      <c r="S58" s="8"/>
      <c r="T58" s="82"/>
      <c r="W58" s="10"/>
      <c r="X58" s="9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</row>
    <row r="59" spans="1:62" ht="42.75">
      <c r="A59" s="156" t="s">
        <v>71</v>
      </c>
      <c r="B59" s="157" t="s">
        <v>72</v>
      </c>
      <c r="C59" s="156" t="s">
        <v>17</v>
      </c>
      <c r="D59" s="156">
        <v>14.4</v>
      </c>
      <c r="E59" s="156">
        <v>1820.31</v>
      </c>
      <c r="F59" s="156">
        <f>D59*E59</f>
        <v>26212.464</v>
      </c>
      <c r="G59" s="156">
        <v>10.87</v>
      </c>
      <c r="H59" s="156"/>
      <c r="I59" s="156">
        <f t="shared" si="17"/>
        <v>10.87</v>
      </c>
      <c r="J59" s="156">
        <f t="shared" si="18"/>
        <v>19786.769699999997</v>
      </c>
      <c r="K59" s="156">
        <f t="shared" si="19"/>
        <v>0</v>
      </c>
      <c r="L59" s="156">
        <f t="shared" si="20"/>
        <v>19786.769699999997</v>
      </c>
      <c r="M59" s="188">
        <f t="shared" si="1"/>
        <v>0.75486111111111098</v>
      </c>
      <c r="N59" s="81"/>
      <c r="O59" s="7"/>
      <c r="P59" s="80"/>
      <c r="Q59" s="80"/>
      <c r="R59" s="91"/>
      <c r="S59" s="8"/>
      <c r="T59" s="82"/>
      <c r="W59" s="10"/>
      <c r="X59" s="9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</row>
    <row r="60" spans="1:62">
      <c r="A60" s="156" t="s">
        <v>73</v>
      </c>
      <c r="B60" s="158" t="s">
        <v>74</v>
      </c>
      <c r="C60" s="156" t="s">
        <v>16</v>
      </c>
      <c r="D60" s="156">
        <v>12.36</v>
      </c>
      <c r="E60" s="156">
        <v>313.83</v>
      </c>
      <c r="F60" s="156">
        <f>D60*E60</f>
        <v>3878.9387999999994</v>
      </c>
      <c r="G60" s="156">
        <v>0</v>
      </c>
      <c r="H60" s="156"/>
      <c r="I60" s="156">
        <f t="shared" si="17"/>
        <v>0</v>
      </c>
      <c r="J60" s="156">
        <f t="shared" si="18"/>
        <v>0</v>
      </c>
      <c r="K60" s="156">
        <f t="shared" si="19"/>
        <v>0</v>
      </c>
      <c r="L60" s="156">
        <f t="shared" si="20"/>
        <v>0</v>
      </c>
      <c r="M60" s="188">
        <f t="shared" si="1"/>
        <v>0</v>
      </c>
      <c r="N60" s="81"/>
      <c r="O60" s="7"/>
      <c r="P60" s="80"/>
      <c r="Q60" s="80"/>
      <c r="R60" s="91"/>
      <c r="S60" s="8"/>
      <c r="T60" s="82"/>
      <c r="W60" s="10"/>
      <c r="X60" s="9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</row>
    <row r="61" spans="1:62" ht="42.75">
      <c r="A61" s="156" t="s">
        <v>75</v>
      </c>
      <c r="B61" s="157" t="s">
        <v>76</v>
      </c>
      <c r="C61" s="156" t="s">
        <v>16</v>
      </c>
      <c r="D61" s="156">
        <v>475</v>
      </c>
      <c r="E61" s="156">
        <v>105.72</v>
      </c>
      <c r="F61" s="156">
        <f>D61*E61</f>
        <v>50217</v>
      </c>
      <c r="G61" s="156">
        <v>0</v>
      </c>
      <c r="H61" s="156">
        <f>'MEMORIA BM 03'!L78</f>
        <v>474.99999999999994</v>
      </c>
      <c r="I61" s="156">
        <f t="shared" si="17"/>
        <v>474.99999999999994</v>
      </c>
      <c r="J61" s="156">
        <f t="shared" si="18"/>
        <v>0</v>
      </c>
      <c r="K61" s="156">
        <f t="shared" si="19"/>
        <v>50216.999999999993</v>
      </c>
      <c r="L61" s="156">
        <f t="shared" si="20"/>
        <v>50216.999999999993</v>
      </c>
      <c r="M61" s="188">
        <f t="shared" si="1"/>
        <v>0.99999999999999989</v>
      </c>
      <c r="N61" s="81"/>
      <c r="O61" s="7"/>
      <c r="P61" s="80"/>
      <c r="Q61" s="80"/>
      <c r="R61" s="91"/>
      <c r="S61" s="8"/>
      <c r="T61" s="82"/>
      <c r="W61" s="10"/>
      <c r="X61" s="9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</row>
    <row r="62" spans="1:62">
      <c r="A62" s="156"/>
      <c r="B62" s="154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88"/>
      <c r="N62" s="81"/>
      <c r="O62" s="7"/>
      <c r="P62" s="80"/>
      <c r="Q62" s="80"/>
      <c r="R62" s="91"/>
      <c r="S62" s="8"/>
      <c r="T62" s="82"/>
      <c r="W62" s="10"/>
      <c r="X62" s="9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</row>
    <row r="63" spans="1:62" s="87" customFormat="1">
      <c r="A63" s="160" t="s">
        <v>77</v>
      </c>
      <c r="B63" s="161" t="s">
        <v>78</v>
      </c>
      <c r="C63" s="162"/>
      <c r="D63" s="163"/>
      <c r="E63" s="162"/>
      <c r="F63" s="162">
        <f>SUM(F64:F67)</f>
        <v>86529.282800000001</v>
      </c>
      <c r="G63" s="162"/>
      <c r="H63" s="162"/>
      <c r="I63" s="162"/>
      <c r="J63" s="162">
        <f>SUM(J64:J67)</f>
        <v>75854.648300000015</v>
      </c>
      <c r="K63" s="162">
        <f>SUM(K64:K67)</f>
        <v>5620.0967999999993</v>
      </c>
      <c r="L63" s="162">
        <f>SUM(L64:L67)</f>
        <v>81474.745100000015</v>
      </c>
      <c r="M63" s="188">
        <f t="shared" si="1"/>
        <v>0.9415858130746001</v>
      </c>
      <c r="N63" s="80"/>
      <c r="O63" s="81"/>
      <c r="P63" s="7"/>
      <c r="Q63" s="79"/>
      <c r="R63" s="79"/>
      <c r="S63" s="79"/>
      <c r="T63" s="16"/>
      <c r="U63" s="82"/>
      <c r="V63" s="14"/>
      <c r="W63" s="83"/>
      <c r="X63" s="84"/>
      <c r="Y63" s="83"/>
      <c r="Z63" s="85"/>
      <c r="AA63" s="85"/>
      <c r="AB63" s="85"/>
      <c r="AC63" s="85"/>
      <c r="AD63" s="85"/>
      <c r="AE63" s="85"/>
      <c r="AF63" s="85"/>
      <c r="AG63" s="85"/>
      <c r="AH63" s="85"/>
      <c r="AI63" s="85"/>
      <c r="AJ63" s="85"/>
      <c r="AK63" s="85"/>
      <c r="AL63" s="86"/>
      <c r="AM63" s="86"/>
      <c r="AN63" s="86"/>
      <c r="AO63" s="86"/>
      <c r="AP63" s="86"/>
      <c r="AQ63" s="86"/>
      <c r="AR63" s="86"/>
      <c r="AS63" s="86"/>
      <c r="AT63" s="86"/>
      <c r="AU63" s="86"/>
      <c r="AV63" s="86"/>
      <c r="AW63" s="86"/>
      <c r="AX63" s="86"/>
      <c r="AY63" s="86"/>
      <c r="AZ63" s="86"/>
      <c r="BA63" s="86"/>
      <c r="BB63" s="86"/>
      <c r="BC63" s="86"/>
      <c r="BD63" s="86"/>
      <c r="BE63" s="86"/>
      <c r="BF63" s="86"/>
      <c r="BG63" s="86"/>
      <c r="BH63" s="86"/>
      <c r="BI63" s="86"/>
      <c r="BJ63" s="86"/>
    </row>
    <row r="64" spans="1:62">
      <c r="A64" s="156"/>
      <c r="B64" s="154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88"/>
      <c r="N64" s="81"/>
      <c r="O64" s="7"/>
      <c r="P64" s="80"/>
      <c r="Q64" s="80"/>
      <c r="R64" s="91"/>
      <c r="S64" s="8"/>
      <c r="T64" s="82"/>
      <c r="W64" s="10"/>
      <c r="X64" s="9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</row>
    <row r="65" spans="1:61" ht="57">
      <c r="A65" s="156" t="s">
        <v>79</v>
      </c>
      <c r="B65" s="157" t="s">
        <v>80</v>
      </c>
      <c r="C65" s="156" t="s">
        <v>16</v>
      </c>
      <c r="D65" s="156">
        <v>784.04</v>
      </c>
      <c r="E65" s="156">
        <v>49.23</v>
      </c>
      <c r="F65" s="156">
        <f t="shared" ref="F65:F81" si="21">D65*E65</f>
        <v>38598.289199999999</v>
      </c>
      <c r="G65" s="156">
        <v>569.93000000000029</v>
      </c>
      <c r="H65" s="156">
        <f>'MEMORIA BM 03'!L85</f>
        <v>114.16</v>
      </c>
      <c r="I65" s="156">
        <f t="shared" ref="I65:I67" si="22">G65+H65</f>
        <v>684.09000000000026</v>
      </c>
      <c r="J65" s="156">
        <f t="shared" ref="J65:J67" si="23">E65*G65</f>
        <v>28057.653900000012</v>
      </c>
      <c r="K65" s="156">
        <f t="shared" ref="K65:K67" si="24">H65*E65</f>
        <v>5620.0967999999993</v>
      </c>
      <c r="L65" s="156">
        <f t="shared" ref="L65:L67" si="25">J65+K65</f>
        <v>33677.750700000011</v>
      </c>
      <c r="M65" s="188">
        <f t="shared" si="1"/>
        <v>0.87251925922146856</v>
      </c>
      <c r="N65" s="81"/>
      <c r="O65" s="7"/>
      <c r="P65" s="80"/>
      <c r="Q65" s="80"/>
      <c r="R65" s="91"/>
      <c r="S65" s="8"/>
      <c r="T65" s="82"/>
      <c r="W65" s="10"/>
      <c r="X65" s="9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</row>
    <row r="66" spans="1:61" ht="42.75">
      <c r="A66" s="156" t="s">
        <v>82</v>
      </c>
      <c r="B66" s="157" t="s">
        <v>83</v>
      </c>
      <c r="C66" s="156" t="s">
        <v>16</v>
      </c>
      <c r="D66" s="156">
        <v>35.76</v>
      </c>
      <c r="E66" s="156">
        <v>186.11</v>
      </c>
      <c r="F66" s="156">
        <f t="shared" si="21"/>
        <v>6655.2936</v>
      </c>
      <c r="G66" s="156">
        <v>35.040000000000006</v>
      </c>
      <c r="H66" s="156"/>
      <c r="I66" s="156">
        <f t="shared" si="22"/>
        <v>35.040000000000006</v>
      </c>
      <c r="J66" s="156">
        <f t="shared" si="23"/>
        <v>6521.2944000000016</v>
      </c>
      <c r="K66" s="156">
        <f t="shared" si="24"/>
        <v>0</v>
      </c>
      <c r="L66" s="156">
        <f t="shared" si="25"/>
        <v>6521.2944000000016</v>
      </c>
      <c r="M66" s="188">
        <f t="shared" si="1"/>
        <v>0.97986577181208079</v>
      </c>
      <c r="N66" s="81"/>
      <c r="O66" s="7"/>
      <c r="P66" s="80"/>
      <c r="Q66" s="80"/>
      <c r="R66" s="91"/>
      <c r="S66" s="8"/>
      <c r="T66" s="82"/>
      <c r="W66" s="10"/>
      <c r="X66" s="9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</row>
    <row r="67" spans="1:61" ht="48.75" customHeight="1">
      <c r="A67" s="156" t="s">
        <v>84</v>
      </c>
      <c r="B67" s="157" t="s">
        <v>22</v>
      </c>
      <c r="C67" s="156" t="s">
        <v>16</v>
      </c>
      <c r="D67" s="156">
        <v>290</v>
      </c>
      <c r="E67" s="156">
        <v>142.33000000000001</v>
      </c>
      <c r="F67" s="156">
        <f t="shared" si="21"/>
        <v>41275.700000000004</v>
      </c>
      <c r="G67" s="156">
        <v>290</v>
      </c>
      <c r="H67" s="156"/>
      <c r="I67" s="156">
        <f t="shared" si="22"/>
        <v>290</v>
      </c>
      <c r="J67" s="156">
        <f t="shared" si="23"/>
        <v>41275.700000000004</v>
      </c>
      <c r="K67" s="156">
        <f t="shared" si="24"/>
        <v>0</v>
      </c>
      <c r="L67" s="156">
        <f t="shared" si="25"/>
        <v>41275.700000000004</v>
      </c>
      <c r="M67" s="188">
        <f t="shared" si="1"/>
        <v>1</v>
      </c>
      <c r="N67" s="81"/>
      <c r="O67" s="7"/>
      <c r="P67" s="80"/>
      <c r="Q67" s="80"/>
      <c r="R67" s="91"/>
      <c r="S67" s="8"/>
      <c r="T67" s="82"/>
      <c r="W67" s="10"/>
      <c r="X67" s="9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</row>
    <row r="68" spans="1:61">
      <c r="A68" s="156"/>
      <c r="B68" s="154"/>
      <c r="C68" s="156"/>
      <c r="D68" s="156"/>
      <c r="E68" s="156"/>
      <c r="F68" s="156"/>
      <c r="G68" s="156"/>
      <c r="H68" s="156"/>
      <c r="I68" s="156"/>
      <c r="J68" s="156"/>
      <c r="K68" s="156"/>
      <c r="L68" s="156"/>
      <c r="M68" s="188"/>
      <c r="N68" s="81"/>
      <c r="O68" s="7"/>
      <c r="P68" s="80"/>
      <c r="Q68" s="80"/>
      <c r="R68" s="91"/>
      <c r="S68" s="8"/>
      <c r="T68" s="82"/>
      <c r="W68" s="10"/>
      <c r="X68" s="9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</row>
    <row r="69" spans="1:61" s="87" customFormat="1">
      <c r="A69" s="164" t="s">
        <v>85</v>
      </c>
      <c r="B69" s="165" t="s">
        <v>86</v>
      </c>
      <c r="C69" s="166"/>
      <c r="D69" s="167"/>
      <c r="E69" s="166"/>
      <c r="F69" s="166">
        <f>SUM(F71:F81)</f>
        <v>72799.623299999992</v>
      </c>
      <c r="G69" s="166"/>
      <c r="H69" s="166"/>
      <c r="I69" s="166"/>
      <c r="J69" s="166">
        <f>SUM(J71:J81)</f>
        <v>0</v>
      </c>
      <c r="K69" s="166">
        <f>SUM(K71:K81)</f>
        <v>0</v>
      </c>
      <c r="L69" s="166">
        <f>SUM(L71:L81)</f>
        <v>0</v>
      </c>
      <c r="M69" s="188">
        <f t="shared" si="1"/>
        <v>0</v>
      </c>
      <c r="N69" s="98"/>
      <c r="O69" s="7"/>
      <c r="P69" s="97"/>
      <c r="Q69" s="97"/>
      <c r="R69" s="79"/>
      <c r="S69" s="16"/>
      <c r="T69" s="82"/>
      <c r="U69" s="14"/>
      <c r="V69" s="14"/>
      <c r="W69" s="84"/>
      <c r="X69" s="83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5"/>
      <c r="AJ69" s="85"/>
      <c r="AK69" s="86"/>
      <c r="AL69" s="86"/>
      <c r="AM69" s="86"/>
      <c r="AN69" s="86"/>
      <c r="AO69" s="86"/>
      <c r="AP69" s="86"/>
      <c r="AQ69" s="86"/>
      <c r="AR69" s="86"/>
      <c r="AS69" s="86"/>
      <c r="AT69" s="86"/>
      <c r="AU69" s="86"/>
      <c r="AV69" s="86"/>
      <c r="AW69" s="86"/>
      <c r="AX69" s="86"/>
      <c r="AY69" s="86"/>
      <c r="AZ69" s="86"/>
      <c r="BA69" s="86"/>
      <c r="BB69" s="86"/>
      <c r="BC69" s="86"/>
      <c r="BD69" s="86"/>
      <c r="BE69" s="86"/>
      <c r="BF69" s="86"/>
      <c r="BG69" s="86"/>
      <c r="BH69" s="86"/>
      <c r="BI69" s="86"/>
    </row>
    <row r="70" spans="1:61" s="87" customFormat="1">
      <c r="A70" s="168"/>
      <c r="B70" s="169"/>
      <c r="C70" s="170"/>
      <c r="D70" s="171"/>
      <c r="E70" s="170"/>
      <c r="F70" s="170"/>
      <c r="G70" s="170"/>
      <c r="H70" s="170"/>
      <c r="I70" s="170"/>
      <c r="J70" s="170"/>
      <c r="K70" s="170"/>
      <c r="L70" s="170"/>
      <c r="M70" s="188"/>
      <c r="N70" s="98"/>
      <c r="O70" s="7"/>
      <c r="P70" s="97"/>
      <c r="Q70" s="97"/>
      <c r="R70" s="79"/>
      <c r="S70" s="16"/>
      <c r="T70" s="82"/>
      <c r="U70" s="14"/>
      <c r="V70" s="14"/>
      <c r="W70" s="84"/>
      <c r="X70" s="83"/>
      <c r="Y70" s="85"/>
      <c r="Z70" s="85"/>
      <c r="AA70" s="85"/>
      <c r="AB70" s="85"/>
      <c r="AC70" s="85"/>
      <c r="AD70" s="85"/>
      <c r="AE70" s="85"/>
      <c r="AF70" s="85"/>
      <c r="AG70" s="85"/>
      <c r="AH70" s="85"/>
      <c r="AI70" s="85"/>
      <c r="AJ70" s="85"/>
      <c r="AK70" s="86"/>
      <c r="AL70" s="86"/>
      <c r="AM70" s="86"/>
      <c r="AN70" s="86"/>
      <c r="AO70" s="86"/>
      <c r="AP70" s="86"/>
      <c r="AQ70" s="86"/>
      <c r="AR70" s="86"/>
      <c r="AS70" s="86"/>
      <c r="AT70" s="86"/>
      <c r="AU70" s="86"/>
      <c r="AV70" s="86"/>
      <c r="AW70" s="86"/>
      <c r="AX70" s="86"/>
      <c r="AY70" s="86"/>
      <c r="AZ70" s="86"/>
      <c r="BA70" s="86"/>
      <c r="BB70" s="86"/>
      <c r="BC70" s="86"/>
      <c r="BD70" s="86"/>
      <c r="BE70" s="86"/>
      <c r="BF70" s="86"/>
      <c r="BG70" s="86"/>
      <c r="BH70" s="86"/>
      <c r="BI70" s="86"/>
    </row>
    <row r="71" spans="1:61" ht="57">
      <c r="A71" s="156" t="s">
        <v>87</v>
      </c>
      <c r="B71" s="157" t="s">
        <v>88</v>
      </c>
      <c r="C71" s="156" t="s">
        <v>7</v>
      </c>
      <c r="D71" s="156">
        <v>9</v>
      </c>
      <c r="E71" s="156">
        <v>478.15</v>
      </c>
      <c r="F71" s="156">
        <f t="shared" si="21"/>
        <v>4303.3499999999995</v>
      </c>
      <c r="G71" s="156">
        <v>0</v>
      </c>
      <c r="H71" s="156"/>
      <c r="I71" s="156">
        <f t="shared" ref="I71:I81" si="26">G71+H71</f>
        <v>0</v>
      </c>
      <c r="J71" s="156">
        <f t="shared" ref="J71:J81" si="27">E71*G71</f>
        <v>0</v>
      </c>
      <c r="K71" s="156">
        <f t="shared" ref="K71:K81" si="28">H71*E71</f>
        <v>0</v>
      </c>
      <c r="L71" s="156">
        <f t="shared" ref="L71:L81" si="29">J71+K71</f>
        <v>0</v>
      </c>
      <c r="M71" s="188">
        <f t="shared" si="1"/>
        <v>0</v>
      </c>
      <c r="N71" s="81"/>
      <c r="O71" s="7"/>
      <c r="P71" s="80"/>
      <c r="Q71" s="80"/>
      <c r="R71" s="91"/>
      <c r="S71" s="8"/>
      <c r="T71" s="82"/>
      <c r="W71" s="10"/>
      <c r="X71" s="12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</row>
    <row r="72" spans="1:61" ht="56.25" customHeight="1">
      <c r="A72" s="156" t="s">
        <v>89</v>
      </c>
      <c r="B72" s="157" t="s">
        <v>90</v>
      </c>
      <c r="C72" s="156" t="s">
        <v>7</v>
      </c>
      <c r="D72" s="156">
        <v>10</v>
      </c>
      <c r="E72" s="156">
        <v>546.86</v>
      </c>
      <c r="F72" s="156">
        <f t="shared" si="21"/>
        <v>5468.6</v>
      </c>
      <c r="G72" s="156">
        <v>0</v>
      </c>
      <c r="H72" s="156"/>
      <c r="I72" s="156">
        <f t="shared" si="26"/>
        <v>0</v>
      </c>
      <c r="J72" s="156">
        <f t="shared" si="27"/>
        <v>0</v>
      </c>
      <c r="K72" s="156">
        <f t="shared" si="28"/>
        <v>0</v>
      </c>
      <c r="L72" s="156">
        <f t="shared" si="29"/>
        <v>0</v>
      </c>
      <c r="M72" s="188">
        <f t="shared" si="1"/>
        <v>0</v>
      </c>
      <c r="N72" s="81"/>
      <c r="O72" s="7"/>
      <c r="P72" s="80"/>
      <c r="Q72" s="80"/>
      <c r="R72" s="91"/>
      <c r="S72" s="8"/>
      <c r="T72" s="82"/>
      <c r="W72" s="10"/>
      <c r="X72" s="12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</row>
    <row r="73" spans="1:61" ht="56.25" customHeight="1">
      <c r="A73" s="156" t="s">
        <v>91</v>
      </c>
      <c r="B73" s="157" t="s">
        <v>92</v>
      </c>
      <c r="C73" s="156" t="s">
        <v>7</v>
      </c>
      <c r="D73" s="156">
        <v>2</v>
      </c>
      <c r="E73" s="156">
        <v>546.86</v>
      </c>
      <c r="F73" s="156">
        <f t="shared" si="21"/>
        <v>1093.72</v>
      </c>
      <c r="G73" s="156">
        <v>0</v>
      </c>
      <c r="H73" s="156"/>
      <c r="I73" s="156">
        <f t="shared" si="26"/>
        <v>0</v>
      </c>
      <c r="J73" s="156">
        <f t="shared" si="27"/>
        <v>0</v>
      </c>
      <c r="K73" s="156">
        <f t="shared" si="28"/>
        <v>0</v>
      </c>
      <c r="L73" s="156">
        <f t="shared" si="29"/>
        <v>0</v>
      </c>
      <c r="M73" s="188">
        <f t="shared" si="1"/>
        <v>0</v>
      </c>
      <c r="N73" s="81"/>
      <c r="O73" s="7"/>
      <c r="P73" s="80"/>
      <c r="Q73" s="80"/>
      <c r="R73" s="91"/>
      <c r="S73" s="8"/>
      <c r="T73" s="82"/>
      <c r="W73" s="10"/>
      <c r="X73" s="12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</row>
    <row r="74" spans="1:61" ht="42.75">
      <c r="A74" s="156" t="s">
        <v>93</v>
      </c>
      <c r="B74" s="157" t="s">
        <v>94</v>
      </c>
      <c r="C74" s="156" t="s">
        <v>16</v>
      </c>
      <c r="D74" s="156">
        <v>60.17</v>
      </c>
      <c r="E74" s="156">
        <v>483.07</v>
      </c>
      <c r="F74" s="156">
        <f t="shared" si="21"/>
        <v>29066.321899999999</v>
      </c>
      <c r="G74" s="156">
        <v>0</v>
      </c>
      <c r="H74" s="156"/>
      <c r="I74" s="156">
        <f t="shared" si="26"/>
        <v>0</v>
      </c>
      <c r="J74" s="156">
        <f t="shared" si="27"/>
        <v>0</v>
      </c>
      <c r="K74" s="156">
        <f t="shared" si="28"/>
        <v>0</v>
      </c>
      <c r="L74" s="156">
        <f t="shared" si="29"/>
        <v>0</v>
      </c>
      <c r="M74" s="188">
        <f t="shared" si="1"/>
        <v>0</v>
      </c>
      <c r="N74" s="81"/>
      <c r="O74" s="7"/>
      <c r="P74" s="80"/>
      <c r="Q74" s="80"/>
      <c r="R74" s="91"/>
      <c r="S74" s="8"/>
      <c r="T74" s="82"/>
      <c r="W74" s="10"/>
      <c r="X74" s="12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</row>
    <row r="75" spans="1:61" ht="28.5">
      <c r="A75" s="156" t="s">
        <v>95</v>
      </c>
      <c r="B75" s="157" t="s">
        <v>96</v>
      </c>
      <c r="C75" s="156" t="s">
        <v>16</v>
      </c>
      <c r="D75" s="156">
        <v>3</v>
      </c>
      <c r="E75" s="156">
        <v>348.93</v>
      </c>
      <c r="F75" s="156">
        <f t="shared" si="21"/>
        <v>1046.79</v>
      </c>
      <c r="G75" s="156">
        <v>0</v>
      </c>
      <c r="H75" s="156"/>
      <c r="I75" s="156">
        <f t="shared" si="26"/>
        <v>0</v>
      </c>
      <c r="J75" s="156">
        <f t="shared" si="27"/>
        <v>0</v>
      </c>
      <c r="K75" s="156">
        <f t="shared" si="28"/>
        <v>0</v>
      </c>
      <c r="L75" s="156">
        <f t="shared" si="29"/>
        <v>0</v>
      </c>
      <c r="M75" s="188">
        <f t="shared" si="1"/>
        <v>0</v>
      </c>
      <c r="N75" s="81"/>
      <c r="O75" s="7"/>
      <c r="P75" s="80"/>
      <c r="Q75" s="80"/>
      <c r="R75" s="91"/>
      <c r="S75" s="8"/>
      <c r="T75" s="82"/>
      <c r="W75" s="10"/>
      <c r="X75" s="12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</row>
    <row r="76" spans="1:61">
      <c r="A76" s="156" t="s">
        <v>97</v>
      </c>
      <c r="B76" s="157" t="s">
        <v>98</v>
      </c>
      <c r="C76" s="156" t="s">
        <v>16</v>
      </c>
      <c r="D76" s="156">
        <v>67.010000000000005</v>
      </c>
      <c r="E76" s="156">
        <v>348.93</v>
      </c>
      <c r="F76" s="156">
        <f t="shared" si="21"/>
        <v>23381.799300000002</v>
      </c>
      <c r="G76" s="156">
        <v>0</v>
      </c>
      <c r="H76" s="156"/>
      <c r="I76" s="156">
        <f t="shared" si="26"/>
        <v>0</v>
      </c>
      <c r="J76" s="156">
        <f t="shared" si="27"/>
        <v>0</v>
      </c>
      <c r="K76" s="156">
        <f t="shared" si="28"/>
        <v>0</v>
      </c>
      <c r="L76" s="156">
        <f t="shared" si="29"/>
        <v>0</v>
      </c>
      <c r="M76" s="188">
        <f t="shared" si="1"/>
        <v>0</v>
      </c>
      <c r="N76" s="81"/>
      <c r="O76" s="7"/>
      <c r="P76" s="80"/>
      <c r="Q76" s="80"/>
      <c r="R76" s="91"/>
      <c r="S76" s="8"/>
      <c r="T76" s="82"/>
      <c r="W76" s="10"/>
      <c r="X76" s="12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</row>
    <row r="77" spans="1:61" ht="28.5">
      <c r="A77" s="156" t="s">
        <v>99</v>
      </c>
      <c r="B77" s="157" t="s">
        <v>96</v>
      </c>
      <c r="C77" s="156" t="s">
        <v>16</v>
      </c>
      <c r="D77" s="156">
        <v>1.57</v>
      </c>
      <c r="E77" s="156">
        <v>687.84</v>
      </c>
      <c r="F77" s="156">
        <f t="shared" si="21"/>
        <v>1079.9088000000002</v>
      </c>
      <c r="G77" s="156">
        <v>0</v>
      </c>
      <c r="H77" s="156"/>
      <c r="I77" s="156">
        <f t="shared" si="26"/>
        <v>0</v>
      </c>
      <c r="J77" s="156">
        <f t="shared" si="27"/>
        <v>0</v>
      </c>
      <c r="K77" s="156">
        <f t="shared" si="28"/>
        <v>0</v>
      </c>
      <c r="L77" s="156">
        <f t="shared" si="29"/>
        <v>0</v>
      </c>
      <c r="M77" s="188">
        <f t="shared" si="1"/>
        <v>0</v>
      </c>
      <c r="N77" s="81"/>
      <c r="O77" s="7"/>
      <c r="P77" s="80"/>
      <c r="Q77" s="80"/>
      <c r="R77" s="91"/>
      <c r="S77" s="8"/>
      <c r="T77" s="82"/>
      <c r="W77" s="10"/>
      <c r="X77" s="12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</row>
    <row r="78" spans="1:61">
      <c r="A78" s="156" t="s">
        <v>101</v>
      </c>
      <c r="B78" s="157" t="s">
        <v>100</v>
      </c>
      <c r="C78" s="156" t="s">
        <v>7</v>
      </c>
      <c r="D78" s="156">
        <v>4</v>
      </c>
      <c r="E78" s="156">
        <v>266.2</v>
      </c>
      <c r="F78" s="156">
        <f t="shared" si="21"/>
        <v>1064.8</v>
      </c>
      <c r="G78" s="156">
        <v>0</v>
      </c>
      <c r="H78" s="156"/>
      <c r="I78" s="156">
        <f t="shared" si="26"/>
        <v>0</v>
      </c>
      <c r="J78" s="156">
        <f t="shared" si="27"/>
        <v>0</v>
      </c>
      <c r="K78" s="156">
        <f t="shared" si="28"/>
        <v>0</v>
      </c>
      <c r="L78" s="156">
        <f t="shared" si="29"/>
        <v>0</v>
      </c>
      <c r="M78" s="188">
        <f t="shared" si="1"/>
        <v>0</v>
      </c>
      <c r="N78" s="81"/>
      <c r="O78" s="7"/>
      <c r="P78" s="80"/>
      <c r="Q78" s="80"/>
      <c r="R78" s="91"/>
      <c r="S78" s="8"/>
      <c r="T78" s="82"/>
      <c r="W78" s="10"/>
      <c r="X78" s="12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</row>
    <row r="79" spans="1:61">
      <c r="A79" s="156" t="s">
        <v>102</v>
      </c>
      <c r="B79" s="157" t="s">
        <v>103</v>
      </c>
      <c r="C79" s="156" t="s">
        <v>81</v>
      </c>
      <c r="D79" s="156">
        <v>41.59</v>
      </c>
      <c r="E79" s="156">
        <v>101.87</v>
      </c>
      <c r="F79" s="156">
        <f t="shared" si="21"/>
        <v>4236.7733000000007</v>
      </c>
      <c r="G79" s="156">
        <v>0</v>
      </c>
      <c r="H79" s="156"/>
      <c r="I79" s="156">
        <f t="shared" si="26"/>
        <v>0</v>
      </c>
      <c r="J79" s="156">
        <f t="shared" si="27"/>
        <v>0</v>
      </c>
      <c r="K79" s="156">
        <f t="shared" si="28"/>
        <v>0</v>
      </c>
      <c r="L79" s="156">
        <f t="shared" si="29"/>
        <v>0</v>
      </c>
      <c r="M79" s="188">
        <f t="shared" si="1"/>
        <v>0</v>
      </c>
      <c r="N79" s="81"/>
      <c r="O79" s="7"/>
      <c r="P79" s="80"/>
      <c r="Q79" s="80"/>
      <c r="R79" s="91"/>
      <c r="S79" s="8"/>
      <c r="T79" s="82"/>
      <c r="W79" s="10"/>
      <c r="X79" s="12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</row>
    <row r="80" spans="1:61" ht="42.75">
      <c r="A80" s="156" t="s">
        <v>104</v>
      </c>
      <c r="B80" s="157" t="s">
        <v>105</v>
      </c>
      <c r="C80" s="156" t="s">
        <v>7</v>
      </c>
      <c r="D80" s="156">
        <v>20</v>
      </c>
      <c r="E80" s="156">
        <v>96.95</v>
      </c>
      <c r="F80" s="156">
        <f t="shared" si="21"/>
        <v>1939</v>
      </c>
      <c r="G80" s="156">
        <v>0</v>
      </c>
      <c r="H80" s="156"/>
      <c r="I80" s="156">
        <f t="shared" si="26"/>
        <v>0</v>
      </c>
      <c r="J80" s="156">
        <f t="shared" si="27"/>
        <v>0</v>
      </c>
      <c r="K80" s="156">
        <f t="shared" si="28"/>
        <v>0</v>
      </c>
      <c r="L80" s="156">
        <f t="shared" si="29"/>
        <v>0</v>
      </c>
      <c r="M80" s="188">
        <f t="shared" si="1"/>
        <v>0</v>
      </c>
      <c r="N80" s="81"/>
      <c r="O80" s="7"/>
      <c r="P80" s="80"/>
      <c r="Q80" s="80"/>
      <c r="R80" s="91"/>
      <c r="S80" s="8"/>
      <c r="T80" s="82"/>
      <c r="W80" s="10"/>
      <c r="X80" s="12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</row>
    <row r="81" spans="1:61" ht="42.75">
      <c r="A81" s="156" t="s">
        <v>106</v>
      </c>
      <c r="B81" s="157" t="s">
        <v>107</v>
      </c>
      <c r="C81" s="156" t="s">
        <v>7</v>
      </c>
      <c r="D81" s="156">
        <v>2</v>
      </c>
      <c r="E81" s="156">
        <v>59.28</v>
      </c>
      <c r="F81" s="156">
        <f t="shared" si="21"/>
        <v>118.56</v>
      </c>
      <c r="G81" s="156">
        <v>0</v>
      </c>
      <c r="H81" s="156"/>
      <c r="I81" s="156">
        <f t="shared" si="26"/>
        <v>0</v>
      </c>
      <c r="J81" s="156">
        <f t="shared" si="27"/>
        <v>0</v>
      </c>
      <c r="K81" s="156">
        <f t="shared" si="28"/>
        <v>0</v>
      </c>
      <c r="L81" s="156">
        <f t="shared" si="29"/>
        <v>0</v>
      </c>
      <c r="M81" s="188">
        <f t="shared" si="1"/>
        <v>0</v>
      </c>
      <c r="N81" s="81"/>
      <c r="O81" s="7"/>
      <c r="P81" s="80"/>
      <c r="Q81" s="80"/>
      <c r="R81" s="91"/>
      <c r="S81" s="8"/>
      <c r="T81" s="82"/>
      <c r="W81" s="10"/>
      <c r="X81" s="12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</row>
    <row r="82" spans="1:61">
      <c r="A82" s="156"/>
      <c r="B82" s="154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88"/>
      <c r="N82" s="81"/>
      <c r="O82" s="7"/>
      <c r="P82" s="80"/>
      <c r="Q82" s="80"/>
      <c r="R82" s="91"/>
      <c r="S82" s="8"/>
      <c r="T82" s="82"/>
      <c r="W82" s="10"/>
      <c r="X82" s="12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</row>
    <row r="83" spans="1:61" s="87" customFormat="1">
      <c r="A83" s="164" t="s">
        <v>108</v>
      </c>
      <c r="B83" s="165" t="s">
        <v>3</v>
      </c>
      <c r="C83" s="166"/>
      <c r="D83" s="167"/>
      <c r="E83" s="166"/>
      <c r="F83" s="166">
        <f>SUM(F85:F92)</f>
        <v>50835.063999999998</v>
      </c>
      <c r="G83" s="166"/>
      <c r="H83" s="166"/>
      <c r="I83" s="166"/>
      <c r="J83" s="166">
        <f>SUM(J85:J92)</f>
        <v>0</v>
      </c>
      <c r="K83" s="166">
        <f>SUM(K85:K92)</f>
        <v>0</v>
      </c>
      <c r="L83" s="166">
        <f>SUM(L85:L92)</f>
        <v>0</v>
      </c>
      <c r="M83" s="188">
        <f t="shared" si="1"/>
        <v>0</v>
      </c>
      <c r="N83" s="98"/>
      <c r="O83" s="7"/>
      <c r="P83" s="97"/>
      <c r="Q83" s="97"/>
      <c r="R83" s="79"/>
      <c r="S83" s="16"/>
      <c r="T83" s="82"/>
      <c r="U83" s="14"/>
      <c r="V83" s="14"/>
      <c r="W83" s="84"/>
      <c r="X83" s="83"/>
      <c r="Y83" s="85"/>
      <c r="Z83" s="85"/>
      <c r="AA83" s="85"/>
      <c r="AB83" s="85"/>
      <c r="AC83" s="85"/>
      <c r="AD83" s="85"/>
      <c r="AE83" s="85"/>
      <c r="AF83" s="85"/>
      <c r="AG83" s="85"/>
      <c r="AH83" s="85"/>
      <c r="AI83" s="85"/>
      <c r="AJ83" s="85"/>
      <c r="AK83" s="86"/>
      <c r="AL83" s="86"/>
      <c r="AM83" s="86"/>
      <c r="AN83" s="86"/>
      <c r="AO83" s="86"/>
      <c r="AP83" s="86"/>
      <c r="AQ83" s="86"/>
      <c r="AR83" s="86"/>
      <c r="AS83" s="86"/>
      <c r="AT83" s="86"/>
      <c r="AU83" s="86"/>
      <c r="AV83" s="86"/>
      <c r="AW83" s="86"/>
      <c r="AX83" s="86"/>
      <c r="AY83" s="86"/>
      <c r="AZ83" s="86"/>
      <c r="BA83" s="86"/>
      <c r="BB83" s="86"/>
      <c r="BC83" s="86"/>
      <c r="BD83" s="86"/>
      <c r="BE83" s="86"/>
      <c r="BF83" s="86"/>
      <c r="BG83" s="86"/>
      <c r="BH83" s="86"/>
      <c r="BI83" s="86"/>
    </row>
    <row r="84" spans="1:61">
      <c r="A84" s="156"/>
      <c r="B84" s="154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88"/>
      <c r="N84" s="81"/>
      <c r="O84" s="7"/>
      <c r="P84" s="80"/>
      <c r="Q84" s="80"/>
      <c r="R84" s="91"/>
      <c r="S84" s="8"/>
      <c r="T84" s="82"/>
      <c r="W84" s="10"/>
      <c r="X84" s="12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</row>
    <row r="85" spans="1:61" ht="42.75">
      <c r="A85" s="156" t="s">
        <v>109</v>
      </c>
      <c r="B85" s="157" t="s">
        <v>110</v>
      </c>
      <c r="C85" s="156" t="s">
        <v>16</v>
      </c>
      <c r="D85" s="156">
        <v>453.35</v>
      </c>
      <c r="E85" s="156">
        <v>22.8</v>
      </c>
      <c r="F85" s="156">
        <f t="shared" ref="F85:F92" si="30">D85*E85</f>
        <v>10336.380000000001</v>
      </c>
      <c r="G85" s="156">
        <v>0</v>
      </c>
      <c r="H85" s="156"/>
      <c r="I85" s="156">
        <f t="shared" ref="I85:I92" si="31">G85+H85</f>
        <v>0</v>
      </c>
      <c r="J85" s="156">
        <f t="shared" ref="J85:J92" si="32">E85*G85</f>
        <v>0</v>
      </c>
      <c r="K85" s="156">
        <f t="shared" ref="K85:K92" si="33">H85*E85</f>
        <v>0</v>
      </c>
      <c r="L85" s="156">
        <f t="shared" ref="L85:L92" si="34">J85+K85</f>
        <v>0</v>
      </c>
      <c r="M85" s="188">
        <f t="shared" si="1"/>
        <v>0</v>
      </c>
      <c r="N85" s="81"/>
      <c r="O85" s="7"/>
      <c r="P85" s="80"/>
      <c r="Q85" s="80"/>
      <c r="R85" s="91"/>
      <c r="S85" s="8"/>
      <c r="T85" s="82"/>
      <c r="W85" s="10"/>
      <c r="X85" s="12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</row>
    <row r="86" spans="1:61" ht="42.75">
      <c r="A86" s="156" t="s">
        <v>111</v>
      </c>
      <c r="B86" s="157" t="s">
        <v>112</v>
      </c>
      <c r="C86" s="156" t="s">
        <v>16</v>
      </c>
      <c r="D86" s="156">
        <v>57.8</v>
      </c>
      <c r="E86" s="156">
        <v>48.73</v>
      </c>
      <c r="F86" s="156">
        <f t="shared" si="30"/>
        <v>2816.5939999999996</v>
      </c>
      <c r="G86" s="156">
        <v>0</v>
      </c>
      <c r="H86" s="156"/>
      <c r="I86" s="156">
        <f t="shared" si="31"/>
        <v>0</v>
      </c>
      <c r="J86" s="156">
        <f t="shared" si="32"/>
        <v>0</v>
      </c>
      <c r="K86" s="156">
        <f t="shared" si="33"/>
        <v>0</v>
      </c>
      <c r="L86" s="156">
        <f t="shared" si="34"/>
        <v>0</v>
      </c>
      <c r="M86" s="188">
        <f t="shared" si="1"/>
        <v>0</v>
      </c>
      <c r="N86" s="81"/>
      <c r="O86" s="7"/>
      <c r="P86" s="80"/>
      <c r="Q86" s="80"/>
      <c r="R86" s="91"/>
      <c r="S86" s="8"/>
      <c r="T86" s="82"/>
      <c r="W86" s="10"/>
      <c r="X86" s="9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</row>
    <row r="87" spans="1:61" ht="28.5">
      <c r="A87" s="156" t="s">
        <v>113</v>
      </c>
      <c r="B87" s="157" t="s">
        <v>114</v>
      </c>
      <c r="C87" s="156" t="s">
        <v>16</v>
      </c>
      <c r="D87" s="156">
        <v>511.15</v>
      </c>
      <c r="E87" s="156">
        <v>25.93</v>
      </c>
      <c r="F87" s="156">
        <f t="shared" si="30"/>
        <v>13254.119499999999</v>
      </c>
      <c r="G87" s="156">
        <v>0</v>
      </c>
      <c r="H87" s="156"/>
      <c r="I87" s="156">
        <f t="shared" si="31"/>
        <v>0</v>
      </c>
      <c r="J87" s="156">
        <f t="shared" si="32"/>
        <v>0</v>
      </c>
      <c r="K87" s="156">
        <f t="shared" si="33"/>
        <v>0</v>
      </c>
      <c r="L87" s="156">
        <f t="shared" si="34"/>
        <v>0</v>
      </c>
      <c r="M87" s="188">
        <f t="shared" si="1"/>
        <v>0</v>
      </c>
      <c r="N87" s="81"/>
      <c r="O87" s="7"/>
      <c r="P87" s="80"/>
      <c r="Q87" s="80"/>
      <c r="R87" s="91"/>
      <c r="S87" s="8"/>
      <c r="T87" s="82"/>
      <c r="W87" s="10"/>
      <c r="X87" s="9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</row>
    <row r="88" spans="1:61" ht="42" customHeight="1">
      <c r="A88" s="156" t="s">
        <v>115</v>
      </c>
      <c r="B88" s="157" t="s">
        <v>116</v>
      </c>
      <c r="C88" s="156" t="s">
        <v>6</v>
      </c>
      <c r="D88" s="156">
        <v>70.63</v>
      </c>
      <c r="E88" s="156">
        <v>14.2</v>
      </c>
      <c r="F88" s="156">
        <f t="shared" si="30"/>
        <v>1002.9459999999999</v>
      </c>
      <c r="G88" s="156">
        <v>0</v>
      </c>
      <c r="H88" s="156"/>
      <c r="I88" s="156">
        <f t="shared" si="31"/>
        <v>0</v>
      </c>
      <c r="J88" s="156">
        <f t="shared" si="32"/>
        <v>0</v>
      </c>
      <c r="K88" s="156">
        <f t="shared" si="33"/>
        <v>0</v>
      </c>
      <c r="L88" s="156">
        <f t="shared" si="34"/>
        <v>0</v>
      </c>
      <c r="M88" s="188">
        <f t="shared" si="1"/>
        <v>0</v>
      </c>
      <c r="N88" s="81"/>
      <c r="O88" s="7"/>
      <c r="P88" s="80"/>
      <c r="Q88" s="80"/>
      <c r="R88" s="91"/>
      <c r="S88" s="8"/>
      <c r="T88" s="82"/>
      <c r="W88" s="10"/>
      <c r="X88" s="9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</row>
    <row r="89" spans="1:61" ht="28.5">
      <c r="A89" s="156" t="s">
        <v>117</v>
      </c>
      <c r="B89" s="157" t="s">
        <v>118</v>
      </c>
      <c r="C89" s="156" t="s">
        <v>5</v>
      </c>
      <c r="D89" s="156">
        <v>41.57</v>
      </c>
      <c r="E89" s="156">
        <v>26.11</v>
      </c>
      <c r="F89" s="156">
        <f t="shared" si="30"/>
        <v>1085.3926999999999</v>
      </c>
      <c r="G89" s="156">
        <v>0</v>
      </c>
      <c r="H89" s="156"/>
      <c r="I89" s="156">
        <f t="shared" si="31"/>
        <v>0</v>
      </c>
      <c r="J89" s="156">
        <f t="shared" si="32"/>
        <v>0</v>
      </c>
      <c r="K89" s="156">
        <f t="shared" si="33"/>
        <v>0</v>
      </c>
      <c r="L89" s="156">
        <f t="shared" si="34"/>
        <v>0</v>
      </c>
      <c r="M89" s="188">
        <f t="shared" si="1"/>
        <v>0</v>
      </c>
      <c r="N89" s="81"/>
      <c r="O89" s="7"/>
      <c r="P89" s="80"/>
      <c r="Q89" s="80"/>
      <c r="R89" s="91"/>
      <c r="S89" s="8"/>
      <c r="T89" s="82"/>
      <c r="W89" s="10"/>
      <c r="X89" s="9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</row>
    <row r="90" spans="1:61" ht="28.5">
      <c r="A90" s="156" t="s">
        <v>119</v>
      </c>
      <c r="B90" s="157" t="s">
        <v>120</v>
      </c>
      <c r="C90" s="156" t="s">
        <v>5</v>
      </c>
      <c r="D90" s="156">
        <v>8.7799999999999994</v>
      </c>
      <c r="E90" s="156">
        <v>15.87</v>
      </c>
      <c r="F90" s="156">
        <f t="shared" si="30"/>
        <v>139.33859999999999</v>
      </c>
      <c r="G90" s="156">
        <v>0</v>
      </c>
      <c r="H90" s="156"/>
      <c r="I90" s="156">
        <f t="shared" si="31"/>
        <v>0</v>
      </c>
      <c r="J90" s="156">
        <f t="shared" si="32"/>
        <v>0</v>
      </c>
      <c r="K90" s="156">
        <f t="shared" si="33"/>
        <v>0</v>
      </c>
      <c r="L90" s="156">
        <f t="shared" si="34"/>
        <v>0</v>
      </c>
      <c r="M90" s="188">
        <f t="shared" si="1"/>
        <v>0</v>
      </c>
      <c r="N90" s="81"/>
      <c r="O90" s="7"/>
      <c r="P90" s="80"/>
      <c r="Q90" s="80"/>
      <c r="R90" s="91"/>
      <c r="S90" s="8"/>
      <c r="T90" s="82"/>
      <c r="W90" s="10"/>
      <c r="X90" s="9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</row>
    <row r="91" spans="1:61">
      <c r="A91" s="156" t="s">
        <v>121</v>
      </c>
      <c r="B91" s="157" t="s">
        <v>122</v>
      </c>
      <c r="C91" s="172" t="s">
        <v>16</v>
      </c>
      <c r="D91" s="156">
        <v>8.31</v>
      </c>
      <c r="E91" s="156">
        <v>26.72</v>
      </c>
      <c r="F91" s="156">
        <f t="shared" si="30"/>
        <v>222.04320000000001</v>
      </c>
      <c r="G91" s="156">
        <v>0</v>
      </c>
      <c r="H91" s="156"/>
      <c r="I91" s="156">
        <f t="shared" si="31"/>
        <v>0</v>
      </c>
      <c r="J91" s="156">
        <f t="shared" si="32"/>
        <v>0</v>
      </c>
      <c r="K91" s="156">
        <f t="shared" si="33"/>
        <v>0</v>
      </c>
      <c r="L91" s="156">
        <f t="shared" si="34"/>
        <v>0</v>
      </c>
      <c r="M91" s="188">
        <f t="shared" si="1"/>
        <v>0</v>
      </c>
      <c r="N91" s="81"/>
      <c r="O91" s="7"/>
      <c r="P91" s="80"/>
      <c r="Q91" s="80"/>
      <c r="R91" s="91"/>
      <c r="S91" s="8"/>
      <c r="T91" s="82"/>
      <c r="W91" s="10"/>
      <c r="X91" s="9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</row>
    <row r="92" spans="1:61" s="87" customFormat="1" ht="30.75" customHeight="1">
      <c r="A92" s="156" t="s">
        <v>123</v>
      </c>
      <c r="B92" s="157" t="s">
        <v>124</v>
      </c>
      <c r="C92" s="172" t="s">
        <v>16</v>
      </c>
      <c r="D92" s="155">
        <v>475</v>
      </c>
      <c r="E92" s="155">
        <v>46.27</v>
      </c>
      <c r="F92" s="156">
        <f t="shared" si="30"/>
        <v>21978.25</v>
      </c>
      <c r="G92" s="156">
        <v>0</v>
      </c>
      <c r="H92" s="156"/>
      <c r="I92" s="156">
        <f t="shared" si="31"/>
        <v>0</v>
      </c>
      <c r="J92" s="156">
        <f t="shared" si="32"/>
        <v>0</v>
      </c>
      <c r="K92" s="156">
        <f t="shared" si="33"/>
        <v>0</v>
      </c>
      <c r="L92" s="156">
        <f t="shared" si="34"/>
        <v>0</v>
      </c>
      <c r="M92" s="188">
        <f t="shared" si="1"/>
        <v>0</v>
      </c>
      <c r="N92" s="81"/>
      <c r="O92" s="7"/>
      <c r="P92" s="79"/>
      <c r="Q92" s="79"/>
      <c r="R92" s="79"/>
      <c r="S92" s="16"/>
      <c r="T92" s="82"/>
      <c r="U92" s="14"/>
      <c r="V92" s="14"/>
      <c r="W92" s="84"/>
      <c r="X92" s="83"/>
      <c r="Y92" s="85"/>
      <c r="Z92" s="85"/>
      <c r="AA92" s="85"/>
      <c r="AB92" s="85"/>
      <c r="AC92" s="85"/>
      <c r="AD92" s="85"/>
      <c r="AE92" s="86"/>
      <c r="AF92" s="86"/>
      <c r="AG92" s="86"/>
      <c r="AH92" s="86"/>
      <c r="AI92" s="86"/>
      <c r="AJ92" s="86"/>
      <c r="AK92" s="86"/>
      <c r="AL92" s="86"/>
      <c r="AM92" s="86"/>
      <c r="AN92" s="86"/>
      <c r="AO92" s="86"/>
      <c r="AP92" s="86"/>
      <c r="AQ92" s="86"/>
      <c r="AR92" s="86"/>
      <c r="AS92" s="86"/>
      <c r="AT92" s="86"/>
      <c r="AU92" s="86"/>
      <c r="AV92" s="86"/>
      <c r="AW92" s="86"/>
      <c r="AX92" s="86"/>
      <c r="AY92" s="86"/>
      <c r="AZ92" s="86"/>
      <c r="BA92" s="86"/>
      <c r="BB92" s="86"/>
      <c r="BC92" s="86"/>
      <c r="BD92" s="86"/>
      <c r="BE92" s="86"/>
      <c r="BF92" s="86"/>
      <c r="BG92" s="86"/>
      <c r="BH92" s="86"/>
      <c r="BI92" s="86"/>
    </row>
    <row r="93" spans="1:61">
      <c r="A93" s="156"/>
      <c r="B93" s="154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88"/>
      <c r="N93" s="81"/>
      <c r="O93" s="7"/>
      <c r="P93" s="80"/>
      <c r="Q93" s="80"/>
      <c r="R93" s="91"/>
      <c r="S93" s="8"/>
      <c r="T93" s="82"/>
      <c r="W93" s="10"/>
      <c r="X93" s="9"/>
      <c r="Y93" s="99"/>
      <c r="Z93" s="100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</row>
    <row r="94" spans="1:61" s="87" customFormat="1">
      <c r="A94" s="164" t="s">
        <v>125</v>
      </c>
      <c r="B94" s="165" t="s">
        <v>126</v>
      </c>
      <c r="C94" s="166"/>
      <c r="D94" s="167"/>
      <c r="E94" s="166"/>
      <c r="F94" s="166">
        <f>SUM(F96:F99)</f>
        <v>66961.275599999994</v>
      </c>
      <c r="G94" s="166"/>
      <c r="H94" s="166"/>
      <c r="I94" s="166"/>
      <c r="J94" s="166">
        <f>SUM(J96:J99)</f>
        <v>26318.881800000006</v>
      </c>
      <c r="K94" s="166">
        <f>SUM(K96:K99)</f>
        <v>26834.682599999993</v>
      </c>
      <c r="L94" s="166">
        <f>SUM(L96:L99)</f>
        <v>53153.564400000003</v>
      </c>
      <c r="M94" s="188">
        <f t="shared" si="1"/>
        <v>0.79379557697673264</v>
      </c>
      <c r="N94" s="98"/>
      <c r="O94" s="7"/>
      <c r="P94" s="97"/>
      <c r="Q94" s="97"/>
      <c r="R94" s="79"/>
      <c r="S94" s="16"/>
      <c r="T94" s="82"/>
      <c r="U94" s="14"/>
      <c r="V94" s="14"/>
      <c r="W94" s="84"/>
      <c r="X94" s="83"/>
      <c r="Y94" s="85"/>
      <c r="Z94" s="85"/>
      <c r="AA94" s="85"/>
      <c r="AB94" s="85"/>
      <c r="AC94" s="85"/>
      <c r="AD94" s="85"/>
      <c r="AE94" s="85"/>
      <c r="AF94" s="85"/>
      <c r="AG94" s="85"/>
      <c r="AH94" s="85"/>
      <c r="AI94" s="85"/>
      <c r="AJ94" s="85"/>
      <c r="AK94" s="86"/>
      <c r="AL94" s="86"/>
      <c r="AM94" s="86"/>
      <c r="AN94" s="86"/>
      <c r="AO94" s="86"/>
      <c r="AP94" s="86"/>
      <c r="AQ94" s="86"/>
      <c r="AR94" s="86"/>
      <c r="AS94" s="86"/>
      <c r="AT94" s="86"/>
      <c r="AU94" s="86"/>
      <c r="AV94" s="86"/>
      <c r="AW94" s="86"/>
      <c r="AX94" s="86"/>
      <c r="AY94" s="86"/>
      <c r="AZ94" s="86"/>
      <c r="BA94" s="86"/>
      <c r="BB94" s="86"/>
      <c r="BC94" s="86"/>
      <c r="BD94" s="86"/>
      <c r="BE94" s="86"/>
      <c r="BF94" s="86"/>
      <c r="BG94" s="86"/>
      <c r="BH94" s="86"/>
      <c r="BI94" s="86"/>
    </row>
    <row r="95" spans="1:61" s="87" customFormat="1">
      <c r="A95" s="156"/>
      <c r="B95" s="154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88"/>
      <c r="N95" s="81"/>
      <c r="O95" s="7"/>
      <c r="P95" s="79"/>
      <c r="Q95" s="79"/>
      <c r="R95" s="79"/>
      <c r="S95" s="16"/>
      <c r="T95" s="82"/>
      <c r="U95" s="14"/>
      <c r="V95" s="14"/>
      <c r="W95" s="84"/>
      <c r="X95" s="83"/>
      <c r="Y95" s="85"/>
      <c r="Z95" s="85"/>
      <c r="AA95" s="85"/>
      <c r="AB95" s="85"/>
      <c r="AC95" s="85"/>
      <c r="AD95" s="85"/>
      <c r="AE95" s="85"/>
      <c r="AF95" s="85"/>
      <c r="AG95" s="85"/>
      <c r="AH95" s="85"/>
      <c r="AI95" s="85"/>
      <c r="AJ95" s="85"/>
      <c r="AK95" s="86"/>
      <c r="AL95" s="86"/>
      <c r="AM95" s="86"/>
      <c r="AN95" s="86"/>
      <c r="AO95" s="86"/>
      <c r="AP95" s="86"/>
      <c r="AQ95" s="86"/>
      <c r="AR95" s="86"/>
      <c r="AS95" s="86"/>
      <c r="AT95" s="86"/>
      <c r="AU95" s="86"/>
      <c r="AV95" s="86"/>
      <c r="AW95" s="86"/>
      <c r="AX95" s="86"/>
      <c r="AY95" s="86"/>
      <c r="AZ95" s="86"/>
      <c r="BA95" s="86"/>
      <c r="BB95" s="86"/>
      <c r="BC95" s="86"/>
      <c r="BD95" s="86"/>
      <c r="BE95" s="86"/>
      <c r="BF95" s="86"/>
      <c r="BG95" s="86"/>
      <c r="BH95" s="86"/>
      <c r="BI95" s="86"/>
    </row>
    <row r="96" spans="1:61" ht="42.75">
      <c r="A96" s="156" t="s">
        <v>127</v>
      </c>
      <c r="B96" s="157" t="s">
        <v>128</v>
      </c>
      <c r="C96" s="156" t="s">
        <v>16</v>
      </c>
      <c r="D96" s="156">
        <v>1663.44</v>
      </c>
      <c r="E96" s="156">
        <v>2.92</v>
      </c>
      <c r="F96" s="156">
        <f t="shared" ref="F96:F99" si="35">D96*E96</f>
        <v>4857.2448000000004</v>
      </c>
      <c r="G96" s="156">
        <v>1139.8599999999999</v>
      </c>
      <c r="H96" s="156">
        <f>'MEMORIA BM 03'!L164</f>
        <v>40.98</v>
      </c>
      <c r="I96" s="156">
        <f t="shared" ref="I96:I99" si="36">G96+H96</f>
        <v>1180.8399999999999</v>
      </c>
      <c r="J96" s="156">
        <f t="shared" ref="J96:J99" si="37">E96*G96</f>
        <v>3328.3911999999996</v>
      </c>
      <c r="K96" s="156">
        <f t="shared" ref="K96:K99" si="38">H96*E96</f>
        <v>119.66159999999999</v>
      </c>
      <c r="L96" s="156">
        <f t="shared" ref="L96:L99" si="39">J96+K96</f>
        <v>3448.0527999999995</v>
      </c>
      <c r="M96" s="188">
        <f t="shared" ref="M96:M159" si="40">L96/F96</f>
        <v>0.7098783244361081</v>
      </c>
      <c r="N96" s="81"/>
      <c r="O96" s="7"/>
      <c r="P96" s="80"/>
      <c r="Q96" s="80"/>
      <c r="R96" s="91"/>
      <c r="S96" s="8"/>
      <c r="T96" s="82"/>
      <c r="W96" s="10"/>
      <c r="X96" s="9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</row>
    <row r="97" spans="1:66" ht="57.75" customHeight="1">
      <c r="A97" s="156" t="s">
        <v>129</v>
      </c>
      <c r="B97" s="157" t="s">
        <v>130</v>
      </c>
      <c r="C97" s="156" t="s">
        <v>16</v>
      </c>
      <c r="D97" s="156">
        <v>1146.79</v>
      </c>
      <c r="E97" s="156">
        <v>21.42</v>
      </c>
      <c r="F97" s="156">
        <f t="shared" si="35"/>
        <v>24564.2418</v>
      </c>
      <c r="G97" s="156">
        <v>558.5300000000002</v>
      </c>
      <c r="H97" s="156">
        <f>'MEMORIA BM 03'!L169</f>
        <v>131.9</v>
      </c>
      <c r="I97" s="156">
        <f t="shared" si="36"/>
        <v>690.43000000000018</v>
      </c>
      <c r="J97" s="156">
        <f t="shared" si="37"/>
        <v>11963.712600000004</v>
      </c>
      <c r="K97" s="156">
        <f t="shared" si="38"/>
        <v>2825.2980000000002</v>
      </c>
      <c r="L97" s="156">
        <f t="shared" si="39"/>
        <v>14789.010600000005</v>
      </c>
      <c r="M97" s="188">
        <f t="shared" si="40"/>
        <v>0.6020544301921017</v>
      </c>
      <c r="N97" s="81"/>
      <c r="O97" s="7"/>
      <c r="P97" s="80"/>
      <c r="Q97" s="80"/>
      <c r="R97" s="91"/>
      <c r="S97" s="8"/>
      <c r="T97" s="82"/>
      <c r="W97" s="10"/>
      <c r="X97" s="9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</row>
    <row r="98" spans="1:66" ht="57">
      <c r="A98" s="156" t="s">
        <v>131</v>
      </c>
      <c r="B98" s="157" t="s">
        <v>132</v>
      </c>
      <c r="C98" s="156" t="s">
        <v>16</v>
      </c>
      <c r="D98" s="156">
        <v>516.65</v>
      </c>
      <c r="E98" s="156">
        <v>21.4</v>
      </c>
      <c r="F98" s="156">
        <f t="shared" si="35"/>
        <v>11056.31</v>
      </c>
      <c r="G98" s="156">
        <v>515.2700000000001</v>
      </c>
      <c r="H98" s="156"/>
      <c r="I98" s="156">
        <f t="shared" si="36"/>
        <v>515.2700000000001</v>
      </c>
      <c r="J98" s="156">
        <f t="shared" si="37"/>
        <v>11026.778000000002</v>
      </c>
      <c r="K98" s="156">
        <f t="shared" si="38"/>
        <v>0</v>
      </c>
      <c r="L98" s="156">
        <f t="shared" si="39"/>
        <v>11026.778000000002</v>
      </c>
      <c r="M98" s="188">
        <f t="shared" si="40"/>
        <v>0.99732894609503553</v>
      </c>
      <c r="N98" s="81"/>
      <c r="O98" s="7"/>
      <c r="P98" s="80"/>
      <c r="Q98" s="80"/>
      <c r="R98" s="91"/>
      <c r="S98" s="8"/>
      <c r="T98" s="82"/>
      <c r="W98" s="10"/>
      <c r="X98" s="9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</row>
    <row r="99" spans="1:66" ht="42.75">
      <c r="A99" s="156" t="s">
        <v>133</v>
      </c>
      <c r="B99" s="157" t="s">
        <v>134</v>
      </c>
      <c r="C99" s="156" t="s">
        <v>16</v>
      </c>
      <c r="D99" s="156">
        <v>516.65</v>
      </c>
      <c r="E99" s="156">
        <v>51.26</v>
      </c>
      <c r="F99" s="156">
        <f t="shared" si="35"/>
        <v>26483.478999999999</v>
      </c>
      <c r="G99" s="156">
        <v>0</v>
      </c>
      <c r="H99" s="156">
        <f>'MEMORIA BM 03'!L187</f>
        <v>466.0499999999999</v>
      </c>
      <c r="I99" s="156">
        <f t="shared" si="36"/>
        <v>466.0499999999999</v>
      </c>
      <c r="J99" s="156">
        <f t="shared" si="37"/>
        <v>0</v>
      </c>
      <c r="K99" s="156">
        <f t="shared" si="38"/>
        <v>23889.722999999994</v>
      </c>
      <c r="L99" s="156">
        <f t="shared" si="39"/>
        <v>23889.722999999994</v>
      </c>
      <c r="M99" s="188">
        <f t="shared" si="40"/>
        <v>0.90206135681796173</v>
      </c>
      <c r="N99" s="81"/>
      <c r="O99" s="7"/>
      <c r="P99" s="80"/>
      <c r="Q99" s="80"/>
      <c r="R99" s="91"/>
      <c r="S99" s="8"/>
      <c r="T99" s="82"/>
      <c r="W99" s="10"/>
      <c r="X99" s="9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</row>
    <row r="100" spans="1:66">
      <c r="A100" s="156"/>
      <c r="B100" s="154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88"/>
      <c r="N100" s="81"/>
      <c r="O100" s="7"/>
      <c r="P100" s="80"/>
      <c r="Q100" s="80"/>
      <c r="R100" s="91"/>
      <c r="S100" s="8"/>
      <c r="T100" s="82"/>
      <c r="W100" s="10"/>
      <c r="X100" s="9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</row>
    <row r="101" spans="1:66" s="87" customFormat="1">
      <c r="A101" s="164" t="s">
        <v>135</v>
      </c>
      <c r="B101" s="165" t="s">
        <v>8</v>
      </c>
      <c r="C101" s="166"/>
      <c r="D101" s="167"/>
      <c r="E101" s="166"/>
      <c r="F101" s="166">
        <f>SUM(F103:F110)</f>
        <v>38162.8027</v>
      </c>
      <c r="G101" s="166"/>
      <c r="H101" s="166"/>
      <c r="I101" s="166"/>
      <c r="J101" s="166">
        <f>SUM(J103:J110)</f>
        <v>0</v>
      </c>
      <c r="K101" s="166">
        <f>SUM(K103:K110)</f>
        <v>0</v>
      </c>
      <c r="L101" s="166">
        <f>SUM(L103:L110)</f>
        <v>0</v>
      </c>
      <c r="M101" s="188">
        <f t="shared" si="40"/>
        <v>0</v>
      </c>
      <c r="N101" s="98"/>
      <c r="O101" s="7"/>
      <c r="P101" s="97"/>
      <c r="Q101" s="97"/>
      <c r="R101" s="79"/>
      <c r="S101" s="16"/>
      <c r="T101" s="82"/>
      <c r="U101" s="14"/>
      <c r="V101" s="14"/>
      <c r="W101" s="84"/>
      <c r="X101" s="83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6"/>
      <c r="AL101" s="86"/>
      <c r="AM101" s="86"/>
      <c r="AN101" s="86"/>
      <c r="AO101" s="86"/>
      <c r="AP101" s="86"/>
      <c r="AQ101" s="86"/>
      <c r="AR101" s="86"/>
      <c r="AS101" s="86"/>
      <c r="AT101" s="86"/>
      <c r="AU101" s="86"/>
      <c r="AV101" s="86"/>
      <c r="AW101" s="86"/>
      <c r="AX101" s="86"/>
      <c r="AY101" s="86"/>
      <c r="AZ101" s="86"/>
      <c r="BA101" s="86"/>
      <c r="BB101" s="86"/>
      <c r="BC101" s="86"/>
      <c r="BD101" s="86"/>
      <c r="BE101" s="86"/>
      <c r="BF101" s="86"/>
      <c r="BG101" s="86"/>
      <c r="BH101" s="86"/>
      <c r="BI101" s="86"/>
    </row>
    <row r="102" spans="1:66" s="87" customFormat="1">
      <c r="A102" s="156"/>
      <c r="B102" s="154"/>
      <c r="C102" s="156"/>
      <c r="D102" s="155"/>
      <c r="E102" s="155"/>
      <c r="F102" s="155"/>
      <c r="G102" s="155"/>
      <c r="H102" s="155"/>
      <c r="I102" s="155"/>
      <c r="J102" s="155"/>
      <c r="K102" s="155"/>
      <c r="L102" s="155"/>
      <c r="M102" s="188"/>
      <c r="N102" s="81"/>
      <c r="O102" s="7"/>
      <c r="P102" s="79"/>
      <c r="Q102" s="79"/>
      <c r="R102" s="79"/>
      <c r="S102" s="16"/>
      <c r="T102" s="82"/>
      <c r="U102" s="14"/>
      <c r="V102" s="14"/>
      <c r="W102" s="84"/>
      <c r="X102" s="83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  <c r="AI102" s="86"/>
      <c r="AJ102" s="86"/>
      <c r="AK102" s="86"/>
      <c r="AL102" s="86"/>
      <c r="AM102" s="86"/>
      <c r="AN102" s="86"/>
      <c r="AO102" s="86"/>
      <c r="AP102" s="86"/>
      <c r="AQ102" s="86"/>
      <c r="AR102" s="86"/>
      <c r="AS102" s="86"/>
      <c r="AT102" s="86"/>
      <c r="AU102" s="86"/>
      <c r="AV102" s="86"/>
      <c r="AW102" s="86"/>
      <c r="AX102" s="86"/>
      <c r="AY102" s="86"/>
      <c r="AZ102" s="86"/>
      <c r="BA102" s="86"/>
      <c r="BB102" s="86"/>
      <c r="BC102" s="86"/>
      <c r="BD102" s="86"/>
      <c r="BE102" s="86"/>
      <c r="BF102" s="86"/>
      <c r="BG102" s="86"/>
      <c r="BH102" s="86"/>
      <c r="BI102" s="86"/>
    </row>
    <row r="103" spans="1:66">
      <c r="A103" s="156" t="s">
        <v>136</v>
      </c>
      <c r="B103" s="157" t="s">
        <v>137</v>
      </c>
      <c r="C103" s="156" t="s">
        <v>16</v>
      </c>
      <c r="D103" s="156">
        <v>1146.79</v>
      </c>
      <c r="E103" s="156">
        <v>1.79</v>
      </c>
      <c r="F103" s="156">
        <f t="shared" ref="F103:F110" si="41">D103*E103</f>
        <v>2052.7541000000001</v>
      </c>
      <c r="G103" s="156">
        <v>0</v>
      </c>
      <c r="H103" s="156"/>
      <c r="I103" s="156">
        <f t="shared" ref="I103:I110" si="42">G103+H103</f>
        <v>0</v>
      </c>
      <c r="J103" s="156">
        <f t="shared" ref="J103:J110" si="43">E103*G103</f>
        <v>0</v>
      </c>
      <c r="K103" s="156">
        <f t="shared" ref="K103:K110" si="44">H103*E103</f>
        <v>0</v>
      </c>
      <c r="L103" s="156">
        <f t="shared" ref="L103:L110" si="45">J103+K103</f>
        <v>0</v>
      </c>
      <c r="M103" s="188">
        <f t="shared" si="40"/>
        <v>0</v>
      </c>
      <c r="N103" s="81"/>
      <c r="O103" s="7"/>
      <c r="P103" s="80"/>
      <c r="Q103" s="80"/>
      <c r="R103" s="91"/>
      <c r="S103" s="8"/>
      <c r="T103" s="82"/>
      <c r="W103" s="10"/>
      <c r="X103" s="9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</row>
    <row r="104" spans="1:66" s="87" customFormat="1" ht="28.5">
      <c r="A104" s="156" t="s">
        <v>138</v>
      </c>
      <c r="B104" s="157" t="s">
        <v>139</v>
      </c>
      <c r="C104" s="156" t="s">
        <v>16</v>
      </c>
      <c r="D104" s="156">
        <v>1146.79</v>
      </c>
      <c r="E104" s="156">
        <v>9.23</v>
      </c>
      <c r="F104" s="156">
        <f t="shared" si="41"/>
        <v>10584.8717</v>
      </c>
      <c r="G104" s="156">
        <v>0</v>
      </c>
      <c r="H104" s="156"/>
      <c r="I104" s="156">
        <f t="shared" si="42"/>
        <v>0</v>
      </c>
      <c r="J104" s="156">
        <f t="shared" si="43"/>
        <v>0</v>
      </c>
      <c r="K104" s="156">
        <f t="shared" si="44"/>
        <v>0</v>
      </c>
      <c r="L104" s="156">
        <f t="shared" si="45"/>
        <v>0</v>
      </c>
      <c r="M104" s="188">
        <f t="shared" si="40"/>
        <v>0</v>
      </c>
      <c r="N104" s="81"/>
      <c r="O104" s="7"/>
      <c r="P104" s="80"/>
      <c r="Q104" s="80"/>
      <c r="R104" s="79"/>
      <c r="S104" s="16"/>
      <c r="T104" s="82"/>
      <c r="U104" s="14"/>
      <c r="V104" s="14"/>
      <c r="W104" s="84"/>
      <c r="X104" s="83"/>
      <c r="Y104" s="85"/>
      <c r="Z104" s="85"/>
      <c r="AA104" s="85"/>
      <c r="AB104" s="85"/>
      <c r="AC104" s="85"/>
      <c r="AD104" s="85"/>
      <c r="AE104" s="85"/>
      <c r="AF104" s="85"/>
      <c r="AG104" s="85"/>
      <c r="AH104" s="85"/>
      <c r="AI104" s="86"/>
      <c r="AJ104" s="86"/>
      <c r="AK104" s="86"/>
      <c r="AL104" s="86"/>
      <c r="AM104" s="86"/>
      <c r="AN104" s="86"/>
      <c r="AO104" s="86"/>
      <c r="AP104" s="86"/>
      <c r="AQ104" s="86"/>
      <c r="AR104" s="86"/>
      <c r="AS104" s="86"/>
      <c r="AT104" s="86"/>
      <c r="AU104" s="86"/>
      <c r="AV104" s="86"/>
      <c r="AW104" s="86"/>
      <c r="AX104" s="86"/>
      <c r="AY104" s="86"/>
      <c r="AZ104" s="86"/>
      <c r="BA104" s="86"/>
      <c r="BB104" s="86"/>
      <c r="BC104" s="86"/>
      <c r="BD104" s="86"/>
      <c r="BE104" s="86"/>
      <c r="BF104" s="86"/>
      <c r="BG104" s="86"/>
      <c r="BH104" s="86"/>
      <c r="BI104" s="86"/>
    </row>
    <row r="105" spans="1:66" s="87" customFormat="1" ht="28.5">
      <c r="A105" s="156" t="s">
        <v>140</v>
      </c>
      <c r="B105" s="157" t="s">
        <v>141</v>
      </c>
      <c r="C105" s="156" t="s">
        <v>16</v>
      </c>
      <c r="D105" s="156">
        <v>358.74</v>
      </c>
      <c r="E105" s="156">
        <v>11.88</v>
      </c>
      <c r="F105" s="156">
        <f t="shared" si="41"/>
        <v>4261.8312000000005</v>
      </c>
      <c r="G105" s="156">
        <v>0</v>
      </c>
      <c r="H105" s="155"/>
      <c r="I105" s="156">
        <f t="shared" si="42"/>
        <v>0</v>
      </c>
      <c r="J105" s="156">
        <f t="shared" si="43"/>
        <v>0</v>
      </c>
      <c r="K105" s="156">
        <f t="shared" si="44"/>
        <v>0</v>
      </c>
      <c r="L105" s="156">
        <f t="shared" si="45"/>
        <v>0</v>
      </c>
      <c r="M105" s="188">
        <f t="shared" si="40"/>
        <v>0</v>
      </c>
      <c r="N105" s="81"/>
      <c r="O105" s="7"/>
      <c r="P105" s="80"/>
      <c r="Q105" s="80"/>
      <c r="R105" s="79"/>
      <c r="S105" s="16"/>
      <c r="T105" s="82"/>
      <c r="U105" s="14"/>
      <c r="V105" s="14"/>
      <c r="W105" s="84"/>
      <c r="X105" s="83"/>
      <c r="Y105" s="85"/>
      <c r="Z105" s="85"/>
      <c r="AA105" s="85"/>
      <c r="AB105" s="85"/>
      <c r="AC105" s="85"/>
      <c r="AD105" s="85"/>
      <c r="AE105" s="85"/>
      <c r="AF105" s="85"/>
      <c r="AG105" s="85"/>
      <c r="AH105" s="85"/>
      <c r="AI105" s="86"/>
      <c r="AJ105" s="86"/>
      <c r="AK105" s="86"/>
      <c r="AL105" s="86"/>
      <c r="AM105" s="86"/>
      <c r="AN105" s="86"/>
      <c r="AO105" s="86"/>
      <c r="AP105" s="86"/>
      <c r="AQ105" s="86"/>
      <c r="AR105" s="86"/>
      <c r="AS105" s="86"/>
      <c r="AT105" s="86"/>
      <c r="AU105" s="86"/>
      <c r="AV105" s="86"/>
      <c r="AW105" s="86"/>
      <c r="AX105" s="86"/>
      <c r="AY105" s="86"/>
      <c r="AZ105" s="86"/>
      <c r="BA105" s="86"/>
      <c r="BB105" s="86"/>
      <c r="BC105" s="86"/>
      <c r="BD105" s="86"/>
      <c r="BE105" s="86"/>
      <c r="BF105" s="86"/>
      <c r="BG105" s="86"/>
      <c r="BH105" s="86"/>
      <c r="BI105" s="86"/>
    </row>
    <row r="106" spans="1:66" s="87" customFormat="1" ht="28.5">
      <c r="A106" s="156" t="s">
        <v>142</v>
      </c>
      <c r="B106" s="157" t="s">
        <v>143</v>
      </c>
      <c r="C106" s="156" t="s">
        <v>16</v>
      </c>
      <c r="D106" s="156">
        <v>358.74</v>
      </c>
      <c r="E106" s="156">
        <v>10.61</v>
      </c>
      <c r="F106" s="156">
        <f t="shared" si="41"/>
        <v>3806.2313999999997</v>
      </c>
      <c r="G106" s="156">
        <v>0</v>
      </c>
      <c r="H106" s="155"/>
      <c r="I106" s="156">
        <f t="shared" si="42"/>
        <v>0</v>
      </c>
      <c r="J106" s="156">
        <f t="shared" si="43"/>
        <v>0</v>
      </c>
      <c r="K106" s="156">
        <f t="shared" si="44"/>
        <v>0</v>
      </c>
      <c r="L106" s="156">
        <f t="shared" si="45"/>
        <v>0</v>
      </c>
      <c r="M106" s="188">
        <f t="shared" si="40"/>
        <v>0</v>
      </c>
      <c r="N106" s="81"/>
      <c r="O106" s="7"/>
      <c r="P106" s="80"/>
      <c r="Q106" s="80"/>
      <c r="R106" s="79"/>
      <c r="S106" s="16"/>
      <c r="T106" s="82"/>
      <c r="U106" s="14"/>
      <c r="V106" s="14"/>
      <c r="W106" s="84"/>
      <c r="X106" s="83"/>
      <c r="Y106" s="85"/>
      <c r="Z106" s="85"/>
      <c r="AA106" s="85"/>
      <c r="AB106" s="85"/>
      <c r="AC106" s="85"/>
      <c r="AD106" s="85"/>
      <c r="AE106" s="85"/>
      <c r="AF106" s="85"/>
      <c r="AG106" s="85"/>
      <c r="AH106" s="85"/>
      <c r="AI106" s="86"/>
      <c r="AJ106" s="86"/>
      <c r="AK106" s="86"/>
      <c r="AL106" s="86"/>
      <c r="AM106" s="86"/>
      <c r="AN106" s="86"/>
      <c r="AO106" s="86"/>
      <c r="AP106" s="86"/>
      <c r="AQ106" s="86"/>
      <c r="AR106" s="86"/>
      <c r="AS106" s="86"/>
      <c r="AT106" s="86"/>
      <c r="AU106" s="86"/>
      <c r="AV106" s="86"/>
      <c r="AW106" s="86"/>
      <c r="AX106" s="86"/>
      <c r="AY106" s="86"/>
      <c r="AZ106" s="86"/>
      <c r="BA106" s="86"/>
      <c r="BB106" s="86"/>
      <c r="BC106" s="86"/>
      <c r="BD106" s="86"/>
      <c r="BE106" s="86"/>
      <c r="BF106" s="86"/>
      <c r="BG106" s="86"/>
      <c r="BH106" s="86"/>
      <c r="BI106" s="86"/>
    </row>
    <row r="107" spans="1:66" s="87" customFormat="1" ht="28.5">
      <c r="A107" s="156" t="s">
        <v>144</v>
      </c>
      <c r="B107" s="157" t="s">
        <v>145</v>
      </c>
      <c r="C107" s="156" t="s">
        <v>16</v>
      </c>
      <c r="D107" s="156">
        <v>81.38</v>
      </c>
      <c r="E107" s="156">
        <v>13.51</v>
      </c>
      <c r="F107" s="156">
        <f t="shared" si="41"/>
        <v>1099.4438</v>
      </c>
      <c r="G107" s="156">
        <v>0</v>
      </c>
      <c r="H107" s="155"/>
      <c r="I107" s="156">
        <f t="shared" si="42"/>
        <v>0</v>
      </c>
      <c r="J107" s="156">
        <f t="shared" si="43"/>
        <v>0</v>
      </c>
      <c r="K107" s="156">
        <f t="shared" si="44"/>
        <v>0</v>
      </c>
      <c r="L107" s="156">
        <f t="shared" si="45"/>
        <v>0</v>
      </c>
      <c r="M107" s="188">
        <f t="shared" si="40"/>
        <v>0</v>
      </c>
      <c r="N107" s="81"/>
      <c r="O107" s="7"/>
      <c r="P107" s="80"/>
      <c r="Q107" s="80"/>
      <c r="R107" s="79"/>
      <c r="S107" s="16"/>
      <c r="T107" s="82"/>
      <c r="U107" s="14"/>
      <c r="V107" s="14"/>
      <c r="W107" s="84"/>
      <c r="X107" s="83"/>
      <c r="Y107" s="85"/>
      <c r="Z107" s="85"/>
      <c r="AA107" s="85"/>
      <c r="AB107" s="85"/>
      <c r="AC107" s="85"/>
      <c r="AD107" s="85"/>
      <c r="AE107" s="85"/>
      <c r="AF107" s="85"/>
      <c r="AG107" s="85"/>
      <c r="AH107" s="85"/>
      <c r="AI107" s="86"/>
      <c r="AJ107" s="86"/>
      <c r="AK107" s="86"/>
      <c r="AL107" s="86"/>
      <c r="AM107" s="86"/>
      <c r="AN107" s="86"/>
      <c r="AO107" s="86"/>
      <c r="AP107" s="86"/>
      <c r="AQ107" s="86"/>
      <c r="AR107" s="86"/>
      <c r="AS107" s="86"/>
      <c r="AT107" s="86"/>
      <c r="AU107" s="86"/>
      <c r="AV107" s="86"/>
      <c r="AW107" s="86"/>
      <c r="AX107" s="86"/>
      <c r="AY107" s="86"/>
      <c r="AZ107" s="86"/>
      <c r="BA107" s="86"/>
      <c r="BB107" s="86"/>
      <c r="BC107" s="86"/>
      <c r="BD107" s="86"/>
      <c r="BE107" s="86"/>
      <c r="BF107" s="86"/>
      <c r="BG107" s="86"/>
      <c r="BH107" s="86"/>
      <c r="BI107" s="86"/>
    </row>
    <row r="108" spans="1:66" s="87" customFormat="1" ht="42.75">
      <c r="A108" s="156" t="s">
        <v>146</v>
      </c>
      <c r="B108" s="157" t="s">
        <v>147</v>
      </c>
      <c r="C108" s="156" t="s">
        <v>16</v>
      </c>
      <c r="D108" s="156">
        <v>83.17</v>
      </c>
      <c r="E108" s="156">
        <v>15.22</v>
      </c>
      <c r="F108" s="156">
        <f t="shared" si="41"/>
        <v>1265.8474000000001</v>
      </c>
      <c r="G108" s="156">
        <v>0</v>
      </c>
      <c r="H108" s="155"/>
      <c r="I108" s="156">
        <f t="shared" si="42"/>
        <v>0</v>
      </c>
      <c r="J108" s="156">
        <f t="shared" si="43"/>
        <v>0</v>
      </c>
      <c r="K108" s="156">
        <f t="shared" si="44"/>
        <v>0</v>
      </c>
      <c r="L108" s="156">
        <f t="shared" si="45"/>
        <v>0</v>
      </c>
      <c r="M108" s="188">
        <f t="shared" si="40"/>
        <v>0</v>
      </c>
      <c r="N108" s="81"/>
      <c r="O108" s="7"/>
      <c r="P108" s="79"/>
      <c r="Q108" s="79"/>
      <c r="R108" s="79"/>
      <c r="S108" s="16"/>
      <c r="T108" s="82"/>
      <c r="U108" s="14"/>
      <c r="V108" s="14"/>
      <c r="W108" s="84"/>
      <c r="X108" s="83"/>
      <c r="Y108" s="85"/>
      <c r="Z108" s="85"/>
      <c r="AA108" s="85"/>
      <c r="AB108" s="85"/>
      <c r="AC108" s="85"/>
      <c r="AD108" s="85"/>
      <c r="AE108" s="85"/>
      <c r="AF108" s="85"/>
      <c r="AG108" s="85"/>
      <c r="AH108" s="85"/>
      <c r="AI108" s="85"/>
      <c r="AJ108" s="85"/>
      <c r="AK108" s="85"/>
      <c r="AL108" s="85"/>
      <c r="AM108" s="85"/>
      <c r="AN108" s="85"/>
      <c r="AO108" s="85"/>
      <c r="AP108" s="85"/>
      <c r="AQ108" s="85"/>
      <c r="AR108" s="85"/>
      <c r="AS108" s="85"/>
      <c r="AT108" s="85"/>
      <c r="AU108" s="85"/>
      <c r="AV108" s="85"/>
      <c r="AW108" s="85"/>
      <c r="AX108" s="85"/>
      <c r="AY108" s="85"/>
      <c r="AZ108" s="85"/>
      <c r="BA108" s="85"/>
      <c r="BB108" s="85"/>
      <c r="BC108" s="85"/>
      <c r="BD108" s="85"/>
      <c r="BE108" s="85"/>
      <c r="BF108" s="85"/>
      <c r="BG108" s="85"/>
      <c r="BH108" s="85"/>
      <c r="BI108" s="85"/>
      <c r="BJ108" s="101"/>
      <c r="BK108" s="101"/>
      <c r="BL108" s="101"/>
      <c r="BM108" s="101"/>
      <c r="BN108" s="101"/>
    </row>
    <row r="109" spans="1:66" s="87" customFormat="1" ht="28.5">
      <c r="A109" s="156" t="s">
        <v>148</v>
      </c>
      <c r="B109" s="157" t="s">
        <v>149</v>
      </c>
      <c r="C109" s="156" t="s">
        <v>16</v>
      </c>
      <c r="D109" s="156">
        <v>1146.79</v>
      </c>
      <c r="E109" s="156">
        <v>8.5</v>
      </c>
      <c r="F109" s="156">
        <f t="shared" si="41"/>
        <v>9747.7150000000001</v>
      </c>
      <c r="G109" s="156">
        <v>0</v>
      </c>
      <c r="H109" s="155"/>
      <c r="I109" s="156">
        <f t="shared" si="42"/>
        <v>0</v>
      </c>
      <c r="J109" s="156">
        <f t="shared" si="43"/>
        <v>0</v>
      </c>
      <c r="K109" s="156">
        <f t="shared" si="44"/>
        <v>0</v>
      </c>
      <c r="L109" s="156">
        <f t="shared" si="45"/>
        <v>0</v>
      </c>
      <c r="M109" s="188">
        <f t="shared" si="40"/>
        <v>0</v>
      </c>
      <c r="N109" s="81"/>
      <c r="O109" s="7"/>
      <c r="P109" s="79"/>
      <c r="Q109" s="79"/>
      <c r="R109" s="79"/>
      <c r="S109" s="16"/>
      <c r="T109" s="82"/>
      <c r="U109" s="14"/>
      <c r="V109" s="14"/>
      <c r="W109" s="84"/>
      <c r="X109" s="83"/>
      <c r="Y109" s="85"/>
      <c r="Z109" s="85"/>
      <c r="AA109" s="85"/>
      <c r="AB109" s="85"/>
      <c r="AC109" s="85"/>
      <c r="AD109" s="85"/>
      <c r="AE109" s="85"/>
      <c r="AF109" s="85"/>
      <c r="AG109" s="85"/>
      <c r="AH109" s="85"/>
      <c r="AI109" s="85"/>
      <c r="AJ109" s="85"/>
      <c r="AK109" s="85"/>
      <c r="AL109" s="85"/>
      <c r="AM109" s="85"/>
      <c r="AN109" s="85"/>
      <c r="AO109" s="85"/>
      <c r="AP109" s="85"/>
      <c r="AQ109" s="85"/>
      <c r="AR109" s="85"/>
      <c r="AS109" s="85"/>
      <c r="AT109" s="85"/>
      <c r="AU109" s="85"/>
      <c r="AV109" s="85"/>
      <c r="AW109" s="85"/>
      <c r="AX109" s="85"/>
      <c r="AY109" s="85"/>
      <c r="AZ109" s="85"/>
      <c r="BA109" s="85"/>
      <c r="BB109" s="85"/>
      <c r="BC109" s="85"/>
      <c r="BD109" s="85"/>
      <c r="BE109" s="85"/>
      <c r="BF109" s="85"/>
      <c r="BG109" s="85"/>
      <c r="BH109" s="85"/>
      <c r="BI109" s="85"/>
      <c r="BJ109" s="101"/>
      <c r="BK109" s="101"/>
      <c r="BL109" s="101"/>
      <c r="BM109" s="101"/>
      <c r="BN109" s="101"/>
    </row>
    <row r="110" spans="1:66" s="87" customFormat="1">
      <c r="A110" s="156" t="s">
        <v>150</v>
      </c>
      <c r="B110" s="158" t="s">
        <v>151</v>
      </c>
      <c r="C110" s="156" t="s">
        <v>16</v>
      </c>
      <c r="D110" s="156">
        <v>766.73</v>
      </c>
      <c r="E110" s="156">
        <v>6.97</v>
      </c>
      <c r="F110" s="156">
        <f t="shared" si="41"/>
        <v>5344.1081000000004</v>
      </c>
      <c r="G110" s="156">
        <v>0</v>
      </c>
      <c r="H110" s="155"/>
      <c r="I110" s="156">
        <f t="shared" si="42"/>
        <v>0</v>
      </c>
      <c r="J110" s="156">
        <f t="shared" si="43"/>
        <v>0</v>
      </c>
      <c r="K110" s="156">
        <f t="shared" si="44"/>
        <v>0</v>
      </c>
      <c r="L110" s="156">
        <f t="shared" si="45"/>
        <v>0</v>
      </c>
      <c r="M110" s="188">
        <f t="shared" si="40"/>
        <v>0</v>
      </c>
      <c r="N110" s="81"/>
      <c r="O110" s="7"/>
      <c r="P110" s="79"/>
      <c r="Q110" s="79"/>
      <c r="R110" s="79"/>
      <c r="S110" s="16"/>
      <c r="T110" s="82"/>
      <c r="U110" s="14"/>
      <c r="V110" s="14"/>
      <c r="W110" s="84"/>
      <c r="X110" s="83"/>
      <c r="Y110" s="85"/>
      <c r="Z110" s="85"/>
      <c r="AA110" s="85"/>
      <c r="AB110" s="85"/>
      <c r="AC110" s="85"/>
      <c r="AD110" s="85"/>
      <c r="AE110" s="85"/>
      <c r="AF110" s="85"/>
      <c r="AG110" s="85"/>
      <c r="AH110" s="85"/>
      <c r="AI110" s="85"/>
      <c r="AJ110" s="85"/>
      <c r="AK110" s="85"/>
      <c r="AL110" s="85"/>
      <c r="AM110" s="85"/>
      <c r="AN110" s="85"/>
      <c r="AO110" s="85"/>
      <c r="AP110" s="85"/>
      <c r="AQ110" s="85"/>
      <c r="AR110" s="85"/>
      <c r="AS110" s="85"/>
      <c r="AT110" s="85"/>
      <c r="AU110" s="85"/>
      <c r="AV110" s="85"/>
      <c r="AW110" s="85"/>
      <c r="AX110" s="85"/>
      <c r="AY110" s="85"/>
      <c r="AZ110" s="85"/>
      <c r="BA110" s="85"/>
      <c r="BB110" s="85"/>
      <c r="BC110" s="85"/>
      <c r="BD110" s="85"/>
      <c r="BE110" s="85"/>
      <c r="BF110" s="85"/>
      <c r="BG110" s="85"/>
      <c r="BH110" s="85"/>
      <c r="BI110" s="85"/>
      <c r="BJ110" s="101"/>
      <c r="BK110" s="101"/>
      <c r="BL110" s="101"/>
      <c r="BM110" s="101"/>
      <c r="BN110" s="101"/>
    </row>
    <row r="111" spans="1:66" s="87" customFormat="1">
      <c r="A111" s="156"/>
      <c r="B111" s="154"/>
      <c r="C111" s="156"/>
      <c r="D111" s="156"/>
      <c r="E111" s="156"/>
      <c r="F111" s="156"/>
      <c r="G111" s="156"/>
      <c r="H111" s="155"/>
      <c r="I111" s="156"/>
      <c r="J111" s="156"/>
      <c r="K111" s="156"/>
      <c r="L111" s="156"/>
      <c r="M111" s="188"/>
      <c r="N111" s="81"/>
      <c r="O111" s="7"/>
      <c r="P111" s="79"/>
      <c r="Q111" s="79"/>
      <c r="R111" s="79"/>
      <c r="S111" s="16"/>
      <c r="T111" s="82"/>
      <c r="U111" s="14"/>
      <c r="V111" s="14"/>
      <c r="W111" s="84"/>
      <c r="X111" s="83"/>
      <c r="Y111" s="85"/>
      <c r="Z111" s="85"/>
      <c r="AA111" s="85"/>
      <c r="AB111" s="85"/>
      <c r="AC111" s="85"/>
      <c r="AD111" s="85"/>
      <c r="AE111" s="85"/>
      <c r="AF111" s="85"/>
      <c r="AG111" s="85"/>
      <c r="AH111" s="85"/>
      <c r="AI111" s="85"/>
      <c r="AJ111" s="85"/>
      <c r="AK111" s="85"/>
      <c r="AL111" s="85"/>
      <c r="AM111" s="85"/>
      <c r="AN111" s="85"/>
      <c r="AO111" s="85"/>
      <c r="AP111" s="85"/>
      <c r="AQ111" s="85"/>
      <c r="AR111" s="85"/>
      <c r="AS111" s="85"/>
      <c r="AT111" s="85"/>
      <c r="AU111" s="85"/>
      <c r="AV111" s="85"/>
      <c r="AW111" s="85"/>
      <c r="AX111" s="85"/>
      <c r="AY111" s="85"/>
      <c r="AZ111" s="85"/>
      <c r="BA111" s="85"/>
      <c r="BB111" s="85"/>
      <c r="BC111" s="85"/>
      <c r="BD111" s="85"/>
      <c r="BE111" s="85"/>
      <c r="BF111" s="85"/>
      <c r="BG111" s="85"/>
      <c r="BH111" s="85"/>
      <c r="BI111" s="85"/>
      <c r="BJ111" s="101"/>
      <c r="BK111" s="101"/>
      <c r="BL111" s="101"/>
      <c r="BM111" s="101"/>
      <c r="BN111" s="101"/>
    </row>
    <row r="112" spans="1:66" s="87" customFormat="1">
      <c r="A112" s="164" t="s">
        <v>152</v>
      </c>
      <c r="B112" s="165" t="s">
        <v>4</v>
      </c>
      <c r="C112" s="166"/>
      <c r="D112" s="167"/>
      <c r="E112" s="166"/>
      <c r="F112" s="166">
        <f>SUM(F114:F121)</f>
        <v>38334.375400000004</v>
      </c>
      <c r="G112" s="166"/>
      <c r="H112" s="166"/>
      <c r="I112" s="166"/>
      <c r="J112" s="166">
        <f>SUM(J114:J121)</f>
        <v>6112.2125000000005</v>
      </c>
      <c r="K112" s="166">
        <f>SUM(K114:K121)</f>
        <v>8002.4190999999992</v>
      </c>
      <c r="L112" s="166">
        <f>SUM(L114:L121)</f>
        <v>14114.631600000001</v>
      </c>
      <c r="M112" s="188">
        <f t="shared" si="40"/>
        <v>0.36819777165327178</v>
      </c>
      <c r="N112" s="98"/>
      <c r="O112" s="7"/>
      <c r="P112" s="97"/>
      <c r="Q112" s="97"/>
      <c r="R112" s="79"/>
      <c r="S112" s="16"/>
      <c r="T112" s="82"/>
      <c r="U112" s="14"/>
      <c r="V112" s="14"/>
      <c r="W112" s="84"/>
      <c r="X112" s="83"/>
      <c r="Y112" s="85"/>
      <c r="Z112" s="85"/>
      <c r="AA112" s="85"/>
      <c r="AB112" s="85"/>
      <c r="AC112" s="85"/>
      <c r="AD112" s="85"/>
      <c r="AE112" s="85"/>
      <c r="AF112" s="85"/>
      <c r="AG112" s="85"/>
      <c r="AH112" s="85"/>
      <c r="AI112" s="85"/>
      <c r="AJ112" s="85"/>
      <c r="AK112" s="86"/>
      <c r="AL112" s="86"/>
      <c r="AM112" s="86"/>
      <c r="AN112" s="86"/>
      <c r="AO112" s="86"/>
      <c r="AP112" s="86"/>
      <c r="AQ112" s="86"/>
      <c r="AR112" s="86"/>
      <c r="AS112" s="86"/>
      <c r="AT112" s="86"/>
      <c r="AU112" s="86"/>
      <c r="AV112" s="86"/>
      <c r="AW112" s="86"/>
      <c r="AX112" s="86"/>
      <c r="AY112" s="86"/>
      <c r="AZ112" s="86"/>
      <c r="BA112" s="86"/>
      <c r="BB112" s="86"/>
      <c r="BC112" s="86"/>
      <c r="BD112" s="86"/>
      <c r="BE112" s="86"/>
      <c r="BF112" s="86"/>
      <c r="BG112" s="86"/>
      <c r="BH112" s="86"/>
      <c r="BI112" s="86"/>
    </row>
    <row r="113" spans="1:66" s="87" customFormat="1">
      <c r="A113" s="173"/>
      <c r="B113" s="154"/>
      <c r="C113" s="156"/>
      <c r="D113" s="155"/>
      <c r="E113" s="155"/>
      <c r="F113" s="155"/>
      <c r="G113" s="155"/>
      <c r="H113" s="155"/>
      <c r="I113" s="155"/>
      <c r="J113" s="155"/>
      <c r="K113" s="155"/>
      <c r="L113" s="155"/>
      <c r="M113" s="188"/>
      <c r="N113" s="81"/>
      <c r="O113" s="7"/>
      <c r="P113" s="79"/>
      <c r="Q113" s="79"/>
      <c r="R113" s="79"/>
      <c r="S113" s="16"/>
      <c r="T113" s="82"/>
      <c r="U113" s="14"/>
      <c r="V113" s="14"/>
      <c r="W113" s="84"/>
      <c r="X113" s="83"/>
      <c r="Y113" s="85"/>
      <c r="Z113" s="85"/>
      <c r="AA113" s="85"/>
      <c r="AB113" s="85"/>
      <c r="AC113" s="85"/>
      <c r="AD113" s="85"/>
      <c r="AE113" s="85"/>
      <c r="AF113" s="85"/>
      <c r="AG113" s="85"/>
      <c r="AH113" s="85"/>
      <c r="AI113" s="85"/>
      <c r="AJ113" s="85"/>
      <c r="AK113" s="85"/>
      <c r="AL113" s="85"/>
      <c r="AM113" s="85"/>
      <c r="AN113" s="85"/>
      <c r="AO113" s="85"/>
      <c r="AP113" s="85"/>
      <c r="AQ113" s="85"/>
      <c r="AR113" s="85"/>
      <c r="AS113" s="85"/>
      <c r="AT113" s="85"/>
      <c r="AU113" s="85"/>
      <c r="AV113" s="85"/>
      <c r="AW113" s="85"/>
      <c r="AX113" s="85"/>
      <c r="AY113" s="85"/>
      <c r="AZ113" s="85"/>
      <c r="BA113" s="85"/>
      <c r="BB113" s="85"/>
      <c r="BC113" s="85"/>
      <c r="BD113" s="85"/>
      <c r="BE113" s="85"/>
      <c r="BF113" s="85"/>
      <c r="BG113" s="85"/>
      <c r="BH113" s="85"/>
      <c r="BI113" s="85"/>
      <c r="BJ113" s="101"/>
      <c r="BK113" s="101"/>
      <c r="BL113" s="101"/>
      <c r="BM113" s="101"/>
      <c r="BN113" s="101"/>
    </row>
    <row r="114" spans="1:66" s="87" customFormat="1" ht="28.5">
      <c r="A114" s="156" t="s">
        <v>153</v>
      </c>
      <c r="B114" s="157" t="s">
        <v>154</v>
      </c>
      <c r="C114" s="156" t="s">
        <v>16</v>
      </c>
      <c r="D114" s="156">
        <v>427.65</v>
      </c>
      <c r="E114" s="156">
        <v>19.399999999999999</v>
      </c>
      <c r="F114" s="156">
        <f t="shared" ref="F114:F121" si="46">D114*E114</f>
        <v>8296.41</v>
      </c>
      <c r="G114" s="156">
        <v>315.06250000000006</v>
      </c>
      <c r="H114" s="155">
        <f>'MEMORIA BM 03'!L239</f>
        <v>109.10999999999999</v>
      </c>
      <c r="I114" s="156">
        <f t="shared" ref="I114:I121" si="47">G114+H114</f>
        <v>424.17250000000001</v>
      </c>
      <c r="J114" s="156">
        <f t="shared" ref="J114:J121" si="48">E114*G114</f>
        <v>6112.2125000000005</v>
      </c>
      <c r="K114" s="156">
        <f t="shared" ref="K114:K121" si="49">H114*E114</f>
        <v>2116.7339999999995</v>
      </c>
      <c r="L114" s="156">
        <f t="shared" ref="L114:L121" si="50">J114+K114</f>
        <v>8228.9465</v>
      </c>
      <c r="M114" s="188">
        <f t="shared" si="40"/>
        <v>0.99186835028644926</v>
      </c>
      <c r="N114" s="81"/>
      <c r="O114" s="7"/>
      <c r="P114" s="79"/>
      <c r="Q114" s="79"/>
      <c r="R114" s="79"/>
      <c r="S114" s="16"/>
      <c r="T114" s="82"/>
      <c r="U114" s="14"/>
      <c r="V114" s="14"/>
      <c r="W114" s="84"/>
      <c r="X114" s="83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85"/>
      <c r="AL114" s="85"/>
      <c r="AM114" s="85"/>
      <c r="AN114" s="85"/>
      <c r="AO114" s="85"/>
      <c r="AP114" s="85"/>
      <c r="AQ114" s="85"/>
      <c r="AR114" s="85"/>
      <c r="AS114" s="85"/>
      <c r="AT114" s="85"/>
      <c r="AU114" s="85"/>
      <c r="AV114" s="85"/>
      <c r="AW114" s="85"/>
      <c r="AX114" s="85"/>
      <c r="AY114" s="85"/>
      <c r="AZ114" s="85"/>
      <c r="BA114" s="85"/>
      <c r="BB114" s="85"/>
      <c r="BC114" s="85"/>
      <c r="BD114" s="85"/>
      <c r="BE114" s="85"/>
      <c r="BF114" s="85"/>
      <c r="BG114" s="85"/>
      <c r="BH114" s="85"/>
      <c r="BI114" s="85"/>
      <c r="BJ114" s="101"/>
      <c r="BK114" s="101"/>
      <c r="BL114" s="101"/>
      <c r="BM114" s="101"/>
      <c r="BN114" s="101"/>
    </row>
    <row r="115" spans="1:66" s="87" customFormat="1">
      <c r="A115" s="156" t="s">
        <v>155</v>
      </c>
      <c r="B115" s="157" t="s">
        <v>156</v>
      </c>
      <c r="C115" s="156" t="s">
        <v>16</v>
      </c>
      <c r="D115" s="156">
        <v>427.65</v>
      </c>
      <c r="E115" s="156">
        <v>18.36</v>
      </c>
      <c r="F115" s="156">
        <f t="shared" si="46"/>
        <v>7851.6539999999995</v>
      </c>
      <c r="G115" s="156">
        <v>0</v>
      </c>
      <c r="H115" s="155">
        <v>0</v>
      </c>
      <c r="I115" s="156">
        <f t="shared" si="47"/>
        <v>0</v>
      </c>
      <c r="J115" s="156">
        <f t="shared" si="48"/>
        <v>0</v>
      </c>
      <c r="K115" s="156">
        <f t="shared" si="49"/>
        <v>0</v>
      </c>
      <c r="L115" s="156">
        <f t="shared" si="50"/>
        <v>0</v>
      </c>
      <c r="M115" s="188">
        <f t="shared" si="40"/>
        <v>0</v>
      </c>
      <c r="N115" s="81"/>
      <c r="O115" s="7"/>
      <c r="P115" s="79"/>
      <c r="Q115" s="79"/>
      <c r="R115" s="79"/>
      <c r="S115" s="16"/>
      <c r="T115" s="82"/>
      <c r="U115" s="14"/>
      <c r="V115" s="14"/>
      <c r="W115" s="84"/>
      <c r="X115" s="83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  <c r="AJ115" s="85"/>
      <c r="AK115" s="85"/>
      <c r="AL115" s="85"/>
      <c r="AM115" s="85"/>
      <c r="AN115" s="85"/>
      <c r="AO115" s="85"/>
      <c r="AP115" s="85"/>
      <c r="AQ115" s="85"/>
      <c r="AR115" s="85"/>
      <c r="AS115" s="85"/>
      <c r="AT115" s="85"/>
      <c r="AU115" s="85"/>
      <c r="AV115" s="85"/>
      <c r="AW115" s="85"/>
      <c r="AX115" s="85"/>
      <c r="AY115" s="85"/>
      <c r="AZ115" s="85"/>
      <c r="BA115" s="85"/>
      <c r="BB115" s="85"/>
      <c r="BC115" s="85"/>
      <c r="BD115" s="85"/>
      <c r="BE115" s="85"/>
      <c r="BF115" s="85"/>
      <c r="BG115" s="85"/>
      <c r="BH115" s="85"/>
      <c r="BI115" s="85"/>
      <c r="BJ115" s="101"/>
      <c r="BK115" s="101"/>
      <c r="BL115" s="101"/>
      <c r="BM115" s="101"/>
      <c r="BN115" s="101"/>
    </row>
    <row r="116" spans="1:66" s="87" customFormat="1" ht="42.75">
      <c r="A116" s="156" t="s">
        <v>157</v>
      </c>
      <c r="B116" s="157" t="s">
        <v>158</v>
      </c>
      <c r="C116" s="156" t="s">
        <v>16</v>
      </c>
      <c r="D116" s="156">
        <v>45.74</v>
      </c>
      <c r="E116" s="156">
        <v>46.2</v>
      </c>
      <c r="F116" s="156">
        <f t="shared" si="46"/>
        <v>2113.1880000000001</v>
      </c>
      <c r="G116" s="156">
        <v>0</v>
      </c>
      <c r="H116" s="155"/>
      <c r="I116" s="156">
        <f t="shared" si="47"/>
        <v>0</v>
      </c>
      <c r="J116" s="156">
        <f t="shared" si="48"/>
        <v>0</v>
      </c>
      <c r="K116" s="156">
        <f t="shared" si="49"/>
        <v>0</v>
      </c>
      <c r="L116" s="156">
        <f t="shared" si="50"/>
        <v>0</v>
      </c>
      <c r="M116" s="188">
        <f t="shared" si="40"/>
        <v>0</v>
      </c>
      <c r="N116" s="81"/>
      <c r="O116" s="7"/>
      <c r="P116" s="79"/>
      <c r="Q116" s="79"/>
      <c r="R116" s="79"/>
      <c r="S116" s="16"/>
      <c r="T116" s="82"/>
      <c r="U116" s="14"/>
      <c r="V116" s="14"/>
      <c r="W116" s="84"/>
      <c r="X116" s="83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85"/>
      <c r="AQ116" s="85"/>
      <c r="AR116" s="85"/>
      <c r="AS116" s="85"/>
      <c r="AT116" s="85"/>
      <c r="AU116" s="85"/>
      <c r="AV116" s="85"/>
      <c r="AW116" s="85"/>
      <c r="AX116" s="85"/>
      <c r="AY116" s="85"/>
      <c r="AZ116" s="85"/>
      <c r="BA116" s="85"/>
      <c r="BB116" s="85"/>
      <c r="BC116" s="85"/>
      <c r="BD116" s="85"/>
      <c r="BE116" s="85"/>
      <c r="BF116" s="85"/>
      <c r="BG116" s="85"/>
      <c r="BH116" s="85"/>
      <c r="BI116" s="85"/>
      <c r="BJ116" s="101"/>
      <c r="BK116" s="101"/>
      <c r="BL116" s="101"/>
      <c r="BM116" s="101"/>
      <c r="BN116" s="101"/>
    </row>
    <row r="117" spans="1:66" s="87" customFormat="1" ht="28.5">
      <c r="A117" s="156" t="s">
        <v>159</v>
      </c>
      <c r="B117" s="157" t="s">
        <v>160</v>
      </c>
      <c r="C117" s="156" t="s">
        <v>16</v>
      </c>
      <c r="D117" s="156">
        <v>381.91</v>
      </c>
      <c r="E117" s="156">
        <v>24.63</v>
      </c>
      <c r="F117" s="156">
        <f t="shared" si="46"/>
        <v>9406.4433000000008</v>
      </c>
      <c r="G117" s="156">
        <v>0</v>
      </c>
      <c r="H117" s="155"/>
      <c r="I117" s="156">
        <f t="shared" si="47"/>
        <v>0</v>
      </c>
      <c r="J117" s="156">
        <f t="shared" si="48"/>
        <v>0</v>
      </c>
      <c r="K117" s="156">
        <f t="shared" si="49"/>
        <v>0</v>
      </c>
      <c r="L117" s="156">
        <f t="shared" si="50"/>
        <v>0</v>
      </c>
      <c r="M117" s="188">
        <f t="shared" si="40"/>
        <v>0</v>
      </c>
      <c r="N117" s="81"/>
      <c r="O117" s="7"/>
      <c r="P117" s="79"/>
      <c r="Q117" s="79"/>
      <c r="R117" s="79"/>
      <c r="S117" s="16"/>
      <c r="T117" s="82"/>
      <c r="U117" s="14"/>
      <c r="V117" s="14"/>
      <c r="W117" s="84"/>
      <c r="X117" s="83"/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85"/>
      <c r="AJ117" s="85"/>
      <c r="AK117" s="85"/>
      <c r="AL117" s="85"/>
      <c r="AM117" s="85"/>
      <c r="AN117" s="85"/>
      <c r="AO117" s="85"/>
      <c r="AP117" s="85"/>
      <c r="AQ117" s="85"/>
      <c r="AR117" s="85"/>
      <c r="AS117" s="85"/>
      <c r="AT117" s="85"/>
      <c r="AU117" s="85"/>
      <c r="AV117" s="85"/>
      <c r="AW117" s="85"/>
      <c r="AX117" s="85"/>
      <c r="AY117" s="85"/>
      <c r="AZ117" s="85"/>
      <c r="BA117" s="85"/>
      <c r="BB117" s="85"/>
      <c r="BC117" s="85"/>
      <c r="BD117" s="85"/>
      <c r="BE117" s="85"/>
      <c r="BF117" s="85"/>
      <c r="BG117" s="85"/>
      <c r="BH117" s="85"/>
      <c r="BI117" s="85"/>
      <c r="BJ117" s="101"/>
      <c r="BK117" s="101"/>
      <c r="BL117" s="101"/>
      <c r="BM117" s="101"/>
      <c r="BN117" s="101"/>
    </row>
    <row r="118" spans="1:66" s="87" customFormat="1" ht="42" customHeight="1">
      <c r="A118" s="156" t="s">
        <v>161</v>
      </c>
      <c r="B118" s="157" t="s">
        <v>162</v>
      </c>
      <c r="C118" s="156" t="s">
        <v>16</v>
      </c>
      <c r="D118" s="156">
        <v>99.37</v>
      </c>
      <c r="E118" s="156">
        <v>59.23</v>
      </c>
      <c r="F118" s="156">
        <f t="shared" si="46"/>
        <v>5885.6850999999997</v>
      </c>
      <c r="G118" s="156">
        <v>0</v>
      </c>
      <c r="H118" s="155">
        <f>'MEMORIA BM 03'!L282</f>
        <v>99.37</v>
      </c>
      <c r="I118" s="156">
        <f t="shared" si="47"/>
        <v>99.37</v>
      </c>
      <c r="J118" s="156">
        <f t="shared" si="48"/>
        <v>0</v>
      </c>
      <c r="K118" s="156">
        <f t="shared" si="49"/>
        <v>5885.6850999999997</v>
      </c>
      <c r="L118" s="156">
        <f t="shared" si="50"/>
        <v>5885.6850999999997</v>
      </c>
      <c r="M118" s="188">
        <f t="shared" si="40"/>
        <v>1</v>
      </c>
      <c r="N118" s="81"/>
      <c r="O118" s="7"/>
      <c r="P118" s="79"/>
      <c r="Q118" s="79"/>
      <c r="R118" s="79"/>
      <c r="S118" s="16"/>
      <c r="T118" s="82"/>
      <c r="U118" s="14"/>
      <c r="V118" s="14"/>
      <c r="W118" s="84"/>
      <c r="X118" s="83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5"/>
      <c r="AJ118" s="85"/>
      <c r="AK118" s="85"/>
      <c r="AL118" s="85"/>
      <c r="AM118" s="85"/>
      <c r="AN118" s="85"/>
      <c r="AO118" s="85"/>
      <c r="AP118" s="85"/>
      <c r="AQ118" s="85"/>
      <c r="AR118" s="85"/>
      <c r="AS118" s="85"/>
      <c r="AT118" s="85"/>
      <c r="AU118" s="85"/>
      <c r="AV118" s="85"/>
      <c r="AW118" s="85"/>
      <c r="AX118" s="85"/>
      <c r="AY118" s="85"/>
      <c r="AZ118" s="85"/>
      <c r="BA118" s="85"/>
      <c r="BB118" s="85"/>
      <c r="BC118" s="85"/>
      <c r="BD118" s="85"/>
      <c r="BE118" s="85"/>
      <c r="BF118" s="85"/>
      <c r="BG118" s="85"/>
      <c r="BH118" s="85"/>
      <c r="BI118" s="85"/>
      <c r="BJ118" s="101"/>
      <c r="BK118" s="101"/>
      <c r="BL118" s="101"/>
      <c r="BM118" s="101"/>
      <c r="BN118" s="101"/>
    </row>
    <row r="119" spans="1:66" s="87" customFormat="1" ht="42.75">
      <c r="A119" s="156" t="s">
        <v>163</v>
      </c>
      <c r="B119" s="157" t="s">
        <v>162</v>
      </c>
      <c r="C119" s="156" t="s">
        <v>16</v>
      </c>
      <c r="D119" s="156">
        <v>6.5</v>
      </c>
      <c r="E119" s="156">
        <v>59.23</v>
      </c>
      <c r="F119" s="156">
        <f t="shared" si="46"/>
        <v>384.995</v>
      </c>
      <c r="G119" s="156">
        <v>0</v>
      </c>
      <c r="H119" s="155"/>
      <c r="I119" s="156">
        <f t="shared" si="47"/>
        <v>0</v>
      </c>
      <c r="J119" s="156">
        <f t="shared" si="48"/>
        <v>0</v>
      </c>
      <c r="K119" s="156">
        <f t="shared" si="49"/>
        <v>0</v>
      </c>
      <c r="L119" s="156">
        <f t="shared" si="50"/>
        <v>0</v>
      </c>
      <c r="M119" s="188">
        <f t="shared" si="40"/>
        <v>0</v>
      </c>
      <c r="N119" s="81"/>
      <c r="O119" s="7"/>
      <c r="P119" s="79"/>
      <c r="Q119" s="79"/>
      <c r="R119" s="79"/>
      <c r="S119" s="16"/>
      <c r="T119" s="82"/>
      <c r="U119" s="14"/>
      <c r="V119" s="14"/>
      <c r="W119" s="84"/>
      <c r="X119" s="83"/>
      <c r="Y119" s="85"/>
      <c r="Z119" s="85"/>
      <c r="AA119" s="85"/>
      <c r="AB119" s="85"/>
      <c r="AC119" s="85"/>
      <c r="AD119" s="85"/>
      <c r="AE119" s="85"/>
      <c r="AF119" s="85"/>
      <c r="AG119" s="85"/>
      <c r="AH119" s="85"/>
      <c r="AI119" s="85"/>
      <c r="AJ119" s="85"/>
      <c r="AK119" s="85"/>
      <c r="AL119" s="85"/>
      <c r="AM119" s="85"/>
      <c r="AN119" s="85"/>
      <c r="AO119" s="85"/>
      <c r="AP119" s="85"/>
      <c r="AQ119" s="85"/>
      <c r="AR119" s="85"/>
      <c r="AS119" s="85"/>
      <c r="AT119" s="85"/>
      <c r="AU119" s="85"/>
      <c r="AV119" s="85"/>
      <c r="AW119" s="85"/>
      <c r="AX119" s="85"/>
      <c r="AY119" s="85"/>
      <c r="AZ119" s="85"/>
      <c r="BA119" s="85"/>
      <c r="BB119" s="85"/>
      <c r="BC119" s="85"/>
      <c r="BD119" s="85"/>
      <c r="BE119" s="85"/>
      <c r="BF119" s="85"/>
      <c r="BG119" s="85"/>
      <c r="BH119" s="85"/>
      <c r="BI119" s="85"/>
      <c r="BJ119" s="101"/>
      <c r="BK119" s="101"/>
      <c r="BL119" s="101"/>
      <c r="BM119" s="101"/>
      <c r="BN119" s="101"/>
    </row>
    <row r="120" spans="1:66" s="87" customFormat="1" ht="28.5">
      <c r="A120" s="156" t="s">
        <v>164</v>
      </c>
      <c r="B120" s="157" t="s">
        <v>165</v>
      </c>
      <c r="C120" s="156" t="s">
        <v>16</v>
      </c>
      <c r="D120" s="156">
        <v>101</v>
      </c>
      <c r="E120" s="156">
        <v>40.619999999999997</v>
      </c>
      <c r="F120" s="156">
        <f t="shared" si="46"/>
        <v>4102.62</v>
      </c>
      <c r="G120" s="156">
        <v>0</v>
      </c>
      <c r="H120" s="155"/>
      <c r="I120" s="156">
        <f t="shared" si="47"/>
        <v>0</v>
      </c>
      <c r="J120" s="156">
        <f t="shared" si="48"/>
        <v>0</v>
      </c>
      <c r="K120" s="156">
        <f t="shared" si="49"/>
        <v>0</v>
      </c>
      <c r="L120" s="156">
        <f t="shared" si="50"/>
        <v>0</v>
      </c>
      <c r="M120" s="188">
        <f t="shared" si="40"/>
        <v>0</v>
      </c>
      <c r="N120" s="81"/>
      <c r="O120" s="7"/>
      <c r="P120" s="79"/>
      <c r="Q120" s="79"/>
      <c r="R120" s="79"/>
      <c r="S120" s="16"/>
      <c r="T120" s="82"/>
      <c r="U120" s="14"/>
      <c r="V120" s="14"/>
      <c r="W120" s="84"/>
      <c r="X120" s="83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5"/>
      <c r="AJ120" s="85"/>
      <c r="AK120" s="85"/>
      <c r="AL120" s="85"/>
      <c r="AM120" s="85"/>
      <c r="AN120" s="85"/>
      <c r="AO120" s="85"/>
      <c r="AP120" s="85"/>
      <c r="AQ120" s="85"/>
      <c r="AR120" s="85"/>
      <c r="AS120" s="85"/>
      <c r="AT120" s="85"/>
      <c r="AU120" s="85"/>
      <c r="AV120" s="85"/>
      <c r="AW120" s="85"/>
      <c r="AX120" s="85"/>
      <c r="AY120" s="85"/>
      <c r="AZ120" s="85"/>
      <c r="BA120" s="85"/>
      <c r="BB120" s="85"/>
      <c r="BC120" s="85"/>
      <c r="BD120" s="85"/>
      <c r="BE120" s="85"/>
      <c r="BF120" s="85"/>
      <c r="BG120" s="85"/>
      <c r="BH120" s="85"/>
      <c r="BI120" s="85"/>
      <c r="BJ120" s="101"/>
      <c r="BK120" s="101"/>
      <c r="BL120" s="101"/>
      <c r="BM120" s="101"/>
      <c r="BN120" s="101"/>
    </row>
    <row r="121" spans="1:66" s="87" customFormat="1" ht="57">
      <c r="A121" s="156" t="s">
        <v>166</v>
      </c>
      <c r="B121" s="157" t="s">
        <v>167</v>
      </c>
      <c r="C121" s="156" t="s">
        <v>7</v>
      </c>
      <c r="D121" s="156">
        <v>1</v>
      </c>
      <c r="E121" s="156">
        <v>293.38</v>
      </c>
      <c r="F121" s="156">
        <f t="shared" si="46"/>
        <v>293.38</v>
      </c>
      <c r="G121" s="156">
        <v>0</v>
      </c>
      <c r="H121" s="155"/>
      <c r="I121" s="156">
        <f t="shared" si="47"/>
        <v>0</v>
      </c>
      <c r="J121" s="156">
        <f t="shared" si="48"/>
        <v>0</v>
      </c>
      <c r="K121" s="156">
        <f t="shared" si="49"/>
        <v>0</v>
      </c>
      <c r="L121" s="156">
        <f t="shared" si="50"/>
        <v>0</v>
      </c>
      <c r="M121" s="188">
        <f t="shared" si="40"/>
        <v>0</v>
      </c>
      <c r="N121" s="81"/>
      <c r="O121" s="7"/>
      <c r="P121" s="79"/>
      <c r="Q121" s="79"/>
      <c r="R121" s="79"/>
      <c r="S121" s="16"/>
      <c r="T121" s="82"/>
      <c r="U121" s="14"/>
      <c r="V121" s="14"/>
      <c r="W121" s="84"/>
      <c r="X121" s="83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  <c r="AJ121" s="85"/>
      <c r="AK121" s="85"/>
      <c r="AL121" s="85"/>
      <c r="AM121" s="85"/>
      <c r="AN121" s="85"/>
      <c r="AO121" s="85"/>
      <c r="AP121" s="85"/>
      <c r="AQ121" s="85"/>
      <c r="AR121" s="85"/>
      <c r="AS121" s="85"/>
      <c r="AT121" s="85"/>
      <c r="AU121" s="85"/>
      <c r="AV121" s="85"/>
      <c r="AW121" s="85"/>
      <c r="AX121" s="85"/>
      <c r="AY121" s="85"/>
      <c r="AZ121" s="85"/>
      <c r="BA121" s="85"/>
      <c r="BB121" s="85"/>
      <c r="BC121" s="85"/>
      <c r="BD121" s="85"/>
      <c r="BE121" s="85"/>
      <c r="BF121" s="85"/>
      <c r="BG121" s="85"/>
      <c r="BH121" s="85"/>
      <c r="BI121" s="85"/>
      <c r="BJ121" s="101"/>
      <c r="BK121" s="101"/>
      <c r="BL121" s="101"/>
      <c r="BM121" s="101"/>
      <c r="BN121" s="101"/>
    </row>
    <row r="122" spans="1:66" s="87" customFormat="1">
      <c r="A122" s="156"/>
      <c r="B122" s="154"/>
      <c r="C122" s="156"/>
      <c r="D122" s="156"/>
      <c r="E122" s="156"/>
      <c r="F122" s="156"/>
      <c r="G122" s="156"/>
      <c r="H122" s="155"/>
      <c r="I122" s="156"/>
      <c r="J122" s="156"/>
      <c r="K122" s="156"/>
      <c r="L122" s="156"/>
      <c r="M122" s="188"/>
      <c r="N122" s="81"/>
      <c r="O122" s="7"/>
      <c r="P122" s="79"/>
      <c r="Q122" s="79"/>
      <c r="R122" s="79"/>
      <c r="S122" s="16"/>
      <c r="T122" s="82"/>
      <c r="U122" s="14"/>
      <c r="V122" s="14"/>
      <c r="W122" s="84"/>
      <c r="X122" s="83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  <c r="AJ122" s="85"/>
      <c r="AK122" s="85"/>
      <c r="AL122" s="85"/>
      <c r="AM122" s="85"/>
      <c r="AN122" s="85"/>
      <c r="AO122" s="85"/>
      <c r="AP122" s="85"/>
      <c r="AQ122" s="85"/>
      <c r="AR122" s="85"/>
      <c r="AS122" s="85"/>
      <c r="AT122" s="85"/>
      <c r="AU122" s="85"/>
      <c r="AV122" s="85"/>
      <c r="AW122" s="85"/>
      <c r="AX122" s="85"/>
      <c r="AY122" s="85"/>
      <c r="AZ122" s="85"/>
      <c r="BA122" s="85"/>
      <c r="BB122" s="85"/>
      <c r="BC122" s="85"/>
      <c r="BD122" s="85"/>
      <c r="BE122" s="85"/>
      <c r="BF122" s="85"/>
      <c r="BG122" s="85"/>
      <c r="BH122" s="85"/>
      <c r="BI122" s="85"/>
      <c r="BJ122" s="101"/>
      <c r="BK122" s="101"/>
      <c r="BL122" s="101"/>
      <c r="BM122" s="101"/>
      <c r="BN122" s="101"/>
    </row>
    <row r="123" spans="1:66" s="87" customFormat="1">
      <c r="A123" s="164" t="s">
        <v>168</v>
      </c>
      <c r="B123" s="165" t="s">
        <v>169</v>
      </c>
      <c r="C123" s="166"/>
      <c r="D123" s="167"/>
      <c r="E123" s="166"/>
      <c r="F123" s="166">
        <f>SUM(F125:F148)</f>
        <v>20524.554999999993</v>
      </c>
      <c r="G123" s="166"/>
      <c r="H123" s="166"/>
      <c r="I123" s="166"/>
      <c r="J123" s="166">
        <f>SUM(J125:J148)</f>
        <v>1191.26</v>
      </c>
      <c r="K123" s="166">
        <f>SUM(K125:K148)</f>
        <v>0</v>
      </c>
      <c r="L123" s="166">
        <f>SUM(L125:L148)</f>
        <v>1191.26</v>
      </c>
      <c r="M123" s="188">
        <f t="shared" si="40"/>
        <v>5.8040722441972573E-2</v>
      </c>
      <c r="N123" s="98"/>
      <c r="O123" s="7"/>
      <c r="P123" s="97"/>
      <c r="Q123" s="97"/>
      <c r="R123" s="79"/>
      <c r="S123" s="16"/>
      <c r="T123" s="82"/>
      <c r="U123" s="14"/>
      <c r="V123" s="14"/>
      <c r="W123" s="84"/>
      <c r="X123" s="83"/>
      <c r="Y123" s="85"/>
      <c r="Z123" s="85"/>
      <c r="AA123" s="85"/>
      <c r="AB123" s="85"/>
      <c r="AC123" s="85"/>
      <c r="AD123" s="85"/>
      <c r="AE123" s="85"/>
      <c r="AF123" s="85"/>
      <c r="AG123" s="85"/>
      <c r="AH123" s="85"/>
      <c r="AI123" s="85"/>
      <c r="AJ123" s="85"/>
      <c r="AK123" s="86"/>
      <c r="AL123" s="86"/>
      <c r="AM123" s="86"/>
      <c r="AN123" s="86"/>
      <c r="AO123" s="86"/>
      <c r="AP123" s="86"/>
      <c r="AQ123" s="86"/>
      <c r="AR123" s="86"/>
      <c r="AS123" s="86"/>
      <c r="AT123" s="86"/>
      <c r="AU123" s="86"/>
      <c r="AV123" s="86"/>
      <c r="AW123" s="86"/>
      <c r="AX123" s="86"/>
      <c r="AY123" s="86"/>
      <c r="AZ123" s="86"/>
      <c r="BA123" s="86"/>
      <c r="BB123" s="86"/>
      <c r="BC123" s="86"/>
      <c r="BD123" s="86"/>
      <c r="BE123" s="86"/>
      <c r="BF123" s="86"/>
      <c r="BG123" s="86"/>
      <c r="BH123" s="86"/>
      <c r="BI123" s="86"/>
    </row>
    <row r="124" spans="1:66" ht="12" customHeight="1">
      <c r="A124" s="156"/>
      <c r="B124" s="154"/>
      <c r="C124" s="156"/>
      <c r="D124" s="156"/>
      <c r="E124" s="156"/>
      <c r="F124" s="156"/>
      <c r="G124" s="156"/>
      <c r="H124" s="156"/>
      <c r="I124" s="156"/>
      <c r="J124" s="156"/>
      <c r="K124" s="156"/>
      <c r="L124" s="156"/>
      <c r="M124" s="188"/>
      <c r="N124" s="81"/>
      <c r="O124" s="7"/>
      <c r="P124" s="80"/>
      <c r="Q124" s="80"/>
      <c r="R124" s="91"/>
      <c r="S124" s="8"/>
      <c r="T124" s="82"/>
      <c r="W124" s="10"/>
      <c r="X124" s="9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</row>
    <row r="125" spans="1:66" s="87" customFormat="1" ht="57">
      <c r="A125" s="156" t="s">
        <v>170</v>
      </c>
      <c r="B125" s="157" t="s">
        <v>167</v>
      </c>
      <c r="C125" s="156" t="s">
        <v>7</v>
      </c>
      <c r="D125" s="155">
        <v>3</v>
      </c>
      <c r="E125" s="156">
        <v>339.22</v>
      </c>
      <c r="F125" s="156">
        <f t="shared" ref="F125:F148" si="51">D125*E125</f>
        <v>1017.6600000000001</v>
      </c>
      <c r="G125" s="156">
        <v>0</v>
      </c>
      <c r="H125" s="156"/>
      <c r="I125" s="156">
        <f t="shared" ref="I125:I148" si="52">G125+H125</f>
        <v>0</v>
      </c>
      <c r="J125" s="156">
        <f t="shared" ref="J125:J148" si="53">E125*G125</f>
        <v>0</v>
      </c>
      <c r="K125" s="156">
        <f t="shared" ref="K125:K148" si="54">H125*E125</f>
        <v>0</v>
      </c>
      <c r="L125" s="156">
        <f t="shared" ref="L125:L148" si="55">J125+K125</f>
        <v>0</v>
      </c>
      <c r="M125" s="188">
        <f t="shared" si="40"/>
        <v>0</v>
      </c>
      <c r="N125" s="81"/>
      <c r="O125" s="7"/>
      <c r="P125" s="79"/>
      <c r="Q125" s="79"/>
      <c r="R125" s="79"/>
      <c r="S125" s="16"/>
      <c r="T125" s="82"/>
      <c r="U125" s="14"/>
      <c r="V125" s="14"/>
      <c r="W125" s="84"/>
      <c r="X125" s="83"/>
      <c r="Y125" s="85"/>
      <c r="Z125" s="85"/>
      <c r="AA125" s="85"/>
      <c r="AB125" s="85"/>
      <c r="AC125" s="85"/>
      <c r="AD125" s="85"/>
      <c r="AE125" s="85"/>
      <c r="AF125" s="85"/>
      <c r="AG125" s="85"/>
      <c r="AH125" s="86"/>
      <c r="AI125" s="86"/>
      <c r="AJ125" s="86"/>
      <c r="AK125" s="86"/>
      <c r="AL125" s="86"/>
      <c r="AM125" s="86"/>
      <c r="AN125" s="86"/>
      <c r="AO125" s="86"/>
      <c r="AP125" s="86"/>
      <c r="AQ125" s="86"/>
      <c r="AR125" s="86"/>
      <c r="AS125" s="86"/>
      <c r="AT125" s="86"/>
      <c r="AU125" s="86"/>
      <c r="AV125" s="86"/>
      <c r="AW125" s="86"/>
      <c r="AX125" s="86"/>
      <c r="AY125" s="86"/>
      <c r="AZ125" s="86"/>
      <c r="BA125" s="86"/>
      <c r="BB125" s="86"/>
      <c r="BC125" s="86"/>
      <c r="BD125" s="86"/>
      <c r="BE125" s="86"/>
      <c r="BF125" s="86"/>
      <c r="BG125" s="86"/>
      <c r="BH125" s="86"/>
      <c r="BI125" s="86"/>
    </row>
    <row r="126" spans="1:66" s="87" customFormat="1" ht="42.75">
      <c r="A126" s="156" t="s">
        <v>171</v>
      </c>
      <c r="B126" s="157" t="s">
        <v>172</v>
      </c>
      <c r="C126" s="156" t="s">
        <v>7</v>
      </c>
      <c r="D126" s="155">
        <v>2</v>
      </c>
      <c r="E126" s="156">
        <v>595.92999999999995</v>
      </c>
      <c r="F126" s="156">
        <f t="shared" si="51"/>
        <v>1191.8599999999999</v>
      </c>
      <c r="G126" s="156">
        <v>0</v>
      </c>
      <c r="H126" s="156"/>
      <c r="I126" s="156">
        <f t="shared" si="52"/>
        <v>0</v>
      </c>
      <c r="J126" s="156">
        <f t="shared" si="53"/>
        <v>0</v>
      </c>
      <c r="K126" s="156">
        <f t="shared" si="54"/>
        <v>0</v>
      </c>
      <c r="L126" s="156">
        <f t="shared" si="55"/>
        <v>0</v>
      </c>
      <c r="M126" s="188">
        <f t="shared" si="40"/>
        <v>0</v>
      </c>
      <c r="N126" s="81"/>
      <c r="O126" s="7"/>
      <c r="P126" s="79"/>
      <c r="Q126" s="79"/>
      <c r="R126" s="79"/>
      <c r="S126" s="16"/>
      <c r="T126" s="82"/>
      <c r="U126" s="14"/>
      <c r="V126" s="14"/>
      <c r="W126" s="84"/>
      <c r="X126" s="83"/>
      <c r="Y126" s="85"/>
      <c r="Z126" s="85"/>
      <c r="AA126" s="85"/>
      <c r="AB126" s="85"/>
      <c r="AC126" s="85"/>
      <c r="AD126" s="85"/>
      <c r="AE126" s="85"/>
      <c r="AF126" s="85"/>
      <c r="AG126" s="85"/>
      <c r="AH126" s="86"/>
      <c r="AI126" s="86"/>
      <c r="AJ126" s="86"/>
      <c r="AK126" s="86"/>
      <c r="AL126" s="86"/>
      <c r="AM126" s="86"/>
      <c r="AN126" s="86"/>
      <c r="AO126" s="86"/>
      <c r="AP126" s="86"/>
      <c r="AQ126" s="86"/>
      <c r="AR126" s="86"/>
      <c r="AS126" s="86"/>
      <c r="AT126" s="86"/>
      <c r="AU126" s="86"/>
      <c r="AV126" s="86"/>
      <c r="AW126" s="86"/>
      <c r="AX126" s="86"/>
      <c r="AY126" s="86"/>
      <c r="AZ126" s="86"/>
      <c r="BA126" s="86"/>
      <c r="BB126" s="86"/>
      <c r="BC126" s="86"/>
      <c r="BD126" s="86"/>
      <c r="BE126" s="86"/>
      <c r="BF126" s="86"/>
      <c r="BG126" s="86"/>
      <c r="BH126" s="86"/>
      <c r="BI126" s="86"/>
    </row>
    <row r="127" spans="1:66" s="87" customFormat="1" ht="28.5">
      <c r="A127" s="156" t="s">
        <v>173</v>
      </c>
      <c r="B127" s="157" t="s">
        <v>174</v>
      </c>
      <c r="C127" s="156" t="s">
        <v>7</v>
      </c>
      <c r="D127" s="155">
        <v>5</v>
      </c>
      <c r="E127" s="156">
        <v>347.61</v>
      </c>
      <c r="F127" s="156">
        <f t="shared" si="51"/>
        <v>1738.0500000000002</v>
      </c>
      <c r="G127" s="156">
        <v>0</v>
      </c>
      <c r="H127" s="156"/>
      <c r="I127" s="156">
        <f t="shared" si="52"/>
        <v>0</v>
      </c>
      <c r="J127" s="156">
        <f t="shared" si="53"/>
        <v>0</v>
      </c>
      <c r="K127" s="156">
        <f t="shared" si="54"/>
        <v>0</v>
      </c>
      <c r="L127" s="156">
        <f t="shared" si="55"/>
        <v>0</v>
      </c>
      <c r="M127" s="188">
        <f t="shared" si="40"/>
        <v>0</v>
      </c>
      <c r="N127" s="81"/>
      <c r="O127" s="7"/>
      <c r="P127" s="79"/>
      <c r="Q127" s="79"/>
      <c r="R127" s="79"/>
      <c r="S127" s="16"/>
      <c r="T127" s="82"/>
      <c r="U127" s="14"/>
      <c r="V127" s="14"/>
      <c r="W127" s="84"/>
      <c r="X127" s="83"/>
      <c r="Y127" s="85"/>
      <c r="Z127" s="85"/>
      <c r="AA127" s="85"/>
      <c r="AB127" s="85"/>
      <c r="AC127" s="85"/>
      <c r="AD127" s="85"/>
      <c r="AE127" s="85"/>
      <c r="AF127" s="85"/>
      <c r="AG127" s="85"/>
      <c r="AH127" s="86"/>
      <c r="AI127" s="86"/>
      <c r="AJ127" s="86"/>
      <c r="AK127" s="86"/>
      <c r="AL127" s="86"/>
      <c r="AM127" s="86"/>
      <c r="AN127" s="86"/>
      <c r="AO127" s="86"/>
      <c r="AP127" s="86"/>
      <c r="AQ127" s="86"/>
      <c r="AR127" s="86"/>
      <c r="AS127" s="86"/>
      <c r="AT127" s="86"/>
      <c r="AU127" s="86"/>
      <c r="AV127" s="86"/>
      <c r="AW127" s="86"/>
      <c r="AX127" s="86"/>
      <c r="AY127" s="86"/>
      <c r="AZ127" s="86"/>
      <c r="BA127" s="86"/>
      <c r="BB127" s="86"/>
      <c r="BC127" s="86"/>
      <c r="BD127" s="86"/>
      <c r="BE127" s="86"/>
      <c r="BF127" s="86"/>
      <c r="BG127" s="86"/>
      <c r="BH127" s="86"/>
      <c r="BI127" s="86"/>
    </row>
    <row r="128" spans="1:66" s="87" customFormat="1" ht="28.5">
      <c r="A128" s="156" t="s">
        <v>175</v>
      </c>
      <c r="B128" s="157" t="s">
        <v>176</v>
      </c>
      <c r="C128" s="156" t="s">
        <v>7</v>
      </c>
      <c r="D128" s="155">
        <v>1</v>
      </c>
      <c r="E128" s="156">
        <v>166.76</v>
      </c>
      <c r="F128" s="156">
        <f t="shared" si="51"/>
        <v>166.76</v>
      </c>
      <c r="G128" s="156">
        <v>0</v>
      </c>
      <c r="H128" s="156"/>
      <c r="I128" s="156">
        <f t="shared" si="52"/>
        <v>0</v>
      </c>
      <c r="J128" s="156">
        <f t="shared" si="53"/>
        <v>0</v>
      </c>
      <c r="K128" s="156">
        <f t="shared" si="54"/>
        <v>0</v>
      </c>
      <c r="L128" s="156">
        <f t="shared" si="55"/>
        <v>0</v>
      </c>
      <c r="M128" s="188">
        <f t="shared" si="40"/>
        <v>0</v>
      </c>
      <c r="N128" s="81"/>
      <c r="O128" s="7"/>
      <c r="P128" s="79"/>
      <c r="Q128" s="79"/>
      <c r="R128" s="79"/>
      <c r="S128" s="16"/>
      <c r="T128" s="82"/>
      <c r="U128" s="14"/>
      <c r="V128" s="14"/>
      <c r="W128" s="84"/>
      <c r="X128" s="83"/>
      <c r="Y128" s="85"/>
      <c r="Z128" s="85"/>
      <c r="AA128" s="85"/>
      <c r="AB128" s="85"/>
      <c r="AC128" s="85"/>
      <c r="AD128" s="85"/>
      <c r="AE128" s="85"/>
      <c r="AF128" s="85"/>
      <c r="AG128" s="85"/>
      <c r="AH128" s="86"/>
      <c r="AI128" s="86"/>
      <c r="AJ128" s="86"/>
      <c r="AK128" s="86"/>
      <c r="AL128" s="86"/>
      <c r="AM128" s="86"/>
      <c r="AN128" s="86"/>
      <c r="AO128" s="86"/>
      <c r="AP128" s="86"/>
      <c r="AQ128" s="86"/>
      <c r="AR128" s="86"/>
      <c r="AS128" s="86"/>
      <c r="AT128" s="86"/>
      <c r="AU128" s="86"/>
      <c r="AV128" s="86"/>
      <c r="AW128" s="86"/>
      <c r="AX128" s="86"/>
      <c r="AY128" s="86"/>
      <c r="AZ128" s="86"/>
      <c r="BA128" s="86"/>
      <c r="BB128" s="86"/>
      <c r="BC128" s="86"/>
      <c r="BD128" s="86"/>
      <c r="BE128" s="86"/>
      <c r="BF128" s="86"/>
      <c r="BG128" s="86"/>
      <c r="BH128" s="86"/>
      <c r="BI128" s="86"/>
    </row>
    <row r="129" spans="1:61" s="87" customFormat="1" ht="57">
      <c r="A129" s="156" t="s">
        <v>177</v>
      </c>
      <c r="B129" s="157" t="s">
        <v>178</v>
      </c>
      <c r="C129" s="156" t="s">
        <v>7</v>
      </c>
      <c r="D129" s="155">
        <v>7</v>
      </c>
      <c r="E129" s="156">
        <v>130.03</v>
      </c>
      <c r="F129" s="156">
        <f t="shared" si="51"/>
        <v>910.21</v>
      </c>
      <c r="G129" s="156">
        <v>0</v>
      </c>
      <c r="H129" s="156"/>
      <c r="I129" s="156">
        <f t="shared" si="52"/>
        <v>0</v>
      </c>
      <c r="J129" s="156">
        <f t="shared" si="53"/>
        <v>0</v>
      </c>
      <c r="K129" s="156">
        <f t="shared" si="54"/>
        <v>0</v>
      </c>
      <c r="L129" s="156">
        <f t="shared" si="55"/>
        <v>0</v>
      </c>
      <c r="M129" s="188">
        <f t="shared" si="40"/>
        <v>0</v>
      </c>
      <c r="N129" s="81"/>
      <c r="O129" s="7"/>
      <c r="P129" s="79"/>
      <c r="Q129" s="79"/>
      <c r="R129" s="79"/>
      <c r="S129" s="16"/>
      <c r="T129" s="82"/>
      <c r="U129" s="14"/>
      <c r="V129" s="14"/>
      <c r="W129" s="84"/>
      <c r="X129" s="83"/>
      <c r="Y129" s="85"/>
      <c r="Z129" s="85"/>
      <c r="AA129" s="85"/>
      <c r="AB129" s="85"/>
      <c r="AC129" s="85"/>
      <c r="AD129" s="85"/>
      <c r="AE129" s="85"/>
      <c r="AF129" s="85"/>
      <c r="AG129" s="85"/>
      <c r="AH129" s="86"/>
      <c r="AI129" s="86"/>
      <c r="AJ129" s="86"/>
      <c r="AK129" s="86"/>
      <c r="AL129" s="86"/>
      <c r="AM129" s="86"/>
      <c r="AN129" s="86"/>
      <c r="AO129" s="86"/>
      <c r="AP129" s="86"/>
      <c r="AQ129" s="86"/>
      <c r="AR129" s="86"/>
      <c r="AS129" s="86"/>
      <c r="AT129" s="86"/>
      <c r="AU129" s="86"/>
      <c r="AV129" s="86"/>
      <c r="AW129" s="86"/>
      <c r="AX129" s="86"/>
      <c r="AY129" s="86"/>
      <c r="AZ129" s="86"/>
      <c r="BA129" s="86"/>
      <c r="BB129" s="86"/>
      <c r="BC129" s="86"/>
      <c r="BD129" s="86"/>
      <c r="BE129" s="86"/>
      <c r="BF129" s="86"/>
      <c r="BG129" s="86"/>
      <c r="BH129" s="86"/>
      <c r="BI129" s="86"/>
    </row>
    <row r="130" spans="1:61" s="87" customFormat="1" ht="28.5">
      <c r="A130" s="156" t="s">
        <v>179</v>
      </c>
      <c r="B130" s="157" t="s">
        <v>180</v>
      </c>
      <c r="C130" s="156" t="s">
        <v>7</v>
      </c>
      <c r="D130" s="155">
        <v>5</v>
      </c>
      <c r="E130" s="156">
        <v>64.959999999999994</v>
      </c>
      <c r="F130" s="156">
        <f t="shared" si="51"/>
        <v>324.79999999999995</v>
      </c>
      <c r="G130" s="156">
        <v>0</v>
      </c>
      <c r="H130" s="156"/>
      <c r="I130" s="156">
        <f t="shared" si="52"/>
        <v>0</v>
      </c>
      <c r="J130" s="156">
        <f t="shared" si="53"/>
        <v>0</v>
      </c>
      <c r="K130" s="156">
        <f t="shared" si="54"/>
        <v>0</v>
      </c>
      <c r="L130" s="156">
        <f t="shared" si="55"/>
        <v>0</v>
      </c>
      <c r="M130" s="188">
        <f t="shared" si="40"/>
        <v>0</v>
      </c>
      <c r="N130" s="81"/>
      <c r="O130" s="7"/>
      <c r="P130" s="79"/>
      <c r="Q130" s="79"/>
      <c r="R130" s="79"/>
      <c r="S130" s="16"/>
      <c r="T130" s="82"/>
      <c r="U130" s="14"/>
      <c r="V130" s="14"/>
      <c r="W130" s="84"/>
      <c r="X130" s="83"/>
      <c r="Y130" s="85"/>
      <c r="Z130" s="85"/>
      <c r="AA130" s="85"/>
      <c r="AB130" s="85"/>
      <c r="AC130" s="85"/>
      <c r="AD130" s="85"/>
      <c r="AE130" s="85"/>
      <c r="AF130" s="85"/>
      <c r="AG130" s="85"/>
      <c r="AH130" s="86"/>
      <c r="AI130" s="86"/>
      <c r="AJ130" s="86"/>
      <c r="AK130" s="86"/>
      <c r="AL130" s="86"/>
      <c r="AM130" s="86"/>
      <c r="AN130" s="86"/>
      <c r="AO130" s="86"/>
      <c r="AP130" s="86"/>
      <c r="AQ130" s="86"/>
      <c r="AR130" s="86"/>
      <c r="AS130" s="86"/>
      <c r="AT130" s="86"/>
      <c r="AU130" s="86"/>
      <c r="AV130" s="86"/>
      <c r="AW130" s="86"/>
      <c r="AX130" s="86"/>
      <c r="AY130" s="86"/>
      <c r="AZ130" s="86"/>
      <c r="BA130" s="86"/>
      <c r="BB130" s="86"/>
      <c r="BC130" s="86"/>
      <c r="BD130" s="86"/>
      <c r="BE130" s="86"/>
      <c r="BF130" s="86"/>
      <c r="BG130" s="86"/>
      <c r="BH130" s="86"/>
      <c r="BI130" s="86"/>
    </row>
    <row r="131" spans="1:61" s="87" customFormat="1" ht="28.5">
      <c r="A131" s="156" t="s">
        <v>181</v>
      </c>
      <c r="B131" s="157" t="s">
        <v>182</v>
      </c>
      <c r="C131" s="156" t="s">
        <v>7</v>
      </c>
      <c r="D131" s="155">
        <v>2</v>
      </c>
      <c r="E131" s="156">
        <v>93.12</v>
      </c>
      <c r="F131" s="156">
        <f t="shared" si="51"/>
        <v>186.24</v>
      </c>
      <c r="G131" s="156">
        <v>0</v>
      </c>
      <c r="H131" s="156"/>
      <c r="I131" s="156">
        <f t="shared" si="52"/>
        <v>0</v>
      </c>
      <c r="J131" s="156">
        <f t="shared" si="53"/>
        <v>0</v>
      </c>
      <c r="K131" s="156">
        <f t="shared" si="54"/>
        <v>0</v>
      </c>
      <c r="L131" s="156">
        <f t="shared" si="55"/>
        <v>0</v>
      </c>
      <c r="M131" s="188">
        <f t="shared" si="40"/>
        <v>0</v>
      </c>
      <c r="N131" s="81"/>
      <c r="O131" s="7"/>
      <c r="P131" s="79"/>
      <c r="Q131" s="79"/>
      <c r="R131" s="79"/>
      <c r="S131" s="16"/>
      <c r="T131" s="82"/>
      <c r="U131" s="14"/>
      <c r="V131" s="14"/>
      <c r="W131" s="84"/>
      <c r="X131" s="83"/>
      <c r="Y131" s="85"/>
      <c r="Z131" s="85"/>
      <c r="AA131" s="85"/>
      <c r="AB131" s="85"/>
      <c r="AC131" s="85"/>
      <c r="AD131" s="85"/>
      <c r="AE131" s="85"/>
      <c r="AF131" s="85"/>
      <c r="AG131" s="85"/>
      <c r="AH131" s="86"/>
      <c r="AI131" s="86"/>
      <c r="AJ131" s="86"/>
      <c r="AK131" s="86"/>
      <c r="AL131" s="86"/>
      <c r="AM131" s="86"/>
      <c r="AN131" s="86"/>
      <c r="AO131" s="86"/>
      <c r="AP131" s="86"/>
      <c r="AQ131" s="86"/>
      <c r="AR131" s="86"/>
      <c r="AS131" s="86"/>
      <c r="AT131" s="86"/>
      <c r="AU131" s="86"/>
      <c r="AV131" s="86"/>
      <c r="AW131" s="86"/>
      <c r="AX131" s="86"/>
      <c r="AY131" s="86"/>
      <c r="AZ131" s="86"/>
      <c r="BA131" s="86"/>
      <c r="BB131" s="86"/>
      <c r="BC131" s="86"/>
      <c r="BD131" s="86"/>
      <c r="BE131" s="86"/>
      <c r="BF131" s="86"/>
      <c r="BG131" s="86"/>
      <c r="BH131" s="86"/>
      <c r="BI131" s="86"/>
    </row>
    <row r="132" spans="1:61" s="87" customFormat="1" ht="28.5">
      <c r="A132" s="156" t="s">
        <v>183</v>
      </c>
      <c r="B132" s="157" t="s">
        <v>184</v>
      </c>
      <c r="C132" s="156" t="s">
        <v>7</v>
      </c>
      <c r="D132" s="155">
        <v>5</v>
      </c>
      <c r="E132" s="156">
        <v>83.07</v>
      </c>
      <c r="F132" s="156">
        <f t="shared" si="51"/>
        <v>415.34999999999997</v>
      </c>
      <c r="G132" s="156">
        <v>0</v>
      </c>
      <c r="H132" s="156"/>
      <c r="I132" s="156">
        <f t="shared" si="52"/>
        <v>0</v>
      </c>
      <c r="J132" s="156">
        <f t="shared" si="53"/>
        <v>0</v>
      </c>
      <c r="K132" s="156">
        <f t="shared" si="54"/>
        <v>0</v>
      </c>
      <c r="L132" s="156">
        <f t="shared" si="55"/>
        <v>0</v>
      </c>
      <c r="M132" s="188">
        <f t="shared" si="40"/>
        <v>0</v>
      </c>
      <c r="N132" s="81"/>
      <c r="O132" s="7"/>
      <c r="P132" s="79"/>
      <c r="Q132" s="79"/>
      <c r="R132" s="79"/>
      <c r="S132" s="16"/>
      <c r="T132" s="82"/>
      <c r="U132" s="14"/>
      <c r="V132" s="14"/>
      <c r="W132" s="84"/>
      <c r="X132" s="83"/>
      <c r="Y132" s="85"/>
      <c r="Z132" s="85"/>
      <c r="AA132" s="85"/>
      <c r="AB132" s="85"/>
      <c r="AC132" s="85"/>
      <c r="AD132" s="85"/>
      <c r="AE132" s="85"/>
      <c r="AF132" s="85"/>
      <c r="AG132" s="85"/>
      <c r="AH132" s="86"/>
      <c r="AI132" s="86"/>
      <c r="AJ132" s="86"/>
      <c r="AK132" s="86"/>
      <c r="AL132" s="86"/>
      <c r="AM132" s="86"/>
      <c r="AN132" s="86"/>
      <c r="AO132" s="86"/>
      <c r="AP132" s="86"/>
      <c r="AQ132" s="86"/>
      <c r="AR132" s="86"/>
      <c r="AS132" s="86"/>
      <c r="AT132" s="86"/>
      <c r="AU132" s="86"/>
      <c r="AV132" s="86"/>
      <c r="AW132" s="86"/>
      <c r="AX132" s="86"/>
      <c r="AY132" s="86"/>
      <c r="AZ132" s="86"/>
      <c r="BA132" s="86"/>
      <c r="BB132" s="86"/>
      <c r="BC132" s="86"/>
      <c r="BD132" s="86"/>
      <c r="BE132" s="86"/>
      <c r="BF132" s="86"/>
      <c r="BG132" s="86"/>
      <c r="BH132" s="86"/>
      <c r="BI132" s="86"/>
    </row>
    <row r="133" spans="1:61" s="87" customFormat="1" ht="28.5">
      <c r="A133" s="156" t="s">
        <v>185</v>
      </c>
      <c r="B133" s="157" t="s">
        <v>186</v>
      </c>
      <c r="C133" s="156" t="s">
        <v>7</v>
      </c>
      <c r="D133" s="155">
        <v>2</v>
      </c>
      <c r="E133" s="156">
        <v>37.409999999999997</v>
      </c>
      <c r="F133" s="156">
        <f t="shared" si="51"/>
        <v>74.819999999999993</v>
      </c>
      <c r="G133" s="156">
        <v>0</v>
      </c>
      <c r="H133" s="156"/>
      <c r="I133" s="156">
        <f t="shared" si="52"/>
        <v>0</v>
      </c>
      <c r="J133" s="156">
        <f t="shared" si="53"/>
        <v>0</v>
      </c>
      <c r="K133" s="156">
        <f t="shared" si="54"/>
        <v>0</v>
      </c>
      <c r="L133" s="156">
        <f t="shared" si="55"/>
        <v>0</v>
      </c>
      <c r="M133" s="188">
        <f t="shared" si="40"/>
        <v>0</v>
      </c>
      <c r="N133" s="81"/>
      <c r="O133" s="7"/>
      <c r="P133" s="79"/>
      <c r="Q133" s="79"/>
      <c r="R133" s="79"/>
      <c r="S133" s="16"/>
      <c r="T133" s="82"/>
      <c r="U133" s="14"/>
      <c r="V133" s="14"/>
      <c r="W133" s="84"/>
      <c r="X133" s="83"/>
      <c r="Y133" s="85"/>
      <c r="Z133" s="85"/>
      <c r="AA133" s="85"/>
      <c r="AB133" s="85"/>
      <c r="AC133" s="85"/>
      <c r="AD133" s="85"/>
      <c r="AE133" s="85"/>
      <c r="AF133" s="85"/>
      <c r="AG133" s="85"/>
      <c r="AH133" s="86"/>
      <c r="AI133" s="86"/>
      <c r="AJ133" s="86"/>
      <c r="AK133" s="86"/>
      <c r="AL133" s="86"/>
      <c r="AM133" s="86"/>
      <c r="AN133" s="86"/>
      <c r="AO133" s="86"/>
      <c r="AP133" s="86"/>
      <c r="AQ133" s="86"/>
      <c r="AR133" s="86"/>
      <c r="AS133" s="86"/>
      <c r="AT133" s="86"/>
      <c r="AU133" s="86"/>
      <c r="AV133" s="86"/>
      <c r="AW133" s="86"/>
      <c r="AX133" s="86"/>
      <c r="AY133" s="86"/>
      <c r="AZ133" s="86"/>
      <c r="BA133" s="86"/>
      <c r="BB133" s="86"/>
      <c r="BC133" s="86"/>
      <c r="BD133" s="86"/>
      <c r="BE133" s="86"/>
      <c r="BF133" s="86"/>
      <c r="BG133" s="86"/>
      <c r="BH133" s="86"/>
      <c r="BI133" s="86"/>
    </row>
    <row r="134" spans="1:61" s="87" customFormat="1">
      <c r="A134" s="156" t="s">
        <v>187</v>
      </c>
      <c r="B134" s="158" t="s">
        <v>188</v>
      </c>
      <c r="C134" s="156" t="s">
        <v>7</v>
      </c>
      <c r="D134" s="155">
        <v>3</v>
      </c>
      <c r="E134" s="156">
        <v>25.29</v>
      </c>
      <c r="F134" s="156">
        <f t="shared" si="51"/>
        <v>75.87</v>
      </c>
      <c r="G134" s="156">
        <v>0</v>
      </c>
      <c r="H134" s="156"/>
      <c r="I134" s="156">
        <f t="shared" si="52"/>
        <v>0</v>
      </c>
      <c r="J134" s="156">
        <f t="shared" si="53"/>
        <v>0</v>
      </c>
      <c r="K134" s="156">
        <f t="shared" si="54"/>
        <v>0</v>
      </c>
      <c r="L134" s="156">
        <f t="shared" si="55"/>
        <v>0</v>
      </c>
      <c r="M134" s="188">
        <f t="shared" si="40"/>
        <v>0</v>
      </c>
      <c r="N134" s="81"/>
      <c r="O134" s="7"/>
      <c r="P134" s="79"/>
      <c r="Q134" s="79"/>
      <c r="R134" s="79"/>
      <c r="S134" s="16"/>
      <c r="T134" s="82"/>
      <c r="U134" s="14"/>
      <c r="V134" s="14"/>
      <c r="W134" s="84"/>
      <c r="X134" s="83"/>
      <c r="Y134" s="85"/>
      <c r="Z134" s="85"/>
      <c r="AA134" s="85"/>
      <c r="AB134" s="85"/>
      <c r="AC134" s="85"/>
      <c r="AD134" s="85"/>
      <c r="AE134" s="85"/>
      <c r="AF134" s="85"/>
      <c r="AG134" s="85"/>
      <c r="AH134" s="86"/>
      <c r="AI134" s="86"/>
      <c r="AJ134" s="86"/>
      <c r="AK134" s="86"/>
      <c r="AL134" s="86"/>
      <c r="AM134" s="86"/>
      <c r="AN134" s="86"/>
      <c r="AO134" s="86"/>
      <c r="AP134" s="86"/>
      <c r="AQ134" s="86"/>
      <c r="AR134" s="86"/>
      <c r="AS134" s="86"/>
      <c r="AT134" s="86"/>
      <c r="AU134" s="86"/>
      <c r="AV134" s="86"/>
      <c r="AW134" s="86"/>
      <c r="AX134" s="86"/>
      <c r="AY134" s="86"/>
      <c r="AZ134" s="86"/>
      <c r="BA134" s="86"/>
      <c r="BB134" s="86"/>
      <c r="BC134" s="86"/>
      <c r="BD134" s="86"/>
      <c r="BE134" s="86"/>
      <c r="BF134" s="86"/>
      <c r="BG134" s="86"/>
      <c r="BH134" s="86"/>
      <c r="BI134" s="86"/>
    </row>
    <row r="135" spans="1:61" s="87" customFormat="1">
      <c r="A135" s="156" t="s">
        <v>189</v>
      </c>
      <c r="B135" s="158" t="s">
        <v>190</v>
      </c>
      <c r="C135" s="156" t="s">
        <v>7</v>
      </c>
      <c r="D135" s="155">
        <v>1</v>
      </c>
      <c r="E135" s="156">
        <v>16.079999999999998</v>
      </c>
      <c r="F135" s="156">
        <f t="shared" si="51"/>
        <v>16.079999999999998</v>
      </c>
      <c r="G135" s="156">
        <v>0</v>
      </c>
      <c r="H135" s="156"/>
      <c r="I135" s="156">
        <f t="shared" si="52"/>
        <v>0</v>
      </c>
      <c r="J135" s="156">
        <f t="shared" si="53"/>
        <v>0</v>
      </c>
      <c r="K135" s="156">
        <f t="shared" si="54"/>
        <v>0</v>
      </c>
      <c r="L135" s="156">
        <f t="shared" si="55"/>
        <v>0</v>
      </c>
      <c r="M135" s="188">
        <f t="shared" si="40"/>
        <v>0</v>
      </c>
      <c r="N135" s="81"/>
      <c r="O135" s="7"/>
      <c r="P135" s="79"/>
      <c r="Q135" s="79"/>
      <c r="R135" s="79"/>
      <c r="S135" s="16"/>
      <c r="T135" s="82"/>
      <c r="U135" s="14"/>
      <c r="V135" s="14"/>
      <c r="W135" s="84"/>
      <c r="X135" s="83"/>
      <c r="Y135" s="85"/>
      <c r="Z135" s="85"/>
      <c r="AA135" s="85"/>
      <c r="AB135" s="85"/>
      <c r="AC135" s="85"/>
      <c r="AD135" s="85"/>
      <c r="AE135" s="85"/>
      <c r="AF135" s="85"/>
      <c r="AG135" s="85"/>
      <c r="AH135" s="86"/>
      <c r="AI135" s="86"/>
      <c r="AJ135" s="86"/>
      <c r="AK135" s="86"/>
      <c r="AL135" s="86"/>
      <c r="AM135" s="86"/>
      <c r="AN135" s="86"/>
      <c r="AO135" s="86"/>
      <c r="AP135" s="86"/>
      <c r="AQ135" s="86"/>
      <c r="AR135" s="86"/>
      <c r="AS135" s="86"/>
      <c r="AT135" s="86"/>
      <c r="AU135" s="86"/>
      <c r="AV135" s="86"/>
      <c r="AW135" s="86"/>
      <c r="AX135" s="86"/>
      <c r="AY135" s="86"/>
      <c r="AZ135" s="86"/>
      <c r="BA135" s="86"/>
      <c r="BB135" s="86"/>
      <c r="BC135" s="86"/>
      <c r="BD135" s="86"/>
      <c r="BE135" s="86"/>
      <c r="BF135" s="86"/>
      <c r="BG135" s="86"/>
      <c r="BH135" s="86"/>
      <c r="BI135" s="86"/>
    </row>
    <row r="136" spans="1:61" s="87" customFormat="1" ht="28.5">
      <c r="A136" s="156" t="s">
        <v>191</v>
      </c>
      <c r="B136" s="157" t="s">
        <v>192</v>
      </c>
      <c r="C136" s="156" t="s">
        <v>7</v>
      </c>
      <c r="D136" s="155">
        <v>5</v>
      </c>
      <c r="E136" s="156">
        <v>62.9</v>
      </c>
      <c r="F136" s="156">
        <f t="shared" si="51"/>
        <v>314.5</v>
      </c>
      <c r="G136" s="156">
        <v>0</v>
      </c>
      <c r="H136" s="156"/>
      <c r="I136" s="156">
        <f t="shared" si="52"/>
        <v>0</v>
      </c>
      <c r="J136" s="156">
        <f t="shared" si="53"/>
        <v>0</v>
      </c>
      <c r="K136" s="156">
        <f t="shared" si="54"/>
        <v>0</v>
      </c>
      <c r="L136" s="156">
        <f t="shared" si="55"/>
        <v>0</v>
      </c>
      <c r="M136" s="188">
        <f t="shared" si="40"/>
        <v>0</v>
      </c>
      <c r="N136" s="81"/>
      <c r="O136" s="7"/>
      <c r="P136" s="79"/>
      <c r="Q136" s="79"/>
      <c r="R136" s="79"/>
      <c r="S136" s="16"/>
      <c r="T136" s="82"/>
      <c r="U136" s="14"/>
      <c r="V136" s="14"/>
      <c r="W136" s="84"/>
      <c r="X136" s="83"/>
      <c r="Y136" s="85"/>
      <c r="Z136" s="85"/>
      <c r="AA136" s="85"/>
      <c r="AB136" s="85"/>
      <c r="AC136" s="85"/>
      <c r="AD136" s="85"/>
      <c r="AE136" s="85"/>
      <c r="AF136" s="85"/>
      <c r="AG136" s="85"/>
      <c r="AH136" s="86"/>
      <c r="AI136" s="86"/>
      <c r="AJ136" s="86"/>
      <c r="AK136" s="86"/>
      <c r="AL136" s="86"/>
      <c r="AM136" s="86"/>
      <c r="AN136" s="86"/>
      <c r="AO136" s="86"/>
      <c r="AP136" s="86"/>
      <c r="AQ136" s="86"/>
      <c r="AR136" s="86"/>
      <c r="AS136" s="86"/>
      <c r="AT136" s="86"/>
      <c r="AU136" s="86"/>
      <c r="AV136" s="86"/>
      <c r="AW136" s="86"/>
      <c r="AX136" s="86"/>
      <c r="AY136" s="86"/>
      <c r="AZ136" s="86"/>
      <c r="BA136" s="86"/>
      <c r="BB136" s="86"/>
      <c r="BC136" s="86"/>
      <c r="BD136" s="86"/>
      <c r="BE136" s="86"/>
      <c r="BF136" s="86"/>
      <c r="BG136" s="86"/>
      <c r="BH136" s="86"/>
      <c r="BI136" s="86"/>
    </row>
    <row r="137" spans="1:61" s="87" customFormat="1">
      <c r="A137" s="156" t="s">
        <v>193</v>
      </c>
      <c r="B137" s="158" t="s">
        <v>194</v>
      </c>
      <c r="C137" s="156" t="s">
        <v>7</v>
      </c>
      <c r="D137" s="155">
        <v>5</v>
      </c>
      <c r="E137" s="156">
        <v>40.880000000000003</v>
      </c>
      <c r="F137" s="156">
        <f t="shared" si="51"/>
        <v>204.4</v>
      </c>
      <c r="G137" s="156">
        <v>0</v>
      </c>
      <c r="H137" s="156"/>
      <c r="I137" s="156">
        <f t="shared" si="52"/>
        <v>0</v>
      </c>
      <c r="J137" s="156">
        <f t="shared" si="53"/>
        <v>0</v>
      </c>
      <c r="K137" s="156">
        <f t="shared" si="54"/>
        <v>0</v>
      </c>
      <c r="L137" s="156">
        <f t="shared" si="55"/>
        <v>0</v>
      </c>
      <c r="M137" s="188">
        <f t="shared" si="40"/>
        <v>0</v>
      </c>
      <c r="N137" s="81"/>
      <c r="O137" s="7"/>
      <c r="P137" s="79"/>
      <c r="Q137" s="79"/>
      <c r="R137" s="79"/>
      <c r="S137" s="16"/>
      <c r="T137" s="82"/>
      <c r="U137" s="14"/>
      <c r="V137" s="14"/>
      <c r="W137" s="84"/>
      <c r="X137" s="83"/>
      <c r="Y137" s="85"/>
      <c r="Z137" s="85"/>
      <c r="AA137" s="85"/>
      <c r="AB137" s="85"/>
      <c r="AC137" s="85"/>
      <c r="AD137" s="85"/>
      <c r="AE137" s="85"/>
      <c r="AF137" s="85"/>
      <c r="AG137" s="85"/>
      <c r="AH137" s="86"/>
      <c r="AI137" s="86"/>
      <c r="AJ137" s="86"/>
      <c r="AK137" s="86"/>
      <c r="AL137" s="86"/>
      <c r="AM137" s="86"/>
      <c r="AN137" s="86"/>
      <c r="AO137" s="86"/>
      <c r="AP137" s="86"/>
      <c r="AQ137" s="86"/>
      <c r="AR137" s="86"/>
      <c r="AS137" s="86"/>
      <c r="AT137" s="86"/>
      <c r="AU137" s="86"/>
      <c r="AV137" s="86"/>
      <c r="AW137" s="86"/>
      <c r="AX137" s="86"/>
      <c r="AY137" s="86"/>
      <c r="AZ137" s="86"/>
      <c r="BA137" s="86"/>
      <c r="BB137" s="86"/>
      <c r="BC137" s="86"/>
      <c r="BD137" s="86"/>
      <c r="BE137" s="86"/>
      <c r="BF137" s="86"/>
      <c r="BG137" s="86"/>
      <c r="BH137" s="86"/>
      <c r="BI137" s="86"/>
    </row>
    <row r="138" spans="1:61" s="87" customFormat="1">
      <c r="A138" s="156" t="s">
        <v>195</v>
      </c>
      <c r="B138" s="158" t="s">
        <v>196</v>
      </c>
      <c r="C138" s="156" t="s">
        <v>7</v>
      </c>
      <c r="D138" s="155">
        <v>5</v>
      </c>
      <c r="E138" s="156">
        <v>52.81</v>
      </c>
      <c r="F138" s="156">
        <f t="shared" si="51"/>
        <v>264.05</v>
      </c>
      <c r="G138" s="156">
        <v>0</v>
      </c>
      <c r="H138" s="156"/>
      <c r="I138" s="156">
        <f t="shared" si="52"/>
        <v>0</v>
      </c>
      <c r="J138" s="156">
        <f t="shared" si="53"/>
        <v>0</v>
      </c>
      <c r="K138" s="156">
        <f t="shared" si="54"/>
        <v>0</v>
      </c>
      <c r="L138" s="156">
        <f t="shared" si="55"/>
        <v>0</v>
      </c>
      <c r="M138" s="188">
        <f t="shared" si="40"/>
        <v>0</v>
      </c>
      <c r="N138" s="81"/>
      <c r="O138" s="7"/>
      <c r="P138" s="79"/>
      <c r="Q138" s="79"/>
      <c r="R138" s="79"/>
      <c r="S138" s="16"/>
      <c r="T138" s="82"/>
      <c r="U138" s="14"/>
      <c r="V138" s="14"/>
      <c r="W138" s="84"/>
      <c r="X138" s="83"/>
      <c r="Y138" s="85"/>
      <c r="Z138" s="85"/>
      <c r="AA138" s="85"/>
      <c r="AB138" s="85"/>
      <c r="AC138" s="85"/>
      <c r="AD138" s="85"/>
      <c r="AE138" s="85"/>
      <c r="AF138" s="85"/>
      <c r="AG138" s="85"/>
      <c r="AH138" s="86"/>
      <c r="AI138" s="86"/>
      <c r="AJ138" s="86"/>
      <c r="AK138" s="86"/>
      <c r="AL138" s="86"/>
      <c r="AM138" s="86"/>
      <c r="AN138" s="86"/>
      <c r="AO138" s="86"/>
      <c r="AP138" s="86"/>
      <c r="AQ138" s="86"/>
      <c r="AR138" s="86"/>
      <c r="AS138" s="86"/>
      <c r="AT138" s="86"/>
      <c r="AU138" s="86"/>
      <c r="AV138" s="86"/>
      <c r="AW138" s="86"/>
      <c r="AX138" s="86"/>
      <c r="AY138" s="86"/>
      <c r="AZ138" s="86"/>
      <c r="BA138" s="86"/>
      <c r="BB138" s="86"/>
      <c r="BC138" s="86"/>
      <c r="BD138" s="86"/>
      <c r="BE138" s="86"/>
      <c r="BF138" s="86"/>
      <c r="BG138" s="86"/>
      <c r="BH138" s="86"/>
      <c r="BI138" s="86"/>
    </row>
    <row r="139" spans="1:61" s="87" customFormat="1" ht="42.75">
      <c r="A139" s="156" t="s">
        <v>197</v>
      </c>
      <c r="B139" s="157" t="s">
        <v>198</v>
      </c>
      <c r="C139" s="156" t="s">
        <v>7</v>
      </c>
      <c r="D139" s="155">
        <v>7</v>
      </c>
      <c r="E139" s="156">
        <v>7</v>
      </c>
      <c r="F139" s="156">
        <f t="shared" si="51"/>
        <v>49</v>
      </c>
      <c r="G139" s="156">
        <v>0</v>
      </c>
      <c r="H139" s="156"/>
      <c r="I139" s="156">
        <f t="shared" si="52"/>
        <v>0</v>
      </c>
      <c r="J139" s="156">
        <f t="shared" si="53"/>
        <v>0</v>
      </c>
      <c r="K139" s="156">
        <f t="shared" si="54"/>
        <v>0</v>
      </c>
      <c r="L139" s="156">
        <f t="shared" si="55"/>
        <v>0</v>
      </c>
      <c r="M139" s="188">
        <f t="shared" si="40"/>
        <v>0</v>
      </c>
      <c r="N139" s="81"/>
      <c r="O139" s="7"/>
      <c r="P139" s="79"/>
      <c r="Q139" s="79"/>
      <c r="R139" s="79"/>
      <c r="S139" s="16"/>
      <c r="T139" s="82"/>
      <c r="U139" s="14"/>
      <c r="V139" s="14"/>
      <c r="W139" s="84"/>
      <c r="X139" s="83"/>
      <c r="Y139" s="85"/>
      <c r="Z139" s="85"/>
      <c r="AA139" s="85"/>
      <c r="AB139" s="85"/>
      <c r="AC139" s="85"/>
      <c r="AD139" s="85"/>
      <c r="AE139" s="85"/>
      <c r="AF139" s="85"/>
      <c r="AG139" s="85"/>
      <c r="AH139" s="86"/>
      <c r="AI139" s="86"/>
      <c r="AJ139" s="86"/>
      <c r="AK139" s="86"/>
      <c r="AL139" s="86"/>
      <c r="AM139" s="86"/>
      <c r="AN139" s="86"/>
      <c r="AO139" s="86"/>
      <c r="AP139" s="86"/>
      <c r="AQ139" s="86"/>
      <c r="AR139" s="86"/>
      <c r="AS139" s="86"/>
      <c r="AT139" s="86"/>
      <c r="AU139" s="86"/>
      <c r="AV139" s="86"/>
      <c r="AW139" s="86"/>
      <c r="AX139" s="86"/>
      <c r="AY139" s="86"/>
      <c r="AZ139" s="86"/>
      <c r="BA139" s="86"/>
      <c r="BB139" s="86"/>
      <c r="BC139" s="86"/>
      <c r="BD139" s="86"/>
      <c r="BE139" s="86"/>
      <c r="BF139" s="86"/>
      <c r="BG139" s="86"/>
      <c r="BH139" s="86"/>
      <c r="BI139" s="86"/>
    </row>
    <row r="140" spans="1:61" s="87" customFormat="1" ht="28.5">
      <c r="A140" s="156" t="s">
        <v>199</v>
      </c>
      <c r="B140" s="157" t="s">
        <v>200</v>
      </c>
      <c r="C140" s="156" t="s">
        <v>7</v>
      </c>
      <c r="D140" s="155">
        <v>2</v>
      </c>
      <c r="E140" s="156">
        <v>144.46</v>
      </c>
      <c r="F140" s="156">
        <f t="shared" si="51"/>
        <v>288.92</v>
      </c>
      <c r="G140" s="156">
        <v>0</v>
      </c>
      <c r="H140" s="156"/>
      <c r="I140" s="156">
        <f t="shared" si="52"/>
        <v>0</v>
      </c>
      <c r="J140" s="156">
        <f t="shared" si="53"/>
        <v>0</v>
      </c>
      <c r="K140" s="156">
        <f t="shared" si="54"/>
        <v>0</v>
      </c>
      <c r="L140" s="156">
        <f t="shared" si="55"/>
        <v>0</v>
      </c>
      <c r="M140" s="188">
        <f t="shared" si="40"/>
        <v>0</v>
      </c>
      <c r="N140" s="81"/>
      <c r="O140" s="7"/>
      <c r="P140" s="79"/>
      <c r="Q140" s="79"/>
      <c r="R140" s="79"/>
      <c r="S140" s="16"/>
      <c r="T140" s="82"/>
      <c r="U140" s="14"/>
      <c r="V140" s="14"/>
      <c r="W140" s="84"/>
      <c r="X140" s="83"/>
      <c r="Y140" s="85"/>
      <c r="Z140" s="85"/>
      <c r="AA140" s="85"/>
      <c r="AB140" s="85"/>
      <c r="AC140" s="85"/>
      <c r="AD140" s="85"/>
      <c r="AE140" s="85"/>
      <c r="AF140" s="85"/>
      <c r="AG140" s="85"/>
      <c r="AH140" s="86"/>
      <c r="AI140" s="86"/>
      <c r="AJ140" s="86"/>
      <c r="AK140" s="86"/>
      <c r="AL140" s="86"/>
      <c r="AM140" s="86"/>
      <c r="AN140" s="86"/>
      <c r="AO140" s="86"/>
      <c r="AP140" s="86"/>
      <c r="AQ140" s="86"/>
      <c r="AR140" s="86"/>
      <c r="AS140" s="86"/>
      <c r="AT140" s="86"/>
      <c r="AU140" s="86"/>
      <c r="AV140" s="86"/>
      <c r="AW140" s="86"/>
      <c r="AX140" s="86"/>
      <c r="AY140" s="86"/>
      <c r="AZ140" s="86"/>
      <c r="BA140" s="86"/>
      <c r="BB140" s="86"/>
      <c r="BC140" s="86"/>
      <c r="BD140" s="86"/>
      <c r="BE140" s="86"/>
      <c r="BF140" s="86"/>
      <c r="BG140" s="86"/>
      <c r="BH140" s="86"/>
      <c r="BI140" s="86"/>
    </row>
    <row r="141" spans="1:61" s="87" customFormat="1" ht="28.5">
      <c r="A141" s="156" t="s">
        <v>201</v>
      </c>
      <c r="B141" s="157" t="s">
        <v>202</v>
      </c>
      <c r="C141" s="156" t="s">
        <v>7</v>
      </c>
      <c r="D141" s="155">
        <v>1</v>
      </c>
      <c r="E141" s="156">
        <v>159.54</v>
      </c>
      <c r="F141" s="156">
        <f t="shared" si="51"/>
        <v>159.54</v>
      </c>
      <c r="G141" s="156">
        <v>0</v>
      </c>
      <c r="H141" s="156"/>
      <c r="I141" s="156">
        <f t="shared" si="52"/>
        <v>0</v>
      </c>
      <c r="J141" s="156">
        <f t="shared" si="53"/>
        <v>0</v>
      </c>
      <c r="K141" s="156">
        <f t="shared" si="54"/>
        <v>0</v>
      </c>
      <c r="L141" s="156">
        <f t="shared" si="55"/>
        <v>0</v>
      </c>
      <c r="M141" s="188">
        <f t="shared" si="40"/>
        <v>0</v>
      </c>
      <c r="N141" s="81"/>
      <c r="O141" s="7"/>
      <c r="P141" s="79"/>
      <c r="Q141" s="79"/>
      <c r="R141" s="79"/>
      <c r="S141" s="16"/>
      <c r="T141" s="82"/>
      <c r="U141" s="14"/>
      <c r="V141" s="14"/>
      <c r="W141" s="84"/>
      <c r="X141" s="83"/>
      <c r="Y141" s="85"/>
      <c r="Z141" s="85"/>
      <c r="AA141" s="85"/>
      <c r="AB141" s="85"/>
      <c r="AC141" s="85"/>
      <c r="AD141" s="85"/>
      <c r="AE141" s="85"/>
      <c r="AF141" s="85"/>
      <c r="AG141" s="85"/>
      <c r="AH141" s="86"/>
      <c r="AI141" s="86"/>
      <c r="AJ141" s="86"/>
      <c r="AK141" s="86"/>
      <c r="AL141" s="86"/>
      <c r="AM141" s="86"/>
      <c r="AN141" s="86"/>
      <c r="AO141" s="86"/>
      <c r="AP141" s="86"/>
      <c r="AQ141" s="86"/>
      <c r="AR141" s="86"/>
      <c r="AS141" s="86"/>
      <c r="AT141" s="86"/>
      <c r="AU141" s="86"/>
      <c r="AV141" s="86"/>
      <c r="AW141" s="86"/>
      <c r="AX141" s="86"/>
      <c r="AY141" s="86"/>
      <c r="AZ141" s="86"/>
      <c r="BA141" s="86"/>
      <c r="BB141" s="86"/>
      <c r="BC141" s="86"/>
      <c r="BD141" s="86"/>
      <c r="BE141" s="86"/>
      <c r="BF141" s="86"/>
      <c r="BG141" s="86"/>
      <c r="BH141" s="86"/>
      <c r="BI141" s="86"/>
    </row>
    <row r="142" spans="1:61" s="87" customFormat="1">
      <c r="A142" s="156" t="s">
        <v>203</v>
      </c>
      <c r="B142" s="158" t="s">
        <v>204</v>
      </c>
      <c r="C142" s="156" t="s">
        <v>16</v>
      </c>
      <c r="D142" s="155">
        <v>3.2</v>
      </c>
      <c r="E142" s="156">
        <v>350.43</v>
      </c>
      <c r="F142" s="156">
        <f t="shared" si="51"/>
        <v>1121.376</v>
      </c>
      <c r="G142" s="156">
        <v>0</v>
      </c>
      <c r="H142" s="156"/>
      <c r="I142" s="156">
        <f t="shared" si="52"/>
        <v>0</v>
      </c>
      <c r="J142" s="156">
        <f t="shared" si="53"/>
        <v>0</v>
      </c>
      <c r="K142" s="156">
        <f t="shared" si="54"/>
        <v>0</v>
      </c>
      <c r="L142" s="156">
        <f t="shared" si="55"/>
        <v>0</v>
      </c>
      <c r="M142" s="188">
        <f t="shared" si="40"/>
        <v>0</v>
      </c>
      <c r="N142" s="81"/>
      <c r="O142" s="7"/>
      <c r="P142" s="79"/>
      <c r="Q142" s="79"/>
      <c r="R142" s="79"/>
      <c r="S142" s="16"/>
      <c r="T142" s="82"/>
      <c r="U142" s="14"/>
      <c r="V142" s="14"/>
      <c r="W142" s="84"/>
      <c r="X142" s="83"/>
      <c r="Y142" s="85"/>
      <c r="Z142" s="85"/>
      <c r="AA142" s="85"/>
      <c r="AB142" s="85"/>
      <c r="AC142" s="85"/>
      <c r="AD142" s="85"/>
      <c r="AE142" s="85"/>
      <c r="AF142" s="85"/>
      <c r="AG142" s="85"/>
      <c r="AH142" s="86"/>
      <c r="AI142" s="86"/>
      <c r="AJ142" s="86"/>
      <c r="AK142" s="86"/>
      <c r="AL142" s="86"/>
      <c r="AM142" s="86"/>
      <c r="AN142" s="86"/>
      <c r="AO142" s="86"/>
      <c r="AP142" s="86"/>
      <c r="AQ142" s="86"/>
      <c r="AR142" s="86"/>
      <c r="AS142" s="86"/>
      <c r="AT142" s="86"/>
      <c r="AU142" s="86"/>
      <c r="AV142" s="86"/>
      <c r="AW142" s="86"/>
      <c r="AX142" s="86"/>
      <c r="AY142" s="86"/>
      <c r="AZ142" s="86"/>
      <c r="BA142" s="86"/>
      <c r="BB142" s="86"/>
      <c r="BC142" s="86"/>
      <c r="BD142" s="86"/>
      <c r="BE142" s="86"/>
      <c r="BF142" s="86"/>
      <c r="BG142" s="86"/>
      <c r="BH142" s="86"/>
      <c r="BI142" s="86"/>
    </row>
    <row r="143" spans="1:61" s="87" customFormat="1" ht="28.5">
      <c r="A143" s="156" t="s">
        <v>205</v>
      </c>
      <c r="B143" s="157" t="s">
        <v>206</v>
      </c>
      <c r="C143" s="156" t="s">
        <v>7</v>
      </c>
      <c r="D143" s="155">
        <v>2</v>
      </c>
      <c r="E143" s="156">
        <v>707.44</v>
      </c>
      <c r="F143" s="156">
        <f t="shared" si="51"/>
        <v>1414.88</v>
      </c>
      <c r="G143" s="156">
        <v>0</v>
      </c>
      <c r="H143" s="156"/>
      <c r="I143" s="156">
        <f t="shared" si="52"/>
        <v>0</v>
      </c>
      <c r="J143" s="156">
        <f t="shared" si="53"/>
        <v>0</v>
      </c>
      <c r="K143" s="156">
        <f t="shared" si="54"/>
        <v>0</v>
      </c>
      <c r="L143" s="156">
        <f t="shared" si="55"/>
        <v>0</v>
      </c>
      <c r="M143" s="188">
        <f t="shared" si="40"/>
        <v>0</v>
      </c>
      <c r="N143" s="81"/>
      <c r="O143" s="7"/>
      <c r="P143" s="79"/>
      <c r="Q143" s="79"/>
      <c r="R143" s="79"/>
      <c r="S143" s="16"/>
      <c r="T143" s="82"/>
      <c r="U143" s="14"/>
      <c r="V143" s="14"/>
      <c r="W143" s="84"/>
      <c r="X143" s="83"/>
      <c r="Y143" s="85"/>
      <c r="Z143" s="85"/>
      <c r="AA143" s="85"/>
      <c r="AB143" s="85"/>
      <c r="AC143" s="85"/>
      <c r="AD143" s="85"/>
      <c r="AE143" s="85"/>
      <c r="AF143" s="85"/>
      <c r="AG143" s="85"/>
      <c r="AH143" s="86"/>
      <c r="AI143" s="86"/>
      <c r="AJ143" s="86"/>
      <c r="AK143" s="86"/>
      <c r="AL143" s="86"/>
      <c r="AM143" s="86"/>
      <c r="AN143" s="86"/>
      <c r="AO143" s="86"/>
      <c r="AP143" s="86"/>
      <c r="AQ143" s="86"/>
      <c r="AR143" s="86"/>
      <c r="AS143" s="86"/>
      <c r="AT143" s="86"/>
      <c r="AU143" s="86"/>
      <c r="AV143" s="86"/>
      <c r="AW143" s="86"/>
      <c r="AX143" s="86"/>
      <c r="AY143" s="86"/>
      <c r="AZ143" s="86"/>
      <c r="BA143" s="86"/>
      <c r="BB143" s="86"/>
      <c r="BC143" s="86"/>
      <c r="BD143" s="86"/>
      <c r="BE143" s="86"/>
      <c r="BF143" s="86"/>
      <c r="BG143" s="86"/>
      <c r="BH143" s="86"/>
      <c r="BI143" s="86"/>
    </row>
    <row r="144" spans="1:61" s="87" customFormat="1">
      <c r="A144" s="156" t="s">
        <v>207</v>
      </c>
      <c r="B144" s="158" t="s">
        <v>23</v>
      </c>
      <c r="C144" s="156" t="s">
        <v>16</v>
      </c>
      <c r="D144" s="155">
        <v>8.31</v>
      </c>
      <c r="E144" s="156">
        <v>250.9</v>
      </c>
      <c r="F144" s="156">
        <f t="shared" si="51"/>
        <v>2084.9790000000003</v>
      </c>
      <c r="G144" s="156">
        <v>0</v>
      </c>
      <c r="H144" s="156"/>
      <c r="I144" s="156">
        <f t="shared" si="52"/>
        <v>0</v>
      </c>
      <c r="J144" s="156">
        <f t="shared" si="53"/>
        <v>0</v>
      </c>
      <c r="K144" s="156">
        <f t="shared" si="54"/>
        <v>0</v>
      </c>
      <c r="L144" s="156">
        <f t="shared" si="55"/>
        <v>0</v>
      </c>
      <c r="M144" s="188">
        <f t="shared" si="40"/>
        <v>0</v>
      </c>
      <c r="N144" s="81"/>
      <c r="O144" s="7"/>
      <c r="P144" s="79"/>
      <c r="Q144" s="79"/>
      <c r="R144" s="79"/>
      <c r="S144" s="16"/>
      <c r="T144" s="82"/>
      <c r="U144" s="14"/>
      <c r="V144" s="14"/>
      <c r="W144" s="84"/>
      <c r="X144" s="83"/>
      <c r="Y144" s="85"/>
      <c r="Z144" s="85"/>
      <c r="AA144" s="85"/>
      <c r="AB144" s="85"/>
      <c r="AC144" s="85"/>
      <c r="AD144" s="85"/>
      <c r="AE144" s="85"/>
      <c r="AF144" s="85"/>
      <c r="AG144" s="85"/>
      <c r="AH144" s="86"/>
      <c r="AI144" s="86"/>
      <c r="AJ144" s="86"/>
      <c r="AK144" s="86"/>
      <c r="AL144" s="86"/>
      <c r="AM144" s="86"/>
      <c r="AN144" s="86"/>
      <c r="AO144" s="86"/>
      <c r="AP144" s="86"/>
      <c r="AQ144" s="86"/>
      <c r="AR144" s="86"/>
      <c r="AS144" s="86"/>
      <c r="AT144" s="86"/>
      <c r="AU144" s="86"/>
      <c r="AV144" s="86"/>
      <c r="AW144" s="86"/>
      <c r="AX144" s="86"/>
      <c r="AY144" s="86"/>
      <c r="AZ144" s="86"/>
      <c r="BA144" s="86"/>
      <c r="BB144" s="86"/>
      <c r="BC144" s="86"/>
      <c r="BD144" s="86"/>
      <c r="BE144" s="86"/>
      <c r="BF144" s="86"/>
      <c r="BG144" s="86"/>
      <c r="BH144" s="86"/>
      <c r="BI144" s="86"/>
    </row>
    <row r="145" spans="1:66" s="87" customFormat="1" ht="45.75" customHeight="1">
      <c r="A145" s="156" t="s">
        <v>208</v>
      </c>
      <c r="B145" s="157" t="s">
        <v>209</v>
      </c>
      <c r="C145" s="156" t="s">
        <v>7</v>
      </c>
      <c r="D145" s="155">
        <v>14</v>
      </c>
      <c r="E145" s="156">
        <v>85.09</v>
      </c>
      <c r="F145" s="156">
        <f t="shared" si="51"/>
        <v>1191.26</v>
      </c>
      <c r="G145" s="156">
        <v>14</v>
      </c>
      <c r="H145" s="156"/>
      <c r="I145" s="156">
        <f t="shared" si="52"/>
        <v>14</v>
      </c>
      <c r="J145" s="156">
        <f t="shared" si="53"/>
        <v>1191.26</v>
      </c>
      <c r="K145" s="156">
        <f t="shared" si="54"/>
        <v>0</v>
      </c>
      <c r="L145" s="156">
        <f t="shared" si="55"/>
        <v>1191.26</v>
      </c>
      <c r="M145" s="188">
        <f t="shared" si="40"/>
        <v>1</v>
      </c>
      <c r="N145" s="81"/>
      <c r="O145" s="7"/>
      <c r="P145" s="79"/>
      <c r="Q145" s="79"/>
      <c r="R145" s="79"/>
      <c r="S145" s="16"/>
      <c r="T145" s="82"/>
      <c r="U145" s="14"/>
      <c r="V145" s="14"/>
      <c r="W145" s="84"/>
      <c r="X145" s="83"/>
      <c r="Y145" s="85"/>
      <c r="Z145" s="85"/>
      <c r="AA145" s="85"/>
      <c r="AB145" s="85"/>
      <c r="AC145" s="85"/>
      <c r="AD145" s="85"/>
      <c r="AE145" s="85"/>
      <c r="AF145" s="85"/>
      <c r="AG145" s="85"/>
      <c r="AH145" s="86"/>
      <c r="AI145" s="86"/>
      <c r="AJ145" s="86"/>
      <c r="AK145" s="86"/>
      <c r="AL145" s="86"/>
      <c r="AM145" s="86"/>
      <c r="AN145" s="86"/>
      <c r="AO145" s="86"/>
      <c r="AP145" s="86"/>
      <c r="AQ145" s="86"/>
      <c r="AR145" s="86"/>
      <c r="AS145" s="86"/>
      <c r="AT145" s="86"/>
      <c r="AU145" s="86"/>
      <c r="AV145" s="86"/>
      <c r="AW145" s="86"/>
      <c r="AX145" s="86"/>
      <c r="AY145" s="86"/>
      <c r="AZ145" s="86"/>
      <c r="BA145" s="86"/>
      <c r="BB145" s="86"/>
      <c r="BC145" s="86"/>
      <c r="BD145" s="86"/>
      <c r="BE145" s="86"/>
      <c r="BF145" s="86"/>
      <c r="BG145" s="86"/>
      <c r="BH145" s="86"/>
      <c r="BI145" s="86"/>
    </row>
    <row r="146" spans="1:66" s="87" customFormat="1" ht="42.75">
      <c r="A146" s="156" t="s">
        <v>210</v>
      </c>
      <c r="B146" s="157" t="s">
        <v>211</v>
      </c>
      <c r="C146" s="156" t="s">
        <v>7</v>
      </c>
      <c r="D146" s="155">
        <v>3</v>
      </c>
      <c r="E146" s="156">
        <v>205.43</v>
      </c>
      <c r="F146" s="156">
        <f t="shared" si="51"/>
        <v>616.29</v>
      </c>
      <c r="G146" s="156">
        <v>0</v>
      </c>
      <c r="H146" s="156"/>
      <c r="I146" s="156">
        <f t="shared" si="52"/>
        <v>0</v>
      </c>
      <c r="J146" s="156">
        <f t="shared" si="53"/>
        <v>0</v>
      </c>
      <c r="K146" s="156">
        <f t="shared" si="54"/>
        <v>0</v>
      </c>
      <c r="L146" s="156">
        <f t="shared" si="55"/>
        <v>0</v>
      </c>
      <c r="M146" s="188">
        <f t="shared" si="40"/>
        <v>0</v>
      </c>
      <c r="N146" s="81"/>
      <c r="O146" s="7"/>
      <c r="P146" s="79"/>
      <c r="Q146" s="79"/>
      <c r="R146" s="79"/>
      <c r="S146" s="16"/>
      <c r="T146" s="82"/>
      <c r="U146" s="14"/>
      <c r="V146" s="14"/>
      <c r="W146" s="84"/>
      <c r="X146" s="83"/>
      <c r="Y146" s="85"/>
      <c r="Z146" s="85"/>
      <c r="AA146" s="85"/>
      <c r="AB146" s="85"/>
      <c r="AC146" s="85"/>
      <c r="AD146" s="85"/>
      <c r="AE146" s="85"/>
      <c r="AF146" s="85"/>
      <c r="AG146" s="85"/>
      <c r="AH146" s="86"/>
      <c r="AI146" s="86"/>
      <c r="AJ146" s="86"/>
      <c r="AK146" s="86"/>
      <c r="AL146" s="86"/>
      <c r="AM146" s="86"/>
      <c r="AN146" s="86"/>
      <c r="AO146" s="86"/>
      <c r="AP146" s="86"/>
      <c r="AQ146" s="86"/>
      <c r="AR146" s="86"/>
      <c r="AS146" s="86"/>
      <c r="AT146" s="86"/>
      <c r="AU146" s="86"/>
      <c r="AV146" s="86"/>
      <c r="AW146" s="86"/>
      <c r="AX146" s="86"/>
      <c r="AY146" s="86"/>
      <c r="AZ146" s="86"/>
      <c r="BA146" s="86"/>
      <c r="BB146" s="86"/>
      <c r="BC146" s="86"/>
      <c r="BD146" s="86"/>
      <c r="BE146" s="86"/>
      <c r="BF146" s="86"/>
      <c r="BG146" s="86"/>
      <c r="BH146" s="86"/>
      <c r="BI146" s="86"/>
    </row>
    <row r="147" spans="1:66" s="87" customFormat="1" ht="99.75">
      <c r="A147" s="156" t="s">
        <v>212</v>
      </c>
      <c r="B147" s="157" t="s">
        <v>213</v>
      </c>
      <c r="C147" s="156" t="s">
        <v>7</v>
      </c>
      <c r="D147" s="155">
        <v>1</v>
      </c>
      <c r="E147" s="156">
        <v>2718.67</v>
      </c>
      <c r="F147" s="156">
        <f t="shared" si="51"/>
        <v>2718.67</v>
      </c>
      <c r="G147" s="156">
        <v>0</v>
      </c>
      <c r="H147" s="156"/>
      <c r="I147" s="156">
        <f t="shared" si="52"/>
        <v>0</v>
      </c>
      <c r="J147" s="156">
        <f t="shared" si="53"/>
        <v>0</v>
      </c>
      <c r="K147" s="156">
        <f t="shared" si="54"/>
        <v>0</v>
      </c>
      <c r="L147" s="156">
        <f t="shared" si="55"/>
        <v>0</v>
      </c>
      <c r="M147" s="188">
        <f t="shared" si="40"/>
        <v>0</v>
      </c>
      <c r="N147" s="81"/>
      <c r="O147" s="7"/>
      <c r="P147" s="79"/>
      <c r="Q147" s="79"/>
      <c r="R147" s="79"/>
      <c r="S147" s="16"/>
      <c r="T147" s="82"/>
      <c r="U147" s="14"/>
      <c r="V147" s="14"/>
      <c r="W147" s="84"/>
      <c r="X147" s="83"/>
      <c r="Y147" s="85"/>
      <c r="Z147" s="85"/>
      <c r="AA147" s="85"/>
      <c r="AB147" s="85"/>
      <c r="AC147" s="85"/>
      <c r="AD147" s="85"/>
      <c r="AE147" s="85"/>
      <c r="AF147" s="85"/>
      <c r="AG147" s="85"/>
      <c r="AH147" s="86"/>
      <c r="AI147" s="86"/>
      <c r="AJ147" s="86"/>
      <c r="AK147" s="86"/>
      <c r="AL147" s="86"/>
      <c r="AM147" s="86"/>
      <c r="AN147" s="86"/>
      <c r="AO147" s="86"/>
      <c r="AP147" s="86"/>
      <c r="AQ147" s="86"/>
      <c r="AR147" s="86"/>
      <c r="AS147" s="86"/>
      <c r="AT147" s="86"/>
      <c r="AU147" s="86"/>
      <c r="AV147" s="86"/>
      <c r="AW147" s="86"/>
      <c r="AX147" s="86"/>
      <c r="AY147" s="86"/>
      <c r="AZ147" s="86"/>
      <c r="BA147" s="86"/>
      <c r="BB147" s="86"/>
      <c r="BC147" s="86"/>
      <c r="BD147" s="86"/>
      <c r="BE147" s="86"/>
      <c r="BF147" s="86"/>
      <c r="BG147" s="86"/>
      <c r="BH147" s="86"/>
      <c r="BI147" s="86"/>
    </row>
    <row r="148" spans="1:66" s="87" customFormat="1">
      <c r="A148" s="156" t="s">
        <v>214</v>
      </c>
      <c r="B148" s="157" t="s">
        <v>215</v>
      </c>
      <c r="C148" s="156" t="s">
        <v>7</v>
      </c>
      <c r="D148" s="155">
        <v>1</v>
      </c>
      <c r="E148" s="156">
        <v>3978.99</v>
      </c>
      <c r="F148" s="156">
        <f t="shared" si="51"/>
        <v>3978.99</v>
      </c>
      <c r="G148" s="156">
        <v>0</v>
      </c>
      <c r="H148" s="156"/>
      <c r="I148" s="156">
        <f t="shared" si="52"/>
        <v>0</v>
      </c>
      <c r="J148" s="156">
        <f t="shared" si="53"/>
        <v>0</v>
      </c>
      <c r="K148" s="156">
        <f t="shared" si="54"/>
        <v>0</v>
      </c>
      <c r="L148" s="156">
        <f t="shared" si="55"/>
        <v>0</v>
      </c>
      <c r="M148" s="188">
        <f t="shared" si="40"/>
        <v>0</v>
      </c>
      <c r="N148" s="81"/>
      <c r="O148" s="7"/>
      <c r="P148" s="79"/>
      <c r="Q148" s="79"/>
      <c r="R148" s="79"/>
      <c r="S148" s="16"/>
      <c r="T148" s="82"/>
      <c r="U148" s="14"/>
      <c r="V148" s="14"/>
      <c r="W148" s="84"/>
      <c r="X148" s="83"/>
      <c r="Y148" s="85"/>
      <c r="Z148" s="85"/>
      <c r="AA148" s="85"/>
      <c r="AB148" s="85"/>
      <c r="AC148" s="85"/>
      <c r="AD148" s="85"/>
      <c r="AE148" s="85"/>
      <c r="AF148" s="85"/>
      <c r="AG148" s="85"/>
      <c r="AH148" s="86"/>
      <c r="AI148" s="86"/>
      <c r="AJ148" s="86"/>
      <c r="AK148" s="86"/>
      <c r="AL148" s="86"/>
      <c r="AM148" s="86"/>
      <c r="AN148" s="86"/>
      <c r="AO148" s="86"/>
      <c r="AP148" s="86"/>
      <c r="AQ148" s="86"/>
      <c r="AR148" s="86"/>
      <c r="AS148" s="86"/>
      <c r="AT148" s="86"/>
      <c r="AU148" s="86"/>
      <c r="AV148" s="86"/>
      <c r="AW148" s="86"/>
      <c r="AX148" s="86"/>
      <c r="AY148" s="86"/>
      <c r="AZ148" s="86"/>
      <c r="BA148" s="86"/>
      <c r="BB148" s="86"/>
      <c r="BC148" s="86"/>
      <c r="BD148" s="86"/>
      <c r="BE148" s="86"/>
      <c r="BF148" s="86"/>
      <c r="BG148" s="86"/>
      <c r="BH148" s="86"/>
      <c r="BI148" s="86"/>
    </row>
    <row r="149" spans="1:66" s="87" customFormat="1">
      <c r="A149" s="156"/>
      <c r="B149" s="154"/>
      <c r="C149" s="156"/>
      <c r="D149" s="156"/>
      <c r="E149" s="156"/>
      <c r="F149" s="156"/>
      <c r="G149" s="156"/>
      <c r="H149" s="156"/>
      <c r="I149" s="156"/>
      <c r="J149" s="156"/>
      <c r="K149" s="156"/>
      <c r="L149" s="156"/>
      <c r="M149" s="188"/>
      <c r="N149" s="81"/>
      <c r="O149" s="7"/>
      <c r="P149" s="79"/>
      <c r="Q149" s="79"/>
      <c r="R149" s="79"/>
      <c r="S149" s="16"/>
      <c r="T149" s="82"/>
      <c r="U149" s="14"/>
      <c r="V149" s="14"/>
      <c r="W149" s="84"/>
      <c r="X149" s="83"/>
      <c r="Y149" s="85"/>
      <c r="Z149" s="85"/>
      <c r="AA149" s="85"/>
      <c r="AB149" s="85"/>
      <c r="AC149" s="85"/>
      <c r="AD149" s="85"/>
      <c r="AE149" s="85"/>
      <c r="AF149" s="85"/>
      <c r="AG149" s="85"/>
      <c r="AH149" s="85"/>
      <c r="AI149" s="85"/>
      <c r="AJ149" s="85"/>
      <c r="AK149" s="85"/>
      <c r="AL149" s="85"/>
      <c r="AM149" s="85"/>
      <c r="AN149" s="85"/>
      <c r="AO149" s="85"/>
      <c r="AP149" s="85"/>
      <c r="AQ149" s="85"/>
      <c r="AR149" s="85"/>
      <c r="AS149" s="85"/>
      <c r="AT149" s="85"/>
      <c r="AU149" s="85"/>
      <c r="AV149" s="85"/>
      <c r="AW149" s="85"/>
      <c r="AX149" s="85"/>
      <c r="AY149" s="85"/>
      <c r="AZ149" s="85"/>
      <c r="BA149" s="85"/>
      <c r="BB149" s="85"/>
      <c r="BC149" s="85"/>
      <c r="BD149" s="85"/>
      <c r="BE149" s="85"/>
      <c r="BF149" s="85"/>
      <c r="BG149" s="85"/>
      <c r="BH149" s="85"/>
      <c r="BI149" s="85"/>
      <c r="BJ149" s="101"/>
      <c r="BK149" s="101"/>
      <c r="BL149" s="101"/>
      <c r="BM149" s="101"/>
      <c r="BN149" s="101"/>
    </row>
    <row r="150" spans="1:66" s="87" customFormat="1">
      <c r="A150" s="164" t="s">
        <v>216</v>
      </c>
      <c r="B150" s="165" t="s">
        <v>217</v>
      </c>
      <c r="C150" s="166"/>
      <c r="D150" s="167"/>
      <c r="E150" s="166"/>
      <c r="F150" s="166">
        <f>SUM(F152:F159)</f>
        <v>4922.579999999999</v>
      </c>
      <c r="G150" s="166"/>
      <c r="H150" s="166"/>
      <c r="I150" s="166"/>
      <c r="J150" s="166">
        <f>SUM(J152:J159)</f>
        <v>1178.46</v>
      </c>
      <c r="K150" s="166">
        <f>SUM(K152:K159)</f>
        <v>3695.12</v>
      </c>
      <c r="L150" s="166">
        <f>SUM(L152:L159)</f>
        <v>4873.579999999999</v>
      </c>
      <c r="M150" s="188">
        <f t="shared" si="40"/>
        <v>0.99004587025502888</v>
      </c>
      <c r="N150" s="98"/>
      <c r="O150" s="7"/>
      <c r="P150" s="97"/>
      <c r="Q150" s="97"/>
      <c r="R150" s="79"/>
      <c r="S150" s="16"/>
      <c r="T150" s="82"/>
      <c r="U150" s="14"/>
      <c r="V150" s="14"/>
      <c r="W150" s="84"/>
      <c r="X150" s="83"/>
      <c r="Y150" s="85"/>
      <c r="Z150" s="85"/>
      <c r="AA150" s="85"/>
      <c r="AB150" s="85"/>
      <c r="AC150" s="85"/>
      <c r="AD150" s="85"/>
      <c r="AE150" s="85"/>
      <c r="AF150" s="85"/>
      <c r="AG150" s="85"/>
      <c r="AH150" s="85"/>
      <c r="AI150" s="85"/>
      <c r="AJ150" s="85"/>
      <c r="AK150" s="86"/>
      <c r="AL150" s="86"/>
      <c r="AM150" s="86"/>
      <c r="AN150" s="86"/>
      <c r="AO150" s="86"/>
      <c r="AP150" s="86"/>
      <c r="AQ150" s="86"/>
      <c r="AR150" s="86"/>
      <c r="AS150" s="86"/>
      <c r="AT150" s="86"/>
      <c r="AU150" s="86"/>
      <c r="AV150" s="86"/>
      <c r="AW150" s="86"/>
      <c r="AX150" s="86"/>
      <c r="AY150" s="86"/>
      <c r="AZ150" s="86"/>
      <c r="BA150" s="86"/>
      <c r="BB150" s="86"/>
      <c r="BC150" s="86"/>
      <c r="BD150" s="86"/>
      <c r="BE150" s="86"/>
      <c r="BF150" s="86"/>
      <c r="BG150" s="86"/>
      <c r="BH150" s="86"/>
      <c r="BI150" s="86"/>
    </row>
    <row r="151" spans="1:66" s="87" customFormat="1">
      <c r="A151" s="156"/>
      <c r="B151" s="154"/>
      <c r="C151" s="156"/>
      <c r="D151" s="156"/>
      <c r="E151" s="156"/>
      <c r="F151" s="156"/>
      <c r="G151" s="156"/>
      <c r="H151" s="156"/>
      <c r="I151" s="156"/>
      <c r="J151" s="156"/>
      <c r="K151" s="156"/>
      <c r="L151" s="156"/>
      <c r="M151" s="188"/>
      <c r="N151" s="81"/>
      <c r="O151" s="7"/>
      <c r="P151" s="79"/>
      <c r="Q151" s="79"/>
      <c r="R151" s="79"/>
      <c r="S151" s="16"/>
      <c r="T151" s="82"/>
      <c r="U151" s="14"/>
      <c r="V151" s="14"/>
      <c r="W151" s="84"/>
      <c r="X151" s="83"/>
      <c r="Y151" s="85"/>
      <c r="Z151" s="85"/>
      <c r="AA151" s="85"/>
      <c r="AB151" s="85"/>
      <c r="AC151" s="85"/>
      <c r="AD151" s="85"/>
      <c r="AE151" s="85"/>
      <c r="AF151" s="85"/>
      <c r="AG151" s="85"/>
      <c r="AH151" s="85"/>
      <c r="AI151" s="85"/>
      <c r="AJ151" s="85"/>
      <c r="AK151" s="85"/>
      <c r="AL151" s="85"/>
      <c r="AM151" s="85"/>
      <c r="AN151" s="85"/>
      <c r="AO151" s="85"/>
      <c r="AP151" s="85"/>
      <c r="AQ151" s="85"/>
      <c r="AR151" s="85"/>
      <c r="AS151" s="85"/>
      <c r="AT151" s="85"/>
      <c r="AU151" s="85"/>
      <c r="AV151" s="85"/>
      <c r="AW151" s="85"/>
      <c r="AX151" s="85"/>
      <c r="AY151" s="85"/>
      <c r="AZ151" s="85"/>
      <c r="BA151" s="85"/>
      <c r="BB151" s="85"/>
      <c r="BC151" s="85"/>
      <c r="BD151" s="85"/>
      <c r="BE151" s="85"/>
      <c r="BF151" s="85"/>
      <c r="BG151" s="85"/>
      <c r="BH151" s="85"/>
      <c r="BI151" s="85"/>
      <c r="BJ151" s="101"/>
      <c r="BK151" s="101"/>
      <c r="BL151" s="101"/>
      <c r="BM151" s="101"/>
      <c r="BN151" s="101"/>
    </row>
    <row r="152" spans="1:66" s="87" customFormat="1" ht="42.75">
      <c r="A152" s="156" t="s">
        <v>218</v>
      </c>
      <c r="B152" s="157" t="s">
        <v>198</v>
      </c>
      <c r="C152" s="156" t="s">
        <v>7</v>
      </c>
      <c r="D152" s="156">
        <v>7</v>
      </c>
      <c r="E152" s="156">
        <v>7</v>
      </c>
      <c r="F152" s="156">
        <f t="shared" ref="F152:F159" si="56">D152*E152</f>
        <v>49</v>
      </c>
      <c r="G152" s="156">
        <v>0</v>
      </c>
      <c r="H152" s="156"/>
      <c r="I152" s="156">
        <f t="shared" ref="I152:I159" si="57">G152+H152</f>
        <v>0</v>
      </c>
      <c r="J152" s="156">
        <f t="shared" ref="J152:J159" si="58">E152*G152</f>
        <v>0</v>
      </c>
      <c r="K152" s="156">
        <f t="shared" ref="K152:K159" si="59">H152*E152</f>
        <v>0</v>
      </c>
      <c r="L152" s="156">
        <f t="shared" ref="L152:L159" si="60">J152+K152</f>
        <v>0</v>
      </c>
      <c r="M152" s="188">
        <f t="shared" si="40"/>
        <v>0</v>
      </c>
      <c r="N152" s="81"/>
      <c r="O152" s="7"/>
      <c r="P152" s="79"/>
      <c r="Q152" s="79"/>
      <c r="R152" s="79"/>
      <c r="S152" s="16"/>
      <c r="T152" s="82"/>
      <c r="U152" s="14"/>
      <c r="V152" s="14"/>
      <c r="W152" s="84"/>
      <c r="X152" s="83"/>
      <c r="Y152" s="85"/>
      <c r="Z152" s="85"/>
      <c r="AA152" s="85"/>
      <c r="AB152" s="85"/>
      <c r="AC152" s="85"/>
      <c r="AD152" s="85"/>
      <c r="AE152" s="85"/>
      <c r="AF152" s="85"/>
      <c r="AG152" s="85"/>
      <c r="AH152" s="85"/>
      <c r="AI152" s="85"/>
      <c r="AJ152" s="85"/>
      <c r="AK152" s="85"/>
      <c r="AL152" s="85"/>
      <c r="AM152" s="85"/>
      <c r="AN152" s="85"/>
      <c r="AO152" s="85"/>
      <c r="AP152" s="85"/>
      <c r="AQ152" s="85"/>
      <c r="AR152" s="85"/>
      <c r="AS152" s="85"/>
      <c r="AT152" s="85"/>
      <c r="AU152" s="85"/>
      <c r="AV152" s="85"/>
      <c r="AW152" s="85"/>
      <c r="AX152" s="85"/>
      <c r="AY152" s="85"/>
      <c r="AZ152" s="85"/>
      <c r="BA152" s="85"/>
      <c r="BB152" s="85"/>
      <c r="BC152" s="85"/>
      <c r="BD152" s="85"/>
      <c r="BE152" s="85"/>
      <c r="BF152" s="85"/>
      <c r="BG152" s="85"/>
      <c r="BH152" s="85"/>
      <c r="BI152" s="85"/>
      <c r="BJ152" s="101"/>
      <c r="BK152" s="101"/>
      <c r="BL152" s="101"/>
      <c r="BM152" s="101"/>
      <c r="BN152" s="101"/>
    </row>
    <row r="153" spans="1:66" s="87" customFormat="1" ht="57">
      <c r="A153" s="156" t="s">
        <v>219</v>
      </c>
      <c r="B153" s="157" t="s">
        <v>220</v>
      </c>
      <c r="C153" s="156" t="s">
        <v>5</v>
      </c>
      <c r="D153" s="156">
        <v>40</v>
      </c>
      <c r="E153" s="156">
        <v>45.13</v>
      </c>
      <c r="F153" s="156">
        <f t="shared" si="56"/>
        <v>1805.2</v>
      </c>
      <c r="G153" s="156">
        <v>0</v>
      </c>
      <c r="H153" s="156">
        <f>'MEMORIA BM 03'!L373</f>
        <v>40</v>
      </c>
      <c r="I153" s="156">
        <f t="shared" si="57"/>
        <v>40</v>
      </c>
      <c r="J153" s="156">
        <f t="shared" si="58"/>
        <v>0</v>
      </c>
      <c r="K153" s="156">
        <f t="shared" si="59"/>
        <v>1805.2</v>
      </c>
      <c r="L153" s="156">
        <f t="shared" si="60"/>
        <v>1805.2</v>
      </c>
      <c r="M153" s="188">
        <f t="shared" si="40"/>
        <v>1</v>
      </c>
      <c r="N153" s="81"/>
      <c r="O153" s="7"/>
      <c r="P153" s="80"/>
      <c r="Q153" s="80"/>
      <c r="R153" s="91"/>
      <c r="S153" s="8"/>
      <c r="T153" s="82"/>
      <c r="U153" s="9"/>
      <c r="V153" s="9"/>
      <c r="W153" s="10"/>
      <c r="X153" s="9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2"/>
      <c r="BK153" s="12"/>
      <c r="BL153" s="12"/>
      <c r="BM153" s="12"/>
      <c r="BN153" s="12"/>
    </row>
    <row r="154" spans="1:66">
      <c r="A154" s="156" t="s">
        <v>221</v>
      </c>
      <c r="B154" s="158" t="s">
        <v>222</v>
      </c>
      <c r="C154" s="156" t="s">
        <v>7</v>
      </c>
      <c r="D154" s="156">
        <v>2</v>
      </c>
      <c r="E154" s="156">
        <v>443.39</v>
      </c>
      <c r="F154" s="156">
        <f t="shared" si="56"/>
        <v>886.78</v>
      </c>
      <c r="G154" s="156">
        <v>0</v>
      </c>
      <c r="H154" s="156">
        <f>'MEMORIA BM 03'!L376</f>
        <v>2</v>
      </c>
      <c r="I154" s="156">
        <f t="shared" si="57"/>
        <v>2</v>
      </c>
      <c r="J154" s="156">
        <f t="shared" si="58"/>
        <v>0</v>
      </c>
      <c r="K154" s="156">
        <f t="shared" si="59"/>
        <v>886.78</v>
      </c>
      <c r="L154" s="156">
        <f t="shared" si="60"/>
        <v>886.78</v>
      </c>
      <c r="M154" s="188">
        <f t="shared" si="40"/>
        <v>1</v>
      </c>
      <c r="N154" s="81"/>
      <c r="O154" s="7"/>
      <c r="P154" s="80"/>
      <c r="Q154" s="80"/>
      <c r="R154" s="91"/>
      <c r="S154" s="8"/>
      <c r="T154" s="82"/>
      <c r="W154" s="10"/>
      <c r="X154" s="9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</row>
    <row r="155" spans="1:66">
      <c r="A155" s="156" t="s">
        <v>223</v>
      </c>
      <c r="B155" s="158" t="s">
        <v>224</v>
      </c>
      <c r="C155" s="156" t="s">
        <v>7</v>
      </c>
      <c r="D155" s="156">
        <v>1</v>
      </c>
      <c r="E155" s="156">
        <v>107.54</v>
      </c>
      <c r="F155" s="156">
        <f t="shared" si="56"/>
        <v>107.54</v>
      </c>
      <c r="G155" s="156">
        <v>0</v>
      </c>
      <c r="H155" s="156">
        <f>'MEMORIA BM 03'!L379</f>
        <v>1</v>
      </c>
      <c r="I155" s="156">
        <f t="shared" si="57"/>
        <v>1</v>
      </c>
      <c r="J155" s="156">
        <f t="shared" si="58"/>
        <v>0</v>
      </c>
      <c r="K155" s="156">
        <f t="shared" si="59"/>
        <v>107.54</v>
      </c>
      <c r="L155" s="156">
        <f t="shared" si="60"/>
        <v>107.54</v>
      </c>
      <c r="M155" s="188">
        <f t="shared" si="40"/>
        <v>1</v>
      </c>
      <c r="N155" s="81"/>
      <c r="O155" s="7"/>
      <c r="P155" s="80"/>
      <c r="Q155" s="80"/>
      <c r="R155" s="91"/>
      <c r="S155" s="8"/>
      <c r="T155" s="82"/>
      <c r="W155" s="10"/>
      <c r="X155" s="9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</row>
    <row r="156" spans="1:66" ht="28.5">
      <c r="A156" s="156" t="s">
        <v>225</v>
      </c>
      <c r="B156" s="157" t="s">
        <v>226</v>
      </c>
      <c r="C156" s="156" t="s">
        <v>7</v>
      </c>
      <c r="D156" s="156">
        <v>4</v>
      </c>
      <c r="E156" s="156">
        <v>223.9</v>
      </c>
      <c r="F156" s="156">
        <f t="shared" si="56"/>
        <v>895.6</v>
      </c>
      <c r="G156" s="156">
        <v>0</v>
      </c>
      <c r="H156" s="156">
        <f>'MEMORIA BM 03'!L382</f>
        <v>4</v>
      </c>
      <c r="I156" s="156">
        <f t="shared" si="57"/>
        <v>4</v>
      </c>
      <c r="J156" s="156">
        <f t="shared" si="58"/>
        <v>0</v>
      </c>
      <c r="K156" s="156">
        <f t="shared" si="59"/>
        <v>895.6</v>
      </c>
      <c r="L156" s="156">
        <f t="shared" si="60"/>
        <v>895.6</v>
      </c>
      <c r="M156" s="188">
        <f t="shared" si="40"/>
        <v>1</v>
      </c>
      <c r="N156" s="81"/>
      <c r="O156" s="7"/>
      <c r="P156" s="80"/>
      <c r="Q156" s="80"/>
      <c r="R156" s="91"/>
      <c r="S156" s="8"/>
      <c r="T156" s="82"/>
      <c r="W156" s="10"/>
      <c r="X156" s="9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</row>
    <row r="157" spans="1:66" ht="28.5">
      <c r="A157" s="156" t="s">
        <v>227</v>
      </c>
      <c r="B157" s="157" t="s">
        <v>228</v>
      </c>
      <c r="C157" s="156" t="s">
        <v>7</v>
      </c>
      <c r="D157" s="156">
        <v>10</v>
      </c>
      <c r="E157" s="156">
        <v>56.74</v>
      </c>
      <c r="F157" s="156">
        <f t="shared" si="56"/>
        <v>567.4</v>
      </c>
      <c r="G157" s="156">
        <v>10</v>
      </c>
      <c r="H157" s="156"/>
      <c r="I157" s="156">
        <f t="shared" si="57"/>
        <v>10</v>
      </c>
      <c r="J157" s="156">
        <f t="shared" si="58"/>
        <v>567.4</v>
      </c>
      <c r="K157" s="156">
        <f t="shared" si="59"/>
        <v>0</v>
      </c>
      <c r="L157" s="156">
        <f t="shared" si="60"/>
        <v>567.4</v>
      </c>
      <c r="M157" s="188">
        <f t="shared" si="40"/>
        <v>1</v>
      </c>
      <c r="N157" s="81"/>
      <c r="O157" s="7"/>
      <c r="P157" s="80"/>
      <c r="Q157" s="80"/>
      <c r="R157" s="91"/>
      <c r="S157" s="8"/>
      <c r="T157" s="82"/>
      <c r="W157" s="10"/>
      <c r="X157" s="9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</row>
    <row r="158" spans="1:66" ht="28.5">
      <c r="A158" s="156" t="s">
        <v>229</v>
      </c>
      <c r="B158" s="157" t="s">
        <v>230</v>
      </c>
      <c r="C158" s="156" t="s">
        <v>7</v>
      </c>
      <c r="D158" s="156">
        <v>2</v>
      </c>
      <c r="E158" s="156">
        <v>85.83</v>
      </c>
      <c r="F158" s="156">
        <f t="shared" si="56"/>
        <v>171.66</v>
      </c>
      <c r="G158" s="156">
        <v>2</v>
      </c>
      <c r="H158" s="156"/>
      <c r="I158" s="156">
        <f t="shared" si="57"/>
        <v>2</v>
      </c>
      <c r="J158" s="156">
        <f t="shared" si="58"/>
        <v>171.66</v>
      </c>
      <c r="K158" s="156">
        <f t="shared" si="59"/>
        <v>0</v>
      </c>
      <c r="L158" s="156">
        <f t="shared" si="60"/>
        <v>171.66</v>
      </c>
      <c r="M158" s="188">
        <f t="shared" si="40"/>
        <v>1</v>
      </c>
      <c r="N158" s="81"/>
      <c r="O158" s="7"/>
      <c r="P158" s="80"/>
      <c r="Q158" s="80"/>
      <c r="R158" s="91"/>
      <c r="S158" s="8"/>
      <c r="T158" s="82"/>
      <c r="W158" s="10"/>
      <c r="X158" s="9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</row>
    <row r="159" spans="1:66">
      <c r="A159" s="156" t="s">
        <v>233</v>
      </c>
      <c r="B159" s="157" t="s">
        <v>231</v>
      </c>
      <c r="C159" s="156" t="s">
        <v>232</v>
      </c>
      <c r="D159" s="156">
        <v>5</v>
      </c>
      <c r="E159" s="156">
        <v>87.88</v>
      </c>
      <c r="F159" s="156">
        <f t="shared" si="56"/>
        <v>439.4</v>
      </c>
      <c r="G159" s="156">
        <v>5</v>
      </c>
      <c r="H159" s="156"/>
      <c r="I159" s="156">
        <f t="shared" si="57"/>
        <v>5</v>
      </c>
      <c r="J159" s="156">
        <f t="shared" si="58"/>
        <v>439.4</v>
      </c>
      <c r="K159" s="156">
        <f t="shared" si="59"/>
        <v>0</v>
      </c>
      <c r="L159" s="156">
        <f t="shared" si="60"/>
        <v>439.4</v>
      </c>
      <c r="M159" s="188">
        <f t="shared" si="40"/>
        <v>1</v>
      </c>
      <c r="N159" s="81"/>
      <c r="O159" s="7"/>
      <c r="P159" s="80"/>
      <c r="Q159" s="80"/>
      <c r="R159" s="91"/>
      <c r="S159" s="8"/>
      <c r="T159" s="82"/>
      <c r="W159" s="10"/>
      <c r="X159" s="9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</row>
    <row r="160" spans="1:66">
      <c r="A160" s="156"/>
      <c r="B160" s="154"/>
      <c r="C160" s="156"/>
      <c r="D160" s="156"/>
      <c r="E160" s="156"/>
      <c r="F160" s="156"/>
      <c r="G160" s="156"/>
      <c r="H160" s="156"/>
      <c r="I160" s="156"/>
      <c r="J160" s="156"/>
      <c r="K160" s="156"/>
      <c r="L160" s="156"/>
      <c r="M160" s="188"/>
      <c r="N160" s="81"/>
      <c r="O160" s="7"/>
      <c r="P160" s="79"/>
      <c r="Q160" s="79"/>
      <c r="R160" s="79"/>
      <c r="S160" s="16"/>
      <c r="T160" s="82"/>
      <c r="U160" s="14"/>
      <c r="V160" s="14"/>
      <c r="W160" s="84"/>
      <c r="X160" s="83"/>
      <c r="Y160" s="85"/>
      <c r="Z160" s="85"/>
      <c r="AA160" s="85"/>
      <c r="AB160" s="85"/>
      <c r="AC160" s="85"/>
      <c r="AD160" s="85"/>
      <c r="AE160" s="85"/>
      <c r="AF160" s="85"/>
      <c r="AG160" s="85"/>
      <c r="AH160" s="85"/>
      <c r="AI160" s="85"/>
      <c r="AJ160" s="85"/>
      <c r="AK160" s="85"/>
      <c r="AL160" s="85"/>
      <c r="AM160" s="85"/>
      <c r="AN160" s="85"/>
      <c r="AO160" s="85"/>
      <c r="AP160" s="85"/>
      <c r="AQ160" s="85"/>
      <c r="AR160" s="85"/>
      <c r="AS160" s="85"/>
      <c r="AT160" s="85"/>
      <c r="AU160" s="85"/>
      <c r="AV160" s="85"/>
      <c r="AW160" s="85"/>
      <c r="AX160" s="85"/>
      <c r="AY160" s="85"/>
      <c r="AZ160" s="85"/>
      <c r="BA160" s="85"/>
      <c r="BB160" s="85"/>
      <c r="BC160" s="85"/>
      <c r="BD160" s="85"/>
      <c r="BE160" s="85"/>
      <c r="BF160" s="85"/>
      <c r="BG160" s="85"/>
      <c r="BH160" s="85"/>
      <c r="BI160" s="85"/>
      <c r="BJ160" s="101"/>
      <c r="BK160" s="101"/>
      <c r="BL160" s="101"/>
      <c r="BM160" s="101"/>
      <c r="BN160" s="101"/>
    </row>
    <row r="161" spans="1:61" s="87" customFormat="1">
      <c r="A161" s="164" t="s">
        <v>234</v>
      </c>
      <c r="B161" s="165" t="s">
        <v>235</v>
      </c>
      <c r="C161" s="166"/>
      <c r="D161" s="167"/>
      <c r="E161" s="166"/>
      <c r="F161" s="166">
        <f>SUM(F163:F186)</f>
        <v>27356.5</v>
      </c>
      <c r="G161" s="166"/>
      <c r="H161" s="166"/>
      <c r="I161" s="166"/>
      <c r="J161" s="166">
        <f>SUM(J163:J186)</f>
        <v>0</v>
      </c>
      <c r="K161" s="166">
        <f>SUM(K163:K186)</f>
        <v>1197.9000000000001</v>
      </c>
      <c r="L161" s="166">
        <f>SUM(L163:L186)</f>
        <v>1197.9000000000001</v>
      </c>
      <c r="M161" s="188">
        <f t="shared" ref="M161:M222" si="61">L161/F161</f>
        <v>4.3788496335423026E-2</v>
      </c>
      <c r="N161" s="98"/>
      <c r="O161" s="7"/>
      <c r="P161" s="97"/>
      <c r="Q161" s="97"/>
      <c r="R161" s="79"/>
      <c r="S161" s="16"/>
      <c r="T161" s="82"/>
      <c r="U161" s="14"/>
      <c r="V161" s="14"/>
      <c r="W161" s="84"/>
      <c r="X161" s="83"/>
      <c r="Y161" s="85"/>
      <c r="Z161" s="85"/>
      <c r="AA161" s="85"/>
      <c r="AB161" s="85"/>
      <c r="AC161" s="85"/>
      <c r="AD161" s="85"/>
      <c r="AE161" s="85"/>
      <c r="AF161" s="85"/>
      <c r="AG161" s="85"/>
      <c r="AH161" s="85"/>
      <c r="AI161" s="85"/>
      <c r="AJ161" s="85"/>
      <c r="AK161" s="86"/>
      <c r="AL161" s="86"/>
      <c r="AM161" s="86"/>
      <c r="AN161" s="86"/>
      <c r="AO161" s="86"/>
      <c r="AP161" s="86"/>
      <c r="AQ161" s="86"/>
      <c r="AR161" s="86"/>
      <c r="AS161" s="86"/>
      <c r="AT161" s="86"/>
      <c r="AU161" s="86"/>
      <c r="AV161" s="86"/>
      <c r="AW161" s="86"/>
      <c r="AX161" s="86"/>
      <c r="AY161" s="86"/>
      <c r="AZ161" s="86"/>
      <c r="BA161" s="86"/>
      <c r="BB161" s="86"/>
      <c r="BC161" s="86"/>
      <c r="BD161" s="86"/>
      <c r="BE161" s="86"/>
      <c r="BF161" s="86"/>
      <c r="BG161" s="86"/>
      <c r="BH161" s="86"/>
      <c r="BI161" s="86"/>
    </row>
    <row r="162" spans="1:61">
      <c r="A162" s="156"/>
      <c r="B162" s="154"/>
      <c r="C162" s="156"/>
      <c r="D162" s="156"/>
      <c r="E162" s="156"/>
      <c r="F162" s="156"/>
      <c r="G162" s="156"/>
      <c r="H162" s="156"/>
      <c r="I162" s="156"/>
      <c r="J162" s="156"/>
      <c r="K162" s="156"/>
      <c r="L162" s="156"/>
      <c r="M162" s="188"/>
      <c r="N162" s="81"/>
      <c r="O162" s="7"/>
      <c r="P162" s="80"/>
      <c r="Q162" s="80"/>
      <c r="R162" s="91"/>
      <c r="S162" s="8"/>
      <c r="T162" s="82"/>
      <c r="W162" s="10"/>
      <c r="X162" s="9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</row>
    <row r="163" spans="1:61" ht="28.5">
      <c r="A163" s="156" t="s">
        <v>236</v>
      </c>
      <c r="B163" s="157" t="s">
        <v>226</v>
      </c>
      <c r="C163" s="156" t="s">
        <v>7</v>
      </c>
      <c r="D163" s="156">
        <v>4</v>
      </c>
      <c r="E163" s="156">
        <v>220.04</v>
      </c>
      <c r="F163" s="156">
        <f t="shared" ref="F163:F186" si="62">D163*E163</f>
        <v>880.16</v>
      </c>
      <c r="G163" s="156">
        <v>0</v>
      </c>
      <c r="H163" s="156"/>
      <c r="I163" s="156">
        <f t="shared" ref="I163:I186" si="63">G163+H163</f>
        <v>0</v>
      </c>
      <c r="J163" s="156">
        <f t="shared" ref="J163:J186" si="64">E163*G163</f>
        <v>0</v>
      </c>
      <c r="K163" s="156">
        <f t="shared" ref="K163:K186" si="65">H163*E163</f>
        <v>0</v>
      </c>
      <c r="L163" s="156">
        <f t="shared" ref="L163:L186" si="66">J163+K163</f>
        <v>0</v>
      </c>
      <c r="M163" s="188">
        <f t="shared" si="61"/>
        <v>0</v>
      </c>
      <c r="N163" s="81"/>
      <c r="O163" s="7"/>
      <c r="P163" s="80"/>
      <c r="Q163" s="80"/>
      <c r="R163" s="91"/>
      <c r="S163" s="8"/>
      <c r="T163" s="82"/>
      <c r="W163" s="10"/>
      <c r="X163" s="9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</row>
    <row r="164" spans="1:61" ht="28.5">
      <c r="A164" s="156" t="s">
        <v>237</v>
      </c>
      <c r="B164" s="157" t="s">
        <v>238</v>
      </c>
      <c r="C164" s="156" t="s">
        <v>7</v>
      </c>
      <c r="D164" s="156">
        <v>1</v>
      </c>
      <c r="E164" s="156">
        <v>302.55</v>
      </c>
      <c r="F164" s="156">
        <f t="shared" si="62"/>
        <v>302.55</v>
      </c>
      <c r="G164" s="156">
        <v>0</v>
      </c>
      <c r="H164" s="156"/>
      <c r="I164" s="156">
        <f t="shared" si="63"/>
        <v>0</v>
      </c>
      <c r="J164" s="156">
        <f t="shared" si="64"/>
        <v>0</v>
      </c>
      <c r="K164" s="156">
        <f t="shared" si="65"/>
        <v>0</v>
      </c>
      <c r="L164" s="156">
        <f t="shared" si="66"/>
        <v>0</v>
      </c>
      <c r="M164" s="188">
        <f t="shared" si="61"/>
        <v>0</v>
      </c>
      <c r="N164" s="81"/>
      <c r="O164" s="7"/>
      <c r="P164" s="80"/>
      <c r="Q164" s="80"/>
      <c r="R164" s="91"/>
      <c r="S164" s="8"/>
      <c r="T164" s="82"/>
      <c r="W164" s="10"/>
      <c r="X164" s="9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</row>
    <row r="165" spans="1:61" ht="28.5">
      <c r="A165" s="156" t="s">
        <v>239</v>
      </c>
      <c r="B165" s="157" t="s">
        <v>240</v>
      </c>
      <c r="C165" s="156" t="s">
        <v>7</v>
      </c>
      <c r="D165" s="156">
        <v>7</v>
      </c>
      <c r="E165" s="156">
        <v>41.88</v>
      </c>
      <c r="F165" s="156">
        <f t="shared" si="62"/>
        <v>293.16000000000003</v>
      </c>
      <c r="G165" s="156">
        <v>0</v>
      </c>
      <c r="H165" s="156"/>
      <c r="I165" s="156">
        <f t="shared" si="63"/>
        <v>0</v>
      </c>
      <c r="J165" s="156">
        <f t="shared" si="64"/>
        <v>0</v>
      </c>
      <c r="K165" s="156">
        <f t="shared" si="65"/>
        <v>0</v>
      </c>
      <c r="L165" s="156">
        <f t="shared" si="66"/>
        <v>0</v>
      </c>
      <c r="M165" s="188">
        <f t="shared" si="61"/>
        <v>0</v>
      </c>
      <c r="N165" s="81"/>
      <c r="O165" s="7"/>
      <c r="P165" s="80"/>
      <c r="Q165" s="80"/>
      <c r="R165" s="91"/>
      <c r="S165" s="8"/>
      <c r="T165" s="82"/>
      <c r="W165" s="10"/>
      <c r="X165" s="9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</row>
    <row r="166" spans="1:61" ht="28.5">
      <c r="A166" s="156" t="s">
        <v>241</v>
      </c>
      <c r="B166" s="157" t="s">
        <v>242</v>
      </c>
      <c r="C166" s="156" t="s">
        <v>7</v>
      </c>
      <c r="D166" s="156">
        <v>10</v>
      </c>
      <c r="E166" s="156">
        <v>45.02</v>
      </c>
      <c r="F166" s="156">
        <f t="shared" si="62"/>
        <v>450.20000000000005</v>
      </c>
      <c r="G166" s="156">
        <v>0</v>
      </c>
      <c r="H166" s="156"/>
      <c r="I166" s="156">
        <f t="shared" si="63"/>
        <v>0</v>
      </c>
      <c r="J166" s="156">
        <f t="shared" si="64"/>
        <v>0</v>
      </c>
      <c r="K166" s="156">
        <f t="shared" si="65"/>
        <v>0</v>
      </c>
      <c r="L166" s="156">
        <f t="shared" si="66"/>
        <v>0</v>
      </c>
      <c r="M166" s="188">
        <f t="shared" si="61"/>
        <v>0</v>
      </c>
      <c r="N166" s="81"/>
      <c r="O166" s="7"/>
      <c r="P166" s="80"/>
      <c r="Q166" s="80"/>
      <c r="R166" s="91"/>
      <c r="S166" s="8"/>
      <c r="T166" s="82"/>
      <c r="W166" s="10"/>
      <c r="X166" s="9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</row>
    <row r="167" spans="1:61" ht="28.5">
      <c r="A167" s="156" t="s">
        <v>243</v>
      </c>
      <c r="B167" s="157" t="s">
        <v>244</v>
      </c>
      <c r="C167" s="156" t="s">
        <v>7</v>
      </c>
      <c r="D167" s="156">
        <v>3</v>
      </c>
      <c r="E167" s="156">
        <v>39.47</v>
      </c>
      <c r="F167" s="156">
        <f t="shared" si="62"/>
        <v>118.41</v>
      </c>
      <c r="G167" s="156">
        <v>0</v>
      </c>
      <c r="H167" s="156"/>
      <c r="I167" s="156">
        <f t="shared" si="63"/>
        <v>0</v>
      </c>
      <c r="J167" s="156">
        <f t="shared" si="64"/>
        <v>0</v>
      </c>
      <c r="K167" s="156">
        <f t="shared" si="65"/>
        <v>0</v>
      </c>
      <c r="L167" s="156">
        <f t="shared" si="66"/>
        <v>0</v>
      </c>
      <c r="M167" s="188">
        <f t="shared" si="61"/>
        <v>0</v>
      </c>
      <c r="N167" s="81"/>
      <c r="O167" s="7"/>
      <c r="P167" s="80"/>
      <c r="Q167" s="80"/>
      <c r="R167" s="91"/>
      <c r="S167" s="8"/>
      <c r="T167" s="82"/>
      <c r="W167" s="10"/>
      <c r="X167" s="9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</row>
    <row r="168" spans="1:61" ht="28.5">
      <c r="A168" s="156" t="s">
        <v>245</v>
      </c>
      <c r="B168" s="157" t="s">
        <v>246</v>
      </c>
      <c r="C168" s="156" t="s">
        <v>7</v>
      </c>
      <c r="D168" s="156">
        <v>1</v>
      </c>
      <c r="E168" s="156">
        <v>42.9</v>
      </c>
      <c r="F168" s="156">
        <f t="shared" si="62"/>
        <v>42.9</v>
      </c>
      <c r="G168" s="156">
        <v>0</v>
      </c>
      <c r="H168" s="156"/>
      <c r="I168" s="156">
        <f t="shared" si="63"/>
        <v>0</v>
      </c>
      <c r="J168" s="156">
        <f t="shared" si="64"/>
        <v>0</v>
      </c>
      <c r="K168" s="156">
        <f t="shared" si="65"/>
        <v>0</v>
      </c>
      <c r="L168" s="156">
        <f t="shared" si="66"/>
        <v>0</v>
      </c>
      <c r="M168" s="188">
        <f t="shared" si="61"/>
        <v>0</v>
      </c>
      <c r="N168" s="81"/>
      <c r="O168" s="7"/>
      <c r="P168" s="80"/>
      <c r="Q168" s="80"/>
      <c r="R168" s="91"/>
      <c r="S168" s="8"/>
      <c r="T168" s="82"/>
      <c r="W168" s="10"/>
      <c r="X168" s="9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</row>
    <row r="169" spans="1:61" ht="28.5">
      <c r="A169" s="156" t="s">
        <v>247</v>
      </c>
      <c r="B169" s="157" t="s">
        <v>248</v>
      </c>
      <c r="C169" s="156" t="s">
        <v>7</v>
      </c>
      <c r="D169" s="156">
        <v>3</v>
      </c>
      <c r="E169" s="156">
        <v>53.64</v>
      </c>
      <c r="F169" s="156">
        <f t="shared" si="62"/>
        <v>160.92000000000002</v>
      </c>
      <c r="G169" s="156">
        <v>0</v>
      </c>
      <c r="H169" s="156"/>
      <c r="I169" s="156">
        <f t="shared" si="63"/>
        <v>0</v>
      </c>
      <c r="J169" s="156">
        <f t="shared" si="64"/>
        <v>0</v>
      </c>
      <c r="K169" s="156">
        <f t="shared" si="65"/>
        <v>0</v>
      </c>
      <c r="L169" s="156">
        <f t="shared" si="66"/>
        <v>0</v>
      </c>
      <c r="M169" s="188">
        <f t="shared" si="61"/>
        <v>0</v>
      </c>
      <c r="N169" s="81"/>
      <c r="O169" s="7"/>
      <c r="P169" s="80"/>
      <c r="Q169" s="80"/>
      <c r="R169" s="91"/>
      <c r="S169" s="8"/>
      <c r="T169" s="82"/>
      <c r="W169" s="10"/>
      <c r="X169" s="9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</row>
    <row r="170" spans="1:61" ht="28.5">
      <c r="A170" s="156" t="s">
        <v>249</v>
      </c>
      <c r="B170" s="157" t="s">
        <v>250</v>
      </c>
      <c r="C170" s="156" t="s">
        <v>7</v>
      </c>
      <c r="D170" s="156">
        <v>17</v>
      </c>
      <c r="E170" s="156">
        <v>15.83</v>
      </c>
      <c r="F170" s="156">
        <f t="shared" si="62"/>
        <v>269.11</v>
      </c>
      <c r="G170" s="156">
        <v>0</v>
      </c>
      <c r="H170" s="156"/>
      <c r="I170" s="156">
        <f t="shared" si="63"/>
        <v>0</v>
      </c>
      <c r="J170" s="156">
        <f t="shared" si="64"/>
        <v>0</v>
      </c>
      <c r="K170" s="156">
        <f t="shared" si="65"/>
        <v>0</v>
      </c>
      <c r="L170" s="156">
        <f t="shared" si="66"/>
        <v>0</v>
      </c>
      <c r="M170" s="188">
        <f t="shared" si="61"/>
        <v>0</v>
      </c>
      <c r="N170" s="81"/>
      <c r="O170" s="7"/>
      <c r="P170" s="80"/>
      <c r="Q170" s="80"/>
      <c r="R170" s="91"/>
      <c r="S170" s="8"/>
      <c r="T170" s="82"/>
      <c r="W170" s="10"/>
      <c r="X170" s="9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</row>
    <row r="171" spans="1:61" ht="28.5">
      <c r="A171" s="156" t="s">
        <v>251</v>
      </c>
      <c r="B171" s="157" t="s">
        <v>252</v>
      </c>
      <c r="C171" s="156" t="s">
        <v>7</v>
      </c>
      <c r="D171" s="156">
        <v>6</v>
      </c>
      <c r="E171" s="156">
        <v>25.08</v>
      </c>
      <c r="F171" s="156">
        <f t="shared" si="62"/>
        <v>150.47999999999999</v>
      </c>
      <c r="G171" s="156">
        <v>0</v>
      </c>
      <c r="H171" s="156"/>
      <c r="I171" s="156">
        <f t="shared" si="63"/>
        <v>0</v>
      </c>
      <c r="J171" s="156">
        <f t="shared" si="64"/>
        <v>0</v>
      </c>
      <c r="K171" s="156">
        <f t="shared" si="65"/>
        <v>0</v>
      </c>
      <c r="L171" s="156">
        <f t="shared" si="66"/>
        <v>0</v>
      </c>
      <c r="M171" s="188">
        <f t="shared" si="61"/>
        <v>0</v>
      </c>
      <c r="N171" s="81"/>
      <c r="O171" s="7"/>
      <c r="P171" s="80"/>
      <c r="Q171" s="80"/>
      <c r="R171" s="91"/>
      <c r="S171" s="8"/>
      <c r="T171" s="82"/>
      <c r="W171" s="10"/>
      <c r="X171" s="9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</row>
    <row r="172" spans="1:61" ht="42.75">
      <c r="A172" s="156" t="s">
        <v>253</v>
      </c>
      <c r="B172" s="157" t="s">
        <v>254</v>
      </c>
      <c r="C172" s="156" t="s">
        <v>7</v>
      </c>
      <c r="D172" s="156">
        <v>24</v>
      </c>
      <c r="E172" s="156">
        <v>62.36</v>
      </c>
      <c r="F172" s="156">
        <f t="shared" si="62"/>
        <v>1496.6399999999999</v>
      </c>
      <c r="G172" s="156">
        <v>0</v>
      </c>
      <c r="H172" s="156"/>
      <c r="I172" s="156">
        <f t="shared" si="63"/>
        <v>0</v>
      </c>
      <c r="J172" s="156">
        <f t="shared" si="64"/>
        <v>0</v>
      </c>
      <c r="K172" s="156">
        <f t="shared" si="65"/>
        <v>0</v>
      </c>
      <c r="L172" s="156">
        <f t="shared" si="66"/>
        <v>0</v>
      </c>
      <c r="M172" s="188">
        <f t="shared" si="61"/>
        <v>0</v>
      </c>
      <c r="N172" s="81"/>
      <c r="O172" s="7"/>
      <c r="P172" s="80"/>
      <c r="Q172" s="80"/>
      <c r="R172" s="91"/>
      <c r="S172" s="8"/>
      <c r="T172" s="82"/>
      <c r="W172" s="10"/>
      <c r="X172" s="9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</row>
    <row r="173" spans="1:61" ht="42.75">
      <c r="A173" s="156" t="s">
        <v>255</v>
      </c>
      <c r="B173" s="157" t="s">
        <v>256</v>
      </c>
      <c r="C173" s="156" t="s">
        <v>7</v>
      </c>
      <c r="D173" s="156">
        <v>53</v>
      </c>
      <c r="E173" s="156">
        <v>84.66</v>
      </c>
      <c r="F173" s="156">
        <f t="shared" si="62"/>
        <v>4486.9799999999996</v>
      </c>
      <c r="G173" s="156">
        <v>0</v>
      </c>
      <c r="H173" s="156"/>
      <c r="I173" s="156">
        <f t="shared" si="63"/>
        <v>0</v>
      </c>
      <c r="J173" s="156">
        <f t="shared" si="64"/>
        <v>0</v>
      </c>
      <c r="K173" s="156">
        <f t="shared" si="65"/>
        <v>0</v>
      </c>
      <c r="L173" s="156">
        <f t="shared" si="66"/>
        <v>0</v>
      </c>
      <c r="M173" s="188">
        <f t="shared" si="61"/>
        <v>0</v>
      </c>
      <c r="N173" s="81"/>
      <c r="O173" s="7"/>
      <c r="P173" s="80"/>
      <c r="Q173" s="80"/>
      <c r="R173" s="91"/>
      <c r="S173" s="8"/>
      <c r="T173" s="82"/>
      <c r="W173" s="10"/>
      <c r="X173" s="9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</row>
    <row r="174" spans="1:61" ht="28.5">
      <c r="A174" s="156" t="s">
        <v>257</v>
      </c>
      <c r="B174" s="157" t="s">
        <v>258</v>
      </c>
      <c r="C174" s="156" t="s">
        <v>7</v>
      </c>
      <c r="D174" s="156">
        <v>8</v>
      </c>
      <c r="E174" s="156">
        <v>23.26</v>
      </c>
      <c r="F174" s="156">
        <f t="shared" si="62"/>
        <v>186.08</v>
      </c>
      <c r="G174" s="156">
        <v>0</v>
      </c>
      <c r="H174" s="156"/>
      <c r="I174" s="156">
        <f t="shared" si="63"/>
        <v>0</v>
      </c>
      <c r="J174" s="156">
        <f t="shared" si="64"/>
        <v>0</v>
      </c>
      <c r="K174" s="156">
        <f t="shared" si="65"/>
        <v>0</v>
      </c>
      <c r="L174" s="156">
        <f t="shared" si="66"/>
        <v>0</v>
      </c>
      <c r="M174" s="188">
        <f t="shared" si="61"/>
        <v>0</v>
      </c>
      <c r="N174" s="81"/>
      <c r="O174" s="7"/>
      <c r="P174" s="80"/>
      <c r="Q174" s="80"/>
      <c r="R174" s="91"/>
      <c r="S174" s="8"/>
      <c r="T174" s="82"/>
      <c r="W174" s="10"/>
      <c r="X174" s="9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</row>
    <row r="175" spans="1:61" ht="42.75">
      <c r="A175" s="156" t="s">
        <v>259</v>
      </c>
      <c r="B175" s="157" t="s">
        <v>260</v>
      </c>
      <c r="C175" s="156" t="s">
        <v>7</v>
      </c>
      <c r="D175" s="156">
        <v>91</v>
      </c>
      <c r="E175" s="156">
        <v>90.03</v>
      </c>
      <c r="F175" s="156">
        <f t="shared" si="62"/>
        <v>8192.73</v>
      </c>
      <c r="G175" s="156">
        <v>0</v>
      </c>
      <c r="H175" s="156"/>
      <c r="I175" s="156">
        <f t="shared" si="63"/>
        <v>0</v>
      </c>
      <c r="J175" s="156">
        <f t="shared" si="64"/>
        <v>0</v>
      </c>
      <c r="K175" s="156">
        <f t="shared" si="65"/>
        <v>0</v>
      </c>
      <c r="L175" s="156">
        <f t="shared" si="66"/>
        <v>0</v>
      </c>
      <c r="M175" s="188">
        <f t="shared" si="61"/>
        <v>0</v>
      </c>
      <c r="N175" s="81"/>
      <c r="O175" s="7"/>
      <c r="P175" s="80"/>
      <c r="Q175" s="80"/>
      <c r="R175" s="91"/>
      <c r="S175" s="8"/>
      <c r="T175" s="82"/>
      <c r="W175" s="10"/>
      <c r="X175" s="9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</row>
    <row r="176" spans="1:61" ht="28.5">
      <c r="A176" s="156" t="s">
        <v>261</v>
      </c>
      <c r="B176" s="157" t="s">
        <v>262</v>
      </c>
      <c r="C176" s="156" t="s">
        <v>7</v>
      </c>
      <c r="D176" s="156">
        <v>18</v>
      </c>
      <c r="E176" s="156">
        <v>110.51</v>
      </c>
      <c r="F176" s="156">
        <f t="shared" si="62"/>
        <v>1989.18</v>
      </c>
      <c r="G176" s="156">
        <v>0</v>
      </c>
      <c r="H176" s="156"/>
      <c r="I176" s="156">
        <f t="shared" si="63"/>
        <v>0</v>
      </c>
      <c r="J176" s="156">
        <f t="shared" si="64"/>
        <v>0</v>
      </c>
      <c r="K176" s="156">
        <f t="shared" si="65"/>
        <v>0</v>
      </c>
      <c r="L176" s="156">
        <f t="shared" si="66"/>
        <v>0</v>
      </c>
      <c r="M176" s="188">
        <f t="shared" si="61"/>
        <v>0</v>
      </c>
      <c r="N176" s="81"/>
      <c r="O176" s="7"/>
      <c r="P176" s="80"/>
      <c r="Q176" s="80"/>
      <c r="R176" s="91"/>
      <c r="S176" s="8"/>
      <c r="T176" s="82"/>
      <c r="W176" s="10"/>
      <c r="X176" s="9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</row>
    <row r="177" spans="1:61" ht="28.5">
      <c r="A177" s="156" t="s">
        <v>263</v>
      </c>
      <c r="B177" s="157" t="s">
        <v>264</v>
      </c>
      <c r="C177" s="156" t="s">
        <v>7</v>
      </c>
      <c r="D177" s="156">
        <v>12</v>
      </c>
      <c r="E177" s="156">
        <v>117.49</v>
      </c>
      <c r="F177" s="156">
        <f t="shared" si="62"/>
        <v>1409.8799999999999</v>
      </c>
      <c r="G177" s="156">
        <v>0</v>
      </c>
      <c r="H177" s="156"/>
      <c r="I177" s="156">
        <f t="shared" si="63"/>
        <v>0</v>
      </c>
      <c r="J177" s="156">
        <f t="shared" si="64"/>
        <v>0</v>
      </c>
      <c r="K177" s="156">
        <f t="shared" si="65"/>
        <v>0</v>
      </c>
      <c r="L177" s="156">
        <f t="shared" si="66"/>
        <v>0</v>
      </c>
      <c r="M177" s="188">
        <f t="shared" si="61"/>
        <v>0</v>
      </c>
      <c r="N177" s="81"/>
      <c r="O177" s="7"/>
      <c r="P177" s="80"/>
      <c r="Q177" s="80"/>
      <c r="R177" s="91"/>
      <c r="S177" s="8"/>
      <c r="T177" s="82"/>
      <c r="W177" s="10"/>
      <c r="X177" s="9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</row>
    <row r="178" spans="1:61" ht="42.75">
      <c r="A178" s="156" t="s">
        <v>265</v>
      </c>
      <c r="B178" s="157" t="s">
        <v>266</v>
      </c>
      <c r="C178" s="156" t="s">
        <v>7</v>
      </c>
      <c r="D178" s="156">
        <v>7</v>
      </c>
      <c r="E178" s="156">
        <v>167.48</v>
      </c>
      <c r="F178" s="156">
        <f t="shared" si="62"/>
        <v>1172.3599999999999</v>
      </c>
      <c r="G178" s="156">
        <v>0</v>
      </c>
      <c r="H178" s="156"/>
      <c r="I178" s="156">
        <f t="shared" si="63"/>
        <v>0</v>
      </c>
      <c r="J178" s="156">
        <f t="shared" si="64"/>
        <v>0</v>
      </c>
      <c r="K178" s="156">
        <f t="shared" si="65"/>
        <v>0</v>
      </c>
      <c r="L178" s="156">
        <f t="shared" si="66"/>
        <v>0</v>
      </c>
      <c r="M178" s="188">
        <f t="shared" si="61"/>
        <v>0</v>
      </c>
      <c r="N178" s="81"/>
      <c r="O178" s="7"/>
      <c r="P178" s="80"/>
      <c r="Q178" s="80"/>
      <c r="R178" s="91"/>
      <c r="S178" s="8"/>
      <c r="T178" s="82"/>
      <c r="W178" s="10"/>
      <c r="X178" s="9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</row>
    <row r="179" spans="1:61" ht="42.75">
      <c r="A179" s="156" t="s">
        <v>267</v>
      </c>
      <c r="B179" s="157" t="s">
        <v>266</v>
      </c>
      <c r="C179" s="156" t="s">
        <v>7</v>
      </c>
      <c r="D179" s="156">
        <v>11</v>
      </c>
      <c r="E179" s="156">
        <v>167.48</v>
      </c>
      <c r="F179" s="156">
        <f t="shared" si="62"/>
        <v>1842.28</v>
      </c>
      <c r="G179" s="156">
        <v>0</v>
      </c>
      <c r="H179" s="156"/>
      <c r="I179" s="156">
        <f t="shared" si="63"/>
        <v>0</v>
      </c>
      <c r="J179" s="156">
        <f t="shared" si="64"/>
        <v>0</v>
      </c>
      <c r="K179" s="156">
        <f t="shared" si="65"/>
        <v>0</v>
      </c>
      <c r="L179" s="156">
        <f t="shared" si="66"/>
        <v>0</v>
      </c>
      <c r="M179" s="188">
        <f t="shared" si="61"/>
        <v>0</v>
      </c>
      <c r="N179" s="81"/>
      <c r="O179" s="7"/>
      <c r="P179" s="80"/>
      <c r="Q179" s="80"/>
      <c r="R179" s="91"/>
      <c r="S179" s="8"/>
      <c r="T179" s="82"/>
      <c r="W179" s="10"/>
      <c r="X179" s="9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</row>
    <row r="180" spans="1:61" ht="42.75">
      <c r="A180" s="156" t="s">
        <v>268</v>
      </c>
      <c r="B180" s="157" t="s">
        <v>269</v>
      </c>
      <c r="C180" s="156" t="s">
        <v>7</v>
      </c>
      <c r="D180" s="156">
        <v>1</v>
      </c>
      <c r="E180" s="156">
        <v>424.3</v>
      </c>
      <c r="F180" s="156">
        <f t="shared" si="62"/>
        <v>424.3</v>
      </c>
      <c r="G180" s="156">
        <v>0</v>
      </c>
      <c r="H180" s="156"/>
      <c r="I180" s="156">
        <f t="shared" si="63"/>
        <v>0</v>
      </c>
      <c r="J180" s="156">
        <f t="shared" si="64"/>
        <v>0</v>
      </c>
      <c r="K180" s="156">
        <f t="shared" si="65"/>
        <v>0</v>
      </c>
      <c r="L180" s="156">
        <f t="shared" si="66"/>
        <v>0</v>
      </c>
      <c r="M180" s="188">
        <f t="shared" si="61"/>
        <v>0</v>
      </c>
      <c r="N180" s="81"/>
      <c r="O180" s="7"/>
      <c r="P180" s="80"/>
      <c r="Q180" s="80"/>
      <c r="R180" s="91"/>
      <c r="S180" s="8"/>
      <c r="T180" s="82"/>
      <c r="W180" s="10"/>
      <c r="X180" s="9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</row>
    <row r="181" spans="1:61" ht="42.75">
      <c r="A181" s="156" t="s">
        <v>270</v>
      </c>
      <c r="B181" s="157" t="s">
        <v>271</v>
      </c>
      <c r="C181" s="156" t="s">
        <v>7</v>
      </c>
      <c r="D181" s="156">
        <v>1</v>
      </c>
      <c r="E181" s="156">
        <v>292.16000000000003</v>
      </c>
      <c r="F181" s="156">
        <f t="shared" si="62"/>
        <v>292.16000000000003</v>
      </c>
      <c r="G181" s="156">
        <v>0</v>
      </c>
      <c r="H181" s="156"/>
      <c r="I181" s="156">
        <f t="shared" si="63"/>
        <v>0</v>
      </c>
      <c r="J181" s="156">
        <f t="shared" si="64"/>
        <v>0</v>
      </c>
      <c r="K181" s="156">
        <f t="shared" si="65"/>
        <v>0</v>
      </c>
      <c r="L181" s="156">
        <f t="shared" si="66"/>
        <v>0</v>
      </c>
      <c r="M181" s="188">
        <f t="shared" si="61"/>
        <v>0</v>
      </c>
      <c r="N181" s="81"/>
      <c r="O181" s="7"/>
      <c r="P181" s="80"/>
      <c r="Q181" s="80"/>
      <c r="R181" s="91"/>
      <c r="S181" s="8"/>
      <c r="T181" s="82"/>
      <c r="W181" s="10"/>
      <c r="X181" s="9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</row>
    <row r="182" spans="1:61" ht="18" customHeight="1">
      <c r="A182" s="156" t="s">
        <v>272</v>
      </c>
      <c r="B182" s="157" t="s">
        <v>273</v>
      </c>
      <c r="C182" s="156" t="s">
        <v>7</v>
      </c>
      <c r="D182" s="156">
        <v>3</v>
      </c>
      <c r="E182" s="156">
        <v>120.03</v>
      </c>
      <c r="F182" s="156">
        <f t="shared" si="62"/>
        <v>360.09000000000003</v>
      </c>
      <c r="G182" s="156">
        <v>0</v>
      </c>
      <c r="H182" s="156"/>
      <c r="I182" s="156">
        <f t="shared" si="63"/>
        <v>0</v>
      </c>
      <c r="J182" s="156">
        <f t="shared" si="64"/>
        <v>0</v>
      </c>
      <c r="K182" s="156">
        <f t="shared" si="65"/>
        <v>0</v>
      </c>
      <c r="L182" s="156">
        <f t="shared" si="66"/>
        <v>0</v>
      </c>
      <c r="M182" s="188">
        <f t="shared" si="61"/>
        <v>0</v>
      </c>
      <c r="N182" s="81"/>
      <c r="O182" s="7"/>
      <c r="P182" s="80"/>
      <c r="Q182" s="80"/>
      <c r="R182" s="91"/>
      <c r="S182" s="8"/>
      <c r="T182" s="82"/>
      <c r="W182" s="10"/>
      <c r="X182" s="9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</row>
    <row r="183" spans="1:61" ht="28.5">
      <c r="A183" s="156" t="s">
        <v>274</v>
      </c>
      <c r="B183" s="157" t="s">
        <v>275</v>
      </c>
      <c r="C183" s="156" t="s">
        <v>232</v>
      </c>
      <c r="D183" s="156">
        <v>1</v>
      </c>
      <c r="E183" s="156">
        <v>239.87</v>
      </c>
      <c r="F183" s="156">
        <f t="shared" si="62"/>
        <v>239.87</v>
      </c>
      <c r="G183" s="156">
        <v>0</v>
      </c>
      <c r="H183" s="156"/>
      <c r="I183" s="156">
        <f t="shared" si="63"/>
        <v>0</v>
      </c>
      <c r="J183" s="156">
        <f t="shared" si="64"/>
        <v>0</v>
      </c>
      <c r="K183" s="156">
        <f t="shared" si="65"/>
        <v>0</v>
      </c>
      <c r="L183" s="156">
        <f t="shared" si="66"/>
        <v>0</v>
      </c>
      <c r="M183" s="188">
        <f t="shared" si="61"/>
        <v>0</v>
      </c>
      <c r="N183" s="81"/>
      <c r="O183" s="7"/>
      <c r="P183" s="80"/>
      <c r="Q183" s="80"/>
      <c r="R183" s="91"/>
      <c r="S183" s="8"/>
      <c r="T183" s="82"/>
      <c r="W183" s="10"/>
      <c r="X183" s="9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</row>
    <row r="184" spans="1:61" ht="42.75">
      <c r="A184" s="156" t="s">
        <v>276</v>
      </c>
      <c r="B184" s="157" t="s">
        <v>277</v>
      </c>
      <c r="C184" s="156" t="s">
        <v>7</v>
      </c>
      <c r="D184" s="156">
        <v>1</v>
      </c>
      <c r="E184" s="156">
        <v>1383.09</v>
      </c>
      <c r="F184" s="156">
        <f t="shared" si="62"/>
        <v>1383.09</v>
      </c>
      <c r="G184" s="156">
        <v>0</v>
      </c>
      <c r="H184" s="156"/>
      <c r="I184" s="156">
        <f t="shared" si="63"/>
        <v>0</v>
      </c>
      <c r="J184" s="156">
        <f t="shared" si="64"/>
        <v>0</v>
      </c>
      <c r="K184" s="156">
        <f t="shared" si="65"/>
        <v>0</v>
      </c>
      <c r="L184" s="156">
        <f t="shared" si="66"/>
        <v>0</v>
      </c>
      <c r="M184" s="188">
        <f t="shared" si="61"/>
        <v>0</v>
      </c>
      <c r="N184" s="81"/>
      <c r="O184" s="7"/>
      <c r="P184" s="80"/>
      <c r="Q184" s="80"/>
      <c r="R184" s="91"/>
      <c r="S184" s="8"/>
      <c r="T184" s="82"/>
      <c r="W184" s="10"/>
      <c r="X184" s="9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</row>
    <row r="185" spans="1:61" ht="28.5">
      <c r="A185" s="156" t="s">
        <v>278</v>
      </c>
      <c r="B185" s="157" t="s">
        <v>279</v>
      </c>
      <c r="C185" s="156" t="s">
        <v>7</v>
      </c>
      <c r="D185" s="156">
        <v>1</v>
      </c>
      <c r="E185" s="156">
        <v>15.07</v>
      </c>
      <c r="F185" s="156">
        <f t="shared" si="62"/>
        <v>15.07</v>
      </c>
      <c r="G185" s="156">
        <v>0</v>
      </c>
      <c r="H185" s="156"/>
      <c r="I185" s="156">
        <f t="shared" si="63"/>
        <v>0</v>
      </c>
      <c r="J185" s="156">
        <f t="shared" si="64"/>
        <v>0</v>
      </c>
      <c r="K185" s="156">
        <f t="shared" si="65"/>
        <v>0</v>
      </c>
      <c r="L185" s="156">
        <f t="shared" si="66"/>
        <v>0</v>
      </c>
      <c r="M185" s="188">
        <f t="shared" si="61"/>
        <v>0</v>
      </c>
      <c r="N185" s="81"/>
      <c r="O185" s="7"/>
      <c r="P185" s="80"/>
      <c r="Q185" s="80"/>
      <c r="R185" s="91"/>
      <c r="S185" s="8"/>
      <c r="T185" s="82"/>
      <c r="W185" s="10"/>
      <c r="X185" s="9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</row>
    <row r="186" spans="1:61" ht="42.75">
      <c r="A186" s="156" t="s">
        <v>280</v>
      </c>
      <c r="B186" s="157" t="s">
        <v>281</v>
      </c>
      <c r="C186" s="156" t="s">
        <v>7</v>
      </c>
      <c r="D186" s="156">
        <v>1</v>
      </c>
      <c r="E186" s="156">
        <v>1197.9000000000001</v>
      </c>
      <c r="F186" s="156">
        <f t="shared" si="62"/>
        <v>1197.9000000000001</v>
      </c>
      <c r="G186" s="156">
        <v>0</v>
      </c>
      <c r="H186" s="156">
        <f>'MEMORIA BM 03'!L465</f>
        <v>1</v>
      </c>
      <c r="I186" s="156">
        <f t="shared" si="63"/>
        <v>1</v>
      </c>
      <c r="J186" s="156">
        <f t="shared" si="64"/>
        <v>0</v>
      </c>
      <c r="K186" s="156">
        <f t="shared" si="65"/>
        <v>1197.9000000000001</v>
      </c>
      <c r="L186" s="156">
        <f t="shared" si="66"/>
        <v>1197.9000000000001</v>
      </c>
      <c r="M186" s="188">
        <f t="shared" si="61"/>
        <v>1</v>
      </c>
      <c r="N186" s="81"/>
      <c r="O186" s="7"/>
      <c r="P186" s="80"/>
      <c r="Q186" s="80"/>
      <c r="R186" s="91"/>
      <c r="S186" s="8"/>
      <c r="T186" s="82"/>
      <c r="W186" s="10"/>
      <c r="X186" s="9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</row>
    <row r="187" spans="1:61">
      <c r="A187" s="156"/>
      <c r="B187" s="154"/>
      <c r="C187" s="156"/>
      <c r="D187" s="156"/>
      <c r="E187" s="156"/>
      <c r="F187" s="156"/>
      <c r="G187" s="156"/>
      <c r="H187" s="156"/>
      <c r="I187" s="156"/>
      <c r="J187" s="156"/>
      <c r="K187" s="156"/>
      <c r="L187" s="156"/>
      <c r="M187" s="188"/>
      <c r="N187" s="81"/>
      <c r="O187" s="7"/>
      <c r="P187" s="80"/>
      <c r="Q187" s="80"/>
      <c r="R187" s="91"/>
      <c r="S187" s="8"/>
      <c r="T187" s="82"/>
      <c r="W187" s="10"/>
      <c r="X187" s="9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</row>
    <row r="188" spans="1:61" s="87" customFormat="1">
      <c r="A188" s="164" t="s">
        <v>282</v>
      </c>
      <c r="B188" s="165" t="s">
        <v>283</v>
      </c>
      <c r="C188" s="166"/>
      <c r="D188" s="167"/>
      <c r="E188" s="166"/>
      <c r="F188" s="166">
        <f>SUM(F190:F196)</f>
        <v>7637.2927999999993</v>
      </c>
      <c r="G188" s="166"/>
      <c r="H188" s="166"/>
      <c r="I188" s="166"/>
      <c r="J188" s="166">
        <f>SUM(J190:J196)</f>
        <v>0</v>
      </c>
      <c r="K188" s="166">
        <f>SUM(K190:K196)</f>
        <v>0</v>
      </c>
      <c r="L188" s="166">
        <f>SUM(L190:L196)</f>
        <v>0</v>
      </c>
      <c r="M188" s="188">
        <f t="shared" si="61"/>
        <v>0</v>
      </c>
      <c r="N188" s="98"/>
      <c r="O188" s="7"/>
      <c r="P188" s="97"/>
      <c r="Q188" s="97"/>
      <c r="R188" s="79"/>
      <c r="S188" s="16"/>
      <c r="T188" s="82"/>
      <c r="U188" s="14"/>
      <c r="V188" s="14"/>
      <c r="W188" s="84"/>
      <c r="X188" s="83"/>
      <c r="Y188" s="85"/>
      <c r="Z188" s="85"/>
      <c r="AA188" s="85"/>
      <c r="AB188" s="85"/>
      <c r="AC188" s="85"/>
      <c r="AD188" s="85"/>
      <c r="AE188" s="85"/>
      <c r="AF188" s="85"/>
      <c r="AG188" s="85"/>
      <c r="AH188" s="85"/>
      <c r="AI188" s="85"/>
      <c r="AJ188" s="85"/>
      <c r="AK188" s="86"/>
      <c r="AL188" s="86"/>
      <c r="AM188" s="86"/>
      <c r="AN188" s="86"/>
      <c r="AO188" s="86"/>
      <c r="AP188" s="86"/>
      <c r="AQ188" s="86"/>
      <c r="AR188" s="86"/>
      <c r="AS188" s="86"/>
      <c r="AT188" s="86"/>
      <c r="AU188" s="86"/>
      <c r="AV188" s="86"/>
      <c r="AW188" s="86"/>
      <c r="AX188" s="86"/>
      <c r="AY188" s="86"/>
      <c r="AZ188" s="86"/>
      <c r="BA188" s="86"/>
      <c r="BB188" s="86"/>
      <c r="BC188" s="86"/>
      <c r="BD188" s="86"/>
      <c r="BE188" s="86"/>
      <c r="BF188" s="86"/>
      <c r="BG188" s="86"/>
      <c r="BH188" s="86"/>
      <c r="BI188" s="86"/>
    </row>
    <row r="189" spans="1:61">
      <c r="A189" s="156"/>
      <c r="B189" s="154"/>
      <c r="C189" s="156"/>
      <c r="D189" s="156"/>
      <c r="E189" s="156"/>
      <c r="F189" s="156"/>
      <c r="G189" s="156"/>
      <c r="H189" s="156"/>
      <c r="I189" s="156"/>
      <c r="J189" s="156"/>
      <c r="K189" s="156"/>
      <c r="L189" s="156"/>
      <c r="M189" s="188"/>
      <c r="N189" s="81"/>
      <c r="O189" s="7"/>
      <c r="P189" s="80"/>
      <c r="Q189" s="80"/>
      <c r="R189" s="91"/>
      <c r="S189" s="8"/>
      <c r="T189" s="82"/>
      <c r="W189" s="10"/>
      <c r="X189" s="9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</row>
    <row r="190" spans="1:61" ht="42.75">
      <c r="A190" s="156" t="s">
        <v>284</v>
      </c>
      <c r="B190" s="157" t="s">
        <v>285</v>
      </c>
      <c r="C190" s="156" t="s">
        <v>7</v>
      </c>
      <c r="D190" s="156">
        <v>30</v>
      </c>
      <c r="E190" s="156">
        <v>12.84</v>
      </c>
      <c r="F190" s="156">
        <f t="shared" ref="F190:F196" si="67">D190*E190</f>
        <v>385.2</v>
      </c>
      <c r="G190" s="156">
        <v>0</v>
      </c>
      <c r="H190" s="156"/>
      <c r="I190" s="156">
        <f t="shared" ref="I190:I196" si="68">G190+H190</f>
        <v>0</v>
      </c>
      <c r="J190" s="156">
        <f t="shared" ref="J190:J196" si="69">E190*G190</f>
        <v>0</v>
      </c>
      <c r="K190" s="156">
        <f t="shared" ref="K190:K196" si="70">H190*E190</f>
        <v>0</v>
      </c>
      <c r="L190" s="156">
        <f t="shared" ref="L190:L196" si="71">J190+K190</f>
        <v>0</v>
      </c>
      <c r="M190" s="188">
        <f t="shared" si="61"/>
        <v>0</v>
      </c>
      <c r="N190" s="81"/>
      <c r="O190" s="7"/>
      <c r="P190" s="80"/>
      <c r="Q190" s="80"/>
      <c r="R190" s="91"/>
      <c r="S190" s="8"/>
      <c r="T190" s="82"/>
      <c r="W190" s="10"/>
      <c r="X190" s="9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</row>
    <row r="191" spans="1:61">
      <c r="A191" s="156" t="s">
        <v>286</v>
      </c>
      <c r="B191" s="157" t="s">
        <v>287</v>
      </c>
      <c r="C191" s="156" t="s">
        <v>7</v>
      </c>
      <c r="D191" s="156">
        <v>1</v>
      </c>
      <c r="E191" s="156">
        <v>1146.02</v>
      </c>
      <c r="F191" s="156">
        <f t="shared" si="67"/>
        <v>1146.02</v>
      </c>
      <c r="G191" s="156">
        <v>0</v>
      </c>
      <c r="H191" s="156"/>
      <c r="I191" s="156">
        <f t="shared" si="68"/>
        <v>0</v>
      </c>
      <c r="J191" s="156">
        <f t="shared" si="69"/>
        <v>0</v>
      </c>
      <c r="K191" s="156">
        <f t="shared" si="70"/>
        <v>0</v>
      </c>
      <c r="L191" s="156">
        <f t="shared" si="71"/>
        <v>0</v>
      </c>
      <c r="M191" s="188">
        <f t="shared" si="61"/>
        <v>0</v>
      </c>
      <c r="N191" s="81"/>
      <c r="O191" s="7"/>
      <c r="P191" s="80"/>
      <c r="Q191" s="80"/>
      <c r="R191" s="91"/>
      <c r="S191" s="8"/>
      <c r="T191" s="82"/>
      <c r="W191" s="10"/>
      <c r="X191" s="9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</row>
    <row r="192" spans="1:61">
      <c r="A192" s="156" t="s">
        <v>288</v>
      </c>
      <c r="B192" s="157" t="s">
        <v>289</v>
      </c>
      <c r="C192" s="156" t="s">
        <v>7</v>
      </c>
      <c r="D192" s="156">
        <v>2</v>
      </c>
      <c r="E192" s="156">
        <v>410.9</v>
      </c>
      <c r="F192" s="156">
        <f t="shared" si="67"/>
        <v>821.8</v>
      </c>
      <c r="G192" s="156">
        <v>0</v>
      </c>
      <c r="H192" s="156"/>
      <c r="I192" s="156">
        <f t="shared" si="68"/>
        <v>0</v>
      </c>
      <c r="J192" s="156">
        <f t="shared" si="69"/>
        <v>0</v>
      </c>
      <c r="K192" s="156">
        <f t="shared" si="70"/>
        <v>0</v>
      </c>
      <c r="L192" s="156">
        <f t="shared" si="71"/>
        <v>0</v>
      </c>
      <c r="M192" s="188">
        <f t="shared" si="61"/>
        <v>0</v>
      </c>
      <c r="N192" s="81"/>
      <c r="O192" s="7"/>
      <c r="P192" s="80"/>
      <c r="Q192" s="80"/>
      <c r="R192" s="91"/>
      <c r="S192" s="8"/>
      <c r="T192" s="82"/>
      <c r="W192" s="10"/>
      <c r="X192" s="9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</row>
    <row r="193" spans="1:61">
      <c r="A193" s="156" t="s">
        <v>290</v>
      </c>
      <c r="B193" s="157" t="s">
        <v>289</v>
      </c>
      <c r="C193" s="156" t="s">
        <v>7</v>
      </c>
      <c r="D193" s="156">
        <v>1</v>
      </c>
      <c r="E193" s="156">
        <v>410.9</v>
      </c>
      <c r="F193" s="156">
        <f t="shared" si="67"/>
        <v>410.9</v>
      </c>
      <c r="G193" s="156">
        <v>0</v>
      </c>
      <c r="H193" s="156"/>
      <c r="I193" s="156">
        <f t="shared" si="68"/>
        <v>0</v>
      </c>
      <c r="J193" s="156">
        <f t="shared" si="69"/>
        <v>0</v>
      </c>
      <c r="K193" s="156">
        <f t="shared" si="70"/>
        <v>0</v>
      </c>
      <c r="L193" s="156">
        <f t="shared" si="71"/>
        <v>0</v>
      </c>
      <c r="M193" s="188">
        <f t="shared" si="61"/>
        <v>0</v>
      </c>
      <c r="N193" s="81"/>
      <c r="O193" s="7"/>
      <c r="P193" s="80"/>
      <c r="Q193" s="80"/>
      <c r="R193" s="91"/>
      <c r="S193" s="8"/>
      <c r="T193" s="82"/>
      <c r="W193" s="10"/>
      <c r="X193" s="9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</row>
    <row r="194" spans="1:61">
      <c r="A194" s="156" t="s">
        <v>291</v>
      </c>
      <c r="B194" s="158" t="s">
        <v>292</v>
      </c>
      <c r="C194" s="156" t="s">
        <v>16</v>
      </c>
      <c r="D194" s="156">
        <v>15.36</v>
      </c>
      <c r="E194" s="156">
        <v>284.23</v>
      </c>
      <c r="F194" s="156">
        <f t="shared" si="67"/>
        <v>4365.7727999999997</v>
      </c>
      <c r="G194" s="156">
        <v>0</v>
      </c>
      <c r="H194" s="156"/>
      <c r="I194" s="156">
        <f t="shared" si="68"/>
        <v>0</v>
      </c>
      <c r="J194" s="156">
        <f t="shared" si="69"/>
        <v>0</v>
      </c>
      <c r="K194" s="156">
        <f t="shared" si="70"/>
        <v>0</v>
      </c>
      <c r="L194" s="156">
        <f t="shared" si="71"/>
        <v>0</v>
      </c>
      <c r="M194" s="188">
        <f t="shared" si="61"/>
        <v>0</v>
      </c>
      <c r="N194" s="81"/>
      <c r="O194" s="7"/>
      <c r="P194" s="80"/>
      <c r="Q194" s="80"/>
      <c r="R194" s="91"/>
      <c r="S194" s="8"/>
      <c r="T194" s="82"/>
      <c r="W194" s="10"/>
      <c r="X194" s="9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</row>
    <row r="195" spans="1:61" ht="28.5">
      <c r="A195" s="156" t="s">
        <v>293</v>
      </c>
      <c r="B195" s="157" t="s">
        <v>294</v>
      </c>
      <c r="C195" s="156" t="s">
        <v>7</v>
      </c>
      <c r="D195" s="156">
        <v>1</v>
      </c>
      <c r="E195" s="156">
        <v>171.9</v>
      </c>
      <c r="F195" s="156">
        <f t="shared" si="67"/>
        <v>171.9</v>
      </c>
      <c r="G195" s="156">
        <v>0</v>
      </c>
      <c r="H195" s="156"/>
      <c r="I195" s="156">
        <f t="shared" si="68"/>
        <v>0</v>
      </c>
      <c r="J195" s="156">
        <f t="shared" si="69"/>
        <v>0</v>
      </c>
      <c r="K195" s="156">
        <f t="shared" si="70"/>
        <v>0</v>
      </c>
      <c r="L195" s="156">
        <f t="shared" si="71"/>
        <v>0</v>
      </c>
      <c r="M195" s="188">
        <f t="shared" si="61"/>
        <v>0</v>
      </c>
      <c r="N195" s="81"/>
      <c r="O195" s="7"/>
      <c r="P195" s="80"/>
      <c r="Q195" s="80"/>
      <c r="R195" s="91"/>
      <c r="S195" s="8"/>
      <c r="T195" s="82"/>
      <c r="W195" s="10"/>
      <c r="X195" s="9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</row>
    <row r="196" spans="1:61" ht="28.5">
      <c r="A196" s="156" t="s">
        <v>295</v>
      </c>
      <c r="B196" s="157" t="s">
        <v>296</v>
      </c>
      <c r="C196" s="156" t="s">
        <v>7</v>
      </c>
      <c r="D196" s="156">
        <v>2</v>
      </c>
      <c r="E196" s="156">
        <v>167.85</v>
      </c>
      <c r="F196" s="156">
        <f t="shared" si="67"/>
        <v>335.7</v>
      </c>
      <c r="G196" s="156">
        <v>0</v>
      </c>
      <c r="H196" s="156"/>
      <c r="I196" s="156">
        <f t="shared" si="68"/>
        <v>0</v>
      </c>
      <c r="J196" s="156">
        <f t="shared" si="69"/>
        <v>0</v>
      </c>
      <c r="K196" s="156">
        <f t="shared" si="70"/>
        <v>0</v>
      </c>
      <c r="L196" s="156">
        <f t="shared" si="71"/>
        <v>0</v>
      </c>
      <c r="M196" s="188">
        <f t="shared" si="61"/>
        <v>0</v>
      </c>
      <c r="N196" s="81"/>
      <c r="O196" s="7"/>
      <c r="P196" s="80"/>
      <c r="Q196" s="80"/>
      <c r="R196" s="91"/>
      <c r="S196" s="8"/>
      <c r="T196" s="82"/>
      <c r="W196" s="10"/>
      <c r="X196" s="9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</row>
    <row r="197" spans="1:61">
      <c r="A197" s="156"/>
      <c r="B197" s="154"/>
      <c r="C197" s="156"/>
      <c r="D197" s="156"/>
      <c r="E197" s="156"/>
      <c r="F197" s="156"/>
      <c r="G197" s="156"/>
      <c r="H197" s="156"/>
      <c r="I197" s="156"/>
      <c r="J197" s="156"/>
      <c r="K197" s="156"/>
      <c r="L197" s="156"/>
      <c r="M197" s="188"/>
      <c r="N197" s="81"/>
      <c r="O197" s="7"/>
      <c r="P197" s="80"/>
      <c r="Q197" s="80"/>
      <c r="R197" s="91"/>
      <c r="S197" s="8"/>
      <c r="T197" s="82"/>
      <c r="W197" s="10"/>
      <c r="X197" s="9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</row>
    <row r="198" spans="1:61" s="87" customFormat="1">
      <c r="A198" s="164" t="s">
        <v>297</v>
      </c>
      <c r="B198" s="165" t="s">
        <v>298</v>
      </c>
      <c r="C198" s="166"/>
      <c r="D198" s="167"/>
      <c r="E198" s="166"/>
      <c r="F198" s="166">
        <f>SUM(F200:F201)</f>
        <v>2055.0042000000003</v>
      </c>
      <c r="G198" s="166"/>
      <c r="H198" s="166"/>
      <c r="I198" s="166"/>
      <c r="J198" s="166">
        <f>SUM(J200:J201)</f>
        <v>0</v>
      </c>
      <c r="K198" s="166">
        <f>SUM(K200:K201)</f>
        <v>0</v>
      </c>
      <c r="L198" s="166">
        <f>SUM(L200:L201)</f>
        <v>0</v>
      </c>
      <c r="M198" s="188">
        <f t="shared" si="61"/>
        <v>0</v>
      </c>
      <c r="N198" s="98"/>
      <c r="O198" s="7"/>
      <c r="P198" s="97"/>
      <c r="Q198" s="97"/>
      <c r="R198" s="79"/>
      <c r="S198" s="16"/>
      <c r="T198" s="82"/>
      <c r="U198" s="14"/>
      <c r="V198" s="14"/>
      <c r="W198" s="84"/>
      <c r="X198" s="83"/>
      <c r="Y198" s="85"/>
      <c r="Z198" s="85"/>
      <c r="AA198" s="85"/>
      <c r="AB198" s="85"/>
      <c r="AC198" s="85"/>
      <c r="AD198" s="85"/>
      <c r="AE198" s="85"/>
      <c r="AF198" s="85"/>
      <c r="AG198" s="85"/>
      <c r="AH198" s="85"/>
      <c r="AI198" s="85"/>
      <c r="AJ198" s="85"/>
      <c r="AK198" s="86"/>
      <c r="AL198" s="86"/>
      <c r="AM198" s="86"/>
      <c r="AN198" s="86"/>
      <c r="AO198" s="86"/>
      <c r="AP198" s="86"/>
      <c r="AQ198" s="86"/>
      <c r="AR198" s="86"/>
      <c r="AS198" s="86"/>
      <c r="AT198" s="86"/>
      <c r="AU198" s="86"/>
      <c r="AV198" s="86"/>
      <c r="AW198" s="86"/>
      <c r="AX198" s="86"/>
      <c r="AY198" s="86"/>
      <c r="AZ198" s="86"/>
      <c r="BA198" s="86"/>
      <c r="BB198" s="86"/>
      <c r="BC198" s="86"/>
      <c r="BD198" s="86"/>
      <c r="BE198" s="86"/>
      <c r="BF198" s="86"/>
      <c r="BG198" s="86"/>
      <c r="BH198" s="86"/>
      <c r="BI198" s="86"/>
    </row>
    <row r="199" spans="1:61">
      <c r="A199" s="156"/>
      <c r="B199" s="154"/>
      <c r="C199" s="156"/>
      <c r="D199" s="156"/>
      <c r="E199" s="156"/>
      <c r="F199" s="156"/>
      <c r="G199" s="156"/>
      <c r="H199" s="156"/>
      <c r="I199" s="156"/>
      <c r="J199" s="156"/>
      <c r="K199" s="156"/>
      <c r="L199" s="156"/>
      <c r="M199" s="188"/>
      <c r="N199" s="81"/>
      <c r="O199" s="7"/>
      <c r="P199" s="80"/>
      <c r="Q199" s="80"/>
      <c r="R199" s="91"/>
      <c r="S199" s="8"/>
      <c r="T199" s="82"/>
      <c r="W199" s="10"/>
      <c r="X199" s="9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</row>
    <row r="200" spans="1:61">
      <c r="A200" s="156" t="s">
        <v>299</v>
      </c>
      <c r="B200" s="158" t="s">
        <v>300</v>
      </c>
      <c r="C200" s="156" t="s">
        <v>16</v>
      </c>
      <c r="D200" s="156">
        <v>604</v>
      </c>
      <c r="E200" s="156">
        <v>1.73</v>
      </c>
      <c r="F200" s="156">
        <f t="shared" ref="F200:F201" si="72">D200*E200</f>
        <v>1044.92</v>
      </c>
      <c r="G200" s="156">
        <v>0</v>
      </c>
      <c r="H200" s="156"/>
      <c r="I200" s="156">
        <f t="shared" ref="I200:I201" si="73">G200+H200</f>
        <v>0</v>
      </c>
      <c r="J200" s="156">
        <f t="shared" ref="J200:J201" si="74">E200*G200</f>
        <v>0</v>
      </c>
      <c r="K200" s="156">
        <f t="shared" ref="K200:K201" si="75">H200*E200</f>
        <v>0</v>
      </c>
      <c r="L200" s="156">
        <f t="shared" ref="L200:L201" si="76">J200+K200</f>
        <v>0</v>
      </c>
      <c r="M200" s="188">
        <f t="shared" si="61"/>
        <v>0</v>
      </c>
      <c r="N200" s="81"/>
      <c r="O200" s="7"/>
      <c r="P200" s="80"/>
      <c r="Q200" s="80"/>
      <c r="R200" s="91"/>
      <c r="S200" s="8"/>
      <c r="T200" s="82"/>
      <c r="W200" s="10"/>
      <c r="X200" s="9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</row>
    <row r="201" spans="1:61" ht="28.5">
      <c r="A201" s="156" t="s">
        <v>301</v>
      </c>
      <c r="B201" s="157" t="s">
        <v>302</v>
      </c>
      <c r="C201" s="156" t="s">
        <v>17</v>
      </c>
      <c r="D201" s="156">
        <v>81.59</v>
      </c>
      <c r="E201" s="156">
        <v>12.38</v>
      </c>
      <c r="F201" s="156">
        <f t="shared" si="72"/>
        <v>1010.0842000000001</v>
      </c>
      <c r="G201" s="156">
        <v>0</v>
      </c>
      <c r="H201" s="156"/>
      <c r="I201" s="156">
        <f t="shared" si="73"/>
        <v>0</v>
      </c>
      <c r="J201" s="156">
        <f t="shared" si="74"/>
        <v>0</v>
      </c>
      <c r="K201" s="156">
        <f t="shared" si="75"/>
        <v>0</v>
      </c>
      <c r="L201" s="156">
        <f t="shared" si="76"/>
        <v>0</v>
      </c>
      <c r="M201" s="188">
        <f t="shared" si="61"/>
        <v>0</v>
      </c>
      <c r="N201" s="81"/>
      <c r="O201" s="7"/>
      <c r="P201" s="80"/>
      <c r="Q201" s="80"/>
      <c r="R201" s="91"/>
      <c r="S201" s="8"/>
      <c r="T201" s="82"/>
      <c r="W201" s="10"/>
      <c r="X201" s="9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</row>
    <row r="202" spans="1:61" ht="14.25" customHeight="1">
      <c r="A202" s="156"/>
      <c r="B202" s="154"/>
      <c r="C202" s="156"/>
      <c r="D202" s="156"/>
      <c r="E202" s="156"/>
      <c r="F202" s="156"/>
      <c r="G202" s="156"/>
      <c r="H202" s="156"/>
      <c r="I202" s="156"/>
      <c r="J202" s="156"/>
      <c r="K202" s="156"/>
      <c r="L202" s="156"/>
      <c r="M202" s="188"/>
      <c r="N202" s="81"/>
      <c r="O202" s="7"/>
      <c r="P202" s="80"/>
      <c r="Q202" s="80"/>
      <c r="R202" s="91"/>
      <c r="S202" s="8"/>
      <c r="T202" s="82"/>
      <c r="W202" s="10"/>
      <c r="X202" s="9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</row>
    <row r="203" spans="1:61" ht="14.25" customHeight="1">
      <c r="A203" s="262" t="s">
        <v>303</v>
      </c>
      <c r="B203" s="262"/>
      <c r="C203" s="262"/>
      <c r="D203" s="262"/>
      <c r="E203" s="262"/>
      <c r="F203" s="262"/>
      <c r="G203" s="262"/>
      <c r="H203" s="262"/>
      <c r="I203" s="262"/>
      <c r="J203" s="262"/>
      <c r="K203" s="262"/>
      <c r="L203" s="262"/>
      <c r="M203" s="188"/>
      <c r="N203" s="81"/>
      <c r="O203" s="7"/>
      <c r="P203" s="80"/>
      <c r="Q203" s="80"/>
      <c r="R203" s="91"/>
      <c r="S203" s="8"/>
      <c r="T203" s="82"/>
      <c r="W203" s="10"/>
      <c r="X203" s="9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</row>
    <row r="204" spans="1:61" ht="14.25" customHeight="1">
      <c r="A204" s="262"/>
      <c r="B204" s="262"/>
      <c r="C204" s="262"/>
      <c r="D204" s="262"/>
      <c r="E204" s="262"/>
      <c r="F204" s="262"/>
      <c r="G204" s="262"/>
      <c r="H204" s="262"/>
      <c r="I204" s="262"/>
      <c r="J204" s="262"/>
      <c r="K204" s="262"/>
      <c r="L204" s="262"/>
      <c r="M204" s="188"/>
      <c r="N204" s="81"/>
      <c r="O204" s="7"/>
      <c r="P204" s="80"/>
      <c r="Q204" s="80"/>
      <c r="R204" s="91"/>
      <c r="S204" s="8"/>
      <c r="T204" s="82"/>
      <c r="W204" s="10"/>
      <c r="X204" s="9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</row>
    <row r="205" spans="1:61" s="87" customFormat="1">
      <c r="A205" s="164" t="s">
        <v>11</v>
      </c>
      <c r="B205" s="165" t="s">
        <v>0</v>
      </c>
      <c r="C205" s="166"/>
      <c r="D205" s="167"/>
      <c r="E205" s="166"/>
      <c r="F205" s="166">
        <f>F207</f>
        <v>1165.1199999999999</v>
      </c>
      <c r="G205" s="166"/>
      <c r="H205" s="166"/>
      <c r="I205" s="166"/>
      <c r="J205" s="166">
        <f>J207</f>
        <v>1165.1199999999999</v>
      </c>
      <c r="K205" s="166">
        <f>K207</f>
        <v>0</v>
      </c>
      <c r="L205" s="166">
        <f>L207</f>
        <v>1165.1199999999999</v>
      </c>
      <c r="M205" s="188">
        <f t="shared" si="61"/>
        <v>1</v>
      </c>
      <c r="N205" s="98"/>
      <c r="O205" s="7"/>
      <c r="P205" s="97"/>
      <c r="Q205" s="97"/>
      <c r="R205" s="79"/>
      <c r="S205" s="16"/>
      <c r="T205" s="82"/>
      <c r="U205" s="14"/>
      <c r="V205" s="14"/>
      <c r="W205" s="84"/>
      <c r="X205" s="83"/>
      <c r="Y205" s="85"/>
      <c r="Z205" s="85"/>
      <c r="AA205" s="85"/>
      <c r="AB205" s="85"/>
      <c r="AC205" s="85"/>
      <c r="AD205" s="85"/>
      <c r="AE205" s="85"/>
      <c r="AF205" s="85"/>
      <c r="AG205" s="85"/>
      <c r="AH205" s="85"/>
      <c r="AI205" s="85"/>
      <c r="AJ205" s="85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</row>
    <row r="206" spans="1:61" ht="14.25" customHeight="1">
      <c r="A206" s="156"/>
      <c r="B206" s="154"/>
      <c r="C206" s="156"/>
      <c r="D206" s="156"/>
      <c r="E206" s="156"/>
      <c r="F206" s="156"/>
      <c r="G206" s="156"/>
      <c r="H206" s="156"/>
      <c r="I206" s="156"/>
      <c r="J206" s="156"/>
      <c r="K206" s="156"/>
      <c r="L206" s="156"/>
      <c r="M206" s="188"/>
      <c r="N206" s="81"/>
      <c r="O206" s="7"/>
      <c r="P206" s="80"/>
      <c r="Q206" s="80"/>
      <c r="R206" s="91"/>
      <c r="S206" s="8"/>
      <c r="T206" s="82"/>
      <c r="W206" s="10"/>
      <c r="X206" s="9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</row>
    <row r="207" spans="1:61" ht="28.5">
      <c r="A207" s="156" t="s">
        <v>304</v>
      </c>
      <c r="B207" s="157" t="s">
        <v>305</v>
      </c>
      <c r="C207" s="156" t="s">
        <v>5</v>
      </c>
      <c r="D207" s="156">
        <v>32</v>
      </c>
      <c r="E207" s="156">
        <v>36.409999999999997</v>
      </c>
      <c r="F207" s="156">
        <f t="shared" ref="F207" si="77">D207*E207</f>
        <v>1165.1199999999999</v>
      </c>
      <c r="G207" s="156">
        <v>32</v>
      </c>
      <c r="H207" s="156"/>
      <c r="I207" s="156">
        <f t="shared" ref="I207" si="78">G207+H207</f>
        <v>32</v>
      </c>
      <c r="J207" s="156">
        <f t="shared" ref="J207" si="79">E207*G207</f>
        <v>1165.1199999999999</v>
      </c>
      <c r="K207" s="156">
        <f t="shared" ref="K207" si="80">H207*E207</f>
        <v>0</v>
      </c>
      <c r="L207" s="156">
        <f t="shared" ref="L207" si="81">J207+K207</f>
        <v>1165.1199999999999</v>
      </c>
      <c r="M207" s="188">
        <f t="shared" si="61"/>
        <v>1</v>
      </c>
      <c r="N207" s="81"/>
      <c r="O207" s="7"/>
      <c r="P207" s="80"/>
      <c r="Q207" s="80"/>
      <c r="R207" s="91"/>
      <c r="S207" s="8"/>
      <c r="T207" s="82"/>
      <c r="W207" s="10"/>
      <c r="X207" s="9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</row>
    <row r="208" spans="1:61" ht="14.25" customHeight="1">
      <c r="A208" s="156"/>
      <c r="B208" s="154"/>
      <c r="C208" s="156"/>
      <c r="D208" s="156"/>
      <c r="E208" s="156"/>
      <c r="F208" s="156"/>
      <c r="G208" s="156"/>
      <c r="H208" s="156"/>
      <c r="I208" s="156"/>
      <c r="J208" s="156"/>
      <c r="K208" s="156"/>
      <c r="L208" s="156"/>
      <c r="M208" s="188"/>
      <c r="N208" s="81"/>
      <c r="O208" s="7"/>
      <c r="P208" s="80"/>
      <c r="Q208" s="80"/>
      <c r="R208" s="91"/>
      <c r="S208" s="8"/>
      <c r="T208" s="82"/>
      <c r="W208" s="10"/>
      <c r="X208" s="9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</row>
    <row r="209" spans="1:61" ht="14.25" customHeight="1">
      <c r="A209" s="164" t="s">
        <v>13</v>
      </c>
      <c r="B209" s="165" t="s">
        <v>12</v>
      </c>
      <c r="C209" s="166"/>
      <c r="D209" s="167"/>
      <c r="E209" s="166"/>
      <c r="F209" s="166">
        <f>SUM(F211:F212)</f>
        <v>1010.024</v>
      </c>
      <c r="G209" s="166"/>
      <c r="H209" s="166"/>
      <c r="I209" s="166"/>
      <c r="J209" s="166">
        <f>SUM(J211:J212)</f>
        <v>1010.024</v>
      </c>
      <c r="K209" s="166">
        <f>SUM(K211:K212)</f>
        <v>0</v>
      </c>
      <c r="L209" s="166">
        <f>SUM(L211:L212)</f>
        <v>1010.024</v>
      </c>
      <c r="M209" s="188">
        <f t="shared" si="61"/>
        <v>1</v>
      </c>
      <c r="N209" s="81"/>
      <c r="O209" s="7"/>
      <c r="P209" s="80"/>
      <c r="Q209" s="80"/>
      <c r="R209" s="91"/>
      <c r="S209" s="8"/>
      <c r="T209" s="82"/>
      <c r="W209" s="10"/>
      <c r="X209" s="9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</row>
    <row r="210" spans="1:61" ht="14.25" customHeight="1">
      <c r="A210" s="156"/>
      <c r="B210" s="154"/>
      <c r="C210" s="156"/>
      <c r="D210" s="156"/>
      <c r="E210" s="156"/>
      <c r="F210" s="156"/>
      <c r="G210" s="156"/>
      <c r="H210" s="156"/>
      <c r="I210" s="156"/>
      <c r="J210" s="156"/>
      <c r="K210" s="156"/>
      <c r="L210" s="156"/>
      <c r="M210" s="188"/>
      <c r="N210" s="81"/>
      <c r="O210" s="7"/>
      <c r="P210" s="80"/>
      <c r="Q210" s="80"/>
      <c r="R210" s="91"/>
      <c r="S210" s="8"/>
      <c r="T210" s="82"/>
      <c r="W210" s="10"/>
      <c r="X210" s="9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</row>
    <row r="211" spans="1:61" ht="28.5">
      <c r="A211" s="156" t="s">
        <v>306</v>
      </c>
      <c r="B211" s="157" t="s">
        <v>52</v>
      </c>
      <c r="C211" s="156" t="s">
        <v>17</v>
      </c>
      <c r="D211" s="156">
        <v>18.2</v>
      </c>
      <c r="E211" s="156">
        <v>8.32</v>
      </c>
      <c r="F211" s="156">
        <f t="shared" ref="F211:F212" si="82">D211*E211</f>
        <v>151.42400000000001</v>
      </c>
      <c r="G211" s="156">
        <v>18.2</v>
      </c>
      <c r="H211" s="156"/>
      <c r="I211" s="156">
        <f t="shared" ref="I211:I212" si="83">G211+H211</f>
        <v>18.2</v>
      </c>
      <c r="J211" s="156">
        <f t="shared" ref="J211:J212" si="84">E211*G211</f>
        <v>151.42400000000001</v>
      </c>
      <c r="K211" s="156">
        <f t="shared" ref="K211:K212" si="85">H211*E211</f>
        <v>0</v>
      </c>
      <c r="L211" s="156">
        <f t="shared" ref="L211:L212" si="86">J211+K211</f>
        <v>151.42400000000001</v>
      </c>
      <c r="M211" s="188">
        <f t="shared" si="61"/>
        <v>1</v>
      </c>
      <c r="N211" s="81"/>
      <c r="O211" s="7"/>
      <c r="P211" s="80"/>
      <c r="Q211" s="80"/>
      <c r="R211" s="91"/>
      <c r="S211" s="8"/>
      <c r="T211" s="82"/>
      <c r="W211" s="10"/>
      <c r="X211" s="9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</row>
    <row r="212" spans="1:61" ht="28.5">
      <c r="A212" s="156" t="s">
        <v>307</v>
      </c>
      <c r="B212" s="157" t="s">
        <v>59</v>
      </c>
      <c r="C212" s="156" t="s">
        <v>17</v>
      </c>
      <c r="D212" s="156">
        <v>2.5</v>
      </c>
      <c r="E212" s="156">
        <v>343.44</v>
      </c>
      <c r="F212" s="156">
        <f t="shared" si="82"/>
        <v>858.6</v>
      </c>
      <c r="G212" s="156">
        <v>2.5</v>
      </c>
      <c r="H212" s="156"/>
      <c r="I212" s="156">
        <f t="shared" si="83"/>
        <v>2.5</v>
      </c>
      <c r="J212" s="156">
        <f t="shared" si="84"/>
        <v>858.6</v>
      </c>
      <c r="K212" s="156">
        <f t="shared" si="85"/>
        <v>0</v>
      </c>
      <c r="L212" s="156">
        <f t="shared" si="86"/>
        <v>858.6</v>
      </c>
      <c r="M212" s="188">
        <f t="shared" si="61"/>
        <v>1</v>
      </c>
      <c r="N212" s="81"/>
      <c r="O212" s="7"/>
      <c r="P212" s="80"/>
      <c r="Q212" s="80"/>
      <c r="R212" s="91"/>
      <c r="S212" s="8"/>
      <c r="T212" s="82"/>
      <c r="W212" s="10"/>
      <c r="X212" s="9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</row>
    <row r="213" spans="1:61">
      <c r="A213" s="156"/>
      <c r="B213" s="157"/>
      <c r="C213" s="156"/>
      <c r="D213" s="156"/>
      <c r="E213" s="156"/>
      <c r="F213" s="156"/>
      <c r="G213" s="156"/>
      <c r="H213" s="156"/>
      <c r="I213" s="156"/>
      <c r="J213" s="156"/>
      <c r="K213" s="156"/>
      <c r="L213" s="156"/>
      <c r="M213" s="188"/>
      <c r="N213" s="81"/>
      <c r="O213" s="7"/>
      <c r="P213" s="80"/>
      <c r="Q213" s="80"/>
      <c r="R213" s="91"/>
      <c r="S213" s="8"/>
      <c r="T213" s="82"/>
      <c r="W213" s="10"/>
      <c r="X213" s="9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</row>
    <row r="214" spans="1:61" ht="14.25" customHeight="1">
      <c r="A214" s="164" t="s">
        <v>24</v>
      </c>
      <c r="B214" s="165" t="s">
        <v>18</v>
      </c>
      <c r="C214" s="166"/>
      <c r="D214" s="167"/>
      <c r="E214" s="166"/>
      <c r="F214" s="166">
        <f>SUM(F215:F218)</f>
        <v>3841.8999999999996</v>
      </c>
      <c r="G214" s="166"/>
      <c r="H214" s="166"/>
      <c r="I214" s="166"/>
      <c r="J214" s="166">
        <f>SUM(J215:J218)</f>
        <v>3841.8999999999996</v>
      </c>
      <c r="K214" s="166">
        <f>SUM(K215:K218)</f>
        <v>0</v>
      </c>
      <c r="L214" s="166">
        <f>SUM(L215:L218)</f>
        <v>3841.8999999999996</v>
      </c>
      <c r="M214" s="188">
        <f t="shared" si="61"/>
        <v>1</v>
      </c>
      <c r="N214" s="81"/>
      <c r="O214" s="7"/>
      <c r="P214" s="80"/>
      <c r="Q214" s="80"/>
      <c r="R214" s="91"/>
      <c r="S214" s="8"/>
      <c r="T214" s="82"/>
      <c r="W214" s="10"/>
      <c r="X214" s="9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</row>
    <row r="215" spans="1:61">
      <c r="A215" s="156"/>
      <c r="B215" s="157"/>
      <c r="C215" s="156"/>
      <c r="D215" s="156"/>
      <c r="E215" s="156"/>
      <c r="F215" s="156"/>
      <c r="G215" s="156"/>
      <c r="H215" s="156"/>
      <c r="I215" s="156"/>
      <c r="J215" s="156"/>
      <c r="K215" s="156"/>
      <c r="L215" s="156"/>
      <c r="M215" s="188"/>
      <c r="N215" s="81"/>
      <c r="O215" s="7"/>
      <c r="P215" s="80"/>
      <c r="Q215" s="80"/>
      <c r="R215" s="91"/>
      <c r="S215" s="8"/>
      <c r="T215" s="82"/>
      <c r="W215" s="10"/>
      <c r="X215" s="9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</row>
    <row r="216" spans="1:61">
      <c r="A216" s="156" t="s">
        <v>309</v>
      </c>
      <c r="B216" s="158" t="s">
        <v>63</v>
      </c>
      <c r="C216" s="156" t="s">
        <v>17</v>
      </c>
      <c r="D216" s="156">
        <v>0.7</v>
      </c>
      <c r="E216" s="156">
        <v>402.72</v>
      </c>
      <c r="F216" s="156">
        <f t="shared" ref="F216:F218" si="87">D216*E216</f>
        <v>281.904</v>
      </c>
      <c r="G216" s="156">
        <v>0.7</v>
      </c>
      <c r="H216" s="156"/>
      <c r="I216" s="156">
        <f t="shared" ref="I216:I218" si="88">G216+H216</f>
        <v>0.7</v>
      </c>
      <c r="J216" s="156">
        <f t="shared" ref="J216:J218" si="89">E216*G216</f>
        <v>281.904</v>
      </c>
      <c r="K216" s="156">
        <f t="shared" ref="K216:K218" si="90">H216*E216</f>
        <v>0</v>
      </c>
      <c r="L216" s="156">
        <f t="shared" ref="L216:L218" si="91">J216+K216</f>
        <v>281.904</v>
      </c>
      <c r="M216" s="188">
        <f t="shared" si="61"/>
        <v>1</v>
      </c>
      <c r="N216" s="81"/>
      <c r="O216" s="7"/>
      <c r="P216" s="80"/>
      <c r="Q216" s="80"/>
      <c r="R216" s="91"/>
      <c r="S216" s="8"/>
      <c r="T216" s="82"/>
      <c r="W216" s="10"/>
      <c r="X216" s="9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</row>
    <row r="217" spans="1:61" ht="28.5">
      <c r="A217" s="156" t="s">
        <v>310</v>
      </c>
      <c r="B217" s="157" t="s">
        <v>308</v>
      </c>
      <c r="C217" s="156" t="s">
        <v>17</v>
      </c>
      <c r="D217" s="156">
        <v>1.5</v>
      </c>
      <c r="E217" s="156">
        <v>1618.18</v>
      </c>
      <c r="F217" s="156">
        <f t="shared" si="87"/>
        <v>2427.27</v>
      </c>
      <c r="G217" s="156">
        <v>1.5</v>
      </c>
      <c r="H217" s="156"/>
      <c r="I217" s="156">
        <f t="shared" si="88"/>
        <v>1.5</v>
      </c>
      <c r="J217" s="156">
        <f t="shared" si="89"/>
        <v>2427.27</v>
      </c>
      <c r="K217" s="156">
        <f t="shared" si="90"/>
        <v>0</v>
      </c>
      <c r="L217" s="156">
        <f t="shared" si="91"/>
        <v>2427.27</v>
      </c>
      <c r="M217" s="188">
        <f t="shared" si="61"/>
        <v>1</v>
      </c>
      <c r="N217" s="81"/>
      <c r="O217" s="7"/>
      <c r="P217" s="80"/>
      <c r="Q217" s="80"/>
      <c r="R217" s="91"/>
      <c r="S217" s="8"/>
      <c r="T217" s="82"/>
      <c r="W217" s="10"/>
      <c r="X217" s="9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</row>
    <row r="218" spans="1:61" ht="42.75">
      <c r="A218" s="156" t="s">
        <v>311</v>
      </c>
      <c r="B218" s="157" t="s">
        <v>312</v>
      </c>
      <c r="C218" s="156" t="s">
        <v>17</v>
      </c>
      <c r="D218" s="156">
        <v>0.7</v>
      </c>
      <c r="E218" s="156">
        <v>1618.18</v>
      </c>
      <c r="F218" s="156">
        <f t="shared" si="87"/>
        <v>1132.7259999999999</v>
      </c>
      <c r="G218" s="156">
        <v>0.7</v>
      </c>
      <c r="H218" s="156"/>
      <c r="I218" s="156">
        <f t="shared" si="88"/>
        <v>0.7</v>
      </c>
      <c r="J218" s="156">
        <f t="shared" si="89"/>
        <v>1132.7259999999999</v>
      </c>
      <c r="K218" s="156">
        <f t="shared" si="90"/>
        <v>0</v>
      </c>
      <c r="L218" s="156">
        <f t="shared" si="91"/>
        <v>1132.7259999999999</v>
      </c>
      <c r="M218" s="188">
        <f t="shared" si="61"/>
        <v>1</v>
      </c>
      <c r="N218" s="81"/>
      <c r="O218" s="7"/>
      <c r="P218" s="80"/>
      <c r="Q218" s="80"/>
      <c r="R218" s="91"/>
      <c r="S218" s="8"/>
      <c r="T218" s="82"/>
      <c r="W218" s="10"/>
      <c r="X218" s="9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</row>
    <row r="219" spans="1:61">
      <c r="A219" s="156"/>
      <c r="B219" s="157"/>
      <c r="C219" s="156"/>
      <c r="D219" s="156"/>
      <c r="E219" s="156"/>
      <c r="F219" s="156"/>
      <c r="G219" s="156"/>
      <c r="H219" s="156"/>
      <c r="I219" s="156"/>
      <c r="J219" s="156"/>
      <c r="K219" s="156"/>
      <c r="L219" s="156"/>
      <c r="M219" s="188"/>
      <c r="N219" s="81"/>
      <c r="O219" s="7"/>
      <c r="P219" s="80"/>
      <c r="Q219" s="80"/>
      <c r="R219" s="91"/>
      <c r="S219" s="8"/>
      <c r="T219" s="82"/>
      <c r="W219" s="10"/>
      <c r="X219" s="9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</row>
    <row r="220" spans="1:61" ht="14.25" customHeight="1">
      <c r="A220" s="164" t="s">
        <v>313</v>
      </c>
      <c r="B220" s="165" t="s">
        <v>2</v>
      </c>
      <c r="C220" s="166"/>
      <c r="D220" s="167"/>
      <c r="E220" s="166"/>
      <c r="F220" s="166">
        <f>SUM(F221:F222)</f>
        <v>1278.0739999999998</v>
      </c>
      <c r="G220" s="166"/>
      <c r="H220" s="166"/>
      <c r="I220" s="166"/>
      <c r="J220" s="166">
        <f>SUM(J221:J222)</f>
        <v>1278.0739999999998</v>
      </c>
      <c r="K220" s="166">
        <f>SUM(K221:K222)</f>
        <v>0</v>
      </c>
      <c r="L220" s="166">
        <f>SUM(L221:L222)</f>
        <v>1278.0739999999998</v>
      </c>
      <c r="M220" s="188">
        <f t="shared" si="61"/>
        <v>1</v>
      </c>
      <c r="N220" s="81"/>
      <c r="O220" s="7"/>
      <c r="P220" s="80"/>
      <c r="Q220" s="80"/>
      <c r="R220" s="91"/>
      <c r="S220" s="8"/>
      <c r="T220" s="82"/>
      <c r="W220" s="10"/>
      <c r="X220" s="9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</row>
    <row r="221" spans="1:61">
      <c r="A221" s="156"/>
      <c r="B221" s="157"/>
      <c r="C221" s="156"/>
      <c r="D221" s="156"/>
      <c r="E221" s="156"/>
      <c r="F221" s="156"/>
      <c r="G221" s="156"/>
      <c r="H221" s="156"/>
      <c r="I221" s="156"/>
      <c r="J221" s="156"/>
      <c r="K221" s="156"/>
      <c r="L221" s="156"/>
      <c r="M221" s="188"/>
      <c r="N221" s="81"/>
      <c r="O221" s="7"/>
      <c r="P221" s="80"/>
      <c r="Q221" s="80"/>
      <c r="R221" s="91"/>
      <c r="S221" s="8"/>
      <c r="T221" s="82"/>
      <c r="W221" s="10"/>
      <c r="X221" s="9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</row>
    <row r="222" spans="1:61" ht="42.75">
      <c r="A222" s="156" t="s">
        <v>314</v>
      </c>
      <c r="B222" s="157" t="s">
        <v>315</v>
      </c>
      <c r="C222" s="156" t="s">
        <v>17</v>
      </c>
      <c r="D222" s="156">
        <v>0.7</v>
      </c>
      <c r="E222" s="156">
        <v>1825.82</v>
      </c>
      <c r="F222" s="156">
        <f t="shared" ref="F222" si="92">D222*E222</f>
        <v>1278.0739999999998</v>
      </c>
      <c r="G222" s="156">
        <v>0.7</v>
      </c>
      <c r="H222" s="156"/>
      <c r="I222" s="156">
        <f t="shared" ref="I222" si="93">G222+H222</f>
        <v>0.7</v>
      </c>
      <c r="J222" s="156">
        <f t="shared" ref="J222" si="94">E222*G222</f>
        <v>1278.0739999999998</v>
      </c>
      <c r="K222" s="156">
        <f t="shared" ref="K222" si="95">H222*E222</f>
        <v>0</v>
      </c>
      <c r="L222" s="156">
        <f t="shared" ref="L222" si="96">J222+K222</f>
        <v>1278.0739999999998</v>
      </c>
      <c r="M222" s="188">
        <f t="shared" si="61"/>
        <v>1</v>
      </c>
      <c r="N222" s="81"/>
      <c r="O222" s="7"/>
      <c r="P222" s="80"/>
      <c r="Q222" s="80"/>
      <c r="R222" s="91"/>
      <c r="S222" s="8"/>
      <c r="T222" s="82"/>
      <c r="W222" s="10"/>
      <c r="X222" s="9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</row>
    <row r="223" spans="1:61">
      <c r="A223" s="156"/>
      <c r="B223" s="157"/>
      <c r="C223" s="156"/>
      <c r="D223" s="156"/>
      <c r="E223" s="156"/>
      <c r="F223" s="156"/>
      <c r="G223" s="156"/>
      <c r="H223" s="156"/>
      <c r="I223" s="156"/>
      <c r="J223" s="156"/>
      <c r="K223" s="156"/>
      <c r="L223" s="156"/>
      <c r="M223" s="188"/>
      <c r="N223" s="81"/>
      <c r="O223" s="7"/>
      <c r="P223" s="80"/>
      <c r="Q223" s="80"/>
      <c r="R223" s="91"/>
      <c r="S223" s="8"/>
      <c r="T223" s="82"/>
      <c r="W223" s="10"/>
      <c r="X223" s="9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</row>
    <row r="224" spans="1:61" ht="14.25" customHeight="1">
      <c r="A224" s="164" t="s">
        <v>316</v>
      </c>
      <c r="B224" s="165" t="s">
        <v>317</v>
      </c>
      <c r="C224" s="166"/>
      <c r="D224" s="167"/>
      <c r="E224" s="166"/>
      <c r="F224" s="166">
        <f>SUM(F225:F226)</f>
        <v>255.65</v>
      </c>
      <c r="G224" s="166"/>
      <c r="H224" s="166"/>
      <c r="I224" s="166"/>
      <c r="J224" s="166">
        <f>SUM(J225:J226)</f>
        <v>0</v>
      </c>
      <c r="K224" s="166">
        <f>SUM(K225:K226)</f>
        <v>0</v>
      </c>
      <c r="L224" s="166">
        <f>SUM(L225:L226)</f>
        <v>0</v>
      </c>
      <c r="M224" s="188">
        <f t="shared" ref="M224:M253" si="97">L224/F224</f>
        <v>0</v>
      </c>
      <c r="N224" s="81"/>
      <c r="O224" s="7"/>
      <c r="P224" s="80"/>
      <c r="Q224" s="80"/>
      <c r="R224" s="91"/>
      <c r="S224" s="8"/>
      <c r="T224" s="82"/>
      <c r="W224" s="10"/>
      <c r="X224" s="9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</row>
    <row r="225" spans="1:61">
      <c r="A225" s="156"/>
      <c r="B225" s="157"/>
      <c r="C225" s="156"/>
      <c r="D225" s="156"/>
      <c r="E225" s="156"/>
      <c r="F225" s="156"/>
      <c r="G225" s="156"/>
      <c r="H225" s="156"/>
      <c r="I225" s="156"/>
      <c r="J225" s="156"/>
      <c r="K225" s="156"/>
      <c r="L225" s="156"/>
      <c r="M225" s="188"/>
      <c r="N225" s="81"/>
      <c r="O225" s="7"/>
      <c r="P225" s="80"/>
      <c r="Q225" s="80"/>
      <c r="R225" s="91"/>
      <c r="S225" s="8"/>
      <c r="T225" s="82"/>
      <c r="W225" s="10"/>
      <c r="X225" s="9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</row>
    <row r="226" spans="1:61" ht="57">
      <c r="A226" s="156" t="s">
        <v>318</v>
      </c>
      <c r="B226" s="157" t="s">
        <v>80</v>
      </c>
      <c r="C226" s="156" t="s">
        <v>16</v>
      </c>
      <c r="D226" s="156">
        <v>5</v>
      </c>
      <c r="E226" s="156">
        <v>51.13</v>
      </c>
      <c r="F226" s="156">
        <f t="shared" ref="F226" si="98">D226*E226</f>
        <v>255.65</v>
      </c>
      <c r="G226" s="156">
        <v>0</v>
      </c>
      <c r="H226" s="156"/>
      <c r="I226" s="156">
        <f t="shared" ref="I226" si="99">G226+H226</f>
        <v>0</v>
      </c>
      <c r="J226" s="156">
        <f t="shared" ref="J226" si="100">E226*G226</f>
        <v>0</v>
      </c>
      <c r="K226" s="156">
        <f t="shared" ref="K226" si="101">H226*E226</f>
        <v>0</v>
      </c>
      <c r="L226" s="156">
        <f t="shared" ref="L226" si="102">J226+K226</f>
        <v>0</v>
      </c>
      <c r="M226" s="188">
        <f t="shared" si="97"/>
        <v>0</v>
      </c>
      <c r="N226" s="81"/>
      <c r="O226" s="7"/>
      <c r="P226" s="80"/>
      <c r="Q226" s="80"/>
      <c r="R226" s="91"/>
      <c r="S226" s="8"/>
      <c r="T226" s="82"/>
      <c r="W226" s="10"/>
      <c r="X226" s="9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</row>
    <row r="227" spans="1:61">
      <c r="A227" s="156"/>
      <c r="B227" s="157"/>
      <c r="C227" s="156"/>
      <c r="D227" s="156"/>
      <c r="E227" s="156"/>
      <c r="F227" s="156"/>
      <c r="G227" s="156"/>
      <c r="H227" s="156"/>
      <c r="I227" s="156"/>
      <c r="J227" s="156"/>
      <c r="K227" s="156"/>
      <c r="L227" s="156"/>
      <c r="M227" s="188"/>
      <c r="N227" s="81"/>
      <c r="O227" s="7"/>
      <c r="P227" s="80"/>
      <c r="Q227" s="80"/>
      <c r="R227" s="91"/>
      <c r="S227" s="8"/>
      <c r="T227" s="82"/>
      <c r="W227" s="10"/>
      <c r="X227" s="9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</row>
    <row r="228" spans="1:61" ht="14.25" customHeight="1">
      <c r="A228" s="164" t="s">
        <v>319</v>
      </c>
      <c r="B228" s="165" t="s">
        <v>320</v>
      </c>
      <c r="C228" s="166"/>
      <c r="D228" s="167"/>
      <c r="E228" s="166"/>
      <c r="F228" s="166">
        <f>SUM(F229:F233)</f>
        <v>3504.9420000000005</v>
      </c>
      <c r="G228" s="166"/>
      <c r="H228" s="166"/>
      <c r="I228" s="166"/>
      <c r="J228" s="166">
        <f>SUM(J229:J233)</f>
        <v>0</v>
      </c>
      <c r="K228" s="166">
        <f>SUM(K229:K233)</f>
        <v>0</v>
      </c>
      <c r="L228" s="166">
        <f>SUM(L229:L233)</f>
        <v>0</v>
      </c>
      <c r="M228" s="188">
        <f t="shared" si="97"/>
        <v>0</v>
      </c>
      <c r="N228" s="81"/>
      <c r="O228" s="7"/>
      <c r="P228" s="80"/>
      <c r="Q228" s="80"/>
      <c r="R228" s="91"/>
      <c r="S228" s="8"/>
      <c r="T228" s="82"/>
      <c r="W228" s="10"/>
      <c r="X228" s="9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</row>
    <row r="229" spans="1:61">
      <c r="A229" s="156"/>
      <c r="B229" s="157"/>
      <c r="C229" s="156"/>
      <c r="D229" s="156"/>
      <c r="E229" s="156"/>
      <c r="F229" s="156"/>
      <c r="G229" s="156"/>
      <c r="H229" s="156"/>
      <c r="I229" s="156"/>
      <c r="J229" s="156"/>
      <c r="K229" s="156"/>
      <c r="L229" s="156"/>
      <c r="M229" s="188"/>
      <c r="N229" s="81"/>
      <c r="O229" s="7"/>
      <c r="P229" s="80"/>
      <c r="Q229" s="80"/>
      <c r="R229" s="91"/>
      <c r="S229" s="8"/>
      <c r="T229" s="82"/>
      <c r="W229" s="10"/>
      <c r="X229" s="9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</row>
    <row r="230" spans="1:61" ht="42.75">
      <c r="A230" s="156" t="s">
        <v>321</v>
      </c>
      <c r="B230" s="157" t="s">
        <v>110</v>
      </c>
      <c r="C230" s="156" t="s">
        <v>16</v>
      </c>
      <c r="D230" s="156">
        <v>43</v>
      </c>
      <c r="E230" s="156">
        <v>22.8</v>
      </c>
      <c r="F230" s="156">
        <f t="shared" ref="F230:F233" si="103">D230*E230</f>
        <v>980.4</v>
      </c>
      <c r="G230" s="156">
        <v>0</v>
      </c>
      <c r="H230" s="156"/>
      <c r="I230" s="156">
        <f t="shared" ref="I230:I233" si="104">G230+H230</f>
        <v>0</v>
      </c>
      <c r="J230" s="156">
        <f t="shared" ref="J230:J233" si="105">E230*G230</f>
        <v>0</v>
      </c>
      <c r="K230" s="156">
        <f t="shared" ref="K230:K233" si="106">H230*E230</f>
        <v>0</v>
      </c>
      <c r="L230" s="156">
        <f t="shared" ref="L230:L233" si="107">J230+K230</f>
        <v>0</v>
      </c>
      <c r="M230" s="188">
        <f t="shared" si="97"/>
        <v>0</v>
      </c>
      <c r="N230" s="81"/>
      <c r="O230" s="7"/>
      <c r="P230" s="80"/>
      <c r="Q230" s="80"/>
      <c r="R230" s="91"/>
      <c r="S230" s="8"/>
      <c r="T230" s="82"/>
      <c r="W230" s="10"/>
      <c r="X230" s="9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</row>
    <row r="231" spans="1:61" ht="42.75">
      <c r="A231" s="156" t="s">
        <v>322</v>
      </c>
      <c r="B231" s="157" t="s">
        <v>323</v>
      </c>
      <c r="C231" s="156" t="s">
        <v>7</v>
      </c>
      <c r="D231" s="156">
        <v>4</v>
      </c>
      <c r="E231" s="156">
        <v>319.25</v>
      </c>
      <c r="F231" s="156">
        <f t="shared" si="103"/>
        <v>1277</v>
      </c>
      <c r="G231" s="156">
        <v>0</v>
      </c>
      <c r="H231" s="156"/>
      <c r="I231" s="156">
        <f t="shared" si="104"/>
        <v>0</v>
      </c>
      <c r="J231" s="156">
        <f t="shared" si="105"/>
        <v>0</v>
      </c>
      <c r="K231" s="156">
        <f t="shared" si="106"/>
        <v>0</v>
      </c>
      <c r="L231" s="156">
        <f t="shared" si="107"/>
        <v>0</v>
      </c>
      <c r="M231" s="188">
        <f t="shared" si="97"/>
        <v>0</v>
      </c>
      <c r="N231" s="81"/>
      <c r="O231" s="7"/>
      <c r="P231" s="80"/>
      <c r="Q231" s="80"/>
      <c r="R231" s="91"/>
      <c r="S231" s="8"/>
      <c r="T231" s="82"/>
      <c r="W231" s="10"/>
      <c r="X231" s="9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</row>
    <row r="232" spans="1:61" ht="28.5">
      <c r="A232" s="156" t="s">
        <v>324</v>
      </c>
      <c r="B232" s="157" t="s">
        <v>114</v>
      </c>
      <c r="C232" s="156" t="s">
        <v>16</v>
      </c>
      <c r="D232" s="156">
        <v>43</v>
      </c>
      <c r="E232" s="156">
        <v>25.93</v>
      </c>
      <c r="F232" s="156">
        <f t="shared" si="103"/>
        <v>1114.99</v>
      </c>
      <c r="G232" s="156">
        <v>0</v>
      </c>
      <c r="H232" s="156"/>
      <c r="I232" s="156">
        <f t="shared" si="104"/>
        <v>0</v>
      </c>
      <c r="J232" s="156">
        <f t="shared" si="105"/>
        <v>0</v>
      </c>
      <c r="K232" s="156">
        <f t="shared" si="106"/>
        <v>0</v>
      </c>
      <c r="L232" s="156">
        <f t="shared" si="107"/>
        <v>0</v>
      </c>
      <c r="M232" s="188">
        <f t="shared" si="97"/>
        <v>0</v>
      </c>
      <c r="N232" s="81"/>
      <c r="O232" s="7"/>
      <c r="P232" s="80"/>
      <c r="Q232" s="80"/>
      <c r="R232" s="91"/>
      <c r="S232" s="8"/>
      <c r="T232" s="82"/>
      <c r="W232" s="10"/>
      <c r="X232" s="9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</row>
    <row r="233" spans="1:61" ht="43.5" customHeight="1">
      <c r="A233" s="156" t="s">
        <v>325</v>
      </c>
      <c r="B233" s="157" t="s">
        <v>116</v>
      </c>
      <c r="C233" s="156" t="s">
        <v>6</v>
      </c>
      <c r="D233" s="156">
        <v>12.6</v>
      </c>
      <c r="E233" s="156">
        <v>10.52</v>
      </c>
      <c r="F233" s="156">
        <f t="shared" si="103"/>
        <v>132.55199999999999</v>
      </c>
      <c r="G233" s="156">
        <v>0</v>
      </c>
      <c r="H233" s="156"/>
      <c r="I233" s="156">
        <f t="shared" si="104"/>
        <v>0</v>
      </c>
      <c r="J233" s="156">
        <f t="shared" si="105"/>
        <v>0</v>
      </c>
      <c r="K233" s="156">
        <f t="shared" si="106"/>
        <v>0</v>
      </c>
      <c r="L233" s="156">
        <f t="shared" si="107"/>
        <v>0</v>
      </c>
      <c r="M233" s="188">
        <f t="shared" si="97"/>
        <v>0</v>
      </c>
      <c r="N233" s="81"/>
      <c r="O233" s="7"/>
      <c r="P233" s="80"/>
      <c r="Q233" s="80"/>
      <c r="R233" s="91"/>
      <c r="S233" s="8"/>
      <c r="T233" s="82"/>
      <c r="W233" s="10"/>
      <c r="X233" s="9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</row>
    <row r="234" spans="1:61">
      <c r="A234" s="156"/>
      <c r="B234" s="157"/>
      <c r="C234" s="156"/>
      <c r="D234" s="156"/>
      <c r="E234" s="156"/>
      <c r="F234" s="156"/>
      <c r="G234" s="156"/>
      <c r="H234" s="156"/>
      <c r="I234" s="156"/>
      <c r="J234" s="156"/>
      <c r="K234" s="156"/>
      <c r="L234" s="156"/>
      <c r="M234" s="188"/>
      <c r="N234" s="81"/>
      <c r="O234" s="7"/>
      <c r="P234" s="80"/>
      <c r="Q234" s="80"/>
      <c r="R234" s="91"/>
      <c r="S234" s="8"/>
      <c r="T234" s="82"/>
      <c r="W234" s="10"/>
      <c r="X234" s="9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</row>
    <row r="235" spans="1:61" ht="14.25" customHeight="1">
      <c r="A235" s="164" t="s">
        <v>326</v>
      </c>
      <c r="B235" s="165" t="s">
        <v>327</v>
      </c>
      <c r="C235" s="166"/>
      <c r="D235" s="167"/>
      <c r="E235" s="166"/>
      <c r="F235" s="166">
        <f>SUM(F236:F239)</f>
        <v>4838.8566000000001</v>
      </c>
      <c r="G235" s="166"/>
      <c r="H235" s="166"/>
      <c r="I235" s="166"/>
      <c r="J235" s="166">
        <f>SUM(J236:J239)</f>
        <v>0</v>
      </c>
      <c r="K235" s="166">
        <f>SUM(K236:K239)</f>
        <v>0</v>
      </c>
      <c r="L235" s="166">
        <f>SUM(L236:L239)</f>
        <v>0</v>
      </c>
      <c r="M235" s="188">
        <f t="shared" si="97"/>
        <v>0</v>
      </c>
      <c r="N235" s="81"/>
      <c r="O235" s="7"/>
      <c r="P235" s="80"/>
      <c r="Q235" s="80"/>
      <c r="R235" s="91"/>
      <c r="S235" s="8"/>
      <c r="T235" s="82"/>
      <c r="W235" s="10"/>
      <c r="X235" s="9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</row>
    <row r="236" spans="1:61">
      <c r="A236" s="156"/>
      <c r="B236" s="157"/>
      <c r="C236" s="156"/>
      <c r="D236" s="156"/>
      <c r="E236" s="156"/>
      <c r="F236" s="156"/>
      <c r="G236" s="156"/>
      <c r="H236" s="156"/>
      <c r="I236" s="156"/>
      <c r="J236" s="156"/>
      <c r="K236" s="156"/>
      <c r="L236" s="156"/>
      <c r="M236" s="188"/>
      <c r="N236" s="81"/>
      <c r="O236" s="7"/>
      <c r="P236" s="80"/>
      <c r="Q236" s="80"/>
      <c r="R236" s="91"/>
      <c r="S236" s="8"/>
      <c r="T236" s="82"/>
      <c r="W236" s="10"/>
      <c r="X236" s="9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</row>
    <row r="237" spans="1:61" ht="42.75">
      <c r="A237" s="156" t="s">
        <v>328</v>
      </c>
      <c r="B237" s="157" t="s">
        <v>128</v>
      </c>
      <c r="C237" s="156" t="s">
        <v>16</v>
      </c>
      <c r="D237" s="156">
        <v>106.23</v>
      </c>
      <c r="E237" s="156">
        <v>2.92</v>
      </c>
      <c r="F237" s="156">
        <f t="shared" ref="F237:F239" si="108">D237*E237</f>
        <v>310.19159999999999</v>
      </c>
      <c r="G237" s="156">
        <v>0</v>
      </c>
      <c r="H237" s="156"/>
      <c r="I237" s="156">
        <f t="shared" ref="I237:I239" si="109">G237+H237</f>
        <v>0</v>
      </c>
      <c r="J237" s="156">
        <f t="shared" ref="J237:J239" si="110">E237*G237</f>
        <v>0</v>
      </c>
      <c r="K237" s="156">
        <f t="shared" ref="K237:K239" si="111">H237*E237</f>
        <v>0</v>
      </c>
      <c r="L237" s="156">
        <f t="shared" ref="L237:L239" si="112">J237+K237</f>
        <v>0</v>
      </c>
      <c r="M237" s="188">
        <f t="shared" si="97"/>
        <v>0</v>
      </c>
      <c r="N237" s="81"/>
      <c r="O237" s="7"/>
      <c r="P237" s="80"/>
      <c r="Q237" s="80"/>
      <c r="R237" s="91"/>
      <c r="S237" s="8"/>
      <c r="T237" s="82"/>
      <c r="W237" s="10"/>
      <c r="X237" s="9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</row>
    <row r="238" spans="1:61" ht="60" customHeight="1">
      <c r="A238" s="156" t="s">
        <v>329</v>
      </c>
      <c r="B238" s="157" t="s">
        <v>130</v>
      </c>
      <c r="C238" s="156" t="s">
        <v>16</v>
      </c>
      <c r="D238" s="156">
        <v>30.72</v>
      </c>
      <c r="E238" s="156">
        <v>21.42</v>
      </c>
      <c r="F238" s="156">
        <f t="shared" si="108"/>
        <v>658.02240000000006</v>
      </c>
      <c r="G238" s="156">
        <v>0</v>
      </c>
      <c r="H238" s="156"/>
      <c r="I238" s="156">
        <f t="shared" si="109"/>
        <v>0</v>
      </c>
      <c r="J238" s="156">
        <f t="shared" si="110"/>
        <v>0</v>
      </c>
      <c r="K238" s="156">
        <f t="shared" si="111"/>
        <v>0</v>
      </c>
      <c r="L238" s="156">
        <f t="shared" si="112"/>
        <v>0</v>
      </c>
      <c r="M238" s="188">
        <f t="shared" si="97"/>
        <v>0</v>
      </c>
      <c r="N238" s="81"/>
      <c r="O238" s="7"/>
      <c r="P238" s="80"/>
      <c r="Q238" s="80"/>
      <c r="R238" s="91"/>
      <c r="S238" s="8"/>
      <c r="T238" s="82"/>
      <c r="W238" s="10"/>
      <c r="X238" s="9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</row>
    <row r="239" spans="1:61" ht="42.75">
      <c r="A239" s="156" t="s">
        <v>330</v>
      </c>
      <c r="B239" s="157" t="s">
        <v>134</v>
      </c>
      <c r="C239" s="156" t="s">
        <v>16</v>
      </c>
      <c r="D239" s="156">
        <v>75.510000000000005</v>
      </c>
      <c r="E239" s="156">
        <v>51.26</v>
      </c>
      <c r="F239" s="156">
        <f t="shared" si="108"/>
        <v>3870.6426000000001</v>
      </c>
      <c r="G239" s="156">
        <v>0</v>
      </c>
      <c r="H239" s="156"/>
      <c r="I239" s="156">
        <f t="shared" si="109"/>
        <v>0</v>
      </c>
      <c r="J239" s="156">
        <f t="shared" si="110"/>
        <v>0</v>
      </c>
      <c r="K239" s="156">
        <f t="shared" si="111"/>
        <v>0</v>
      </c>
      <c r="L239" s="156">
        <f t="shared" si="112"/>
        <v>0</v>
      </c>
      <c r="M239" s="188">
        <f t="shared" si="97"/>
        <v>0</v>
      </c>
      <c r="N239" s="81"/>
      <c r="O239" s="7"/>
      <c r="P239" s="80"/>
      <c r="Q239" s="80"/>
      <c r="R239" s="91"/>
      <c r="S239" s="8"/>
      <c r="T239" s="82"/>
      <c r="W239" s="10"/>
      <c r="X239" s="9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</row>
    <row r="240" spans="1:61">
      <c r="A240" s="156"/>
      <c r="B240" s="157"/>
      <c r="C240" s="156"/>
      <c r="D240" s="156"/>
      <c r="E240" s="156"/>
      <c r="F240" s="156"/>
      <c r="G240" s="156"/>
      <c r="H240" s="156"/>
      <c r="I240" s="156"/>
      <c r="J240" s="156"/>
      <c r="K240" s="156"/>
      <c r="L240" s="156"/>
      <c r="M240" s="188"/>
      <c r="N240" s="81"/>
      <c r="O240" s="7"/>
      <c r="P240" s="80"/>
      <c r="Q240" s="80"/>
      <c r="R240" s="91"/>
      <c r="S240" s="8"/>
      <c r="T240" s="82"/>
      <c r="W240" s="10"/>
      <c r="X240" s="9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</row>
    <row r="241" spans="1:61" ht="14.25" customHeight="1">
      <c r="A241" s="164" t="s">
        <v>331</v>
      </c>
      <c r="B241" s="165" t="s">
        <v>332</v>
      </c>
      <c r="C241" s="166"/>
      <c r="D241" s="167"/>
      <c r="E241" s="166"/>
      <c r="F241" s="166">
        <f>SUM(F242:F245)</f>
        <v>3183.29</v>
      </c>
      <c r="G241" s="166"/>
      <c r="H241" s="166"/>
      <c r="I241" s="166"/>
      <c r="J241" s="166">
        <f>SUM(J242:J245)</f>
        <v>0</v>
      </c>
      <c r="K241" s="166">
        <f>SUM(K242:K245)</f>
        <v>1819.6309999999999</v>
      </c>
      <c r="L241" s="166">
        <f>SUM(L242:L245)</f>
        <v>1819.6309999999999</v>
      </c>
      <c r="M241" s="188">
        <f t="shared" si="97"/>
        <v>0.5716196136701337</v>
      </c>
      <c r="N241" s="81"/>
      <c r="O241" s="7"/>
      <c r="P241" s="80"/>
      <c r="Q241" s="80"/>
      <c r="R241" s="91"/>
      <c r="S241" s="8"/>
      <c r="T241" s="82"/>
      <c r="W241" s="10"/>
      <c r="X241" s="9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</row>
    <row r="242" spans="1:61">
      <c r="A242" s="156"/>
      <c r="B242" s="157"/>
      <c r="C242" s="156"/>
      <c r="D242" s="156"/>
      <c r="E242" s="156"/>
      <c r="F242" s="156"/>
      <c r="G242" s="156"/>
      <c r="H242" s="156"/>
      <c r="I242" s="156"/>
      <c r="J242" s="156"/>
      <c r="K242" s="156"/>
      <c r="L242" s="156"/>
      <c r="M242" s="188"/>
      <c r="N242" s="81"/>
      <c r="O242" s="7"/>
      <c r="P242" s="80"/>
      <c r="Q242" s="80"/>
      <c r="R242" s="91"/>
      <c r="S242" s="8"/>
      <c r="T242" s="82"/>
      <c r="W242" s="10"/>
      <c r="X242" s="9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</row>
    <row r="243" spans="1:61" ht="28.5">
      <c r="A243" s="156" t="s">
        <v>333</v>
      </c>
      <c r="B243" s="157" t="s">
        <v>154</v>
      </c>
      <c r="C243" s="156" t="s">
        <v>16</v>
      </c>
      <c r="D243" s="156">
        <v>47.3</v>
      </c>
      <c r="E243" s="156">
        <v>19.77</v>
      </c>
      <c r="F243" s="156">
        <f t="shared" ref="F243:F245" si="113">D243*E243</f>
        <v>935.12099999999987</v>
      </c>
      <c r="G243" s="156">
        <v>0</v>
      </c>
      <c r="H243" s="156">
        <f>'MEMORIA BM 03'!L562</f>
        <v>47.3</v>
      </c>
      <c r="I243" s="156">
        <f t="shared" ref="I243:I245" si="114">G243+H243</f>
        <v>47.3</v>
      </c>
      <c r="J243" s="156">
        <f t="shared" ref="J243:J245" si="115">E243*G243</f>
        <v>0</v>
      </c>
      <c r="K243" s="156">
        <f t="shared" ref="K243:K245" si="116">H243*E243</f>
        <v>935.12099999999987</v>
      </c>
      <c r="L243" s="156">
        <f t="shared" ref="L243:L245" si="117">J243+K243</f>
        <v>935.12099999999987</v>
      </c>
      <c r="M243" s="188">
        <f t="shared" si="97"/>
        <v>1</v>
      </c>
      <c r="N243" s="81"/>
      <c r="O243" s="7"/>
      <c r="P243" s="80"/>
      <c r="Q243" s="80"/>
      <c r="R243" s="91"/>
      <c r="S243" s="8"/>
      <c r="T243" s="82"/>
      <c r="W243" s="10"/>
      <c r="X243" s="9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</row>
    <row r="244" spans="1:61">
      <c r="A244" s="156" t="s">
        <v>334</v>
      </c>
      <c r="B244" s="157" t="s">
        <v>156</v>
      </c>
      <c r="C244" s="156" t="s">
        <v>16</v>
      </c>
      <c r="D244" s="156">
        <v>47.3</v>
      </c>
      <c r="E244" s="156">
        <v>18.7</v>
      </c>
      <c r="F244" s="156">
        <f t="shared" si="113"/>
        <v>884.50999999999988</v>
      </c>
      <c r="G244" s="156">
        <v>0</v>
      </c>
      <c r="H244" s="156">
        <f>'MEMORIA BM 03'!L565</f>
        <v>47.3</v>
      </c>
      <c r="I244" s="156">
        <f t="shared" si="114"/>
        <v>47.3</v>
      </c>
      <c r="J244" s="156">
        <f t="shared" si="115"/>
        <v>0</v>
      </c>
      <c r="K244" s="156">
        <f t="shared" si="116"/>
        <v>884.50999999999988</v>
      </c>
      <c r="L244" s="156">
        <f t="shared" si="117"/>
        <v>884.50999999999988</v>
      </c>
      <c r="M244" s="188">
        <f t="shared" si="97"/>
        <v>1</v>
      </c>
      <c r="N244" s="81"/>
      <c r="O244" s="7"/>
      <c r="P244" s="80"/>
      <c r="Q244" s="80"/>
      <c r="R244" s="91"/>
      <c r="S244" s="8"/>
      <c r="T244" s="82"/>
      <c r="W244" s="10"/>
      <c r="X244" s="9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</row>
    <row r="245" spans="1:61" ht="28.5">
      <c r="A245" s="156" t="s">
        <v>335</v>
      </c>
      <c r="B245" s="157" t="s">
        <v>160</v>
      </c>
      <c r="C245" s="156" t="s">
        <v>16</v>
      </c>
      <c r="D245" s="156">
        <v>47.3</v>
      </c>
      <c r="E245" s="156">
        <v>28.83</v>
      </c>
      <c r="F245" s="156">
        <f t="shared" si="113"/>
        <v>1363.6589999999999</v>
      </c>
      <c r="G245" s="156">
        <v>0</v>
      </c>
      <c r="H245" s="156"/>
      <c r="I245" s="156">
        <f t="shared" si="114"/>
        <v>0</v>
      </c>
      <c r="J245" s="156">
        <f t="shared" si="115"/>
        <v>0</v>
      </c>
      <c r="K245" s="156">
        <f t="shared" si="116"/>
        <v>0</v>
      </c>
      <c r="L245" s="156">
        <f t="shared" si="117"/>
        <v>0</v>
      </c>
      <c r="M245" s="188">
        <f t="shared" si="97"/>
        <v>0</v>
      </c>
      <c r="N245" s="81"/>
      <c r="O245" s="7"/>
      <c r="P245" s="80"/>
      <c r="Q245" s="80"/>
      <c r="R245" s="91"/>
      <c r="S245" s="8"/>
      <c r="T245" s="82"/>
      <c r="W245" s="10"/>
      <c r="X245" s="9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</row>
    <row r="246" spans="1:61">
      <c r="A246" s="156"/>
      <c r="B246" s="157"/>
      <c r="C246" s="156"/>
      <c r="D246" s="156"/>
      <c r="E246" s="156"/>
      <c r="F246" s="156"/>
      <c r="G246" s="156"/>
      <c r="H246" s="156"/>
      <c r="I246" s="156"/>
      <c r="J246" s="156"/>
      <c r="K246" s="156"/>
      <c r="L246" s="156"/>
      <c r="M246" s="188"/>
      <c r="N246" s="81"/>
      <c r="O246" s="7"/>
      <c r="P246" s="80"/>
      <c r="Q246" s="80"/>
      <c r="R246" s="91"/>
      <c r="S246" s="8"/>
      <c r="T246" s="82"/>
      <c r="W246" s="10"/>
      <c r="X246" s="9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</row>
    <row r="247" spans="1:61" ht="14.25" customHeight="1">
      <c r="A247" s="164" t="s">
        <v>336</v>
      </c>
      <c r="B247" s="165" t="s">
        <v>337</v>
      </c>
      <c r="C247" s="166"/>
      <c r="D247" s="167"/>
      <c r="E247" s="166"/>
      <c r="F247" s="166">
        <f>SUM(F248:F253)</f>
        <v>2430.9776000000002</v>
      </c>
      <c r="G247" s="166"/>
      <c r="H247" s="166"/>
      <c r="I247" s="166"/>
      <c r="J247" s="166">
        <f>SUM(J248:J253)</f>
        <v>0</v>
      </c>
      <c r="K247" s="166">
        <f>SUM(K248:K253)</f>
        <v>0</v>
      </c>
      <c r="L247" s="166">
        <f>SUM(L248:L253)</f>
        <v>0</v>
      </c>
      <c r="M247" s="188">
        <f t="shared" si="97"/>
        <v>0</v>
      </c>
      <c r="N247" s="81"/>
      <c r="O247" s="7"/>
      <c r="P247" s="80"/>
      <c r="Q247" s="80"/>
      <c r="R247" s="91"/>
      <c r="S247" s="8"/>
      <c r="T247" s="82"/>
      <c r="W247" s="10"/>
      <c r="X247" s="9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</row>
    <row r="248" spans="1:61">
      <c r="A248" s="156"/>
      <c r="B248" s="157"/>
      <c r="C248" s="156"/>
      <c r="D248" s="156"/>
      <c r="E248" s="156"/>
      <c r="F248" s="156"/>
      <c r="G248" s="156"/>
      <c r="H248" s="156"/>
      <c r="I248" s="156"/>
      <c r="J248" s="156"/>
      <c r="K248" s="156"/>
      <c r="L248" s="156"/>
      <c r="M248" s="188"/>
      <c r="N248" s="81"/>
      <c r="O248" s="7"/>
      <c r="P248" s="80"/>
      <c r="Q248" s="80"/>
      <c r="R248" s="91"/>
      <c r="S248" s="8"/>
      <c r="T248" s="82"/>
      <c r="W248" s="10"/>
      <c r="X248" s="9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</row>
    <row r="249" spans="1:61" ht="28.5">
      <c r="A249" s="156" t="s">
        <v>338</v>
      </c>
      <c r="B249" s="157" t="s">
        <v>262</v>
      </c>
      <c r="C249" s="156" t="s">
        <v>7</v>
      </c>
      <c r="D249" s="156">
        <v>4</v>
      </c>
      <c r="E249" s="156">
        <v>116.16</v>
      </c>
      <c r="F249" s="156">
        <f t="shared" ref="F249:F253" si="118">D249*E249</f>
        <v>464.64</v>
      </c>
      <c r="G249" s="156">
        <v>0</v>
      </c>
      <c r="H249" s="156"/>
      <c r="I249" s="156">
        <f t="shared" ref="I249:I253" si="119">G249+H249</f>
        <v>0</v>
      </c>
      <c r="J249" s="156">
        <f t="shared" ref="J249:J253" si="120">E249*G249</f>
        <v>0</v>
      </c>
      <c r="K249" s="156">
        <f t="shared" ref="K249:K253" si="121">H249*E249</f>
        <v>0</v>
      </c>
      <c r="L249" s="156">
        <f t="shared" ref="L249:L253" si="122">J249+K249</f>
        <v>0</v>
      </c>
      <c r="M249" s="188">
        <f t="shared" si="97"/>
        <v>0</v>
      </c>
      <c r="N249" s="81"/>
      <c r="O249" s="7"/>
      <c r="P249" s="80"/>
      <c r="Q249" s="80"/>
      <c r="R249" s="91"/>
      <c r="S249" s="8"/>
      <c r="T249" s="82"/>
      <c r="W249" s="10"/>
      <c r="X249" s="9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</row>
    <row r="250" spans="1:61" ht="42.75">
      <c r="A250" s="156" t="s">
        <v>339</v>
      </c>
      <c r="B250" s="157" t="s">
        <v>260</v>
      </c>
      <c r="C250" s="156" t="s">
        <v>7</v>
      </c>
      <c r="D250" s="156">
        <v>4</v>
      </c>
      <c r="E250" s="156">
        <v>90.95</v>
      </c>
      <c r="F250" s="156">
        <f t="shared" si="118"/>
        <v>363.8</v>
      </c>
      <c r="G250" s="156">
        <v>0</v>
      </c>
      <c r="H250" s="156"/>
      <c r="I250" s="156">
        <f t="shared" si="119"/>
        <v>0</v>
      </c>
      <c r="J250" s="156">
        <f t="shared" si="120"/>
        <v>0</v>
      </c>
      <c r="K250" s="156">
        <f t="shared" si="121"/>
        <v>0</v>
      </c>
      <c r="L250" s="156">
        <f t="shared" si="122"/>
        <v>0</v>
      </c>
      <c r="M250" s="188">
        <f t="shared" si="97"/>
        <v>0</v>
      </c>
      <c r="N250" s="81"/>
      <c r="O250" s="7"/>
      <c r="P250" s="80"/>
      <c r="Q250" s="80"/>
      <c r="R250" s="91"/>
      <c r="S250" s="8"/>
      <c r="T250" s="82"/>
      <c r="W250" s="10"/>
      <c r="X250" s="9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</row>
    <row r="251" spans="1:61" ht="28.5">
      <c r="A251" s="156" t="s">
        <v>340</v>
      </c>
      <c r="B251" s="157" t="s">
        <v>341</v>
      </c>
      <c r="C251" s="156" t="s">
        <v>7</v>
      </c>
      <c r="D251" s="156">
        <v>4</v>
      </c>
      <c r="E251" s="156">
        <v>372.59</v>
      </c>
      <c r="F251" s="156">
        <f t="shared" si="118"/>
        <v>1490.36</v>
      </c>
      <c r="G251" s="156">
        <v>0</v>
      </c>
      <c r="H251" s="156"/>
      <c r="I251" s="156">
        <f t="shared" si="119"/>
        <v>0</v>
      </c>
      <c r="J251" s="156">
        <f t="shared" si="120"/>
        <v>0</v>
      </c>
      <c r="K251" s="156">
        <f t="shared" si="121"/>
        <v>0</v>
      </c>
      <c r="L251" s="156">
        <f t="shared" si="122"/>
        <v>0</v>
      </c>
      <c r="M251" s="188">
        <f t="shared" si="97"/>
        <v>0</v>
      </c>
      <c r="N251" s="81"/>
      <c r="O251" s="7"/>
      <c r="P251" s="80"/>
      <c r="Q251" s="80"/>
      <c r="R251" s="91"/>
      <c r="S251" s="8"/>
      <c r="T251" s="82"/>
      <c r="W251" s="10"/>
      <c r="X251" s="9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</row>
    <row r="252" spans="1:61" ht="28.5">
      <c r="A252" s="156" t="s">
        <v>342</v>
      </c>
      <c r="B252" s="157" t="s">
        <v>343</v>
      </c>
      <c r="C252" s="156" t="s">
        <v>7</v>
      </c>
      <c r="D252" s="156">
        <v>2</v>
      </c>
      <c r="E252" s="156">
        <v>11.09</v>
      </c>
      <c r="F252" s="156">
        <f t="shared" si="118"/>
        <v>22.18</v>
      </c>
      <c r="G252" s="156">
        <v>0</v>
      </c>
      <c r="H252" s="156"/>
      <c r="I252" s="156">
        <f t="shared" si="119"/>
        <v>0</v>
      </c>
      <c r="J252" s="156">
        <f t="shared" si="120"/>
        <v>0</v>
      </c>
      <c r="K252" s="156">
        <f t="shared" si="121"/>
        <v>0</v>
      </c>
      <c r="L252" s="156">
        <f t="shared" si="122"/>
        <v>0</v>
      </c>
      <c r="M252" s="188">
        <f t="shared" si="97"/>
        <v>0</v>
      </c>
      <c r="N252" s="81"/>
      <c r="O252" s="7"/>
      <c r="P252" s="80"/>
      <c r="Q252" s="80"/>
      <c r="R252" s="91"/>
      <c r="S252" s="8"/>
      <c r="T252" s="82"/>
      <c r="W252" s="10"/>
      <c r="X252" s="9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</row>
    <row r="253" spans="1:61" ht="28.5">
      <c r="A253" s="156" t="s">
        <v>344</v>
      </c>
      <c r="B253" s="157" t="s">
        <v>345</v>
      </c>
      <c r="C253" s="156" t="s">
        <v>16</v>
      </c>
      <c r="D253" s="156">
        <v>19.48</v>
      </c>
      <c r="E253" s="156">
        <v>4.62</v>
      </c>
      <c r="F253" s="156">
        <f t="shared" si="118"/>
        <v>89.997600000000006</v>
      </c>
      <c r="G253" s="156">
        <v>0</v>
      </c>
      <c r="H253" s="156"/>
      <c r="I253" s="156">
        <f t="shared" si="119"/>
        <v>0</v>
      </c>
      <c r="J253" s="156">
        <f t="shared" si="120"/>
        <v>0</v>
      </c>
      <c r="K253" s="156">
        <f t="shared" si="121"/>
        <v>0</v>
      </c>
      <c r="L253" s="156">
        <f t="shared" si="122"/>
        <v>0</v>
      </c>
      <c r="M253" s="188">
        <f t="shared" si="97"/>
        <v>0</v>
      </c>
      <c r="N253" s="81"/>
      <c r="O253" s="7"/>
      <c r="P253" s="80"/>
      <c r="Q253" s="80"/>
      <c r="R253" s="91"/>
      <c r="S253" s="8"/>
      <c r="T253" s="82"/>
      <c r="W253" s="10"/>
      <c r="X253" s="9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</row>
    <row r="254" spans="1:61" ht="16.5" thickBot="1">
      <c r="A254" s="147"/>
      <c r="B254" s="94"/>
      <c r="C254" s="147"/>
      <c r="D254" s="147"/>
      <c r="E254" s="147"/>
      <c r="F254" s="147"/>
      <c r="G254" s="147"/>
      <c r="H254" s="147"/>
      <c r="I254" s="147"/>
      <c r="J254" s="147"/>
      <c r="K254" s="147"/>
      <c r="L254" s="147"/>
      <c r="M254" s="80"/>
      <c r="N254" s="81"/>
      <c r="O254" s="7"/>
      <c r="P254" s="80"/>
      <c r="Q254" s="80"/>
      <c r="R254" s="91"/>
      <c r="S254" s="8"/>
      <c r="T254" s="82"/>
      <c r="W254" s="10"/>
      <c r="X254" s="9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</row>
    <row r="255" spans="1:61" ht="15.75" customHeight="1" thickBot="1">
      <c r="A255" s="257" t="s">
        <v>347</v>
      </c>
      <c r="B255" s="258"/>
      <c r="C255" s="258"/>
      <c r="D255" s="258"/>
      <c r="E255" s="259"/>
      <c r="F255" s="102">
        <f>SUM(F31+F42+F48+F56+F63+F69+F83+F94+F101+F112+F123+F150+F161+F188+F198+F205+F209+F214+F220+F224+F228+F235+F241+F247)+0.02</f>
        <v>648279.26860000018</v>
      </c>
      <c r="G255" s="187"/>
      <c r="H255" s="103"/>
      <c r="I255" s="103"/>
      <c r="J255" s="102">
        <f>SUM(J31+J42+J48+J56+J63+J69+J83+J94+J101+J112+J123+J150+J161+J188+J198+J205+J209+J214+J220+J224+J228+J235+J241+J247)</f>
        <v>239793.20850000001</v>
      </c>
      <c r="K255" s="102">
        <f>SUM(K31+K42+K48+K56+K63+K69+K83+K94+K101+K112+K123+K150+K161+K188+K198+K205+K209+K214+K220+K224+K228+K235+K241+K247)</f>
        <v>97820.320699999967</v>
      </c>
      <c r="L255" s="102">
        <f>SUM(L31+L42+L48+L56+L63+L69+L83+L94+L101+L112+L123+L150+L161+L188+L198+L205+L209+L214+L220+L224+L228+L235+L241+L247)+0.01</f>
        <v>337613.53920000006</v>
      </c>
    </row>
    <row r="256" spans="1:61">
      <c r="B256" s="94"/>
      <c r="C256" s="94"/>
      <c r="D256" s="94"/>
      <c r="E256" s="94"/>
      <c r="F256" s="94"/>
      <c r="G256" s="94"/>
      <c r="H256" s="94"/>
      <c r="I256" s="94"/>
      <c r="J256" s="94"/>
      <c r="K256" s="94"/>
      <c r="L256" s="94"/>
      <c r="M256" s="80"/>
      <c r="N256" s="81"/>
      <c r="O256" s="7"/>
      <c r="P256" s="80"/>
      <c r="Q256" s="80"/>
      <c r="R256" s="91"/>
      <c r="S256" s="8"/>
      <c r="T256" s="82"/>
      <c r="W256" s="10"/>
      <c r="X256" s="9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</row>
    <row r="257" spans="2:61">
      <c r="B257" s="292" t="s">
        <v>578</v>
      </c>
      <c r="C257" s="292"/>
      <c r="D257" s="292"/>
      <c r="E257" s="292"/>
      <c r="F257" s="292"/>
      <c r="G257" s="292"/>
      <c r="H257" s="292"/>
      <c r="I257" s="292"/>
      <c r="J257" s="292"/>
      <c r="K257" s="292"/>
      <c r="L257" s="94"/>
      <c r="M257" s="80"/>
      <c r="N257" s="81"/>
      <c r="O257" s="7"/>
      <c r="P257" s="80"/>
      <c r="Q257" s="80"/>
      <c r="R257" s="91"/>
      <c r="S257" s="8"/>
      <c r="T257" s="82"/>
      <c r="W257" s="10"/>
      <c r="X257" s="9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</row>
    <row r="258" spans="2:61">
      <c r="B258" s="94"/>
      <c r="C258" s="94"/>
      <c r="D258" s="94"/>
      <c r="E258" s="94"/>
      <c r="F258" s="94"/>
      <c r="G258" s="94"/>
      <c r="H258" s="94"/>
      <c r="I258" s="94"/>
      <c r="J258" s="94"/>
      <c r="K258" s="94"/>
      <c r="L258" s="94"/>
      <c r="M258" s="80"/>
      <c r="N258" s="81"/>
      <c r="O258" s="7"/>
      <c r="P258" s="80"/>
      <c r="Q258" s="80"/>
      <c r="R258" s="91"/>
      <c r="S258" s="8"/>
      <c r="T258" s="82"/>
      <c r="W258" s="10"/>
      <c r="X258" s="9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</row>
    <row r="259" spans="2:61">
      <c r="B259" s="94"/>
      <c r="E259" s="106"/>
      <c r="F259" s="106"/>
      <c r="G259" s="106"/>
      <c r="H259" s="106"/>
      <c r="I259" s="106"/>
      <c r="J259" s="106"/>
      <c r="K259" s="106"/>
      <c r="L259" s="106"/>
      <c r="M259" s="80"/>
      <c r="N259" s="81"/>
      <c r="O259" s="7"/>
      <c r="P259" s="80"/>
      <c r="Q259" s="80"/>
      <c r="R259" s="91"/>
      <c r="S259" s="8"/>
      <c r="T259" s="82"/>
      <c r="W259" s="10"/>
      <c r="X259" s="9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</row>
    <row r="260" spans="2:61">
      <c r="B260" s="94"/>
      <c r="E260" s="106"/>
      <c r="F260" s="106"/>
      <c r="G260" s="106"/>
      <c r="H260" s="106"/>
      <c r="I260" s="106"/>
      <c r="J260" s="106"/>
      <c r="K260" s="106"/>
      <c r="L260" s="106"/>
    </row>
    <row r="261" spans="2:61">
      <c r="E261" s="106"/>
      <c r="F261" s="106"/>
      <c r="G261" s="106"/>
      <c r="H261" s="106"/>
      <c r="I261" s="106"/>
      <c r="J261" s="106"/>
      <c r="K261" s="106"/>
      <c r="L261" s="106"/>
    </row>
    <row r="262" spans="2:61">
      <c r="E262" s="106"/>
      <c r="F262" s="106"/>
      <c r="G262" s="106"/>
      <c r="H262" s="106"/>
      <c r="I262" s="106"/>
      <c r="J262" s="106"/>
      <c r="K262" s="106"/>
      <c r="L262" s="106"/>
    </row>
    <row r="263" spans="2:61">
      <c r="E263" s="106"/>
      <c r="F263" s="106"/>
      <c r="G263" s="106"/>
      <c r="H263" s="106"/>
      <c r="I263" s="106"/>
      <c r="J263" s="106"/>
      <c r="K263" s="106"/>
      <c r="L263" s="106"/>
    </row>
    <row r="264" spans="2:61">
      <c r="E264" s="106"/>
      <c r="F264" s="106"/>
      <c r="G264" s="106"/>
      <c r="H264" s="106"/>
      <c r="I264" s="106"/>
      <c r="J264" s="106"/>
      <c r="K264" s="106"/>
      <c r="L264" s="106"/>
    </row>
    <row r="265" spans="2:61">
      <c r="E265" s="106"/>
      <c r="F265" s="106"/>
      <c r="G265" s="106"/>
      <c r="H265" s="106"/>
      <c r="I265" s="106"/>
      <c r="J265" s="106"/>
      <c r="K265" s="106"/>
      <c r="L265" s="106"/>
    </row>
    <row r="266" spans="2:61">
      <c r="E266" s="106"/>
      <c r="F266" s="106"/>
      <c r="G266" s="106"/>
      <c r="H266" s="106"/>
      <c r="I266" s="106"/>
      <c r="J266" s="106"/>
      <c r="K266" s="106"/>
      <c r="L266" s="106"/>
    </row>
    <row r="267" spans="2:61">
      <c r="E267" s="106"/>
      <c r="F267" s="106"/>
      <c r="G267" s="106"/>
      <c r="H267" s="106"/>
      <c r="I267" s="106"/>
      <c r="J267" s="106"/>
      <c r="K267" s="106"/>
      <c r="L267" s="106"/>
    </row>
    <row r="268" spans="2:61">
      <c r="E268" s="106"/>
      <c r="F268" s="106"/>
      <c r="G268" s="106"/>
      <c r="I268" s="106"/>
      <c r="J268" s="106"/>
      <c r="K268" s="106"/>
      <c r="L268" s="106"/>
    </row>
    <row r="269" spans="2:61">
      <c r="E269" s="106"/>
      <c r="F269" s="106"/>
      <c r="G269" s="106"/>
      <c r="I269" s="106"/>
      <c r="J269" s="106"/>
      <c r="K269" s="106"/>
      <c r="L269" s="106"/>
    </row>
    <row r="270" spans="2:61">
      <c r="E270" s="106"/>
      <c r="F270" s="106"/>
      <c r="G270" s="106"/>
      <c r="I270" s="106"/>
      <c r="J270" s="106"/>
      <c r="K270" s="106"/>
      <c r="L270" s="106"/>
    </row>
    <row r="271" spans="2:61">
      <c r="E271" s="106"/>
      <c r="F271" s="106"/>
      <c r="G271" s="106"/>
      <c r="I271" s="106"/>
      <c r="J271" s="106"/>
      <c r="K271" s="106"/>
      <c r="L271" s="106"/>
    </row>
    <row r="272" spans="2:61">
      <c r="C272" s="59"/>
      <c r="D272" s="59"/>
      <c r="E272" s="59"/>
      <c r="F272" s="59">
        <v>719635.08</v>
      </c>
      <c r="G272" s="59"/>
      <c r="H272" s="60">
        <v>0.23880000000000001</v>
      </c>
      <c r="I272" s="59"/>
      <c r="J272" s="59"/>
      <c r="K272" s="59"/>
      <c r="L272" s="59" t="s">
        <v>346</v>
      </c>
    </row>
    <row r="273" spans="1:66">
      <c r="C273" s="59"/>
      <c r="D273" s="59"/>
      <c r="E273" s="59"/>
      <c r="F273" s="59">
        <f>SUM(F272*H272+F272)</f>
        <v>891483.93710400001</v>
      </c>
      <c r="G273" s="59"/>
      <c r="H273" s="59"/>
      <c r="I273" s="59"/>
      <c r="J273" s="59"/>
      <c r="K273" s="59"/>
      <c r="L273" s="59" t="s">
        <v>25</v>
      </c>
    </row>
    <row r="274" spans="1:66" s="24" customFormat="1">
      <c r="A274" s="104"/>
      <c r="B274" s="105"/>
      <c r="C274" s="59"/>
      <c r="D274" s="59"/>
      <c r="E274" s="59"/>
      <c r="F274" s="59"/>
      <c r="G274" s="59"/>
      <c r="H274" s="59"/>
      <c r="I274" s="59"/>
      <c r="J274" s="59"/>
      <c r="K274" s="59"/>
      <c r="L274" s="59"/>
      <c r="N274" s="14"/>
      <c r="O274" s="15"/>
      <c r="P274" s="7"/>
      <c r="T274" s="8"/>
      <c r="U274" s="9"/>
      <c r="V274" s="9"/>
      <c r="W274" s="9"/>
      <c r="X274" s="10"/>
      <c r="Y274" s="9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  <c r="BN274" s="12"/>
    </row>
    <row r="275" spans="1:66" s="24" customFormat="1">
      <c r="A275" s="104"/>
      <c r="B275" s="105"/>
      <c r="C275" s="106"/>
      <c r="D275" s="106"/>
      <c r="E275" s="106"/>
      <c r="F275" s="106"/>
      <c r="G275" s="106"/>
      <c r="H275" s="107"/>
      <c r="I275" s="106"/>
      <c r="J275" s="106"/>
      <c r="K275" s="106"/>
      <c r="L275" s="106"/>
      <c r="N275" s="14"/>
      <c r="O275" s="15"/>
      <c r="P275" s="7"/>
      <c r="T275" s="8"/>
      <c r="U275" s="9"/>
      <c r="V275" s="9"/>
      <c r="W275" s="9"/>
      <c r="X275" s="10"/>
      <c r="Y275" s="9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BL275" s="12"/>
      <c r="BM275" s="12"/>
      <c r="BN275" s="12"/>
    </row>
    <row r="276" spans="1:66" s="24" customFormat="1">
      <c r="A276" s="104"/>
      <c r="B276" s="105"/>
      <c r="C276" s="106"/>
      <c r="D276" s="106"/>
      <c r="E276" s="106"/>
      <c r="F276" s="106"/>
      <c r="G276" s="106"/>
      <c r="H276" s="107"/>
      <c r="I276" s="106"/>
      <c r="J276" s="106"/>
      <c r="K276" s="106"/>
      <c r="L276" s="106"/>
      <c r="N276" s="14"/>
      <c r="O276" s="15"/>
      <c r="P276" s="7"/>
      <c r="T276" s="8"/>
      <c r="U276" s="9"/>
      <c r="V276" s="9"/>
      <c r="W276" s="9"/>
      <c r="X276" s="10"/>
      <c r="Y276" s="9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</row>
    <row r="277" spans="1:66" s="24" customFormat="1">
      <c r="A277" s="104"/>
      <c r="B277" s="105"/>
      <c r="C277" s="106"/>
      <c r="D277" s="106"/>
      <c r="E277" s="106"/>
      <c r="F277" s="106"/>
      <c r="G277" s="106"/>
      <c r="H277" s="107"/>
      <c r="I277" s="106"/>
      <c r="J277" s="106"/>
      <c r="K277" s="106"/>
      <c r="L277" s="106"/>
      <c r="N277" s="14"/>
      <c r="O277" s="15"/>
      <c r="P277" s="7"/>
      <c r="T277" s="8"/>
      <c r="U277" s="9"/>
      <c r="V277" s="9"/>
      <c r="W277" s="9"/>
      <c r="X277" s="10"/>
      <c r="Y277" s="9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  <c r="BN277" s="12"/>
    </row>
    <row r="278" spans="1:66" s="24" customFormat="1">
      <c r="A278" s="104"/>
      <c r="B278" s="105"/>
      <c r="C278" s="106"/>
      <c r="D278" s="106"/>
      <c r="E278" s="106"/>
      <c r="F278" s="106"/>
      <c r="G278" s="106"/>
      <c r="H278" s="107"/>
      <c r="I278" s="106"/>
      <c r="J278" s="106"/>
      <c r="K278" s="106"/>
      <c r="L278" s="106"/>
      <c r="N278" s="14"/>
      <c r="O278" s="15"/>
      <c r="P278" s="7"/>
      <c r="T278" s="8"/>
      <c r="U278" s="9"/>
      <c r="V278" s="9"/>
      <c r="W278" s="9"/>
      <c r="X278" s="10"/>
      <c r="Y278" s="9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</row>
    <row r="279" spans="1:66" s="24" customFormat="1">
      <c r="A279" s="104"/>
      <c r="B279" s="105"/>
      <c r="C279" s="106"/>
      <c r="D279" s="106"/>
      <c r="E279" s="106"/>
      <c r="F279" s="106"/>
      <c r="G279" s="106"/>
      <c r="H279" s="107"/>
      <c r="I279" s="106"/>
      <c r="J279" s="106"/>
      <c r="K279" s="106"/>
      <c r="L279" s="106"/>
      <c r="N279" s="14"/>
      <c r="O279" s="15"/>
      <c r="P279" s="7"/>
      <c r="T279" s="8"/>
      <c r="U279" s="9"/>
      <c r="V279" s="9"/>
      <c r="W279" s="9"/>
      <c r="X279" s="10"/>
      <c r="Y279" s="9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  <c r="BL279" s="12"/>
      <c r="BM279" s="12"/>
      <c r="BN279" s="12"/>
    </row>
    <row r="280" spans="1:66" s="24" customFormat="1">
      <c r="A280" s="104"/>
      <c r="B280" s="105"/>
      <c r="C280" s="106"/>
      <c r="D280" s="106"/>
      <c r="E280" s="106"/>
      <c r="F280" s="106"/>
      <c r="G280" s="106"/>
      <c r="H280" s="107"/>
      <c r="I280" s="106"/>
      <c r="J280" s="106"/>
      <c r="K280" s="106"/>
      <c r="L280" s="106"/>
      <c r="N280" s="14"/>
      <c r="O280" s="15"/>
      <c r="P280" s="7"/>
      <c r="T280" s="8"/>
      <c r="U280" s="9"/>
      <c r="V280" s="9"/>
      <c r="W280" s="9"/>
      <c r="X280" s="10"/>
      <c r="Y280" s="9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</row>
    <row r="281" spans="1:66" s="24" customFormat="1">
      <c r="A281" s="104"/>
      <c r="B281" s="105"/>
      <c r="C281" s="106"/>
      <c r="D281" s="106"/>
      <c r="E281" s="106"/>
      <c r="F281" s="106"/>
      <c r="G281" s="106"/>
      <c r="H281" s="107"/>
      <c r="I281" s="106"/>
      <c r="J281" s="106"/>
      <c r="K281" s="106"/>
      <c r="L281" s="106"/>
      <c r="N281" s="14"/>
      <c r="O281" s="15"/>
      <c r="P281" s="7"/>
      <c r="T281" s="8"/>
      <c r="U281" s="9"/>
      <c r="V281" s="9"/>
      <c r="W281" s="9"/>
      <c r="X281" s="10"/>
      <c r="Y281" s="9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</row>
    <row r="282" spans="1:66" s="24" customFormat="1">
      <c r="A282" s="104"/>
      <c r="B282" s="105"/>
      <c r="C282" s="106"/>
      <c r="D282" s="106"/>
      <c r="E282" s="106"/>
      <c r="F282" s="106"/>
      <c r="G282" s="106"/>
      <c r="H282" s="107"/>
      <c r="I282" s="106"/>
      <c r="J282" s="106"/>
      <c r="K282" s="106"/>
      <c r="L282" s="106"/>
      <c r="N282" s="14"/>
      <c r="O282" s="15"/>
      <c r="P282" s="7"/>
      <c r="T282" s="8"/>
      <c r="U282" s="9"/>
      <c r="V282" s="9"/>
      <c r="W282" s="9"/>
      <c r="X282" s="10"/>
      <c r="Y282" s="9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</row>
    <row r="283" spans="1:66" s="24" customFormat="1">
      <c r="A283" s="104"/>
      <c r="B283" s="105"/>
      <c r="C283" s="106"/>
      <c r="D283" s="106"/>
      <c r="E283" s="106"/>
      <c r="F283" s="106"/>
      <c r="G283" s="106"/>
      <c r="H283" s="107"/>
      <c r="I283" s="106"/>
      <c r="J283" s="106"/>
      <c r="K283" s="106"/>
      <c r="L283" s="106"/>
      <c r="N283" s="14"/>
      <c r="O283" s="15"/>
      <c r="P283" s="7"/>
      <c r="T283" s="8"/>
      <c r="U283" s="9"/>
      <c r="V283" s="9"/>
      <c r="W283" s="9"/>
      <c r="X283" s="10"/>
      <c r="Y283" s="9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</row>
    <row r="284" spans="1:66" s="24" customFormat="1">
      <c r="A284" s="104"/>
      <c r="B284" s="105"/>
      <c r="C284" s="106"/>
      <c r="D284" s="106"/>
      <c r="E284" s="106"/>
      <c r="F284" s="106"/>
      <c r="G284" s="106"/>
      <c r="H284" s="107"/>
      <c r="I284" s="106"/>
      <c r="J284" s="106"/>
      <c r="K284" s="106"/>
      <c r="L284" s="106"/>
      <c r="N284" s="14"/>
      <c r="O284" s="15"/>
      <c r="P284" s="7"/>
      <c r="T284" s="8"/>
      <c r="U284" s="9"/>
      <c r="V284" s="9"/>
      <c r="W284" s="9"/>
      <c r="X284" s="10"/>
      <c r="Y284" s="9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</row>
    <row r="285" spans="1:66" s="24" customFormat="1">
      <c r="A285" s="104"/>
      <c r="B285" s="105"/>
      <c r="C285" s="106"/>
      <c r="D285" s="106"/>
      <c r="E285" s="106"/>
      <c r="F285" s="106"/>
      <c r="G285" s="106"/>
      <c r="H285" s="107"/>
      <c r="I285" s="106"/>
      <c r="J285" s="106"/>
      <c r="K285" s="106"/>
      <c r="L285" s="106"/>
      <c r="N285" s="14"/>
      <c r="O285" s="15"/>
      <c r="P285" s="7"/>
      <c r="T285" s="8"/>
      <c r="U285" s="9"/>
      <c r="V285" s="9"/>
      <c r="W285" s="9"/>
      <c r="X285" s="10"/>
      <c r="Y285" s="9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</row>
    <row r="286" spans="1:66" s="24" customFormat="1">
      <c r="A286" s="104"/>
      <c r="B286" s="105"/>
      <c r="C286" s="106"/>
      <c r="D286" s="106"/>
      <c r="E286" s="106"/>
      <c r="F286" s="106"/>
      <c r="G286" s="106"/>
      <c r="H286" s="107"/>
      <c r="I286" s="106"/>
      <c r="J286" s="106"/>
      <c r="K286" s="106"/>
      <c r="L286" s="106"/>
      <c r="N286" s="14"/>
      <c r="O286" s="15"/>
      <c r="P286" s="7"/>
      <c r="T286" s="8"/>
      <c r="U286" s="9"/>
      <c r="V286" s="9"/>
      <c r="W286" s="9"/>
      <c r="X286" s="10"/>
      <c r="Y286" s="9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</row>
    <row r="287" spans="1:66" s="24" customFormat="1">
      <c r="A287" s="104"/>
      <c r="B287" s="105"/>
      <c r="C287" s="106"/>
      <c r="D287" s="106"/>
      <c r="E287" s="106"/>
      <c r="F287" s="106"/>
      <c r="G287" s="106"/>
      <c r="H287" s="107"/>
      <c r="I287" s="106"/>
      <c r="J287" s="106"/>
      <c r="K287" s="106"/>
      <c r="L287" s="106"/>
      <c r="N287" s="14"/>
      <c r="O287" s="15"/>
      <c r="P287" s="7"/>
      <c r="T287" s="8"/>
      <c r="U287" s="9"/>
      <c r="V287" s="9"/>
      <c r="W287" s="9"/>
      <c r="X287" s="10"/>
      <c r="Y287" s="9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</row>
    <row r="288" spans="1:66" s="24" customFormat="1">
      <c r="A288" s="104"/>
      <c r="B288" s="105"/>
      <c r="C288" s="106"/>
      <c r="D288" s="106"/>
      <c r="E288" s="106"/>
      <c r="F288" s="106"/>
      <c r="G288" s="106"/>
      <c r="H288" s="107"/>
      <c r="I288" s="106"/>
      <c r="J288" s="106"/>
      <c r="K288" s="106"/>
      <c r="L288" s="106"/>
      <c r="N288" s="14"/>
      <c r="O288" s="15"/>
      <c r="P288" s="7"/>
      <c r="T288" s="8"/>
      <c r="U288" s="9"/>
      <c r="V288" s="9"/>
      <c r="W288" s="9"/>
      <c r="X288" s="10"/>
      <c r="Y288" s="9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</row>
    <row r="289" spans="1:66" s="24" customFormat="1">
      <c r="A289" s="104"/>
      <c r="B289" s="105"/>
      <c r="C289" s="106"/>
      <c r="D289" s="106"/>
      <c r="E289" s="106"/>
      <c r="F289" s="106"/>
      <c r="G289" s="106"/>
      <c r="H289" s="107"/>
      <c r="I289" s="106"/>
      <c r="J289" s="106"/>
      <c r="K289" s="106"/>
      <c r="L289" s="106"/>
      <c r="N289" s="14"/>
      <c r="O289" s="15"/>
      <c r="P289" s="7"/>
      <c r="T289" s="8"/>
      <c r="U289" s="9"/>
      <c r="V289" s="9"/>
      <c r="W289" s="9"/>
      <c r="X289" s="10"/>
      <c r="Y289" s="9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</row>
    <row r="290" spans="1:66" s="24" customFormat="1">
      <c r="A290" s="104"/>
      <c r="B290" s="105"/>
      <c r="C290" s="106"/>
      <c r="D290" s="106"/>
      <c r="E290" s="106"/>
      <c r="F290" s="106"/>
      <c r="G290" s="106"/>
      <c r="H290" s="107"/>
      <c r="I290" s="106"/>
      <c r="J290" s="106"/>
      <c r="K290" s="106"/>
      <c r="L290" s="106"/>
      <c r="N290" s="14"/>
      <c r="O290" s="15"/>
      <c r="P290" s="7"/>
      <c r="T290" s="8"/>
      <c r="U290" s="9"/>
      <c r="V290" s="9"/>
      <c r="W290" s="9"/>
      <c r="X290" s="10"/>
      <c r="Y290" s="9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</row>
    <row r="291" spans="1:66" s="24" customFormat="1">
      <c r="A291" s="104"/>
      <c r="B291" s="105"/>
      <c r="C291" s="106"/>
      <c r="D291" s="106"/>
      <c r="E291" s="106"/>
      <c r="F291" s="106"/>
      <c r="G291" s="106"/>
      <c r="H291" s="107"/>
      <c r="I291" s="106"/>
      <c r="J291" s="106"/>
      <c r="K291" s="106"/>
      <c r="L291" s="106"/>
      <c r="N291" s="14"/>
      <c r="O291" s="15"/>
      <c r="P291" s="7"/>
      <c r="T291" s="8"/>
      <c r="U291" s="9"/>
      <c r="V291" s="9"/>
      <c r="W291" s="9"/>
      <c r="X291" s="10"/>
      <c r="Y291" s="9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</row>
    <row r="292" spans="1:66" s="24" customFormat="1">
      <c r="A292" s="104"/>
      <c r="B292" s="105"/>
      <c r="C292" s="106"/>
      <c r="D292" s="106"/>
      <c r="E292" s="106"/>
      <c r="F292" s="106"/>
      <c r="G292" s="106"/>
      <c r="H292" s="107"/>
      <c r="I292" s="106"/>
      <c r="J292" s="106"/>
      <c r="K292" s="106"/>
      <c r="L292" s="106"/>
      <c r="N292" s="14"/>
      <c r="O292" s="15"/>
      <c r="P292" s="7"/>
      <c r="T292" s="8"/>
      <c r="U292" s="9"/>
      <c r="V292" s="9"/>
      <c r="W292" s="9"/>
      <c r="X292" s="10"/>
      <c r="Y292" s="9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</row>
    <row r="293" spans="1:66" s="24" customFormat="1">
      <c r="A293" s="104"/>
      <c r="B293" s="105"/>
      <c r="C293" s="106"/>
      <c r="D293" s="106"/>
      <c r="E293" s="106"/>
      <c r="F293" s="106"/>
      <c r="G293" s="106"/>
      <c r="H293" s="107"/>
      <c r="I293" s="106"/>
      <c r="J293" s="106"/>
      <c r="K293" s="106"/>
      <c r="L293" s="106"/>
      <c r="N293" s="14"/>
      <c r="O293" s="15"/>
      <c r="P293" s="7"/>
      <c r="T293" s="8"/>
      <c r="U293" s="9"/>
      <c r="V293" s="9"/>
      <c r="W293" s="9"/>
      <c r="X293" s="10"/>
      <c r="Y293" s="9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</row>
    <row r="294" spans="1:66" s="24" customFormat="1">
      <c r="A294" s="104"/>
      <c r="B294" s="105"/>
      <c r="C294" s="106"/>
      <c r="D294" s="106"/>
      <c r="E294" s="106"/>
      <c r="F294" s="106"/>
      <c r="G294" s="106"/>
      <c r="H294" s="107"/>
      <c r="I294" s="106"/>
      <c r="J294" s="106"/>
      <c r="K294" s="106"/>
      <c r="L294" s="106"/>
      <c r="N294" s="14"/>
      <c r="O294" s="15"/>
      <c r="P294" s="7"/>
      <c r="T294" s="8"/>
      <c r="U294" s="9"/>
      <c r="V294" s="9"/>
      <c r="W294" s="9"/>
      <c r="X294" s="10"/>
      <c r="Y294" s="9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BL294" s="12"/>
      <c r="BM294" s="12"/>
      <c r="BN294" s="12"/>
    </row>
    <row r="295" spans="1:66" s="24" customFormat="1">
      <c r="A295" s="104"/>
      <c r="B295" s="105"/>
      <c r="C295" s="106"/>
      <c r="D295" s="106"/>
      <c r="E295" s="106"/>
      <c r="F295" s="106"/>
      <c r="G295" s="106"/>
      <c r="H295" s="107"/>
      <c r="I295" s="106"/>
      <c r="J295" s="106"/>
      <c r="K295" s="106"/>
      <c r="L295" s="106"/>
      <c r="N295" s="14"/>
      <c r="O295" s="15"/>
      <c r="P295" s="7"/>
      <c r="T295" s="8"/>
      <c r="U295" s="9"/>
      <c r="V295" s="9"/>
      <c r="W295" s="9"/>
      <c r="X295" s="10"/>
      <c r="Y295" s="9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</row>
    <row r="296" spans="1:66" s="24" customFormat="1">
      <c r="A296" s="104"/>
      <c r="B296" s="105"/>
      <c r="C296" s="106"/>
      <c r="D296" s="106"/>
      <c r="E296" s="106"/>
      <c r="F296" s="106"/>
      <c r="G296" s="106"/>
      <c r="H296" s="107"/>
      <c r="I296" s="106"/>
      <c r="J296" s="106"/>
      <c r="K296" s="106"/>
      <c r="L296" s="106"/>
      <c r="N296" s="14"/>
      <c r="O296" s="15"/>
      <c r="P296" s="7"/>
      <c r="T296" s="8"/>
      <c r="U296" s="9"/>
      <c r="V296" s="9"/>
      <c r="W296" s="9"/>
      <c r="X296" s="10"/>
      <c r="Y296" s="9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  <c r="BN296" s="12"/>
    </row>
    <row r="297" spans="1:66" s="24" customFormat="1">
      <c r="A297" s="104"/>
      <c r="B297" s="105"/>
      <c r="C297" s="106"/>
      <c r="D297" s="106"/>
      <c r="E297" s="106"/>
      <c r="F297" s="106"/>
      <c r="G297" s="106"/>
      <c r="H297" s="107"/>
      <c r="I297" s="106"/>
      <c r="J297" s="106"/>
      <c r="K297" s="106"/>
      <c r="L297" s="106"/>
      <c r="N297" s="14"/>
      <c r="O297" s="15"/>
      <c r="P297" s="7"/>
      <c r="T297" s="8"/>
      <c r="U297" s="9"/>
      <c r="V297" s="9"/>
      <c r="W297" s="9"/>
      <c r="X297" s="10"/>
      <c r="Y297" s="9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  <c r="BN297" s="12"/>
    </row>
  </sheetData>
  <mergeCells count="24">
    <mergeCell ref="A25:B25"/>
    <mergeCell ref="A1:L1"/>
    <mergeCell ref="A2:L2"/>
    <mergeCell ref="A3:L3"/>
    <mergeCell ref="E8:L8"/>
    <mergeCell ref="E9:I9"/>
    <mergeCell ref="K9:L9"/>
    <mergeCell ref="A15:L15"/>
    <mergeCell ref="A16:L16"/>
    <mergeCell ref="I19:L19"/>
    <mergeCell ref="A20:H20"/>
    <mergeCell ref="A24:B24"/>
    <mergeCell ref="B257:K257"/>
    <mergeCell ref="F28:F29"/>
    <mergeCell ref="E28:E29"/>
    <mergeCell ref="D28:D29"/>
    <mergeCell ref="C28:C29"/>
    <mergeCell ref="B28:B29"/>
    <mergeCell ref="G28:I28"/>
    <mergeCell ref="J28:L28"/>
    <mergeCell ref="A30:L30"/>
    <mergeCell ref="A203:L204"/>
    <mergeCell ref="A255:E255"/>
    <mergeCell ref="A28:A29"/>
  </mergeCells>
  <printOptions horizontalCentered="1"/>
  <pageMargins left="0.31496062992125984" right="0.31496062992125984" top="0.70866141732283472" bottom="0.51181102362204722" header="0.31496062992125984" footer="0.31496062992125984"/>
  <pageSetup paperSize="9" scale="55" fitToHeight="0" orientation="landscape" r:id="rId1"/>
  <rowBreaks count="1" manualBreakCount="1">
    <brk id="50" max="11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724"/>
  <sheetViews>
    <sheetView view="pageBreakPreview" topLeftCell="A637" zoomScaleNormal="100" zoomScaleSheetLayoutView="100" workbookViewId="0">
      <selection activeCell="B645" sqref="B645:C645"/>
    </sheetView>
  </sheetViews>
  <sheetFormatPr defaultColWidth="2.28515625" defaultRowHeight="12.6" customHeight="1"/>
  <cols>
    <col min="1" max="1" width="8.5703125" style="108" customWidth="1"/>
    <col min="2" max="2" width="16" style="108" customWidth="1"/>
    <col min="3" max="3" width="9.28515625" style="108" customWidth="1"/>
    <col min="4" max="4" width="9.42578125" style="108" bestFit="1" customWidth="1"/>
    <col min="5" max="5" width="9.5703125" style="108" customWidth="1"/>
    <col min="6" max="6" width="9" style="108" customWidth="1"/>
    <col min="7" max="7" width="11.28515625" style="108" customWidth="1"/>
    <col min="8" max="8" width="10.7109375" style="108" customWidth="1"/>
    <col min="9" max="9" width="10.28515625" style="108" customWidth="1"/>
    <col min="10" max="10" width="11.5703125" style="108" customWidth="1"/>
    <col min="11" max="11" width="10.140625" style="108" bestFit="1" customWidth="1"/>
    <col min="12" max="12" width="10.85546875" style="108" bestFit="1" customWidth="1"/>
    <col min="13" max="13" width="6.140625" style="108" bestFit="1" customWidth="1"/>
    <col min="14" max="14" width="16.5703125" style="108" bestFit="1" customWidth="1"/>
    <col min="15" max="15" width="19.42578125" style="108" customWidth="1"/>
    <col min="16" max="16" width="11.28515625" style="108" customWidth="1"/>
    <col min="17" max="16384" width="2.28515625" style="108"/>
  </cols>
  <sheetData>
    <row r="1" spans="1:14" ht="16.5" thickBot="1">
      <c r="A1" s="217"/>
      <c r="B1" s="218"/>
      <c r="C1" s="223" t="s">
        <v>580</v>
      </c>
      <c r="D1" s="224"/>
      <c r="E1" s="224"/>
      <c r="F1" s="224"/>
      <c r="G1" s="224"/>
      <c r="H1" s="224"/>
      <c r="I1" s="224"/>
      <c r="J1" s="224"/>
      <c r="K1" s="224"/>
      <c r="L1" s="224"/>
      <c r="M1" s="225"/>
    </row>
    <row r="2" spans="1:14" ht="12.75">
      <c r="A2" s="219"/>
      <c r="B2" s="220"/>
      <c r="C2" s="226" t="s">
        <v>348</v>
      </c>
      <c r="D2" s="227"/>
      <c r="E2" s="227"/>
      <c r="F2" s="227"/>
      <c r="G2" s="228"/>
      <c r="H2" s="226" t="s">
        <v>349</v>
      </c>
      <c r="I2" s="227"/>
      <c r="J2" s="227"/>
      <c r="K2" s="227"/>
      <c r="L2" s="227"/>
      <c r="M2" s="228"/>
    </row>
    <row r="3" spans="1:14" ht="30.75" customHeight="1" thickBot="1">
      <c r="A3" s="219"/>
      <c r="B3" s="220"/>
      <c r="C3" s="229" t="s">
        <v>434</v>
      </c>
      <c r="D3" s="230"/>
      <c r="E3" s="230"/>
      <c r="F3" s="230"/>
      <c r="G3" s="231"/>
      <c r="H3" s="232" t="s">
        <v>435</v>
      </c>
      <c r="I3" s="230"/>
      <c r="J3" s="230"/>
      <c r="K3" s="230"/>
      <c r="L3" s="230"/>
      <c r="M3" s="231"/>
    </row>
    <row r="4" spans="1:14" ht="12.75">
      <c r="A4" s="219"/>
      <c r="B4" s="220"/>
      <c r="C4" s="226" t="s">
        <v>350</v>
      </c>
      <c r="D4" s="227"/>
      <c r="E4" s="227"/>
      <c r="F4" s="227"/>
      <c r="G4" s="228"/>
      <c r="H4" s="233" t="s">
        <v>351</v>
      </c>
      <c r="I4" s="234"/>
      <c r="J4" s="234"/>
      <c r="K4" s="235"/>
      <c r="L4" s="109"/>
      <c r="M4" s="110"/>
    </row>
    <row r="5" spans="1:14" ht="13.5" thickBot="1">
      <c r="A5" s="221"/>
      <c r="B5" s="222"/>
      <c r="C5" s="236" t="s">
        <v>436</v>
      </c>
      <c r="D5" s="237"/>
      <c r="E5" s="237"/>
      <c r="F5" s="237"/>
      <c r="G5" s="238"/>
      <c r="H5" s="239" t="s">
        <v>352</v>
      </c>
      <c r="I5" s="240"/>
      <c r="J5" s="240"/>
      <c r="K5" s="241"/>
      <c r="L5" s="111"/>
      <c r="M5" s="112"/>
    </row>
    <row r="6" spans="1:14" ht="13.5" thickBot="1">
      <c r="A6" s="113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5"/>
    </row>
    <row r="7" spans="1:14" ht="12.75">
      <c r="A7" s="201" t="s">
        <v>10</v>
      </c>
      <c r="B7" s="203" t="s">
        <v>353</v>
      </c>
      <c r="C7" s="204"/>
      <c r="D7" s="207" t="s">
        <v>354</v>
      </c>
      <c r="E7" s="214" t="s">
        <v>355</v>
      </c>
      <c r="F7" s="215"/>
      <c r="G7" s="215"/>
      <c r="H7" s="215"/>
      <c r="I7" s="215"/>
      <c r="J7" s="216"/>
      <c r="K7" s="214" t="s">
        <v>356</v>
      </c>
      <c r="L7" s="216"/>
      <c r="M7" s="242" t="s">
        <v>357</v>
      </c>
      <c r="N7" s="116"/>
    </row>
    <row r="8" spans="1:14" ht="13.5" thickBot="1">
      <c r="A8" s="202"/>
      <c r="B8" s="205"/>
      <c r="C8" s="206"/>
      <c r="D8" s="208"/>
      <c r="E8" s="117" t="s">
        <v>358</v>
      </c>
      <c r="F8" s="117" t="s">
        <v>359</v>
      </c>
      <c r="G8" s="117" t="s">
        <v>360</v>
      </c>
      <c r="H8" s="117" t="s">
        <v>361</v>
      </c>
      <c r="I8" s="117" t="s">
        <v>362</v>
      </c>
      <c r="J8" s="117" t="s">
        <v>363</v>
      </c>
      <c r="K8" s="117" t="s">
        <v>364</v>
      </c>
      <c r="L8" s="117" t="s">
        <v>9</v>
      </c>
      <c r="M8" s="243"/>
      <c r="N8" s="116"/>
    </row>
    <row r="9" spans="1:14" ht="13.5" thickBot="1">
      <c r="A9" s="118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20"/>
    </row>
    <row r="10" spans="1:14" ht="13.9" customHeight="1" thickBot="1">
      <c r="A10" s="272" t="str">
        <f>'BM02'!A29</f>
        <v>ETAPA 01: CONSTRUÇÃO DA ESCOLA</v>
      </c>
      <c r="B10" s="273"/>
      <c r="C10" s="273"/>
      <c r="D10" s="273"/>
      <c r="E10" s="273"/>
      <c r="F10" s="273"/>
      <c r="G10" s="273"/>
      <c r="H10" s="273"/>
      <c r="I10" s="273"/>
      <c r="J10" s="273"/>
      <c r="K10" s="273"/>
      <c r="L10" s="273"/>
      <c r="M10" s="274"/>
    </row>
    <row r="11" spans="1:14" ht="13.5" thickBot="1">
      <c r="A11" s="124"/>
      <c r="B11" s="125"/>
      <c r="C11" s="125"/>
      <c r="D11" s="125"/>
      <c r="E11" s="125"/>
      <c r="F11" s="125"/>
      <c r="G11" s="125"/>
      <c r="H11" s="125"/>
      <c r="I11" s="125"/>
      <c r="J11" s="125"/>
      <c r="K11" s="126"/>
      <c r="L11" s="125"/>
      <c r="M11" s="127"/>
    </row>
    <row r="12" spans="1:14" ht="13.5" thickBot="1">
      <c r="A12" s="121" t="s">
        <v>1</v>
      </c>
      <c r="B12" s="122" t="str">
        <f>'BM01'!B30</f>
        <v>SERVIÇOS PRELIMINARES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3"/>
    </row>
    <row r="13" spans="1:14" ht="12.75">
      <c r="A13" s="124"/>
      <c r="B13" s="125"/>
      <c r="C13" s="125"/>
      <c r="D13" s="125"/>
      <c r="E13" s="125"/>
      <c r="F13" s="125"/>
      <c r="G13" s="125"/>
      <c r="H13" s="125"/>
      <c r="I13" s="125"/>
      <c r="J13" s="125"/>
      <c r="K13" s="126"/>
      <c r="L13" s="125"/>
      <c r="M13" s="127"/>
    </row>
    <row r="14" spans="1:14" s="131" customFormat="1" ht="12.75">
      <c r="A14" s="128" t="str">
        <f>'BM02'!A32</f>
        <v>1.1.1</v>
      </c>
      <c r="B14" s="211" t="str">
        <f>'BM02'!B32</f>
        <v xml:space="preserve">PLACA   DE   OBRA   EM   CHAPA   DE   ACO GALVANIZADO </v>
      </c>
      <c r="C14" s="212"/>
      <c r="D14" s="212"/>
      <c r="E14" s="212"/>
      <c r="F14" s="212"/>
      <c r="G14" s="212"/>
      <c r="H14" s="212"/>
      <c r="I14" s="212"/>
      <c r="J14" s="212"/>
      <c r="K14" s="213"/>
      <c r="L14" s="129">
        <f>L15</f>
        <v>0</v>
      </c>
      <c r="M14" s="130" t="str">
        <f>'BM02'!C32</f>
        <v>m²</v>
      </c>
    </row>
    <row r="15" spans="1:14" ht="12.75">
      <c r="A15" s="132"/>
      <c r="B15" s="209"/>
      <c r="C15" s="210"/>
      <c r="D15" s="134"/>
      <c r="E15" s="134"/>
      <c r="F15" s="134"/>
      <c r="G15" s="134"/>
      <c r="H15" s="134"/>
      <c r="I15" s="134"/>
      <c r="J15" s="135"/>
      <c r="K15" s="135"/>
      <c r="L15" s="134">
        <f>ROUND(D15*K15,2)</f>
        <v>0</v>
      </c>
      <c r="M15" s="136"/>
    </row>
    <row r="16" spans="1:14" ht="12.75">
      <c r="A16" s="124"/>
      <c r="B16" s="125"/>
      <c r="C16" s="125"/>
      <c r="D16" s="125"/>
      <c r="E16" s="125"/>
      <c r="F16" s="125"/>
      <c r="G16" s="125"/>
      <c r="H16" s="125"/>
      <c r="I16" s="125"/>
      <c r="J16" s="125"/>
      <c r="K16" s="126"/>
      <c r="L16" s="125"/>
      <c r="M16" s="127"/>
    </row>
    <row r="17" spans="1:13" s="131" customFormat="1" ht="28.9" customHeight="1">
      <c r="A17" s="128" t="str">
        <f>'BM02'!A33</f>
        <v>1.1.2</v>
      </c>
      <c r="B17" s="211" t="str">
        <f>'BM02'!B33</f>
        <v>LOCACAO CONVENCIONAL DE OBRA, UTILIZANDO GABARITO DE TÁBUAS CORRIDAS PONTALETADAS A CADA 2,00M - 2 UTILIZAÇÕES. AF_10/2018</v>
      </c>
      <c r="C17" s="212"/>
      <c r="D17" s="212"/>
      <c r="E17" s="212"/>
      <c r="F17" s="212"/>
      <c r="G17" s="212"/>
      <c r="H17" s="212"/>
      <c r="I17" s="212"/>
      <c r="J17" s="212"/>
      <c r="K17" s="213"/>
      <c r="L17" s="129">
        <f>L18</f>
        <v>0</v>
      </c>
      <c r="M17" s="130" t="str">
        <f>'BM02'!C33</f>
        <v>M</v>
      </c>
    </row>
    <row r="18" spans="1:13" ht="12.75">
      <c r="A18" s="132"/>
      <c r="B18" s="209"/>
      <c r="C18" s="210"/>
      <c r="D18" s="134"/>
      <c r="E18" s="134"/>
      <c r="F18" s="134"/>
      <c r="G18" s="134"/>
      <c r="H18" s="134"/>
      <c r="I18" s="134"/>
      <c r="J18" s="135"/>
      <c r="K18" s="135"/>
      <c r="L18" s="134">
        <f>ROUND(D18*K18,2)</f>
        <v>0</v>
      </c>
      <c r="M18" s="136"/>
    </row>
    <row r="19" spans="1:13" ht="12.75">
      <c r="A19" s="124"/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7"/>
    </row>
    <row r="20" spans="1:13" s="131" customFormat="1" ht="28.9" customHeight="1">
      <c r="A20" s="128" t="str">
        <f>'BM02'!A34</f>
        <v>1.1.3</v>
      </c>
      <c r="B20" s="211" t="str">
        <f>'BM02'!B34</f>
        <v>LIMPEZA MECANIZADA DE CAMADA VEGETAL, VEGETAÇÃO E PEQUENAS ÁRVORES DIÂMETRO DE TRONCO MENOR QUE 0,20 M), COM TRATOR DE ESTEIRAS.AF_05/2018</v>
      </c>
      <c r="C20" s="212"/>
      <c r="D20" s="212"/>
      <c r="E20" s="212"/>
      <c r="F20" s="212"/>
      <c r="G20" s="212"/>
      <c r="H20" s="212"/>
      <c r="I20" s="212"/>
      <c r="J20" s="212"/>
      <c r="K20" s="213"/>
      <c r="L20" s="129">
        <f>L21</f>
        <v>0</v>
      </c>
      <c r="M20" s="130" t="str">
        <f>'BM02'!C34</f>
        <v>m²</v>
      </c>
    </row>
    <row r="21" spans="1:13" ht="12.75">
      <c r="A21" s="132"/>
      <c r="B21" s="209"/>
      <c r="C21" s="210"/>
      <c r="D21" s="134"/>
      <c r="E21" s="134"/>
      <c r="F21" s="134"/>
      <c r="G21" s="134"/>
      <c r="H21" s="134"/>
      <c r="I21" s="134"/>
      <c r="J21" s="135"/>
      <c r="K21" s="135"/>
      <c r="L21" s="134">
        <f>ROUND(D21*K21,2)</f>
        <v>0</v>
      </c>
      <c r="M21" s="136"/>
    </row>
    <row r="22" spans="1:13" ht="12.75">
      <c r="A22" s="124"/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7"/>
    </row>
    <row r="23" spans="1:13" s="131" customFormat="1" ht="28.9" customHeight="1">
      <c r="A23" s="128" t="str">
        <f>'BM02'!A35</f>
        <v>1.1.4</v>
      </c>
      <c r="B23" s="211" t="str">
        <f>'BM02'!B35</f>
        <v>LIGAÇÃO PREDIAL DE ÁGUA EM MURETA DE CONCRETO, PROVISÓRIA OU DEFINITIVA, COM FORNECIMENTO DE MATERIAL, INCLUSIVE MURETA E HIDRÔMETRO, REDE DN 50MM</v>
      </c>
      <c r="C23" s="212"/>
      <c r="D23" s="212"/>
      <c r="E23" s="212"/>
      <c r="F23" s="212"/>
      <c r="G23" s="212"/>
      <c r="H23" s="212"/>
      <c r="I23" s="212"/>
      <c r="J23" s="212"/>
      <c r="K23" s="213"/>
      <c r="L23" s="129">
        <f>L24</f>
        <v>0</v>
      </c>
      <c r="M23" s="130" t="str">
        <f>'BM02'!C35</f>
        <v>un</v>
      </c>
    </row>
    <row r="24" spans="1:13" ht="12.75">
      <c r="A24" s="132"/>
      <c r="B24" s="209"/>
      <c r="C24" s="210"/>
      <c r="D24" s="134"/>
      <c r="E24" s="134"/>
      <c r="F24" s="134"/>
      <c r="G24" s="134"/>
      <c r="H24" s="134"/>
      <c r="I24" s="134"/>
      <c r="J24" s="135"/>
      <c r="K24" s="135"/>
      <c r="L24" s="134">
        <f>ROUND(D24*K24,2)</f>
        <v>0</v>
      </c>
      <c r="M24" s="136"/>
    </row>
    <row r="25" spans="1:13" ht="12.75">
      <c r="A25" s="124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7"/>
    </row>
    <row r="26" spans="1:13" s="131" customFormat="1" ht="28.9" customHeight="1">
      <c r="A26" s="128" t="str">
        <f>'BM02'!A36</f>
        <v>1.1.5</v>
      </c>
      <c r="B26" s="211" t="str">
        <f>'BM02'!B36</f>
        <v>ENTRADA    DE    ENERGIA    ELETRICA MONOFASICA  COM  POSTE  DE  CONCRETO, INCLUSIVE   CABEAMENTO,   CAIXA   DE PROTECAO     PARA     MEDIDOR</v>
      </c>
      <c r="C26" s="212"/>
      <c r="D26" s="212"/>
      <c r="E26" s="212"/>
      <c r="F26" s="212"/>
      <c r="G26" s="212"/>
      <c r="H26" s="212"/>
      <c r="I26" s="212"/>
      <c r="J26" s="212"/>
      <c r="K26" s="213"/>
      <c r="L26" s="129">
        <f>L27</f>
        <v>0</v>
      </c>
      <c r="M26" s="130" t="str">
        <f>'BM02'!C36</f>
        <v>un</v>
      </c>
    </row>
    <row r="27" spans="1:13" ht="12.75">
      <c r="A27" s="132"/>
      <c r="B27" s="209"/>
      <c r="C27" s="210"/>
      <c r="D27" s="134"/>
      <c r="E27" s="134"/>
      <c r="F27" s="134"/>
      <c r="G27" s="134"/>
      <c r="H27" s="134"/>
      <c r="I27" s="134"/>
      <c r="J27" s="135"/>
      <c r="K27" s="135"/>
      <c r="L27" s="134">
        <f>ROUND(D27*K27,2)</f>
        <v>0</v>
      </c>
      <c r="M27" s="136"/>
    </row>
    <row r="28" spans="1:13" ht="12.75">
      <c r="A28" s="139"/>
      <c r="B28" s="140"/>
      <c r="C28" s="141"/>
      <c r="D28" s="142"/>
      <c r="E28" s="143"/>
      <c r="F28" s="142"/>
      <c r="G28" s="142"/>
      <c r="H28" s="143"/>
      <c r="I28" s="143"/>
      <c r="J28" s="144"/>
      <c r="K28" s="144"/>
      <c r="L28" s="142"/>
      <c r="M28" s="145"/>
    </row>
    <row r="29" spans="1:13" s="131" customFormat="1" ht="43.15" customHeight="1">
      <c r="A29" s="128" t="str">
        <f>'BM02'!A37</f>
        <v>1.1.6</v>
      </c>
      <c r="B29" s="211" t="str">
        <f>'BM02'!B37</f>
        <v>LIGACAO DOMICILIAR DE ESGOTO DN 100MM, DA  CASA  ATE  A  CAIXA,  COMPOSTO  POR 10,0M  TUBO  DE  PVC  ESGOTO  PREDIAL  DN
100MM E CAIXA DE ALVENARIA COM TAMPA DE   CONCRETO   -   FORNECIMENTO</v>
      </c>
      <c r="C29" s="212"/>
      <c r="D29" s="212"/>
      <c r="E29" s="212"/>
      <c r="F29" s="212"/>
      <c r="G29" s="212"/>
      <c r="H29" s="212"/>
      <c r="I29" s="212"/>
      <c r="J29" s="212"/>
      <c r="K29" s="213"/>
      <c r="L29" s="129">
        <f>SUM(L30)</f>
        <v>0</v>
      </c>
      <c r="M29" s="130" t="str">
        <f>'BM02'!C37</f>
        <v>un</v>
      </c>
    </row>
    <row r="30" spans="1:13" ht="12.75">
      <c r="A30" s="132"/>
      <c r="B30" s="209"/>
      <c r="C30" s="210"/>
      <c r="D30" s="134"/>
      <c r="E30" s="134"/>
      <c r="F30" s="134"/>
      <c r="G30" s="134"/>
      <c r="H30" s="134"/>
      <c r="I30" s="134"/>
      <c r="J30" s="135"/>
      <c r="K30" s="135"/>
      <c r="L30" s="134">
        <f>ROUND(D30*K30,2)</f>
        <v>0</v>
      </c>
      <c r="M30" s="136"/>
    </row>
    <row r="31" spans="1:13" ht="12.75">
      <c r="A31" s="146"/>
      <c r="B31" s="140"/>
      <c r="C31" s="143"/>
      <c r="D31" s="142"/>
      <c r="E31" s="142"/>
      <c r="F31" s="142"/>
      <c r="G31" s="142"/>
      <c r="H31" s="142"/>
      <c r="I31" s="142"/>
      <c r="J31" s="144"/>
      <c r="K31" s="144"/>
      <c r="L31" s="142"/>
      <c r="M31" s="145"/>
    </row>
    <row r="32" spans="1:13" s="131" customFormat="1" ht="12.75">
      <c r="A32" s="128" t="str">
        <f>'BM02'!A38</f>
        <v>1.1.7</v>
      </c>
      <c r="B32" s="211" t="str">
        <f>'BM02'!B38</f>
        <v>LOCAÇÃO DE CONTAINER - ALMOXARIFADO COM BANHEIRO - 6,00 X 2,30M</v>
      </c>
      <c r="C32" s="212"/>
      <c r="D32" s="212"/>
      <c r="E32" s="212"/>
      <c r="F32" s="212"/>
      <c r="G32" s="212"/>
      <c r="H32" s="212"/>
      <c r="I32" s="212"/>
      <c r="J32" s="212"/>
      <c r="K32" s="213"/>
      <c r="L32" s="129">
        <f>L33</f>
        <v>0</v>
      </c>
      <c r="M32" s="130" t="str">
        <f>'BM02'!C38</f>
        <v>mês</v>
      </c>
    </row>
    <row r="33" spans="1:13" ht="12.75">
      <c r="A33" s="132"/>
      <c r="B33" s="209"/>
      <c r="C33" s="210"/>
      <c r="D33" s="134"/>
      <c r="E33" s="134"/>
      <c r="F33" s="134"/>
      <c r="G33" s="134"/>
      <c r="H33" s="134"/>
      <c r="I33" s="134"/>
      <c r="J33" s="135"/>
      <c r="K33" s="135"/>
      <c r="L33" s="134">
        <f>ROUND(D33*K33,2)</f>
        <v>0</v>
      </c>
      <c r="M33" s="136"/>
    </row>
    <row r="34" spans="1:13" ht="12.75">
      <c r="A34" s="146"/>
      <c r="B34" s="140"/>
      <c r="C34" s="143"/>
      <c r="D34" s="142"/>
      <c r="E34" s="142"/>
      <c r="F34" s="142"/>
      <c r="G34" s="142"/>
      <c r="H34" s="142"/>
      <c r="I34" s="142"/>
      <c r="J34" s="144"/>
      <c r="K34" s="144"/>
      <c r="L34" s="142"/>
      <c r="M34" s="145"/>
    </row>
    <row r="35" spans="1:13" s="131" customFormat="1" ht="12.75">
      <c r="A35" s="128" t="str">
        <f>'BM02'!A39</f>
        <v>1.1.8</v>
      </c>
      <c r="B35" s="211" t="str">
        <f>'BM02'!B39</f>
        <v xml:space="preserve"> LOCAÇÃO DE CONTAINER - ESCRITÓRIO COM BANHEIRO - 6,20 X 2,20M</v>
      </c>
      <c r="C35" s="212"/>
      <c r="D35" s="212"/>
      <c r="E35" s="212"/>
      <c r="F35" s="212"/>
      <c r="G35" s="212"/>
      <c r="H35" s="212"/>
      <c r="I35" s="212"/>
      <c r="J35" s="212"/>
      <c r="K35" s="213"/>
      <c r="L35" s="129">
        <f>L36</f>
        <v>0</v>
      </c>
      <c r="M35" s="130" t="str">
        <f>'BM02'!C39</f>
        <v>mês</v>
      </c>
    </row>
    <row r="36" spans="1:13" ht="12.75">
      <c r="A36" s="132"/>
      <c r="B36" s="209"/>
      <c r="C36" s="210"/>
      <c r="D36" s="134"/>
      <c r="E36" s="134"/>
      <c r="F36" s="134"/>
      <c r="G36" s="134"/>
      <c r="H36" s="134"/>
      <c r="I36" s="134"/>
      <c r="J36" s="135"/>
      <c r="K36" s="135"/>
      <c r="L36" s="134">
        <f>ROUND(D36*K36,2)</f>
        <v>0</v>
      </c>
      <c r="M36" s="136"/>
    </row>
    <row r="37" spans="1:13" ht="12.75">
      <c r="A37" s="146"/>
      <c r="B37" s="140"/>
      <c r="C37" s="143"/>
      <c r="D37" s="142"/>
      <c r="E37" s="142"/>
      <c r="F37" s="142"/>
      <c r="G37" s="142"/>
      <c r="H37" s="142"/>
      <c r="I37" s="142"/>
      <c r="J37" s="144"/>
      <c r="K37" s="144"/>
      <c r="L37" s="142"/>
      <c r="M37" s="145"/>
    </row>
    <row r="38" spans="1:13" s="131" customFormat="1" ht="12.75">
      <c r="A38" s="128" t="str">
        <f>'BM04'!A41</f>
        <v>1.1.9</v>
      </c>
      <c r="B38" s="211" t="str">
        <f>'BM04'!B41</f>
        <v>EXECUÇÃO DE DEPÓSITO EM CANTEIRO DE OBRA EM ALVENARIA</v>
      </c>
      <c r="C38" s="212"/>
      <c r="D38" s="212"/>
      <c r="E38" s="212"/>
      <c r="F38" s="212"/>
      <c r="G38" s="212"/>
      <c r="H38" s="212"/>
      <c r="I38" s="212"/>
      <c r="J38" s="212"/>
      <c r="K38" s="213"/>
      <c r="L38" s="129">
        <f>L39</f>
        <v>37.409999999999997</v>
      </c>
      <c r="M38" s="130" t="str">
        <f>'BM04'!C41</f>
        <v>M²</v>
      </c>
    </row>
    <row r="39" spans="1:13" ht="12.75">
      <c r="A39" s="132"/>
      <c r="B39" s="209" t="s">
        <v>645</v>
      </c>
      <c r="C39" s="210"/>
      <c r="D39" s="134">
        <v>1</v>
      </c>
      <c r="E39" s="134">
        <v>8.6999999999999993</v>
      </c>
      <c r="F39" s="134"/>
      <c r="G39" s="134">
        <v>4.3</v>
      </c>
      <c r="H39" s="134"/>
      <c r="I39" s="134"/>
      <c r="J39" s="135"/>
      <c r="K39" s="135">
        <f>E39*G39</f>
        <v>37.409999999999997</v>
      </c>
      <c r="L39" s="134">
        <f t="shared" ref="L39" si="0">ROUND(D39*K39,2)</f>
        <v>37.409999999999997</v>
      </c>
      <c r="M39" s="136"/>
    </row>
    <row r="40" spans="1:13" ht="13.5" thickBot="1">
      <c r="A40" s="146"/>
      <c r="B40" s="140"/>
      <c r="C40" s="143"/>
      <c r="D40" s="142"/>
      <c r="E40" s="142"/>
      <c r="F40" s="142"/>
      <c r="G40" s="142"/>
      <c r="H40" s="142"/>
      <c r="I40" s="142"/>
      <c r="J40" s="144"/>
      <c r="K40" s="144"/>
      <c r="L40" s="142"/>
      <c r="M40" s="145"/>
    </row>
    <row r="41" spans="1:13" s="131" customFormat="1" ht="13.5" thickBot="1">
      <c r="A41" s="121" t="str">
        <f>'BM02'!A41</f>
        <v>1.2</v>
      </c>
      <c r="B41" s="122" t="str">
        <f>'BM02'!B41</f>
        <v>MOVIMENTO DE TERRA</v>
      </c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3"/>
    </row>
    <row r="42" spans="1:13" ht="12.75">
      <c r="A42" s="146"/>
      <c r="B42" s="140"/>
      <c r="C42" s="143"/>
      <c r="D42" s="142"/>
      <c r="E42" s="142"/>
      <c r="F42" s="142"/>
      <c r="G42" s="142"/>
      <c r="H42" s="142"/>
      <c r="I42" s="142"/>
      <c r="J42" s="144"/>
      <c r="K42" s="144"/>
      <c r="L42" s="142"/>
      <c r="M42" s="145"/>
    </row>
    <row r="43" spans="1:13" s="131" customFormat="1" ht="28.9" customHeight="1">
      <c r="A43" s="128" t="str">
        <f>'BM02'!A43</f>
        <v>1.2.1</v>
      </c>
      <c r="B43" s="211" t="str">
        <f>'BM02'!B43</f>
        <v>ESCAVACAO MECANICA DE VALA EM MATERIAL DE 2A. CATEGORIA ATE 2 M DE PROFUNDIDADE COM UTILIZACAO DE ESCAVADEIRA HIDRAULICA</v>
      </c>
      <c r="C43" s="212"/>
      <c r="D43" s="212"/>
      <c r="E43" s="212"/>
      <c r="F43" s="212"/>
      <c r="G43" s="212"/>
      <c r="H43" s="212"/>
      <c r="I43" s="212"/>
      <c r="J43" s="212"/>
      <c r="K43" s="213"/>
      <c r="L43" s="129">
        <f>SUM(L44:L44)</f>
        <v>0</v>
      </c>
      <c r="M43" s="130" t="str">
        <f>'BM02'!C43</f>
        <v>m³</v>
      </c>
    </row>
    <row r="44" spans="1:13" ht="12.75">
      <c r="A44" s="132"/>
      <c r="B44" s="209"/>
      <c r="C44" s="210"/>
      <c r="D44" s="134"/>
      <c r="E44" s="134"/>
      <c r="F44" s="134"/>
      <c r="G44" s="134"/>
      <c r="H44" s="134"/>
      <c r="I44" s="134"/>
      <c r="J44" s="135"/>
      <c r="K44" s="135"/>
      <c r="L44" s="134">
        <f>ROUND(D44*K44,2)</f>
        <v>0</v>
      </c>
      <c r="M44" s="136"/>
    </row>
    <row r="45" spans="1:13" ht="12.75">
      <c r="A45" s="146"/>
      <c r="B45" s="140"/>
      <c r="C45" s="143"/>
      <c r="D45" s="142"/>
      <c r="E45" s="142"/>
      <c r="F45" s="142"/>
      <c r="G45" s="142"/>
      <c r="H45" s="142"/>
      <c r="I45" s="142"/>
      <c r="J45" s="144"/>
      <c r="K45" s="144"/>
      <c r="L45" s="142"/>
      <c r="M45" s="145"/>
    </row>
    <row r="46" spans="1:13" s="131" customFormat="1" ht="12.75">
      <c r="A46" s="128" t="str">
        <f>'BM02'!A44</f>
        <v>1.2.2</v>
      </c>
      <c r="B46" s="211" t="str">
        <f>'BM02'!B44</f>
        <v>REATERRO MANUAL DE VALAS COM COMPACTAÇÃO MECANIZADA. AF_04/2016</v>
      </c>
      <c r="C46" s="212"/>
      <c r="D46" s="212"/>
      <c r="E46" s="212"/>
      <c r="F46" s="212"/>
      <c r="G46" s="212"/>
      <c r="H46" s="212"/>
      <c r="I46" s="212"/>
      <c r="J46" s="212"/>
      <c r="K46" s="213"/>
      <c r="L46" s="129">
        <f>SUM(L47:L47)</f>
        <v>0</v>
      </c>
      <c r="M46" s="130" t="str">
        <f>'BM02'!C44</f>
        <v>m³</v>
      </c>
    </row>
    <row r="47" spans="1:13" ht="12.75">
      <c r="A47" s="132"/>
      <c r="B47" s="209"/>
      <c r="C47" s="210"/>
      <c r="D47" s="134"/>
      <c r="E47" s="134"/>
      <c r="F47" s="134"/>
      <c r="G47" s="134"/>
      <c r="H47" s="134"/>
      <c r="I47" s="134"/>
      <c r="J47" s="135"/>
      <c r="K47" s="135"/>
      <c r="L47" s="134">
        <f>ROUND(D47*K47,2)</f>
        <v>0</v>
      </c>
      <c r="M47" s="136"/>
    </row>
    <row r="48" spans="1:13" ht="12.75">
      <c r="A48" s="146"/>
      <c r="B48" s="140"/>
      <c r="C48" s="143"/>
      <c r="D48" s="142"/>
      <c r="E48" s="142"/>
      <c r="F48" s="142"/>
      <c r="G48" s="142"/>
      <c r="H48" s="142"/>
      <c r="I48" s="142"/>
      <c r="J48" s="144"/>
      <c r="K48" s="144"/>
      <c r="L48" s="142"/>
      <c r="M48" s="145"/>
    </row>
    <row r="49" spans="1:13" s="131" customFormat="1" ht="12.75">
      <c r="A49" s="128" t="str">
        <f>'BM02'!A45</f>
        <v>1.2.3</v>
      </c>
      <c r="B49" s="137" t="str">
        <f>'BM02'!B45</f>
        <v>ATERRO MANUAL DE VALAS COM SOLO ARGILO-ARENOSO E COMPACTAÇÃO MECANIZADA. AF_05/2016</v>
      </c>
      <c r="C49" s="138"/>
      <c r="D49" s="138"/>
      <c r="E49" s="138"/>
      <c r="F49" s="138"/>
      <c r="G49" s="138"/>
      <c r="H49" s="138"/>
      <c r="I49" s="138"/>
      <c r="J49" s="138"/>
      <c r="K49" s="138"/>
      <c r="L49" s="129">
        <f>ROUND(SUM(L50:L60),2)</f>
        <v>930.39</v>
      </c>
      <c r="M49" s="130" t="str">
        <f>'BM02'!C45</f>
        <v>m³</v>
      </c>
    </row>
    <row r="50" spans="1:13" ht="28.9" customHeight="1">
      <c r="A50" s="132"/>
      <c r="B50" s="209" t="s">
        <v>653</v>
      </c>
      <c r="C50" s="210"/>
      <c r="D50" s="134">
        <v>1</v>
      </c>
      <c r="E50" s="134"/>
      <c r="F50" s="134"/>
      <c r="G50" s="134"/>
      <c r="H50" s="134"/>
      <c r="I50" s="134"/>
      <c r="J50" s="135"/>
      <c r="K50" s="135">
        <f>142.01</f>
        <v>142.01</v>
      </c>
      <c r="L50" s="134">
        <f>-ROUND(D50*K50,2)</f>
        <v>-142.01</v>
      </c>
      <c r="M50" s="136"/>
    </row>
    <row r="51" spans="1:13" ht="12.75">
      <c r="A51" s="132"/>
      <c r="B51" s="209" t="s">
        <v>646</v>
      </c>
      <c r="C51" s="210" t="s">
        <v>646</v>
      </c>
      <c r="D51" s="134">
        <v>1</v>
      </c>
      <c r="E51" s="134">
        <v>29.7</v>
      </c>
      <c r="F51" s="134"/>
      <c r="G51" s="134">
        <v>9.5</v>
      </c>
      <c r="H51" s="134"/>
      <c r="I51" s="134">
        <v>1.3499999999999999</v>
      </c>
      <c r="J51" s="135"/>
      <c r="K51" s="135">
        <f>E51*G51*I51</f>
        <v>380.90249999999992</v>
      </c>
      <c r="L51" s="134">
        <f>ROUND(D51*K51,2)</f>
        <v>380.9</v>
      </c>
      <c r="M51" s="136"/>
    </row>
    <row r="52" spans="1:13" ht="28.9" customHeight="1">
      <c r="A52" s="132"/>
      <c r="B52" s="209" t="s">
        <v>647</v>
      </c>
      <c r="C52" s="210" t="s">
        <v>647</v>
      </c>
      <c r="D52" s="134">
        <v>1</v>
      </c>
      <c r="E52" s="134">
        <v>29.7</v>
      </c>
      <c r="F52" s="134"/>
      <c r="G52" s="134">
        <v>2.7</v>
      </c>
      <c r="H52" s="134"/>
      <c r="I52" s="134">
        <v>1.3</v>
      </c>
      <c r="J52" s="135"/>
      <c r="K52" s="135">
        <f t="shared" ref="K52:K59" si="1">E52*G52*I52</f>
        <v>104.247</v>
      </c>
      <c r="L52" s="134">
        <f t="shared" ref="L52:L59" si="2">ROUND(D52*K52,2)</f>
        <v>104.25</v>
      </c>
      <c r="M52" s="136"/>
    </row>
    <row r="53" spans="1:13" ht="12.75">
      <c r="A53" s="132"/>
      <c r="B53" s="209" t="s">
        <v>432</v>
      </c>
      <c r="C53" s="210" t="s">
        <v>432</v>
      </c>
      <c r="D53" s="134">
        <v>1</v>
      </c>
      <c r="E53" s="134">
        <v>5.55</v>
      </c>
      <c r="F53" s="134"/>
      <c r="G53" s="134">
        <v>8.4499999999999993</v>
      </c>
      <c r="H53" s="134"/>
      <c r="I53" s="134">
        <v>1.1500000000000001</v>
      </c>
      <c r="J53" s="135"/>
      <c r="K53" s="135">
        <f t="shared" si="1"/>
        <v>53.932124999999999</v>
      </c>
      <c r="L53" s="134">
        <f t="shared" si="2"/>
        <v>53.93</v>
      </c>
      <c r="M53" s="136"/>
    </row>
    <row r="54" spans="1:13" ht="28.9" customHeight="1">
      <c r="A54" s="132"/>
      <c r="B54" s="209" t="s">
        <v>648</v>
      </c>
      <c r="C54" s="210" t="s">
        <v>648</v>
      </c>
      <c r="D54" s="134">
        <v>1</v>
      </c>
      <c r="E54" s="134">
        <v>14.26</v>
      </c>
      <c r="F54" s="134"/>
      <c r="G54" s="134">
        <v>8.4499999999999993</v>
      </c>
      <c r="H54" s="134"/>
      <c r="I54" s="134">
        <v>1.2500000000000002</v>
      </c>
      <c r="J54" s="135"/>
      <c r="K54" s="135">
        <f t="shared" si="1"/>
        <v>150.62125</v>
      </c>
      <c r="L54" s="134">
        <f t="shared" si="2"/>
        <v>150.62</v>
      </c>
      <c r="M54" s="136"/>
    </row>
    <row r="55" spans="1:13" ht="12.75">
      <c r="A55" s="132"/>
      <c r="B55" s="209" t="s">
        <v>649</v>
      </c>
      <c r="C55" s="210" t="s">
        <v>649</v>
      </c>
      <c r="D55" s="134">
        <v>1</v>
      </c>
      <c r="E55" s="134">
        <v>30</v>
      </c>
      <c r="F55" s="134"/>
      <c r="G55" s="134">
        <v>3.5</v>
      </c>
      <c r="H55" s="134"/>
      <c r="I55" s="134">
        <v>0.6</v>
      </c>
      <c r="J55" s="135"/>
      <c r="K55" s="135">
        <f t="shared" si="1"/>
        <v>63</v>
      </c>
      <c r="L55" s="134">
        <f t="shared" si="2"/>
        <v>63</v>
      </c>
      <c r="M55" s="136"/>
    </row>
    <row r="56" spans="1:13" ht="12.75">
      <c r="A56" s="132"/>
      <c r="B56" s="209" t="s">
        <v>650</v>
      </c>
      <c r="C56" s="210" t="s">
        <v>650</v>
      </c>
      <c r="D56" s="134">
        <v>1</v>
      </c>
      <c r="E56" s="134">
        <v>43.2</v>
      </c>
      <c r="F56" s="134"/>
      <c r="G56" s="134">
        <v>5</v>
      </c>
      <c r="H56" s="134"/>
      <c r="I56" s="134">
        <v>0.60000000000000009</v>
      </c>
      <c r="J56" s="135"/>
      <c r="K56" s="135">
        <f t="shared" si="1"/>
        <v>129.60000000000002</v>
      </c>
      <c r="L56" s="134">
        <f t="shared" si="2"/>
        <v>129.6</v>
      </c>
      <c r="M56" s="136"/>
    </row>
    <row r="57" spans="1:13" ht="12.75">
      <c r="A57" s="132"/>
      <c r="B57" s="209" t="s">
        <v>651</v>
      </c>
      <c r="C57" s="210" t="s">
        <v>651</v>
      </c>
      <c r="D57" s="134">
        <v>1</v>
      </c>
      <c r="E57" s="134">
        <v>43.2</v>
      </c>
      <c r="F57" s="134"/>
      <c r="G57" s="134">
        <v>4.8499999999999996</v>
      </c>
      <c r="H57" s="134"/>
      <c r="I57" s="134">
        <v>0.60000000000000009</v>
      </c>
      <c r="J57" s="135"/>
      <c r="K57" s="135">
        <f t="shared" si="1"/>
        <v>125.71200000000003</v>
      </c>
      <c r="L57" s="134">
        <f t="shared" si="2"/>
        <v>125.71</v>
      </c>
      <c r="M57" s="136"/>
    </row>
    <row r="58" spans="1:13" ht="12.75">
      <c r="A58" s="132"/>
      <c r="B58" s="209" t="s">
        <v>491</v>
      </c>
      <c r="C58" s="210" t="s">
        <v>491</v>
      </c>
      <c r="D58" s="134">
        <v>1</v>
      </c>
      <c r="E58" s="134">
        <v>9.73</v>
      </c>
      <c r="F58" s="134"/>
      <c r="G58" s="134">
        <v>8.3000000000000007</v>
      </c>
      <c r="H58" s="134"/>
      <c r="I58" s="134">
        <v>0.60000000000000009</v>
      </c>
      <c r="J58" s="135"/>
      <c r="K58" s="135">
        <f t="shared" si="1"/>
        <v>48.455400000000019</v>
      </c>
      <c r="L58" s="134">
        <f t="shared" si="2"/>
        <v>48.46</v>
      </c>
      <c r="M58" s="136"/>
    </row>
    <row r="59" spans="1:13" ht="12.75">
      <c r="A59" s="132"/>
      <c r="B59" s="209" t="s">
        <v>491</v>
      </c>
      <c r="C59" s="210" t="s">
        <v>491</v>
      </c>
      <c r="D59" s="134">
        <v>1</v>
      </c>
      <c r="E59" s="134">
        <v>20.65</v>
      </c>
      <c r="F59" s="134"/>
      <c r="G59" s="134">
        <v>9.6999999999999993</v>
      </c>
      <c r="H59" s="134"/>
      <c r="I59" s="134">
        <v>0.60000000000000009</v>
      </c>
      <c r="J59" s="135"/>
      <c r="K59" s="135">
        <f t="shared" si="1"/>
        <v>120.18300000000001</v>
      </c>
      <c r="L59" s="134">
        <f t="shared" si="2"/>
        <v>120.18</v>
      </c>
      <c r="M59" s="136"/>
    </row>
    <row r="60" spans="1:13" ht="57.6" customHeight="1">
      <c r="A60" s="132"/>
      <c r="B60" s="209" t="s">
        <v>652</v>
      </c>
      <c r="C60" s="210" t="s">
        <v>652</v>
      </c>
      <c r="D60" s="134">
        <v>1</v>
      </c>
      <c r="E60" s="134"/>
      <c r="F60" s="134"/>
      <c r="G60" s="134"/>
      <c r="H60" s="134"/>
      <c r="I60" s="134"/>
      <c r="J60" s="135"/>
      <c r="K60" s="135">
        <f>(84.24+5+15.01)</f>
        <v>104.25</v>
      </c>
      <c r="L60" s="134">
        <f>-ROUND(D60*K60,2)</f>
        <v>-104.25</v>
      </c>
      <c r="M60" s="136"/>
    </row>
    <row r="61" spans="1:13" ht="12.75">
      <c r="A61" s="146"/>
      <c r="B61" s="140"/>
      <c r="C61" s="143"/>
      <c r="D61" s="142"/>
      <c r="E61" s="142"/>
      <c r="F61" s="142"/>
      <c r="G61" s="142"/>
      <c r="H61" s="142"/>
      <c r="I61" s="142"/>
      <c r="J61" s="144"/>
      <c r="K61" s="144"/>
      <c r="L61" s="142"/>
      <c r="M61" s="145"/>
    </row>
    <row r="62" spans="1:13" s="131" customFormat="1" ht="12.75">
      <c r="A62" s="128" t="str">
        <f>'BM04'!A48</f>
        <v>1.2.4</v>
      </c>
      <c r="B62" s="137" t="str">
        <f>'BM04'!B48</f>
        <v>Transporte de material, por peso, com caminhão basculante, com ciclo definido e dmt 2001 a 3000m. Rev 01</v>
      </c>
      <c r="C62" s="138"/>
      <c r="D62" s="138"/>
      <c r="E62" s="138"/>
      <c r="F62" s="138"/>
      <c r="G62" s="138"/>
      <c r="H62" s="138"/>
      <c r="I62" s="138"/>
      <c r="J62" s="138"/>
      <c r="K62" s="138"/>
      <c r="L62" s="129">
        <f>ROUND(SUM(L63:L63),2)</f>
        <v>1179.6400000000001</v>
      </c>
      <c r="M62" s="130" t="str">
        <f>'BM04'!C48</f>
        <v>t</v>
      </c>
    </row>
    <row r="63" spans="1:13" ht="72" customHeight="1">
      <c r="A63" s="132"/>
      <c r="B63" s="209" t="s">
        <v>654</v>
      </c>
      <c r="C63" s="210"/>
      <c r="D63" s="134">
        <f>1072.4*1.1</f>
        <v>1179.6400000000001</v>
      </c>
      <c r="E63" s="134"/>
      <c r="F63" s="134"/>
      <c r="G63" s="134"/>
      <c r="H63" s="134"/>
      <c r="I63" s="134"/>
      <c r="J63" s="135"/>
      <c r="K63" s="135">
        <f>D63</f>
        <v>1179.6400000000001</v>
      </c>
      <c r="L63" s="134">
        <f>K63</f>
        <v>1179.6400000000001</v>
      </c>
      <c r="M63" s="136"/>
    </row>
    <row r="64" spans="1:13" ht="13.5" thickBot="1">
      <c r="A64" s="146"/>
      <c r="B64" s="140"/>
      <c r="C64" s="143"/>
      <c r="D64" s="142"/>
      <c r="E64" s="142"/>
      <c r="F64" s="142"/>
      <c r="G64" s="142"/>
      <c r="H64" s="142"/>
      <c r="I64" s="142"/>
      <c r="J64" s="144"/>
      <c r="K64" s="144"/>
      <c r="L64" s="142"/>
      <c r="M64" s="145"/>
    </row>
    <row r="65" spans="1:13" s="131" customFormat="1" ht="13.5" thickBot="1">
      <c r="A65" s="121" t="str">
        <f>'BM02'!A47</f>
        <v>1.3</v>
      </c>
      <c r="B65" s="122" t="str">
        <f>'BM02'!B47</f>
        <v>INFRAESTRUTURA</v>
      </c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M65" s="123"/>
    </row>
    <row r="66" spans="1:13" ht="12.75">
      <c r="A66" s="146"/>
      <c r="B66" s="140"/>
      <c r="C66" s="143"/>
      <c r="D66" s="142"/>
      <c r="E66" s="142"/>
      <c r="F66" s="142"/>
      <c r="G66" s="142"/>
      <c r="H66" s="142"/>
      <c r="I66" s="142"/>
      <c r="J66" s="144"/>
      <c r="K66" s="144"/>
      <c r="L66" s="142"/>
      <c r="M66" s="145"/>
    </row>
    <row r="67" spans="1:13" s="131" customFormat="1" ht="13.5" thickBot="1">
      <c r="A67" s="128" t="str">
        <f>'BM02'!A49</f>
        <v>1.3.1</v>
      </c>
      <c r="B67" s="211" t="str">
        <f>'BM02'!B49</f>
        <v>EMBASAMENTO C/PEDRA ARGAMASSADA UTILIZADO ARG.CIM/AREIA 1:4 (ADAPTADO SINAPI 95467)</v>
      </c>
      <c r="C67" s="212"/>
      <c r="D67" s="212"/>
      <c r="E67" s="212"/>
      <c r="F67" s="212"/>
      <c r="G67" s="212"/>
      <c r="H67" s="212"/>
      <c r="I67" s="212"/>
      <c r="J67" s="212"/>
      <c r="K67" s="213"/>
      <c r="L67" s="129">
        <f>SUM(L68:L68)</f>
        <v>0</v>
      </c>
      <c r="M67" s="130" t="str">
        <f>'BM02'!C49</f>
        <v>m³</v>
      </c>
    </row>
    <row r="68" spans="1:13" s="131" customFormat="1" ht="12.75">
      <c r="A68" s="132"/>
      <c r="B68" s="178"/>
      <c r="C68" s="179"/>
      <c r="D68" s="134"/>
      <c r="E68" s="134"/>
      <c r="F68" s="134"/>
      <c r="G68" s="134"/>
      <c r="H68" s="134"/>
      <c r="I68" s="134"/>
      <c r="J68" s="135"/>
      <c r="K68" s="135"/>
      <c r="L68" s="134">
        <f t="shared" ref="L68" si="3">ROUND(D68*K68,2)</f>
        <v>0</v>
      </c>
      <c r="M68" s="180"/>
    </row>
    <row r="69" spans="1:13" ht="12.75">
      <c r="A69" s="146"/>
      <c r="B69" s="140"/>
      <c r="C69" s="143"/>
      <c r="D69" s="142"/>
      <c r="E69" s="142"/>
      <c r="F69" s="142"/>
      <c r="G69" s="142"/>
      <c r="H69" s="142"/>
      <c r="I69" s="142"/>
      <c r="J69" s="144"/>
      <c r="K69" s="144"/>
      <c r="L69" s="142"/>
      <c r="M69" s="145"/>
    </row>
    <row r="70" spans="1:13" s="131" customFormat="1" ht="43.15" customHeight="1">
      <c r="A70" s="128" t="str">
        <f>'BM01'!A50</f>
        <v>1.3.2</v>
      </c>
      <c r="B70" s="211" t="str">
        <f>'BM02'!B50</f>
        <v>ALVENARIA DE VEDAÇÃO DE BLOCOS CERÂMICOS FURADOS NA HORIZONTAL DE 9X19X19CM (ESPESSURA 9CM) DE PAREDES COM ÁREA LÍQUIDA MAIOR OU IGUAL A 6M² COM VÃOS E ARGAMASSA DE ASSENTAMENTO COM PREPARO MANUAL. AF_06/2014</v>
      </c>
      <c r="C70" s="212"/>
      <c r="D70" s="212"/>
      <c r="E70" s="212"/>
      <c r="F70" s="212"/>
      <c r="G70" s="212"/>
      <c r="H70" s="212"/>
      <c r="I70" s="212"/>
      <c r="J70" s="212"/>
      <c r="K70" s="213"/>
      <c r="L70" s="129">
        <f>ROUND(SUM(L71:L102),2)</f>
        <v>297.07</v>
      </c>
      <c r="M70" s="130" t="str">
        <f>'BM02'!C50</f>
        <v>m²</v>
      </c>
    </row>
    <row r="71" spans="1:13" s="131" customFormat="1" ht="28.9" customHeight="1">
      <c r="A71" s="132"/>
      <c r="B71" s="209" t="s">
        <v>660</v>
      </c>
      <c r="C71" s="210"/>
      <c r="D71" s="134">
        <v>1</v>
      </c>
      <c r="E71" s="134"/>
      <c r="F71" s="134"/>
      <c r="G71" s="134"/>
      <c r="H71" s="134"/>
      <c r="I71" s="134"/>
      <c r="J71" s="135"/>
      <c r="K71" s="135">
        <f>28.19</f>
        <v>28.19</v>
      </c>
      <c r="L71" s="134">
        <f>-K71</f>
        <v>-28.19</v>
      </c>
      <c r="M71" s="180"/>
    </row>
    <row r="72" spans="1:13" s="131" customFormat="1" ht="14.45" customHeight="1">
      <c r="A72" s="263"/>
      <c r="B72" s="275" t="s">
        <v>493</v>
      </c>
      <c r="C72" s="276"/>
      <c r="D72" s="134">
        <v>1</v>
      </c>
      <c r="E72" s="134">
        <v>29.7</v>
      </c>
      <c r="F72" s="134"/>
      <c r="G72" s="134"/>
      <c r="H72" s="134"/>
      <c r="I72" s="134">
        <v>0.87</v>
      </c>
      <c r="J72" s="135"/>
      <c r="K72" s="135">
        <f>E72*I72</f>
        <v>25.838999999999999</v>
      </c>
      <c r="L72" s="134">
        <f>D72*K72</f>
        <v>25.838999999999999</v>
      </c>
      <c r="M72" s="180"/>
    </row>
    <row r="73" spans="1:13" ht="14.45" customHeight="1">
      <c r="A73" s="269"/>
      <c r="B73" s="286"/>
      <c r="C73" s="287"/>
      <c r="D73" s="134">
        <v>1</v>
      </c>
      <c r="E73" s="134">
        <v>29.7</v>
      </c>
      <c r="F73" s="134"/>
      <c r="G73" s="134"/>
      <c r="H73" s="134"/>
      <c r="I73" s="134">
        <v>0.87</v>
      </c>
      <c r="J73" s="135"/>
      <c r="K73" s="135">
        <f t="shared" ref="K73:K102" si="4">E73*I73</f>
        <v>25.838999999999999</v>
      </c>
      <c r="L73" s="134">
        <f t="shared" ref="L73:L102" si="5">D73*K73</f>
        <v>25.838999999999999</v>
      </c>
      <c r="M73" s="180"/>
    </row>
    <row r="74" spans="1:13" ht="14.45" customHeight="1">
      <c r="A74" s="264"/>
      <c r="B74" s="277"/>
      <c r="C74" s="278"/>
      <c r="D74" s="134">
        <v>5</v>
      </c>
      <c r="E74" s="134">
        <v>7.2</v>
      </c>
      <c r="F74" s="134"/>
      <c r="G74" s="134"/>
      <c r="H74" s="134"/>
      <c r="I74" s="134">
        <v>0.97000000000000008</v>
      </c>
      <c r="J74" s="135"/>
      <c r="K74" s="135">
        <f t="shared" si="4"/>
        <v>6.9840000000000009</v>
      </c>
      <c r="L74" s="134">
        <f t="shared" si="5"/>
        <v>34.92</v>
      </c>
      <c r="M74" s="180"/>
    </row>
    <row r="75" spans="1:13" s="131" customFormat="1" ht="14.45" customHeight="1">
      <c r="A75" s="263"/>
      <c r="B75" s="275" t="s">
        <v>655</v>
      </c>
      <c r="C75" s="276"/>
      <c r="D75" s="134">
        <v>1</v>
      </c>
      <c r="E75" s="134">
        <v>6.65</v>
      </c>
      <c r="F75" s="134"/>
      <c r="G75" s="134"/>
      <c r="H75" s="134"/>
      <c r="I75" s="134">
        <v>0.72000000000000008</v>
      </c>
      <c r="J75" s="135"/>
      <c r="K75" s="135">
        <f t="shared" si="4"/>
        <v>4.7880000000000011</v>
      </c>
      <c r="L75" s="134">
        <f t="shared" si="5"/>
        <v>4.7880000000000011</v>
      </c>
      <c r="M75" s="180"/>
    </row>
    <row r="76" spans="1:13" ht="14.45" customHeight="1">
      <c r="A76" s="269"/>
      <c r="B76" s="286"/>
      <c r="C76" s="287"/>
      <c r="D76" s="134">
        <v>1</v>
      </c>
      <c r="E76" s="134">
        <v>2.25</v>
      </c>
      <c r="F76" s="134"/>
      <c r="G76" s="134"/>
      <c r="H76" s="134"/>
      <c r="I76" s="134">
        <v>0.72000000000000008</v>
      </c>
      <c r="J76" s="135"/>
      <c r="K76" s="135">
        <f t="shared" si="4"/>
        <v>1.62</v>
      </c>
      <c r="L76" s="134">
        <f t="shared" si="5"/>
        <v>1.62</v>
      </c>
      <c r="M76" s="180"/>
    </row>
    <row r="77" spans="1:13" ht="14.45" customHeight="1">
      <c r="A77" s="264"/>
      <c r="B77" s="277"/>
      <c r="C77" s="278"/>
      <c r="D77" s="134">
        <v>2</v>
      </c>
      <c r="E77" s="134">
        <v>1.6</v>
      </c>
      <c r="F77" s="134"/>
      <c r="G77" s="134"/>
      <c r="H77" s="134"/>
      <c r="I77" s="134">
        <v>0.72000000000000008</v>
      </c>
      <c r="J77" s="135"/>
      <c r="K77" s="135">
        <f t="shared" si="4"/>
        <v>1.1520000000000001</v>
      </c>
      <c r="L77" s="134">
        <f t="shared" si="5"/>
        <v>2.3040000000000003</v>
      </c>
      <c r="M77" s="180"/>
    </row>
    <row r="78" spans="1:13" ht="12.75">
      <c r="A78" s="263"/>
      <c r="B78" s="275" t="s">
        <v>656</v>
      </c>
      <c r="C78" s="276"/>
      <c r="D78" s="134">
        <v>3</v>
      </c>
      <c r="E78" s="134">
        <v>6.5</v>
      </c>
      <c r="F78" s="134"/>
      <c r="G78" s="134"/>
      <c r="H78" s="134"/>
      <c r="I78" s="134">
        <v>0.76999999999999991</v>
      </c>
      <c r="J78" s="135"/>
      <c r="K78" s="135">
        <f t="shared" si="4"/>
        <v>5.004999999999999</v>
      </c>
      <c r="L78" s="134">
        <f t="shared" si="5"/>
        <v>15.014999999999997</v>
      </c>
      <c r="M78" s="180"/>
    </row>
    <row r="79" spans="1:13" ht="14.45" customHeight="1">
      <c r="A79" s="264"/>
      <c r="B79" s="277"/>
      <c r="C79" s="278"/>
      <c r="D79" s="134">
        <v>3</v>
      </c>
      <c r="E79" s="134">
        <v>5.4</v>
      </c>
      <c r="F79" s="134"/>
      <c r="G79" s="134"/>
      <c r="H79" s="134"/>
      <c r="I79" s="134">
        <v>0.76999999999999991</v>
      </c>
      <c r="J79" s="135"/>
      <c r="K79" s="135">
        <f t="shared" si="4"/>
        <v>4.1579999999999995</v>
      </c>
      <c r="L79" s="134">
        <f t="shared" si="5"/>
        <v>12.473999999999998</v>
      </c>
      <c r="M79" s="180"/>
    </row>
    <row r="80" spans="1:13" ht="14.45" customHeight="1">
      <c r="A80" s="132"/>
      <c r="B80" s="209" t="s">
        <v>657</v>
      </c>
      <c r="C80" s="210"/>
      <c r="D80" s="134">
        <v>1</v>
      </c>
      <c r="E80" s="134">
        <v>5.48</v>
      </c>
      <c r="F80" s="134"/>
      <c r="G80" s="134"/>
      <c r="H80" s="134"/>
      <c r="I80" s="134">
        <v>0.76999999999999991</v>
      </c>
      <c r="J80" s="135"/>
      <c r="K80" s="135">
        <f t="shared" si="4"/>
        <v>4.2195999999999998</v>
      </c>
      <c r="L80" s="134">
        <f t="shared" si="5"/>
        <v>4.2195999999999998</v>
      </c>
      <c r="M80" s="180"/>
    </row>
    <row r="81" spans="1:13" ht="12.75">
      <c r="A81" s="263"/>
      <c r="B81" s="275" t="s">
        <v>658</v>
      </c>
      <c r="C81" s="276"/>
      <c r="D81" s="134">
        <v>2</v>
      </c>
      <c r="E81" s="134">
        <v>6.63</v>
      </c>
      <c r="F81" s="134"/>
      <c r="G81" s="134"/>
      <c r="H81" s="134"/>
      <c r="I81" s="134">
        <v>0.72000000000000008</v>
      </c>
      <c r="J81" s="135"/>
      <c r="K81" s="135">
        <f t="shared" si="4"/>
        <v>4.7736000000000001</v>
      </c>
      <c r="L81" s="134">
        <f t="shared" si="5"/>
        <v>9.5472000000000001</v>
      </c>
      <c r="M81" s="180"/>
    </row>
    <row r="82" spans="1:13" ht="14.45" customHeight="1">
      <c r="A82" s="269"/>
      <c r="B82" s="286"/>
      <c r="C82" s="287"/>
      <c r="D82" s="134">
        <v>1</v>
      </c>
      <c r="E82" s="134">
        <v>5.63</v>
      </c>
      <c r="F82" s="134"/>
      <c r="G82" s="134"/>
      <c r="H82" s="134"/>
      <c r="I82" s="134">
        <v>0.72000000000000008</v>
      </c>
      <c r="J82" s="135"/>
      <c r="K82" s="135">
        <f t="shared" si="4"/>
        <v>4.0536000000000003</v>
      </c>
      <c r="L82" s="134">
        <f t="shared" si="5"/>
        <v>4.0536000000000003</v>
      </c>
      <c r="M82" s="180"/>
    </row>
    <row r="83" spans="1:13" ht="14.45" customHeight="1">
      <c r="A83" s="269"/>
      <c r="B83" s="286"/>
      <c r="C83" s="287"/>
      <c r="D83" s="134">
        <v>4</v>
      </c>
      <c r="E83" s="134">
        <v>2.85</v>
      </c>
      <c r="F83" s="134"/>
      <c r="G83" s="134"/>
      <c r="H83" s="134"/>
      <c r="I83" s="134">
        <v>0.72000000000000008</v>
      </c>
      <c r="J83" s="135"/>
      <c r="K83" s="135">
        <f t="shared" si="4"/>
        <v>2.0520000000000005</v>
      </c>
      <c r="L83" s="134">
        <f t="shared" si="5"/>
        <v>8.208000000000002</v>
      </c>
      <c r="M83" s="180"/>
    </row>
    <row r="84" spans="1:13" ht="14.45" customHeight="1">
      <c r="A84" s="269"/>
      <c r="B84" s="286"/>
      <c r="C84" s="287"/>
      <c r="D84" s="134">
        <v>2</v>
      </c>
      <c r="E84" s="134">
        <v>1.2</v>
      </c>
      <c r="F84" s="134"/>
      <c r="G84" s="134"/>
      <c r="H84" s="134"/>
      <c r="I84" s="134">
        <v>0.72000000000000008</v>
      </c>
      <c r="J84" s="135"/>
      <c r="K84" s="135">
        <f t="shared" si="4"/>
        <v>0.8640000000000001</v>
      </c>
      <c r="L84" s="134">
        <f t="shared" si="5"/>
        <v>1.7280000000000002</v>
      </c>
      <c r="M84" s="180"/>
    </row>
    <row r="85" spans="1:13" ht="14.45" customHeight="1">
      <c r="A85" s="269"/>
      <c r="B85" s="286"/>
      <c r="C85" s="287"/>
      <c r="D85" s="134">
        <v>3</v>
      </c>
      <c r="E85" s="134">
        <v>2.15</v>
      </c>
      <c r="F85" s="134"/>
      <c r="G85" s="134"/>
      <c r="H85" s="134"/>
      <c r="I85" s="134">
        <v>0.72000000000000008</v>
      </c>
      <c r="J85" s="135"/>
      <c r="K85" s="135">
        <f t="shared" si="4"/>
        <v>1.548</v>
      </c>
      <c r="L85" s="134">
        <f t="shared" si="5"/>
        <v>4.6440000000000001</v>
      </c>
      <c r="M85" s="180"/>
    </row>
    <row r="86" spans="1:13" ht="14.45" customHeight="1">
      <c r="A86" s="269"/>
      <c r="B86" s="286"/>
      <c r="C86" s="287"/>
      <c r="D86" s="134">
        <v>1</v>
      </c>
      <c r="E86" s="134">
        <v>2.5499999999999998</v>
      </c>
      <c r="F86" s="134"/>
      <c r="G86" s="134"/>
      <c r="H86" s="134"/>
      <c r="I86" s="134">
        <v>0.72000000000000008</v>
      </c>
      <c r="J86" s="135"/>
      <c r="K86" s="135">
        <f t="shared" si="4"/>
        <v>1.8360000000000001</v>
      </c>
      <c r="L86" s="134">
        <f t="shared" si="5"/>
        <v>1.8360000000000001</v>
      </c>
      <c r="M86" s="180"/>
    </row>
    <row r="87" spans="1:13" ht="14.45" customHeight="1">
      <c r="A87" s="264"/>
      <c r="B87" s="277"/>
      <c r="C87" s="278"/>
      <c r="D87" s="134">
        <v>1</v>
      </c>
      <c r="E87" s="134">
        <v>1.27</v>
      </c>
      <c r="F87" s="134"/>
      <c r="G87" s="134"/>
      <c r="H87" s="134"/>
      <c r="I87" s="134">
        <v>0.72000000000000008</v>
      </c>
      <c r="J87" s="135"/>
      <c r="K87" s="135">
        <f t="shared" si="4"/>
        <v>0.9144000000000001</v>
      </c>
      <c r="L87" s="134">
        <f t="shared" si="5"/>
        <v>0.9144000000000001</v>
      </c>
      <c r="M87" s="180"/>
    </row>
    <row r="88" spans="1:13" ht="14.45" customHeight="1">
      <c r="A88" s="263"/>
      <c r="B88" s="275" t="s">
        <v>508</v>
      </c>
      <c r="C88" s="276"/>
      <c r="D88" s="134">
        <v>3</v>
      </c>
      <c r="E88" s="134">
        <v>4.03</v>
      </c>
      <c r="F88" s="134"/>
      <c r="G88" s="134"/>
      <c r="H88" s="134"/>
      <c r="I88" s="134">
        <v>0.76999999999999991</v>
      </c>
      <c r="J88" s="135"/>
      <c r="K88" s="135">
        <f t="shared" si="4"/>
        <v>3.1031</v>
      </c>
      <c r="L88" s="134">
        <f t="shared" si="5"/>
        <v>9.3093000000000004</v>
      </c>
      <c r="M88" s="180"/>
    </row>
    <row r="89" spans="1:13" ht="14.45" customHeight="1">
      <c r="A89" s="269"/>
      <c r="B89" s="286"/>
      <c r="C89" s="287"/>
      <c r="D89" s="134">
        <v>2</v>
      </c>
      <c r="E89" s="134">
        <v>8.7799999999999994</v>
      </c>
      <c r="F89" s="134"/>
      <c r="G89" s="134"/>
      <c r="H89" s="134"/>
      <c r="I89" s="134">
        <v>0.76999999999999991</v>
      </c>
      <c r="J89" s="135"/>
      <c r="K89" s="135">
        <f t="shared" si="4"/>
        <v>6.7605999999999984</v>
      </c>
      <c r="L89" s="134">
        <f t="shared" si="5"/>
        <v>13.521199999999997</v>
      </c>
      <c r="M89" s="180"/>
    </row>
    <row r="90" spans="1:13" ht="14.45" customHeight="1">
      <c r="A90" s="269"/>
      <c r="B90" s="286"/>
      <c r="C90" s="287"/>
      <c r="D90" s="134">
        <v>1</v>
      </c>
      <c r="E90" s="134">
        <v>1.8</v>
      </c>
      <c r="F90" s="134"/>
      <c r="G90" s="134"/>
      <c r="H90" s="134"/>
      <c r="I90" s="134">
        <v>0.97000000000000008</v>
      </c>
      <c r="J90" s="135"/>
      <c r="K90" s="135">
        <f t="shared" si="4"/>
        <v>1.7460000000000002</v>
      </c>
      <c r="L90" s="134">
        <f t="shared" si="5"/>
        <v>1.7460000000000002</v>
      </c>
      <c r="M90" s="180"/>
    </row>
    <row r="91" spans="1:13" ht="14.45" customHeight="1">
      <c r="A91" s="264"/>
      <c r="B91" s="277"/>
      <c r="C91" s="278"/>
      <c r="D91" s="134">
        <v>1</v>
      </c>
      <c r="E91" s="134">
        <v>3.15</v>
      </c>
      <c r="F91" s="134"/>
      <c r="G91" s="134"/>
      <c r="H91" s="134"/>
      <c r="I91" s="134">
        <v>0.97000000000000008</v>
      </c>
      <c r="J91" s="135"/>
      <c r="K91" s="135">
        <f t="shared" si="4"/>
        <v>3.0555000000000003</v>
      </c>
      <c r="L91" s="134">
        <f t="shared" si="5"/>
        <v>3.0555000000000003</v>
      </c>
      <c r="M91" s="180"/>
    </row>
    <row r="92" spans="1:13" ht="12.75">
      <c r="A92" s="263"/>
      <c r="B92" s="275" t="s">
        <v>491</v>
      </c>
      <c r="C92" s="276"/>
      <c r="D92" s="134">
        <v>1</v>
      </c>
      <c r="E92" s="134">
        <v>9.74</v>
      </c>
      <c r="F92" s="134"/>
      <c r="G92" s="134"/>
      <c r="H92" s="134"/>
      <c r="I92" s="134">
        <v>0.97000000000000008</v>
      </c>
      <c r="J92" s="135"/>
      <c r="K92" s="135">
        <f t="shared" si="4"/>
        <v>9.4478000000000009</v>
      </c>
      <c r="L92" s="134">
        <f t="shared" si="5"/>
        <v>9.4478000000000009</v>
      </c>
      <c r="M92" s="180"/>
    </row>
    <row r="93" spans="1:13" ht="14.45" customHeight="1">
      <c r="A93" s="264"/>
      <c r="B93" s="277"/>
      <c r="C93" s="278"/>
      <c r="D93" s="134">
        <v>1</v>
      </c>
      <c r="E93" s="134">
        <v>4.7</v>
      </c>
      <c r="F93" s="134"/>
      <c r="G93" s="134"/>
      <c r="H93" s="134"/>
      <c r="I93" s="134">
        <v>1.02</v>
      </c>
      <c r="J93" s="135"/>
      <c r="K93" s="135">
        <f t="shared" si="4"/>
        <v>4.7940000000000005</v>
      </c>
      <c r="L93" s="134">
        <f t="shared" si="5"/>
        <v>4.7940000000000005</v>
      </c>
      <c r="M93" s="180"/>
    </row>
    <row r="94" spans="1:13" ht="12.75">
      <c r="A94" s="263"/>
      <c r="B94" s="275" t="s">
        <v>490</v>
      </c>
      <c r="C94" s="276"/>
      <c r="D94" s="134">
        <v>1</v>
      </c>
      <c r="E94" s="134">
        <v>5</v>
      </c>
      <c r="F94" s="134"/>
      <c r="G94" s="134"/>
      <c r="H94" s="134"/>
      <c r="I94" s="134">
        <v>1.02</v>
      </c>
      <c r="J94" s="135"/>
      <c r="K94" s="135">
        <f t="shared" si="4"/>
        <v>5.0999999999999996</v>
      </c>
      <c r="L94" s="134">
        <f t="shared" si="5"/>
        <v>5.0999999999999996</v>
      </c>
      <c r="M94" s="180"/>
    </row>
    <row r="95" spans="1:13" ht="14.45" customHeight="1">
      <c r="A95" s="264"/>
      <c r="B95" s="277"/>
      <c r="C95" s="278"/>
      <c r="D95" s="134">
        <v>1</v>
      </c>
      <c r="E95" s="134">
        <v>4.8499999999999996</v>
      </c>
      <c r="F95" s="134"/>
      <c r="G95" s="134"/>
      <c r="H95" s="134"/>
      <c r="I95" s="134">
        <v>0.92</v>
      </c>
      <c r="J95" s="135"/>
      <c r="K95" s="135">
        <f t="shared" si="4"/>
        <v>4.4619999999999997</v>
      </c>
      <c r="L95" s="134">
        <f t="shared" si="5"/>
        <v>4.4619999999999997</v>
      </c>
      <c r="M95" s="180"/>
    </row>
    <row r="96" spans="1:13" ht="12.75">
      <c r="A96" s="263"/>
      <c r="B96" s="275" t="s">
        <v>649</v>
      </c>
      <c r="C96" s="276"/>
      <c r="D96" s="134">
        <v>2</v>
      </c>
      <c r="E96" s="134">
        <v>30</v>
      </c>
      <c r="F96" s="134"/>
      <c r="G96" s="134"/>
      <c r="H96" s="134"/>
      <c r="I96" s="134">
        <v>0.76999999999999991</v>
      </c>
      <c r="J96" s="135"/>
      <c r="K96" s="135">
        <f t="shared" si="4"/>
        <v>23.099999999999998</v>
      </c>
      <c r="L96" s="134">
        <f t="shared" si="5"/>
        <v>46.199999999999996</v>
      </c>
      <c r="M96" s="180"/>
    </row>
    <row r="97" spans="1:13" ht="14.45" customHeight="1">
      <c r="A97" s="264"/>
      <c r="B97" s="277"/>
      <c r="C97" s="278"/>
      <c r="D97" s="134">
        <v>2</v>
      </c>
      <c r="E97" s="134">
        <v>2.8</v>
      </c>
      <c r="F97" s="134"/>
      <c r="G97" s="134"/>
      <c r="H97" s="134"/>
      <c r="I97" s="134">
        <v>0.76999999999999991</v>
      </c>
      <c r="J97" s="135"/>
      <c r="K97" s="135">
        <f t="shared" si="4"/>
        <v>2.1559999999999997</v>
      </c>
      <c r="L97" s="134">
        <f t="shared" si="5"/>
        <v>4.3119999999999994</v>
      </c>
      <c r="M97" s="180"/>
    </row>
    <row r="98" spans="1:13" ht="12.75">
      <c r="A98" s="263"/>
      <c r="B98" s="275" t="s">
        <v>659</v>
      </c>
      <c r="C98" s="276"/>
      <c r="D98" s="134">
        <v>1</v>
      </c>
      <c r="E98" s="134">
        <v>29.7</v>
      </c>
      <c r="F98" s="134"/>
      <c r="G98" s="134"/>
      <c r="H98" s="134"/>
      <c r="I98" s="134">
        <v>0.7</v>
      </c>
      <c r="J98" s="135"/>
      <c r="K98" s="135">
        <f t="shared" si="4"/>
        <v>20.79</v>
      </c>
      <c r="L98" s="134">
        <f t="shared" si="5"/>
        <v>20.79</v>
      </c>
      <c r="M98" s="180"/>
    </row>
    <row r="99" spans="1:13" ht="14.45" customHeight="1">
      <c r="A99" s="269"/>
      <c r="B99" s="286"/>
      <c r="C99" s="287"/>
      <c r="D99" s="134">
        <v>1</v>
      </c>
      <c r="E99" s="134">
        <v>19.809999999999999</v>
      </c>
      <c r="F99" s="134"/>
      <c r="G99" s="134"/>
      <c r="H99" s="134"/>
      <c r="I99" s="134">
        <v>0.75</v>
      </c>
      <c r="J99" s="135"/>
      <c r="K99" s="135">
        <f t="shared" si="4"/>
        <v>14.857499999999998</v>
      </c>
      <c r="L99" s="134">
        <f t="shared" si="5"/>
        <v>14.857499999999998</v>
      </c>
      <c r="M99" s="180"/>
    </row>
    <row r="100" spans="1:13" ht="14.45" customHeight="1">
      <c r="A100" s="269"/>
      <c r="B100" s="286"/>
      <c r="C100" s="287"/>
      <c r="D100" s="134">
        <v>1</v>
      </c>
      <c r="E100" s="134">
        <v>10.84</v>
      </c>
      <c r="F100" s="134"/>
      <c r="G100" s="134"/>
      <c r="H100" s="134"/>
      <c r="I100" s="134">
        <v>0.85</v>
      </c>
      <c r="J100" s="135"/>
      <c r="K100" s="135">
        <f t="shared" si="4"/>
        <v>9.2140000000000004</v>
      </c>
      <c r="L100" s="134">
        <f t="shared" si="5"/>
        <v>9.2140000000000004</v>
      </c>
      <c r="M100" s="180"/>
    </row>
    <row r="101" spans="1:13" ht="14.45" customHeight="1">
      <c r="A101" s="269"/>
      <c r="B101" s="286"/>
      <c r="C101" s="287"/>
      <c r="D101" s="134">
        <v>1</v>
      </c>
      <c r="E101" s="134">
        <v>9.74</v>
      </c>
      <c r="F101" s="134"/>
      <c r="G101" s="134"/>
      <c r="H101" s="134"/>
      <c r="I101" s="134">
        <v>0.9</v>
      </c>
      <c r="J101" s="135"/>
      <c r="K101" s="135">
        <f t="shared" si="4"/>
        <v>8.766</v>
      </c>
      <c r="L101" s="134">
        <f t="shared" si="5"/>
        <v>8.766</v>
      </c>
      <c r="M101" s="180"/>
    </row>
    <row r="102" spans="1:13" ht="14.45" customHeight="1">
      <c r="A102" s="264"/>
      <c r="B102" s="277"/>
      <c r="C102" s="278"/>
      <c r="D102" s="134">
        <v>1</v>
      </c>
      <c r="E102" s="134">
        <v>12.35</v>
      </c>
      <c r="F102" s="134"/>
      <c r="G102" s="134"/>
      <c r="H102" s="134"/>
      <c r="I102" s="134">
        <v>0.95</v>
      </c>
      <c r="J102" s="135"/>
      <c r="K102" s="135">
        <f t="shared" si="4"/>
        <v>11.7325</v>
      </c>
      <c r="L102" s="134">
        <f t="shared" si="5"/>
        <v>11.7325</v>
      </c>
      <c r="M102" s="180"/>
    </row>
    <row r="103" spans="1:13" ht="12.75">
      <c r="A103" s="146"/>
      <c r="B103" s="140"/>
      <c r="C103" s="143"/>
      <c r="D103" s="142"/>
      <c r="E103" s="142"/>
      <c r="F103" s="142"/>
      <c r="G103" s="142"/>
      <c r="H103" s="142"/>
      <c r="I103" s="142"/>
      <c r="J103" s="144"/>
      <c r="K103" s="144"/>
      <c r="L103" s="142"/>
      <c r="M103" s="145"/>
    </row>
    <row r="104" spans="1:13" s="131" customFormat="1" ht="12.75">
      <c r="A104" s="128" t="str">
        <f>'BM01'!A51</f>
        <v>1.3.3</v>
      </c>
      <c r="B104" s="211" t="str">
        <f>'BM02'!B51</f>
        <v>LASTRO DE CONCRETO MAGRO, APLICADO EM BLOCOS DE COROAMENTO OU SAPATAS. AF_08/2017</v>
      </c>
      <c r="C104" s="212"/>
      <c r="D104" s="212"/>
      <c r="E104" s="212"/>
      <c r="F104" s="212"/>
      <c r="G104" s="212"/>
      <c r="H104" s="212"/>
      <c r="I104" s="212"/>
      <c r="J104" s="212"/>
      <c r="K104" s="213"/>
      <c r="L104" s="129">
        <f>SUM(L105:L105)</f>
        <v>0</v>
      </c>
      <c r="M104" s="130" t="str">
        <f>'BM02'!C51</f>
        <v>m³</v>
      </c>
    </row>
    <row r="105" spans="1:13" s="131" customFormat="1" ht="12.75">
      <c r="A105" s="132"/>
      <c r="B105" s="178"/>
      <c r="C105" s="179"/>
      <c r="D105" s="134"/>
      <c r="E105" s="134"/>
      <c r="F105" s="134"/>
      <c r="G105" s="134"/>
      <c r="H105" s="134"/>
      <c r="I105" s="134"/>
      <c r="J105" s="135"/>
      <c r="K105" s="135"/>
      <c r="L105" s="134">
        <f t="shared" ref="L105" si="6">ROUND(D105*K105,2)</f>
        <v>0</v>
      </c>
      <c r="M105" s="180"/>
    </row>
    <row r="106" spans="1:13" ht="12.75">
      <c r="A106" s="146"/>
      <c r="B106" s="140"/>
      <c r="C106" s="143"/>
      <c r="D106" s="142"/>
      <c r="E106" s="142"/>
      <c r="F106" s="142"/>
      <c r="G106" s="142"/>
      <c r="H106" s="142"/>
      <c r="I106" s="142"/>
      <c r="J106" s="144"/>
      <c r="K106" s="144"/>
      <c r="L106" s="142"/>
      <c r="M106" s="145"/>
    </row>
    <row r="107" spans="1:13" s="131" customFormat="1" ht="28.9" customHeight="1">
      <c r="A107" s="128" t="str">
        <f>'BM01'!A52</f>
        <v>1.3.4</v>
      </c>
      <c r="B107" s="211" t="str">
        <f>'BM02'!B52</f>
        <v>CONCRETO ARMADO (PREPARO E LANÇAMENTO) PARA SAPATAS COM FCK=25MPA COM FORMA DE TABUA COM APROVEITAMENTO DE 2 VEZES COM BETONEIRA</v>
      </c>
      <c r="C107" s="212"/>
      <c r="D107" s="212"/>
      <c r="E107" s="212"/>
      <c r="F107" s="212"/>
      <c r="G107" s="212"/>
      <c r="H107" s="212"/>
      <c r="I107" s="212"/>
      <c r="J107" s="212"/>
      <c r="K107" s="213"/>
      <c r="L107" s="129">
        <f>SUM(L108:L108)</f>
        <v>0</v>
      </c>
      <c r="M107" s="130" t="str">
        <f>'BM02'!C52</f>
        <v>m³</v>
      </c>
    </row>
    <row r="108" spans="1:13" s="131" customFormat="1" ht="12.75">
      <c r="A108" s="132"/>
      <c r="B108" s="178"/>
      <c r="C108" s="179"/>
      <c r="D108" s="134"/>
      <c r="E108" s="134"/>
      <c r="F108" s="134"/>
      <c r="G108" s="134"/>
      <c r="H108" s="134"/>
      <c r="I108" s="134"/>
      <c r="J108" s="135"/>
      <c r="K108" s="135"/>
      <c r="L108" s="134">
        <f t="shared" ref="L108" si="7">ROUND(D108*K108,2)</f>
        <v>0</v>
      </c>
      <c r="M108" s="180"/>
    </row>
    <row r="109" spans="1:13" ht="12.75">
      <c r="A109" s="146"/>
      <c r="B109" s="140"/>
      <c r="C109" s="143"/>
      <c r="D109" s="142"/>
      <c r="E109" s="142"/>
      <c r="F109" s="142"/>
      <c r="G109" s="142"/>
      <c r="H109" s="142"/>
      <c r="I109" s="142"/>
      <c r="J109" s="144"/>
      <c r="K109" s="144"/>
      <c r="L109" s="142"/>
      <c r="M109" s="145"/>
    </row>
    <row r="110" spans="1:13" s="131" customFormat="1" ht="28.9" customHeight="1">
      <c r="A110" s="128" t="str">
        <f>'BM01'!A53</f>
        <v>1.3.5</v>
      </c>
      <c r="B110" s="211" t="str">
        <f>'BM02'!B53</f>
        <v>CONCRETO ARMADO (PREPARO E LANÇAMENTO) PARA RADIER COM FCK=25MPA COM TABUA DE MADEIRA COM APROVEITAMENTO DE 3 VEZES COM BETONEIRA</v>
      </c>
      <c r="C110" s="212"/>
      <c r="D110" s="212"/>
      <c r="E110" s="212"/>
      <c r="F110" s="212"/>
      <c r="G110" s="212"/>
      <c r="H110" s="212"/>
      <c r="I110" s="212"/>
      <c r="J110" s="212"/>
      <c r="K110" s="213"/>
      <c r="L110" s="129">
        <f>SUM(L111:L152)</f>
        <v>9.3499999999999979</v>
      </c>
      <c r="M110" s="130" t="str">
        <f>'BM02'!C53</f>
        <v>m³</v>
      </c>
    </row>
    <row r="111" spans="1:13" ht="28.9" customHeight="1">
      <c r="A111" s="132"/>
      <c r="B111" s="209" t="s">
        <v>661</v>
      </c>
      <c r="C111" s="210"/>
      <c r="D111" s="134">
        <v>1</v>
      </c>
      <c r="E111" s="134"/>
      <c r="F111" s="134"/>
      <c r="G111" s="134"/>
      <c r="H111" s="134"/>
      <c r="I111" s="134"/>
      <c r="J111" s="135"/>
      <c r="K111" s="135">
        <f>9.73</f>
        <v>9.73</v>
      </c>
      <c r="L111" s="134">
        <f>-K111</f>
        <v>-9.73</v>
      </c>
      <c r="M111" s="136"/>
    </row>
    <row r="112" spans="1:13" ht="12.75">
      <c r="A112" s="132"/>
      <c r="B112" s="209" t="s">
        <v>374</v>
      </c>
      <c r="C112" s="210"/>
      <c r="D112" s="134">
        <v>2</v>
      </c>
      <c r="E112" s="134">
        <v>29.65</v>
      </c>
      <c r="F112" s="134"/>
      <c r="G112" s="134">
        <v>0.19</v>
      </c>
      <c r="H112" s="134"/>
      <c r="I112" s="134">
        <v>0.19</v>
      </c>
      <c r="J112" s="135"/>
      <c r="K112" s="135">
        <f>ROUND(E112*G112*I112,2)</f>
        <v>1.07</v>
      </c>
      <c r="L112" s="134">
        <f>ROUND(D112*K112,2)</f>
        <v>2.14</v>
      </c>
      <c r="M112" s="136"/>
    </row>
    <row r="113" spans="1:13" ht="12.75">
      <c r="A113" s="132"/>
      <c r="B113" s="209" t="s">
        <v>662</v>
      </c>
      <c r="C113" s="210"/>
      <c r="D113" s="134">
        <v>2</v>
      </c>
      <c r="E113" s="134">
        <v>7.2</v>
      </c>
      <c r="F113" s="134"/>
      <c r="G113" s="134">
        <v>0.19</v>
      </c>
      <c r="H113" s="134"/>
      <c r="I113" s="134">
        <v>0.19</v>
      </c>
      <c r="J113" s="135"/>
      <c r="K113" s="135">
        <f>ROUND(E113*G113*I113,2)</f>
        <v>0.26</v>
      </c>
      <c r="L113" s="134">
        <f>ROUND(D113*K113,2)</f>
        <v>0.52</v>
      </c>
      <c r="M113" s="136"/>
    </row>
    <row r="114" spans="1:13" ht="12.75">
      <c r="A114" s="132"/>
      <c r="B114" s="209" t="s">
        <v>663</v>
      </c>
      <c r="C114" s="210"/>
      <c r="D114" s="134">
        <v>2</v>
      </c>
      <c r="E114" s="134">
        <v>7.2</v>
      </c>
      <c r="F114" s="134"/>
      <c r="G114" s="134">
        <v>0.19</v>
      </c>
      <c r="H114" s="134"/>
      <c r="I114" s="134">
        <v>0.19</v>
      </c>
      <c r="J114" s="135"/>
      <c r="K114" s="135">
        <f>ROUND(E114*G114*I114,2)</f>
        <v>0.26</v>
      </c>
      <c r="L114" s="134">
        <f>ROUND(D114*K114,2)</f>
        <v>0.52</v>
      </c>
      <c r="M114" s="136"/>
    </row>
    <row r="115" spans="1:13" ht="12.75">
      <c r="A115" s="132"/>
      <c r="B115" s="209" t="s">
        <v>376</v>
      </c>
      <c r="C115" s="210"/>
      <c r="D115" s="134">
        <v>2</v>
      </c>
      <c r="E115" s="134">
        <v>1.75</v>
      </c>
      <c r="F115" s="134"/>
      <c r="G115" s="134">
        <v>0.19</v>
      </c>
      <c r="H115" s="134"/>
      <c r="I115" s="134">
        <v>0.19</v>
      </c>
      <c r="J115" s="135"/>
      <c r="K115" s="135">
        <f>ROUND(E115*G115*I115,2)</f>
        <v>0.06</v>
      </c>
      <c r="L115" s="134">
        <f t="shared" ref="L115:L152" si="8">ROUND(D115*K115,2)</f>
        <v>0.12</v>
      </c>
      <c r="M115" s="136"/>
    </row>
    <row r="116" spans="1:13" ht="12.75">
      <c r="A116" s="132"/>
      <c r="B116" s="209" t="s">
        <v>377</v>
      </c>
      <c r="C116" s="210"/>
      <c r="D116" s="134">
        <v>2</v>
      </c>
      <c r="E116" s="134">
        <v>1.75</v>
      </c>
      <c r="F116" s="134"/>
      <c r="G116" s="134">
        <v>0.19</v>
      </c>
      <c r="H116" s="134"/>
      <c r="I116" s="134">
        <v>0.19</v>
      </c>
      <c r="J116" s="135"/>
      <c r="K116" s="135">
        <f>ROUND(E116*G116*I116,2)</f>
        <v>0.06</v>
      </c>
      <c r="L116" s="134">
        <f t="shared" si="8"/>
        <v>0.12</v>
      </c>
      <c r="M116" s="136"/>
    </row>
    <row r="117" spans="1:13" ht="12.75">
      <c r="A117" s="132"/>
      <c r="B117" s="174" t="s">
        <v>378</v>
      </c>
      <c r="C117" s="133"/>
      <c r="D117" s="134">
        <v>2</v>
      </c>
      <c r="E117" s="134">
        <v>29.65</v>
      </c>
      <c r="F117" s="134"/>
      <c r="G117" s="134">
        <v>0.19</v>
      </c>
      <c r="H117" s="134"/>
      <c r="I117" s="134">
        <v>0.19</v>
      </c>
      <c r="J117" s="135"/>
      <c r="K117" s="135">
        <f t="shared" ref="K117:K152" si="9">ROUND(E117*G117*I117,2)</f>
        <v>1.07</v>
      </c>
      <c r="L117" s="134">
        <f t="shared" si="8"/>
        <v>2.14</v>
      </c>
      <c r="M117" s="136"/>
    </row>
    <row r="118" spans="1:13" ht="12.75">
      <c r="A118" s="132"/>
      <c r="B118" s="174" t="s">
        <v>379</v>
      </c>
      <c r="C118" s="133"/>
      <c r="D118" s="134">
        <v>2</v>
      </c>
      <c r="E118" s="134">
        <v>5.6</v>
      </c>
      <c r="F118" s="134"/>
      <c r="G118" s="134">
        <v>0.19</v>
      </c>
      <c r="H118" s="134"/>
      <c r="I118" s="134">
        <v>0.19</v>
      </c>
      <c r="J118" s="135"/>
      <c r="K118" s="135">
        <f t="shared" si="9"/>
        <v>0.2</v>
      </c>
      <c r="L118" s="134">
        <f t="shared" si="8"/>
        <v>0.4</v>
      </c>
      <c r="M118" s="136"/>
    </row>
    <row r="119" spans="1:13" ht="12.75">
      <c r="A119" s="132"/>
      <c r="B119" s="174" t="s">
        <v>380</v>
      </c>
      <c r="C119" s="133"/>
      <c r="D119" s="134">
        <v>2</v>
      </c>
      <c r="E119" s="134">
        <v>5.15</v>
      </c>
      <c r="F119" s="134"/>
      <c r="G119" s="134">
        <v>0.19</v>
      </c>
      <c r="H119" s="134"/>
      <c r="I119" s="134">
        <v>0.19</v>
      </c>
      <c r="J119" s="135"/>
      <c r="K119" s="135">
        <f t="shared" si="9"/>
        <v>0.19</v>
      </c>
      <c r="L119" s="134">
        <f t="shared" si="8"/>
        <v>0.38</v>
      </c>
      <c r="M119" s="136"/>
    </row>
    <row r="120" spans="1:13" ht="12.75">
      <c r="A120" s="132"/>
      <c r="B120" s="209" t="s">
        <v>381</v>
      </c>
      <c r="C120" s="210"/>
      <c r="D120" s="134">
        <v>2</v>
      </c>
      <c r="E120" s="134">
        <v>8.85</v>
      </c>
      <c r="F120" s="134"/>
      <c r="G120" s="134">
        <v>0.19</v>
      </c>
      <c r="H120" s="134"/>
      <c r="I120" s="134">
        <v>0.19</v>
      </c>
      <c r="J120" s="135"/>
      <c r="K120" s="135">
        <f t="shared" si="9"/>
        <v>0.32</v>
      </c>
      <c r="L120" s="134">
        <f t="shared" si="8"/>
        <v>0.64</v>
      </c>
      <c r="M120" s="136"/>
    </row>
    <row r="121" spans="1:13" ht="12.75">
      <c r="A121" s="132"/>
      <c r="B121" s="178" t="s">
        <v>382</v>
      </c>
      <c r="C121" s="179"/>
      <c r="D121" s="134">
        <v>2</v>
      </c>
      <c r="E121" s="134">
        <v>5.6</v>
      </c>
      <c r="F121" s="134"/>
      <c r="G121" s="134">
        <v>0.19</v>
      </c>
      <c r="H121" s="134"/>
      <c r="I121" s="134">
        <v>0.19</v>
      </c>
      <c r="J121" s="135"/>
      <c r="K121" s="135">
        <f t="shared" si="9"/>
        <v>0.2</v>
      </c>
      <c r="L121" s="134">
        <f t="shared" si="8"/>
        <v>0.4</v>
      </c>
      <c r="M121" s="136"/>
    </row>
    <row r="122" spans="1:13" ht="12.75">
      <c r="A122" s="132"/>
      <c r="B122" s="178" t="s">
        <v>383</v>
      </c>
      <c r="C122" s="179"/>
      <c r="D122" s="134">
        <v>2</v>
      </c>
      <c r="E122" s="134">
        <v>8.85</v>
      </c>
      <c r="F122" s="134"/>
      <c r="G122" s="134">
        <v>0.19</v>
      </c>
      <c r="H122" s="134"/>
      <c r="I122" s="134">
        <v>0.19</v>
      </c>
      <c r="J122" s="135"/>
      <c r="K122" s="135">
        <f t="shared" si="9"/>
        <v>0.32</v>
      </c>
      <c r="L122" s="134">
        <f t="shared" si="8"/>
        <v>0.64</v>
      </c>
      <c r="M122" s="136"/>
    </row>
    <row r="123" spans="1:13" ht="12.75">
      <c r="A123" s="132"/>
      <c r="B123" s="178" t="s">
        <v>384</v>
      </c>
      <c r="C123" s="179"/>
      <c r="D123" s="134">
        <v>2</v>
      </c>
      <c r="E123" s="134">
        <v>2.7</v>
      </c>
      <c r="F123" s="134"/>
      <c r="G123" s="134">
        <v>0.19</v>
      </c>
      <c r="H123" s="134"/>
      <c r="I123" s="134">
        <v>0.19</v>
      </c>
      <c r="J123" s="135"/>
      <c r="K123" s="135">
        <f t="shared" si="9"/>
        <v>0.1</v>
      </c>
      <c r="L123" s="134">
        <f t="shared" si="8"/>
        <v>0.2</v>
      </c>
      <c r="M123" s="136"/>
    </row>
    <row r="124" spans="1:13" ht="12.75">
      <c r="A124" s="132"/>
      <c r="B124" s="178" t="s">
        <v>385</v>
      </c>
      <c r="C124" s="179"/>
      <c r="D124" s="134">
        <v>2</v>
      </c>
      <c r="E124" s="134">
        <v>5.05</v>
      </c>
      <c r="F124" s="134"/>
      <c r="G124" s="134">
        <v>0.19</v>
      </c>
      <c r="H124" s="134"/>
      <c r="I124" s="134">
        <v>0.19</v>
      </c>
      <c r="J124" s="135"/>
      <c r="K124" s="135">
        <f t="shared" si="9"/>
        <v>0.18</v>
      </c>
      <c r="L124" s="134">
        <f t="shared" si="8"/>
        <v>0.36</v>
      </c>
      <c r="M124" s="136"/>
    </row>
    <row r="125" spans="1:13" ht="12.75">
      <c r="A125" s="132"/>
      <c r="B125" s="178" t="s">
        <v>386</v>
      </c>
      <c r="C125" s="179"/>
      <c r="D125" s="134">
        <v>2</v>
      </c>
      <c r="E125" s="134">
        <v>11.25</v>
      </c>
      <c r="F125" s="134"/>
      <c r="G125" s="134">
        <v>0.19</v>
      </c>
      <c r="H125" s="134"/>
      <c r="I125" s="134">
        <v>0.19</v>
      </c>
      <c r="J125" s="135"/>
      <c r="K125" s="135">
        <f t="shared" si="9"/>
        <v>0.41</v>
      </c>
      <c r="L125" s="134">
        <f t="shared" si="8"/>
        <v>0.82</v>
      </c>
      <c r="M125" s="136"/>
    </row>
    <row r="126" spans="1:13" ht="12.75">
      <c r="A126" s="132"/>
      <c r="B126" s="178" t="s">
        <v>387</v>
      </c>
      <c r="C126" s="179"/>
      <c r="D126" s="134">
        <v>2</v>
      </c>
      <c r="E126" s="134">
        <v>2.2000000000000002</v>
      </c>
      <c r="F126" s="134"/>
      <c r="G126" s="134">
        <v>0.19</v>
      </c>
      <c r="H126" s="134"/>
      <c r="I126" s="134">
        <v>0.19</v>
      </c>
      <c r="J126" s="135"/>
      <c r="K126" s="135">
        <f t="shared" si="9"/>
        <v>0.08</v>
      </c>
      <c r="L126" s="134">
        <f t="shared" si="8"/>
        <v>0.16</v>
      </c>
      <c r="M126" s="136"/>
    </row>
    <row r="127" spans="1:13" ht="12.75">
      <c r="A127" s="132"/>
      <c r="B127" s="178" t="s">
        <v>388</v>
      </c>
      <c r="C127" s="179"/>
      <c r="D127" s="134">
        <v>2</v>
      </c>
      <c r="E127" s="134">
        <v>6.6</v>
      </c>
      <c r="F127" s="134"/>
      <c r="G127" s="134">
        <v>0.19</v>
      </c>
      <c r="H127" s="134"/>
      <c r="I127" s="134">
        <v>0.19</v>
      </c>
      <c r="J127" s="135"/>
      <c r="K127" s="135">
        <f t="shared" si="9"/>
        <v>0.24</v>
      </c>
      <c r="L127" s="134">
        <f t="shared" si="8"/>
        <v>0.48</v>
      </c>
      <c r="M127" s="136"/>
    </row>
    <row r="128" spans="1:13" ht="12.75">
      <c r="A128" s="132"/>
      <c r="B128" s="178" t="s">
        <v>389</v>
      </c>
      <c r="C128" s="179"/>
      <c r="D128" s="134">
        <v>2</v>
      </c>
      <c r="E128" s="134">
        <v>7.9</v>
      </c>
      <c r="F128" s="134"/>
      <c r="G128" s="134">
        <v>0.19</v>
      </c>
      <c r="H128" s="134"/>
      <c r="I128" s="134">
        <v>0.19</v>
      </c>
      <c r="J128" s="135"/>
      <c r="K128" s="135">
        <f t="shared" si="9"/>
        <v>0.28999999999999998</v>
      </c>
      <c r="L128" s="134">
        <f t="shared" si="8"/>
        <v>0.57999999999999996</v>
      </c>
      <c r="M128" s="136"/>
    </row>
    <row r="129" spans="1:13" ht="12.75">
      <c r="A129" s="132"/>
      <c r="B129" s="178" t="s">
        <v>390</v>
      </c>
      <c r="C129" s="179"/>
      <c r="D129" s="134">
        <v>2</v>
      </c>
      <c r="E129" s="134">
        <v>9.1999999999999993</v>
      </c>
      <c r="F129" s="134"/>
      <c r="G129" s="134">
        <v>0.19</v>
      </c>
      <c r="H129" s="134"/>
      <c r="I129" s="134">
        <v>0.19</v>
      </c>
      <c r="J129" s="135"/>
      <c r="K129" s="135">
        <f t="shared" si="9"/>
        <v>0.33</v>
      </c>
      <c r="L129" s="134">
        <f t="shared" si="8"/>
        <v>0.66</v>
      </c>
      <c r="M129" s="136"/>
    </row>
    <row r="130" spans="1:13" ht="12.75">
      <c r="A130" s="132"/>
      <c r="B130" s="178" t="s">
        <v>391</v>
      </c>
      <c r="C130" s="179"/>
      <c r="D130" s="134">
        <v>2</v>
      </c>
      <c r="E130" s="134">
        <v>2.35</v>
      </c>
      <c r="F130" s="134"/>
      <c r="G130" s="134">
        <v>0.19</v>
      </c>
      <c r="H130" s="134"/>
      <c r="I130" s="134">
        <v>0.19</v>
      </c>
      <c r="J130" s="135"/>
      <c r="K130" s="135">
        <f t="shared" si="9"/>
        <v>0.08</v>
      </c>
      <c r="L130" s="134">
        <f t="shared" si="8"/>
        <v>0.16</v>
      </c>
      <c r="M130" s="136"/>
    </row>
    <row r="131" spans="1:13" ht="12.75">
      <c r="A131" s="132"/>
      <c r="B131" s="178" t="s">
        <v>392</v>
      </c>
      <c r="C131" s="179"/>
      <c r="D131" s="134">
        <v>2</v>
      </c>
      <c r="E131" s="134">
        <v>2.5</v>
      </c>
      <c r="F131" s="134"/>
      <c r="G131" s="134">
        <v>0.19</v>
      </c>
      <c r="H131" s="134"/>
      <c r="I131" s="134">
        <v>0.19</v>
      </c>
      <c r="J131" s="135"/>
      <c r="K131" s="135">
        <f t="shared" si="9"/>
        <v>0.09</v>
      </c>
      <c r="L131" s="134">
        <f t="shared" si="8"/>
        <v>0.18</v>
      </c>
      <c r="M131" s="136"/>
    </row>
    <row r="132" spans="1:13" ht="12.75">
      <c r="A132" s="132"/>
      <c r="B132" s="178" t="s">
        <v>393</v>
      </c>
      <c r="C132" s="179"/>
      <c r="D132" s="134">
        <v>2</v>
      </c>
      <c r="E132" s="134">
        <v>3.45</v>
      </c>
      <c r="F132" s="134"/>
      <c r="G132" s="134">
        <v>0.19</v>
      </c>
      <c r="H132" s="134"/>
      <c r="I132" s="134">
        <v>0.19</v>
      </c>
      <c r="J132" s="135"/>
      <c r="K132" s="135">
        <f t="shared" si="9"/>
        <v>0.12</v>
      </c>
      <c r="L132" s="134">
        <f t="shared" si="8"/>
        <v>0.24</v>
      </c>
      <c r="M132" s="136"/>
    </row>
    <row r="133" spans="1:13" ht="12.75">
      <c r="A133" s="132"/>
      <c r="B133" s="178" t="s">
        <v>394</v>
      </c>
      <c r="C133" s="179"/>
      <c r="D133" s="134">
        <v>2</v>
      </c>
      <c r="E133" s="134">
        <v>0</v>
      </c>
      <c r="F133" s="134"/>
      <c r="G133" s="134">
        <v>0.19</v>
      </c>
      <c r="H133" s="134"/>
      <c r="I133" s="134">
        <v>0.19</v>
      </c>
      <c r="J133" s="135"/>
      <c r="K133" s="135">
        <f t="shared" si="9"/>
        <v>0</v>
      </c>
      <c r="L133" s="134">
        <f t="shared" si="8"/>
        <v>0</v>
      </c>
      <c r="M133" s="136"/>
    </row>
    <row r="134" spans="1:13" ht="12.75">
      <c r="A134" s="132"/>
      <c r="B134" s="178" t="s">
        <v>395</v>
      </c>
      <c r="C134" s="179"/>
      <c r="D134" s="134">
        <v>2</v>
      </c>
      <c r="E134" s="134">
        <v>6</v>
      </c>
      <c r="F134" s="134"/>
      <c r="G134" s="134">
        <v>0.19</v>
      </c>
      <c r="H134" s="134"/>
      <c r="I134" s="134">
        <v>0.19</v>
      </c>
      <c r="J134" s="135"/>
      <c r="K134" s="135">
        <f t="shared" si="9"/>
        <v>0.22</v>
      </c>
      <c r="L134" s="134">
        <f t="shared" si="8"/>
        <v>0.44</v>
      </c>
      <c r="M134" s="136"/>
    </row>
    <row r="135" spans="1:13" ht="12.75">
      <c r="A135" s="132"/>
      <c r="B135" s="178" t="s">
        <v>396</v>
      </c>
      <c r="C135" s="179"/>
      <c r="D135" s="134">
        <v>2</v>
      </c>
      <c r="E135" s="134">
        <v>7.2</v>
      </c>
      <c r="F135" s="134"/>
      <c r="G135" s="134">
        <v>0.19</v>
      </c>
      <c r="H135" s="134"/>
      <c r="I135" s="134">
        <v>0.19</v>
      </c>
      <c r="J135" s="135"/>
      <c r="K135" s="135">
        <f t="shared" si="9"/>
        <v>0.26</v>
      </c>
      <c r="L135" s="134">
        <f t="shared" si="8"/>
        <v>0.52</v>
      </c>
      <c r="M135" s="136"/>
    </row>
    <row r="136" spans="1:13" ht="12.75">
      <c r="A136" s="132"/>
      <c r="B136" s="178" t="s">
        <v>397</v>
      </c>
      <c r="C136" s="179"/>
      <c r="D136" s="134">
        <v>2</v>
      </c>
      <c r="E136" s="134">
        <v>7.6</v>
      </c>
      <c r="F136" s="134"/>
      <c r="G136" s="134">
        <v>0.19</v>
      </c>
      <c r="H136" s="134"/>
      <c r="I136" s="134">
        <v>0.19</v>
      </c>
      <c r="J136" s="135"/>
      <c r="K136" s="135">
        <f t="shared" si="9"/>
        <v>0.27</v>
      </c>
      <c r="L136" s="134">
        <f t="shared" si="8"/>
        <v>0.54</v>
      </c>
      <c r="M136" s="136"/>
    </row>
    <row r="137" spans="1:13" ht="12.75">
      <c r="A137" s="132"/>
      <c r="B137" s="178" t="s">
        <v>398</v>
      </c>
      <c r="C137" s="179"/>
      <c r="D137" s="134">
        <v>2</v>
      </c>
      <c r="E137" s="134">
        <v>1.1499999999999999</v>
      </c>
      <c r="F137" s="134"/>
      <c r="G137" s="134">
        <v>0.19</v>
      </c>
      <c r="H137" s="134"/>
      <c r="I137" s="134">
        <v>0.19</v>
      </c>
      <c r="J137" s="135"/>
      <c r="K137" s="135">
        <f t="shared" si="9"/>
        <v>0.04</v>
      </c>
      <c r="L137" s="134">
        <f t="shared" si="8"/>
        <v>0.08</v>
      </c>
      <c r="M137" s="136"/>
    </row>
    <row r="138" spans="1:13" ht="12.75">
      <c r="A138" s="132"/>
      <c r="B138" s="178" t="s">
        <v>399</v>
      </c>
      <c r="C138" s="179"/>
      <c r="D138" s="134">
        <v>2</v>
      </c>
      <c r="E138" s="134">
        <v>2.6</v>
      </c>
      <c r="F138" s="134"/>
      <c r="G138" s="134">
        <v>0.19</v>
      </c>
      <c r="H138" s="134"/>
      <c r="I138" s="134">
        <v>0.19</v>
      </c>
      <c r="J138" s="135"/>
      <c r="K138" s="135">
        <f t="shared" si="9"/>
        <v>0.09</v>
      </c>
      <c r="L138" s="134">
        <f t="shared" si="8"/>
        <v>0.18</v>
      </c>
      <c r="M138" s="136"/>
    </row>
    <row r="139" spans="1:13" ht="12.75">
      <c r="A139" s="132"/>
      <c r="B139" s="178" t="s">
        <v>400</v>
      </c>
      <c r="C139" s="179"/>
      <c r="D139" s="134">
        <v>2</v>
      </c>
      <c r="E139" s="134">
        <v>1.75</v>
      </c>
      <c r="F139" s="134"/>
      <c r="G139" s="134">
        <v>0.19</v>
      </c>
      <c r="H139" s="134"/>
      <c r="I139" s="134">
        <v>0.19</v>
      </c>
      <c r="J139" s="135"/>
      <c r="K139" s="135">
        <f t="shared" si="9"/>
        <v>0.06</v>
      </c>
      <c r="L139" s="134">
        <f t="shared" si="8"/>
        <v>0.12</v>
      </c>
      <c r="M139" s="136"/>
    </row>
    <row r="140" spans="1:13" ht="12.75">
      <c r="A140" s="132"/>
      <c r="B140" s="178" t="s">
        <v>401</v>
      </c>
      <c r="C140" s="179"/>
      <c r="D140" s="134">
        <v>2</v>
      </c>
      <c r="E140" s="134">
        <v>7.2</v>
      </c>
      <c r="F140" s="134"/>
      <c r="G140" s="134">
        <v>0.19</v>
      </c>
      <c r="H140" s="134"/>
      <c r="I140" s="134">
        <v>0.19</v>
      </c>
      <c r="J140" s="135"/>
      <c r="K140" s="135">
        <f t="shared" si="9"/>
        <v>0.26</v>
      </c>
      <c r="L140" s="134">
        <f t="shared" si="8"/>
        <v>0.52</v>
      </c>
      <c r="M140" s="136"/>
    </row>
    <row r="141" spans="1:13" ht="12.75">
      <c r="A141" s="132"/>
      <c r="B141" s="178" t="s">
        <v>402</v>
      </c>
      <c r="C141" s="179"/>
      <c r="D141" s="134">
        <v>2</v>
      </c>
      <c r="E141" s="134">
        <v>2.6</v>
      </c>
      <c r="F141" s="134"/>
      <c r="G141" s="134">
        <v>0.19</v>
      </c>
      <c r="H141" s="134"/>
      <c r="I141" s="134">
        <v>0.19</v>
      </c>
      <c r="J141" s="135"/>
      <c r="K141" s="135">
        <f t="shared" si="9"/>
        <v>0.09</v>
      </c>
      <c r="L141" s="134">
        <f t="shared" si="8"/>
        <v>0.18</v>
      </c>
      <c r="M141" s="136"/>
    </row>
    <row r="142" spans="1:13" ht="12.75">
      <c r="A142" s="132"/>
      <c r="B142" s="178" t="s">
        <v>403</v>
      </c>
      <c r="C142" s="179"/>
      <c r="D142" s="134">
        <v>2</v>
      </c>
      <c r="E142" s="134">
        <v>3.8</v>
      </c>
      <c r="F142" s="134"/>
      <c r="G142" s="134">
        <v>0.19</v>
      </c>
      <c r="H142" s="134"/>
      <c r="I142" s="134">
        <v>0.19</v>
      </c>
      <c r="J142" s="135"/>
      <c r="K142" s="135">
        <f t="shared" si="9"/>
        <v>0.14000000000000001</v>
      </c>
      <c r="L142" s="134">
        <f t="shared" si="8"/>
        <v>0.28000000000000003</v>
      </c>
      <c r="M142" s="136"/>
    </row>
    <row r="143" spans="1:13" ht="12.75">
      <c r="A143" s="132"/>
      <c r="B143" s="178" t="s">
        <v>404</v>
      </c>
      <c r="C143" s="179"/>
      <c r="D143" s="134">
        <v>2</v>
      </c>
      <c r="E143" s="134">
        <v>3.55</v>
      </c>
      <c r="F143" s="134"/>
      <c r="G143" s="134">
        <v>0.19</v>
      </c>
      <c r="H143" s="134"/>
      <c r="I143" s="134">
        <v>0.19</v>
      </c>
      <c r="J143" s="135"/>
      <c r="K143" s="135">
        <f t="shared" si="9"/>
        <v>0.13</v>
      </c>
      <c r="L143" s="134">
        <f t="shared" si="8"/>
        <v>0.26</v>
      </c>
      <c r="M143" s="136"/>
    </row>
    <row r="144" spans="1:13" ht="12.75">
      <c r="A144" s="132"/>
      <c r="B144" s="178" t="s">
        <v>405</v>
      </c>
      <c r="C144" s="179"/>
      <c r="D144" s="134">
        <v>2</v>
      </c>
      <c r="E144" s="134">
        <v>1.75</v>
      </c>
      <c r="F144" s="134"/>
      <c r="G144" s="134">
        <v>0.19</v>
      </c>
      <c r="H144" s="134"/>
      <c r="I144" s="134">
        <v>0.19</v>
      </c>
      <c r="J144" s="135"/>
      <c r="K144" s="135">
        <f t="shared" si="9"/>
        <v>0.06</v>
      </c>
      <c r="L144" s="134">
        <f t="shared" si="8"/>
        <v>0.12</v>
      </c>
      <c r="M144" s="136"/>
    </row>
    <row r="145" spans="1:13" ht="12.75">
      <c r="A145" s="132"/>
      <c r="B145" s="178" t="s">
        <v>406</v>
      </c>
      <c r="C145" s="179"/>
      <c r="D145" s="134">
        <v>2</v>
      </c>
      <c r="E145" s="134">
        <v>2.6</v>
      </c>
      <c r="F145" s="134"/>
      <c r="G145" s="134">
        <v>0.19</v>
      </c>
      <c r="H145" s="134"/>
      <c r="I145" s="134">
        <v>0.19</v>
      </c>
      <c r="J145" s="135"/>
      <c r="K145" s="135">
        <f t="shared" si="9"/>
        <v>0.09</v>
      </c>
      <c r="L145" s="134">
        <f t="shared" si="8"/>
        <v>0.18</v>
      </c>
      <c r="M145" s="136"/>
    </row>
    <row r="146" spans="1:13" ht="12.75">
      <c r="A146" s="132"/>
      <c r="B146" s="178" t="s">
        <v>407</v>
      </c>
      <c r="C146" s="179"/>
      <c r="D146" s="134">
        <v>2</v>
      </c>
      <c r="E146" s="134">
        <v>3.8</v>
      </c>
      <c r="F146" s="134"/>
      <c r="G146" s="134">
        <v>0.19</v>
      </c>
      <c r="H146" s="134"/>
      <c r="I146" s="134">
        <v>0.19</v>
      </c>
      <c r="J146" s="135"/>
      <c r="K146" s="135">
        <f t="shared" si="9"/>
        <v>0.14000000000000001</v>
      </c>
      <c r="L146" s="134">
        <f t="shared" si="8"/>
        <v>0.28000000000000003</v>
      </c>
      <c r="M146" s="136"/>
    </row>
    <row r="147" spans="1:13" ht="12.75">
      <c r="A147" s="132"/>
      <c r="B147" s="178" t="s">
        <v>408</v>
      </c>
      <c r="C147" s="179"/>
      <c r="D147" s="134">
        <v>2</v>
      </c>
      <c r="E147" s="134">
        <v>7.2</v>
      </c>
      <c r="F147" s="134"/>
      <c r="G147" s="134">
        <v>0.19</v>
      </c>
      <c r="H147" s="134"/>
      <c r="I147" s="134">
        <v>0.19</v>
      </c>
      <c r="J147" s="135"/>
      <c r="K147" s="135">
        <f t="shared" si="9"/>
        <v>0.26</v>
      </c>
      <c r="L147" s="134">
        <f t="shared" si="8"/>
        <v>0.52</v>
      </c>
      <c r="M147" s="136"/>
    </row>
    <row r="148" spans="1:13" ht="12.75">
      <c r="A148" s="132"/>
      <c r="B148" s="178" t="s">
        <v>409</v>
      </c>
      <c r="C148" s="179"/>
      <c r="D148" s="134">
        <v>2</v>
      </c>
      <c r="E148" s="134">
        <v>11.75</v>
      </c>
      <c r="F148" s="134"/>
      <c r="G148" s="134">
        <v>0.19</v>
      </c>
      <c r="H148" s="134"/>
      <c r="I148" s="134">
        <v>0.19</v>
      </c>
      <c r="J148" s="135"/>
      <c r="K148" s="135">
        <f t="shared" si="9"/>
        <v>0.42</v>
      </c>
      <c r="L148" s="134">
        <f t="shared" si="8"/>
        <v>0.84</v>
      </c>
      <c r="M148" s="136"/>
    </row>
    <row r="149" spans="1:13" ht="12.75">
      <c r="A149" s="132"/>
      <c r="B149" s="178" t="s">
        <v>410</v>
      </c>
      <c r="C149" s="179"/>
      <c r="D149" s="134">
        <v>2</v>
      </c>
      <c r="E149" s="134">
        <v>7.45</v>
      </c>
      <c r="F149" s="134"/>
      <c r="G149" s="134">
        <v>0.19</v>
      </c>
      <c r="H149" s="134"/>
      <c r="I149" s="134">
        <v>0.19</v>
      </c>
      <c r="J149" s="135"/>
      <c r="K149" s="135">
        <f t="shared" si="9"/>
        <v>0.27</v>
      </c>
      <c r="L149" s="134">
        <f t="shared" si="8"/>
        <v>0.54</v>
      </c>
      <c r="M149" s="136"/>
    </row>
    <row r="150" spans="1:13" ht="12.75">
      <c r="A150" s="132"/>
      <c r="B150" s="178" t="s">
        <v>411</v>
      </c>
      <c r="C150" s="179"/>
      <c r="D150" s="134">
        <v>2</v>
      </c>
      <c r="E150" s="134">
        <v>7.45</v>
      </c>
      <c r="F150" s="134"/>
      <c r="G150" s="134">
        <v>0.19</v>
      </c>
      <c r="H150" s="134"/>
      <c r="I150" s="134">
        <v>0.19</v>
      </c>
      <c r="J150" s="135"/>
      <c r="K150" s="135">
        <f t="shared" si="9"/>
        <v>0.27</v>
      </c>
      <c r="L150" s="134">
        <f t="shared" si="8"/>
        <v>0.54</v>
      </c>
      <c r="M150" s="136"/>
    </row>
    <row r="151" spans="1:13" ht="12.75">
      <c r="A151" s="132"/>
      <c r="B151" s="178" t="s">
        <v>412</v>
      </c>
      <c r="C151" s="179"/>
      <c r="D151" s="134">
        <v>2</v>
      </c>
      <c r="E151" s="134">
        <v>7.45</v>
      </c>
      <c r="F151" s="134"/>
      <c r="G151" s="134">
        <v>0.19</v>
      </c>
      <c r="H151" s="134"/>
      <c r="I151" s="134">
        <v>0.19</v>
      </c>
      <c r="J151" s="135"/>
      <c r="K151" s="135">
        <f t="shared" si="9"/>
        <v>0.27</v>
      </c>
      <c r="L151" s="134">
        <f t="shared" si="8"/>
        <v>0.54</v>
      </c>
      <c r="M151" s="136"/>
    </row>
    <row r="152" spans="1:13" ht="12.75">
      <c r="A152" s="132"/>
      <c r="B152" s="178" t="s">
        <v>413</v>
      </c>
      <c r="C152" s="179"/>
      <c r="D152" s="134">
        <v>2</v>
      </c>
      <c r="E152" s="134">
        <v>7.45</v>
      </c>
      <c r="F152" s="134"/>
      <c r="G152" s="134">
        <v>0.19</v>
      </c>
      <c r="H152" s="134"/>
      <c r="I152" s="134">
        <v>0.19</v>
      </c>
      <c r="J152" s="135"/>
      <c r="K152" s="135">
        <f t="shared" si="9"/>
        <v>0.27</v>
      </c>
      <c r="L152" s="134">
        <f t="shared" si="8"/>
        <v>0.54</v>
      </c>
      <c r="M152" s="136"/>
    </row>
    <row r="153" spans="1:13" ht="12.75">
      <c r="A153" s="146"/>
      <c r="B153" s="181"/>
      <c r="C153" s="181"/>
      <c r="D153" s="142"/>
      <c r="E153" s="142"/>
      <c r="F153" s="142"/>
      <c r="G153" s="142"/>
      <c r="H153" s="142"/>
      <c r="I153" s="142"/>
      <c r="J153" s="144"/>
      <c r="K153" s="144"/>
      <c r="L153" s="142"/>
      <c r="M153" s="145"/>
    </row>
    <row r="154" spans="1:13" s="131" customFormat="1" ht="12.75">
      <c r="A154" s="128" t="str">
        <f>'BM04'!A57</f>
        <v>1.3.6</v>
      </c>
      <c r="B154" s="211" t="str">
        <f>'BM04'!B57</f>
        <v>IMPERMEABILIZAÇÃO DE SUPERFÍCIE COM EMULSÃO ASFÁLTICA, 2 DEMÃOS AF_06/2018</v>
      </c>
      <c r="C154" s="212"/>
      <c r="D154" s="212"/>
      <c r="E154" s="212"/>
      <c r="F154" s="212"/>
      <c r="G154" s="212"/>
      <c r="H154" s="212"/>
      <c r="I154" s="212"/>
      <c r="J154" s="212"/>
      <c r="K154" s="213"/>
      <c r="L154" s="129">
        <f>SUM(L155:L155)</f>
        <v>153.63</v>
      </c>
      <c r="M154" s="130" t="str">
        <f>'BM04'!C57</f>
        <v>M²</v>
      </c>
    </row>
    <row r="155" spans="1:13" ht="100.9" customHeight="1">
      <c r="A155" s="132"/>
      <c r="B155" s="209" t="s">
        <v>664</v>
      </c>
      <c r="C155" s="210"/>
      <c r="D155" s="134">
        <v>1</v>
      </c>
      <c r="E155" s="134">
        <v>269.52999999999997</v>
      </c>
      <c r="F155" s="134"/>
      <c r="G155" s="134">
        <f>0.19*3</f>
        <v>0.57000000000000006</v>
      </c>
      <c r="H155" s="134"/>
      <c r="I155" s="134"/>
      <c r="J155" s="135"/>
      <c r="K155" s="135">
        <f>E155*G155</f>
        <v>153.63210000000001</v>
      </c>
      <c r="L155" s="134">
        <f t="shared" ref="L155" si="10">ROUND(D155*K155,2)</f>
        <v>153.63</v>
      </c>
      <c r="M155" s="136"/>
    </row>
    <row r="156" spans="1:13" ht="13.5" thickBot="1">
      <c r="A156" s="146"/>
      <c r="B156" s="181"/>
      <c r="C156" s="181"/>
      <c r="D156" s="142"/>
      <c r="E156" s="142"/>
      <c r="F156" s="142"/>
      <c r="G156" s="142"/>
      <c r="H156" s="142"/>
      <c r="I156" s="142"/>
      <c r="J156" s="144"/>
      <c r="K156" s="144"/>
      <c r="L156" s="142"/>
      <c r="M156" s="145"/>
    </row>
    <row r="157" spans="1:13" ht="13.5" thickBot="1">
      <c r="A157" s="121" t="str">
        <f>'BM02'!A55</f>
        <v>1.4</v>
      </c>
      <c r="B157" s="122" t="str">
        <f>'BM02'!B55</f>
        <v>SUPERESTRUTURA</v>
      </c>
      <c r="C157" s="122"/>
      <c r="D157" s="122"/>
      <c r="E157" s="122"/>
      <c r="F157" s="122"/>
      <c r="G157" s="122"/>
      <c r="H157" s="122"/>
      <c r="I157" s="122"/>
      <c r="J157" s="122"/>
      <c r="K157" s="122"/>
      <c r="L157" s="122"/>
      <c r="M157" s="123"/>
    </row>
    <row r="158" spans="1:13" ht="12.75">
      <c r="A158" s="124"/>
      <c r="B158" s="125"/>
      <c r="C158" s="125"/>
      <c r="D158" s="125"/>
      <c r="E158" s="125"/>
      <c r="F158" s="125"/>
      <c r="G158" s="125"/>
      <c r="H158" s="125"/>
      <c r="I158" s="125"/>
      <c r="J158" s="125"/>
      <c r="K158" s="126"/>
      <c r="L158" s="125"/>
      <c r="M158" s="127"/>
    </row>
    <row r="159" spans="1:13" s="131" customFormat="1" ht="28.9" customHeight="1">
      <c r="A159" s="128" t="str">
        <f>'BM02'!A57</f>
        <v>1.4.1</v>
      </c>
      <c r="B159" s="211" t="str">
        <f>'BM02'!B57</f>
        <v>CONCRETO ARMADO (PREPARO E LANÇAMENTO) PARA VIGA COM FCK=25MPA, COM FORMA EM CHAPA DE MADEIRA COMPENSADA RESINADA, COM APROVEITAMENTO DE 3 VEZES COM BETONEIRA</v>
      </c>
      <c r="C159" s="212"/>
      <c r="D159" s="212"/>
      <c r="E159" s="212"/>
      <c r="F159" s="212"/>
      <c r="G159" s="212"/>
      <c r="H159" s="212"/>
      <c r="I159" s="212"/>
      <c r="J159" s="212"/>
      <c r="K159" s="213"/>
      <c r="L159" s="129">
        <f>SUM(L160:L160)</f>
        <v>1.9</v>
      </c>
      <c r="M159" s="130" t="str">
        <f>'BM02'!C57</f>
        <v>m²</v>
      </c>
    </row>
    <row r="160" spans="1:13" ht="57.6" customHeight="1">
      <c r="A160" s="132"/>
      <c r="B160" s="209" t="s">
        <v>665</v>
      </c>
      <c r="C160" s="210"/>
      <c r="D160" s="134">
        <f>1.23+0.67</f>
        <v>1.9</v>
      </c>
      <c r="E160" s="134"/>
      <c r="F160" s="134"/>
      <c r="G160" s="134"/>
      <c r="H160" s="134"/>
      <c r="I160" s="134"/>
      <c r="J160" s="135"/>
      <c r="K160" s="135"/>
      <c r="L160" s="134">
        <f>D160</f>
        <v>1.9</v>
      </c>
      <c r="M160" s="136"/>
    </row>
    <row r="161" spans="1:13" ht="12.75">
      <c r="A161" s="124"/>
      <c r="B161" s="125"/>
      <c r="C161" s="125"/>
      <c r="D161" s="125"/>
      <c r="E161" s="125"/>
      <c r="F161" s="125"/>
      <c r="G161" s="125"/>
      <c r="H161" s="125"/>
      <c r="I161" s="125"/>
      <c r="J161" s="125"/>
      <c r="K161" s="125"/>
      <c r="L161" s="125"/>
      <c r="M161" s="127"/>
    </row>
    <row r="162" spans="1:13" s="131" customFormat="1" ht="28.9" customHeight="1">
      <c r="A162" s="128" t="str">
        <f>'BM02'!A58</f>
        <v>1.4.2</v>
      </c>
      <c r="B162" s="211" t="str">
        <f>'BM02'!B58</f>
        <v>CONCRETO ARMADO (PREPARO E LANÇAMENTO) PARA PILARES COM FCK=25MPA, COM FORMA EM CHAPA DE MADEIRA COMPENSADA RESINADA, COM APROVEITAMENTO DE 3 VEZES COM BETONEIRA</v>
      </c>
      <c r="C162" s="212"/>
      <c r="D162" s="212"/>
      <c r="E162" s="212"/>
      <c r="F162" s="212"/>
      <c r="G162" s="212"/>
      <c r="H162" s="212"/>
      <c r="I162" s="212"/>
      <c r="J162" s="212"/>
      <c r="K162" s="213"/>
      <c r="L162" s="129">
        <f>ROUND(SUM(L163:L165),2)</f>
        <v>2.65</v>
      </c>
      <c r="M162" s="130" t="str">
        <f>'BM02'!C58</f>
        <v>m³</v>
      </c>
    </row>
    <row r="163" spans="1:13" ht="12.75">
      <c r="A163" s="263"/>
      <c r="B163" s="265" t="s">
        <v>666</v>
      </c>
      <c r="C163" s="266"/>
      <c r="D163" s="134">
        <v>11</v>
      </c>
      <c r="E163" s="134">
        <v>0.24</v>
      </c>
      <c r="F163" s="134"/>
      <c r="G163" s="134">
        <v>0.24</v>
      </c>
      <c r="H163" s="134"/>
      <c r="I163" s="134">
        <v>0.75</v>
      </c>
      <c r="J163" s="135"/>
      <c r="K163" s="135">
        <f>E163*G163*I163</f>
        <v>4.3200000000000002E-2</v>
      </c>
      <c r="L163" s="134">
        <f>D163*K163</f>
        <v>0.47520000000000001</v>
      </c>
      <c r="M163" s="136"/>
    </row>
    <row r="164" spans="1:13" ht="14.45" customHeight="1">
      <c r="A164" s="264"/>
      <c r="B164" s="267"/>
      <c r="C164" s="268"/>
      <c r="D164" s="134">
        <v>47</v>
      </c>
      <c r="E164" s="134">
        <v>0.3</v>
      </c>
      <c r="F164" s="134"/>
      <c r="G164" s="134">
        <v>0.14000000000000001</v>
      </c>
      <c r="H164" s="134"/>
      <c r="I164" s="134">
        <v>0.75</v>
      </c>
      <c r="J164" s="135"/>
      <c r="K164" s="135">
        <f>E164*G164*I164</f>
        <v>3.15E-2</v>
      </c>
      <c r="L164" s="134">
        <f>D164*K164</f>
        <v>1.4804999999999999</v>
      </c>
      <c r="M164" s="136"/>
    </row>
    <row r="165" spans="1:13" ht="43.15" customHeight="1">
      <c r="A165" s="132"/>
      <c r="B165" s="209" t="s">
        <v>667</v>
      </c>
      <c r="C165" s="210"/>
      <c r="D165" s="134">
        <v>0.69</v>
      </c>
      <c r="E165" s="134"/>
      <c r="F165" s="134"/>
      <c r="G165" s="134"/>
      <c r="H165" s="134"/>
      <c r="I165" s="134"/>
      <c r="J165" s="135"/>
      <c r="K165" s="135"/>
      <c r="L165" s="134">
        <f>D165</f>
        <v>0.69</v>
      </c>
      <c r="M165" s="136"/>
    </row>
    <row r="166" spans="1:13" ht="12.75">
      <c r="A166" s="146"/>
      <c r="B166" s="181"/>
      <c r="C166" s="181"/>
      <c r="D166" s="142"/>
      <c r="E166" s="142"/>
      <c r="F166" s="142"/>
      <c r="G166" s="142"/>
      <c r="H166" s="142"/>
      <c r="I166" s="142"/>
      <c r="J166" s="144"/>
      <c r="K166" s="144"/>
      <c r="L166" s="142"/>
      <c r="M166" s="145"/>
    </row>
    <row r="167" spans="1:13" ht="12.75">
      <c r="A167" s="128" t="str">
        <f>'BM02'!A59</f>
        <v>1.4.3</v>
      </c>
      <c r="B167" s="137" t="str">
        <f>'BM02'!B59</f>
        <v>Prateleira em granito cinza andorinha, esp= 2cm</v>
      </c>
      <c r="C167" s="138"/>
      <c r="D167" s="138"/>
      <c r="E167" s="138"/>
      <c r="F167" s="138"/>
      <c r="G167" s="138"/>
      <c r="H167" s="138"/>
      <c r="I167" s="138"/>
      <c r="J167" s="138"/>
      <c r="K167" s="138"/>
      <c r="L167" s="129">
        <f>L168</f>
        <v>0</v>
      </c>
      <c r="M167" s="130" t="str">
        <f>'BM02'!C59</f>
        <v>m²</v>
      </c>
    </row>
    <row r="168" spans="1:13" ht="12.75">
      <c r="A168" s="132"/>
      <c r="B168" s="209"/>
      <c r="C168" s="210"/>
      <c r="D168" s="134"/>
      <c r="E168" s="134"/>
      <c r="F168" s="134"/>
      <c r="G168" s="134"/>
      <c r="H168" s="134"/>
      <c r="I168" s="134"/>
      <c r="J168" s="135"/>
      <c r="K168" s="135"/>
      <c r="L168" s="134"/>
      <c r="M168" s="136"/>
    </row>
    <row r="169" spans="1:13" ht="12.75">
      <c r="A169" s="124"/>
      <c r="B169" s="125"/>
      <c r="C169" s="125"/>
      <c r="D169" s="125"/>
      <c r="E169" s="125"/>
      <c r="F169" s="125"/>
      <c r="G169" s="125"/>
      <c r="H169" s="125"/>
      <c r="I169" s="125"/>
      <c r="J169" s="125"/>
      <c r="K169" s="125"/>
      <c r="L169" s="125"/>
      <c r="M169" s="127"/>
    </row>
    <row r="170" spans="1:13" ht="12.75">
      <c r="A170" s="128" t="str">
        <f>'BM02'!A60</f>
        <v>1.4.4</v>
      </c>
      <c r="B170" s="211" t="str">
        <f>'BM02'!B60</f>
        <v>LAJE PRÉ-MOLDADA UNIDIRECIONAL, BIAPOIADA, PARA FORRO, ENCHIMENTO EM CERÂMICA, VIGOTA CONVENCIONAL, ALTURA TOTAL DA LAJE (ENCHIMENTO+CAPA) = (8+3). AF_11/2020</v>
      </c>
      <c r="C170" s="212"/>
      <c r="D170" s="212"/>
      <c r="E170" s="212"/>
      <c r="F170" s="212"/>
      <c r="G170" s="212"/>
      <c r="H170" s="212"/>
      <c r="I170" s="212"/>
      <c r="J170" s="212"/>
      <c r="K170" s="213"/>
      <c r="L170" s="129">
        <f>SUM(L171:L171)</f>
        <v>0</v>
      </c>
      <c r="M170" s="130" t="str">
        <f>'BM02'!C60</f>
        <v>m²</v>
      </c>
    </row>
    <row r="171" spans="1:13" ht="12.75">
      <c r="A171" s="132"/>
      <c r="B171" s="209"/>
      <c r="C171" s="210"/>
      <c r="D171" s="134"/>
      <c r="E171" s="134"/>
      <c r="F171" s="134"/>
      <c r="G171" s="134"/>
      <c r="H171" s="134"/>
      <c r="I171" s="134"/>
      <c r="J171" s="135"/>
      <c r="K171" s="135"/>
      <c r="L171" s="134"/>
      <c r="M171" s="136"/>
    </row>
    <row r="172" spans="1:13" ht="13.5" thickBot="1">
      <c r="A172" s="139"/>
      <c r="B172" s="140"/>
      <c r="C172" s="141"/>
      <c r="D172" s="142"/>
      <c r="E172" s="143"/>
      <c r="F172" s="142"/>
      <c r="G172" s="142"/>
      <c r="H172" s="143"/>
      <c r="I172" s="143"/>
      <c r="J172" s="144"/>
      <c r="K172" s="144"/>
      <c r="L172" s="142"/>
      <c r="M172" s="145"/>
    </row>
    <row r="173" spans="1:13" ht="13.5" thickBot="1">
      <c r="A173" s="121" t="str">
        <f>'BM02'!A62</f>
        <v>1.5</v>
      </c>
      <c r="B173" s="122" t="str">
        <f>'BM02'!B62</f>
        <v>PAREDES E PAINEIS</v>
      </c>
      <c r="C173" s="122"/>
      <c r="D173" s="122"/>
      <c r="E173" s="122"/>
      <c r="F173" s="122"/>
      <c r="G173" s="122"/>
      <c r="H173" s="122"/>
      <c r="I173" s="122"/>
      <c r="J173" s="122"/>
      <c r="K173" s="122"/>
      <c r="L173" s="122"/>
      <c r="M173" s="123"/>
    </row>
    <row r="174" spans="1:13" ht="12.75">
      <c r="A174" s="124"/>
      <c r="B174" s="125"/>
      <c r="C174" s="125"/>
      <c r="D174" s="125"/>
      <c r="E174" s="125"/>
      <c r="F174" s="125"/>
      <c r="G174" s="125"/>
      <c r="H174" s="125"/>
      <c r="I174" s="125"/>
      <c r="J174" s="125"/>
      <c r="K174" s="126"/>
      <c r="L174" s="125"/>
      <c r="M174" s="127"/>
    </row>
    <row r="175" spans="1:13" s="131" customFormat="1" ht="43.15" customHeight="1">
      <c r="A175" s="128" t="str">
        <f>'BM02'!A64</f>
        <v>1.5.1</v>
      </c>
      <c r="B175" s="211" t="str">
        <f>'BM02'!B64</f>
        <v>ALVENARIA DE VEDAÇÃO DE BLOCOS CERÂMICOS FURADOS NA HORIZONTAL DE 9X19X19CM (ESPESSURA 9CM) DE PAREDES COM ÁREA LÍQUIDA MAIOR OU IGUAL A 6M² SEM VÃOS E ARGAMASSA DE ASSENTAMENTO COM PREPARO MANUAL. AF_06/2014</v>
      </c>
      <c r="C175" s="212"/>
      <c r="D175" s="212"/>
      <c r="E175" s="212"/>
      <c r="F175" s="212"/>
      <c r="G175" s="212"/>
      <c r="H175" s="212"/>
      <c r="I175" s="212"/>
      <c r="J175" s="212"/>
      <c r="K175" s="213"/>
      <c r="L175" s="129">
        <f>SUM(L176:L179)</f>
        <v>58.559999999999995</v>
      </c>
      <c r="M175" s="130" t="str">
        <f>'BM02'!C64</f>
        <v>m²</v>
      </c>
    </row>
    <row r="176" spans="1:13" s="131" customFormat="1" ht="14.45" customHeight="1">
      <c r="A176" s="263"/>
      <c r="B176" s="265" t="s">
        <v>643</v>
      </c>
      <c r="C176" s="266"/>
      <c r="D176" s="134">
        <v>4</v>
      </c>
      <c r="E176" s="134">
        <v>3</v>
      </c>
      <c r="F176" s="134"/>
      <c r="G176" s="134">
        <v>0.8</v>
      </c>
      <c r="H176" s="134"/>
      <c r="I176" s="134"/>
      <c r="J176" s="135"/>
      <c r="K176" s="135">
        <f>E176*G176</f>
        <v>2.4000000000000004</v>
      </c>
      <c r="L176" s="134">
        <f>ROUND(D176*K176,2)</f>
        <v>9.6</v>
      </c>
      <c r="M176" s="136"/>
    </row>
    <row r="177" spans="1:13" s="131" customFormat="1" ht="14.45" customHeight="1">
      <c r="A177" s="269"/>
      <c r="B177" s="270"/>
      <c r="C177" s="271"/>
      <c r="D177" s="134">
        <v>2</v>
      </c>
      <c r="E177" s="134">
        <v>6.6</v>
      </c>
      <c r="F177" s="134"/>
      <c r="G177" s="134">
        <v>0.8</v>
      </c>
      <c r="H177" s="134"/>
      <c r="I177" s="134"/>
      <c r="J177" s="135"/>
      <c r="K177" s="135">
        <f t="shared" ref="K177:K179" si="11">E177*G177</f>
        <v>5.28</v>
      </c>
      <c r="L177" s="134">
        <f t="shared" ref="L177:L179" si="12">ROUND(D177*K177,2)</f>
        <v>10.56</v>
      </c>
      <c r="M177" s="136"/>
    </row>
    <row r="178" spans="1:13" s="131" customFormat="1" ht="14.45" customHeight="1">
      <c r="A178" s="269"/>
      <c r="B178" s="270"/>
      <c r="C178" s="271"/>
      <c r="D178" s="134">
        <v>2</v>
      </c>
      <c r="E178" s="134">
        <v>3</v>
      </c>
      <c r="F178" s="134"/>
      <c r="G178" s="134">
        <v>2</v>
      </c>
      <c r="H178" s="134"/>
      <c r="I178" s="134"/>
      <c r="J178" s="135"/>
      <c r="K178" s="135">
        <f t="shared" si="11"/>
        <v>6</v>
      </c>
      <c r="L178" s="134">
        <f t="shared" si="12"/>
        <v>12</v>
      </c>
      <c r="M178" s="136"/>
    </row>
    <row r="179" spans="1:13" s="131" customFormat="1" ht="14.45" customHeight="1">
      <c r="A179" s="264"/>
      <c r="B179" s="267"/>
      <c r="C179" s="268"/>
      <c r="D179" s="134">
        <v>2</v>
      </c>
      <c r="E179" s="134">
        <v>6.6</v>
      </c>
      <c r="F179" s="134"/>
      <c r="G179" s="134">
        <v>2</v>
      </c>
      <c r="H179" s="134"/>
      <c r="I179" s="134"/>
      <c r="J179" s="135"/>
      <c r="K179" s="135">
        <f t="shared" si="11"/>
        <v>13.2</v>
      </c>
      <c r="L179" s="134">
        <f t="shared" si="12"/>
        <v>26.4</v>
      </c>
      <c r="M179" s="136"/>
    </row>
    <row r="180" spans="1:13" s="131" customFormat="1" ht="12.75">
      <c r="A180" s="139"/>
      <c r="B180" s="140"/>
      <c r="C180" s="141"/>
      <c r="D180" s="142"/>
      <c r="E180" s="143"/>
      <c r="F180" s="142"/>
      <c r="G180" s="142"/>
      <c r="H180" s="143"/>
      <c r="I180" s="143"/>
      <c r="J180" s="144"/>
      <c r="K180" s="144"/>
      <c r="L180" s="142"/>
      <c r="M180" s="145"/>
    </row>
    <row r="181" spans="1:13" ht="30" customHeight="1">
      <c r="A181" s="128" t="str">
        <f>'BM02'!A65</f>
        <v>1.5.2</v>
      </c>
      <c r="B181" s="211" t="str">
        <f>'BM02'!B65</f>
        <v>COBOGO DE CONCRETO (ELEMENTO VAZADO)10X29X39CM ABERTURA COM VIDRO, ASSENTADO COM ARGAMASSA TRAÇO 1:4 (CIMENTO E AREIA MEDIA NÃO PNEIRADA)</v>
      </c>
      <c r="C181" s="212"/>
      <c r="D181" s="212"/>
      <c r="E181" s="212"/>
      <c r="F181" s="212"/>
      <c r="G181" s="212"/>
      <c r="H181" s="212"/>
      <c r="I181" s="212"/>
      <c r="J181" s="212"/>
      <c r="K181" s="213"/>
      <c r="L181" s="129">
        <f>SUM(L182:L182)</f>
        <v>0</v>
      </c>
      <c r="M181" s="130" t="str">
        <f>'BM02'!C65</f>
        <v>m²</v>
      </c>
    </row>
    <row r="182" spans="1:13" s="131" customFormat="1" ht="13.5" thickBot="1">
      <c r="A182" s="132"/>
      <c r="B182" s="209"/>
      <c r="C182" s="210"/>
      <c r="D182" s="134"/>
      <c r="E182" s="134"/>
      <c r="F182" s="134"/>
      <c r="G182" s="134"/>
      <c r="H182" s="134"/>
      <c r="I182" s="134"/>
      <c r="J182" s="135"/>
      <c r="K182" s="135"/>
      <c r="L182" s="134"/>
      <c r="M182" s="136"/>
    </row>
    <row r="183" spans="1:13" s="131" customFormat="1" ht="12.75">
      <c r="A183" s="139"/>
      <c r="B183" s="140"/>
      <c r="C183" s="141"/>
      <c r="D183" s="142"/>
      <c r="E183" s="143"/>
      <c r="F183" s="142"/>
      <c r="G183" s="142"/>
      <c r="H183" s="143"/>
      <c r="I183" s="143"/>
      <c r="J183" s="144"/>
      <c r="K183" s="144"/>
      <c r="L183" s="142"/>
      <c r="M183" s="145"/>
    </row>
    <row r="184" spans="1:13" ht="30" customHeight="1">
      <c r="A184" s="128" t="str">
        <f>'BM02'!A66</f>
        <v>1.5.3</v>
      </c>
      <c r="B184" s="211" t="str">
        <f>'BM02'!B66</f>
        <v>Muro em alvenaria bloco cerâmico, e= 0,09m, c/ alv de pedra 0,35 x 0,60m, colunas (9x20cm) e cintamento (9x15cm) superior e inferior concreto armado fck = 15,0 Mpa cada 3,00m, chapisco e reboco</v>
      </c>
      <c r="C184" s="212"/>
      <c r="D184" s="212"/>
      <c r="E184" s="212"/>
      <c r="F184" s="212"/>
      <c r="G184" s="212"/>
      <c r="H184" s="212"/>
      <c r="I184" s="212"/>
      <c r="J184" s="212"/>
      <c r="K184" s="213"/>
      <c r="L184" s="129">
        <f>ROUND(SUM(L185:L185),2)</f>
        <v>69.84</v>
      </c>
      <c r="M184" s="130" t="str">
        <f>'BM02'!C66</f>
        <v>m²</v>
      </c>
    </row>
    <row r="185" spans="1:13" s="131" customFormat="1" ht="28.9" customHeight="1">
      <c r="A185" s="132"/>
      <c r="B185" s="209" t="s">
        <v>668</v>
      </c>
      <c r="C185" s="210"/>
      <c r="D185" s="134">
        <v>1</v>
      </c>
      <c r="E185" s="134">
        <v>116.4</v>
      </c>
      <c r="F185" s="134"/>
      <c r="G185" s="134"/>
      <c r="H185" s="134"/>
      <c r="I185" s="134">
        <v>0.6</v>
      </c>
      <c r="J185" s="135"/>
      <c r="K185" s="135">
        <f>E185*I185</f>
        <v>69.84</v>
      </c>
      <c r="L185" s="134">
        <f>D185*K185</f>
        <v>69.84</v>
      </c>
      <c r="M185" s="136"/>
    </row>
    <row r="186" spans="1:13" s="131" customFormat="1" ht="12.75">
      <c r="A186" s="139"/>
      <c r="B186" s="140"/>
      <c r="C186" s="141"/>
      <c r="D186" s="142"/>
      <c r="E186" s="143"/>
      <c r="F186" s="142"/>
      <c r="G186" s="142"/>
      <c r="H186" s="143"/>
      <c r="I186" s="143"/>
      <c r="J186" s="144"/>
      <c r="K186" s="144"/>
      <c r="L186" s="142"/>
      <c r="M186" s="145"/>
    </row>
    <row r="187" spans="1:13" ht="12.75">
      <c r="A187" s="128" t="str">
        <f>'BM04'!A71</f>
        <v>1.5.4</v>
      </c>
      <c r="B187" s="211" t="str">
        <f>'BM04'!B71</f>
        <v>VERGA MOLDADA IN LOCO EM CONCRETO PARA PORTAS COM ATÉ 1,5 M DE VÃO. AF_03/2016</v>
      </c>
      <c r="C187" s="212"/>
      <c r="D187" s="212"/>
      <c r="E187" s="212"/>
      <c r="F187" s="212"/>
      <c r="G187" s="212"/>
      <c r="H187" s="212"/>
      <c r="I187" s="212"/>
      <c r="J187" s="212"/>
      <c r="K187" s="213"/>
      <c r="L187" s="129">
        <f>ROUND(SUM(L188:L188),2)</f>
        <v>22.2</v>
      </c>
      <c r="M187" s="130" t="str">
        <f>'BM04'!C71</f>
        <v>M</v>
      </c>
    </row>
    <row r="188" spans="1:13" s="131" customFormat="1" ht="57.6" customHeight="1">
      <c r="A188" s="132"/>
      <c r="B188" s="209" t="s">
        <v>669</v>
      </c>
      <c r="C188" s="210"/>
      <c r="D188" s="134">
        <f>(0.8+0.15*2)*10 + (0.7+0.15*2)*9 + (0.8+0.15*2)*2</f>
        <v>22.2</v>
      </c>
      <c r="E188" s="134"/>
      <c r="F188" s="134"/>
      <c r="G188" s="134"/>
      <c r="H188" s="134"/>
      <c r="I188" s="134"/>
      <c r="J188" s="135"/>
      <c r="K188" s="135"/>
      <c r="L188" s="134">
        <f>D188</f>
        <v>22.2</v>
      </c>
      <c r="M188" s="136"/>
    </row>
    <row r="189" spans="1:13" s="131" customFormat="1" ht="12.75">
      <c r="A189" s="139"/>
      <c r="B189" s="140"/>
      <c r="C189" s="141"/>
      <c r="D189" s="142"/>
      <c r="E189" s="143"/>
      <c r="F189" s="142"/>
      <c r="G189" s="142"/>
      <c r="H189" s="143"/>
      <c r="I189" s="143"/>
      <c r="J189" s="144"/>
      <c r="K189" s="144"/>
      <c r="L189" s="142"/>
      <c r="M189" s="145"/>
    </row>
    <row r="190" spans="1:13" ht="12.75">
      <c r="A190" s="128" t="str">
        <f>'BM04'!A72</f>
        <v>1.5.5</v>
      </c>
      <c r="B190" s="211" t="str">
        <f>'BM04'!B72</f>
        <v>VERGA MOLDADA IN LOCO EM CONCRETO PARA PORTAS COM MAIS DE 1,5 M DE VÃO. AF_03/2016</v>
      </c>
      <c r="C190" s="212"/>
      <c r="D190" s="212"/>
      <c r="E190" s="212"/>
      <c r="F190" s="212"/>
      <c r="G190" s="212"/>
      <c r="H190" s="212"/>
      <c r="I190" s="212"/>
      <c r="J190" s="212"/>
      <c r="K190" s="213"/>
      <c r="L190" s="129">
        <f>ROUND(SUM(L191:L191),2)</f>
        <v>2.2000000000000002</v>
      </c>
      <c r="M190" s="130" t="str">
        <f>'BM04'!C72</f>
        <v>M</v>
      </c>
    </row>
    <row r="191" spans="1:13" s="131" customFormat="1" ht="28.9" customHeight="1">
      <c r="A191" s="132"/>
      <c r="B191" s="209" t="s">
        <v>670</v>
      </c>
      <c r="C191" s="210"/>
      <c r="D191" s="134">
        <f>(1.9+0.15*2)</f>
        <v>2.1999999999999997</v>
      </c>
      <c r="E191" s="134"/>
      <c r="F191" s="134"/>
      <c r="G191" s="134"/>
      <c r="H191" s="134"/>
      <c r="I191" s="134"/>
      <c r="J191" s="135"/>
      <c r="K191" s="135"/>
      <c r="L191" s="134">
        <f>D191</f>
        <v>2.1999999999999997</v>
      </c>
      <c r="M191" s="136"/>
    </row>
    <row r="192" spans="1:13" s="131" customFormat="1" ht="12.75">
      <c r="A192" s="139"/>
      <c r="B192" s="140"/>
      <c r="C192" s="141"/>
      <c r="D192" s="142"/>
      <c r="E192" s="143"/>
      <c r="F192" s="142"/>
      <c r="G192" s="142"/>
      <c r="H192" s="143"/>
      <c r="I192" s="143"/>
      <c r="J192" s="144"/>
      <c r="K192" s="144"/>
      <c r="L192" s="142"/>
      <c r="M192" s="145"/>
    </row>
    <row r="193" spans="1:13" ht="12.75">
      <c r="A193" s="128" t="str">
        <f>'BM04'!A73</f>
        <v>1.5.6</v>
      </c>
      <c r="B193" s="211" t="str">
        <f>'BM04'!B73</f>
        <v>VERGA MOLDADA IN LOCO EM CONCRETO PARA JANELAS COM ATÉ 1,5 M DE VÃO. AF_03/2016</v>
      </c>
      <c r="C193" s="212"/>
      <c r="D193" s="212"/>
      <c r="E193" s="212"/>
      <c r="F193" s="212"/>
      <c r="G193" s="212"/>
      <c r="H193" s="212"/>
      <c r="I193" s="212"/>
      <c r="J193" s="212"/>
      <c r="K193" s="213"/>
      <c r="L193" s="129">
        <f>ROUND(SUM(L194:L194),2)</f>
        <v>19.399999999999999</v>
      </c>
      <c r="M193" s="130" t="str">
        <f>'BM04'!C73</f>
        <v>M</v>
      </c>
    </row>
    <row r="194" spans="1:13" s="131" customFormat="1" ht="86.45" customHeight="1">
      <c r="A194" s="132"/>
      <c r="B194" s="209" t="s">
        <v>671</v>
      </c>
      <c r="C194" s="210"/>
      <c r="D194" s="134">
        <f>(1.2+0.2*2)*3 + (1.2+0.2*2)*5 + (1+0.2*2) + (1+0.2*2) + (1.5+0.2*2)*2</f>
        <v>19.400000000000002</v>
      </c>
      <c r="E194" s="134"/>
      <c r="F194" s="134"/>
      <c r="G194" s="134"/>
      <c r="H194" s="134"/>
      <c r="I194" s="134"/>
      <c r="J194" s="135"/>
      <c r="K194" s="135"/>
      <c r="L194" s="134">
        <f>D194</f>
        <v>19.400000000000002</v>
      </c>
      <c r="M194" s="136"/>
    </row>
    <row r="195" spans="1:13" s="131" customFormat="1" ht="12.75">
      <c r="A195" s="139"/>
      <c r="B195" s="140"/>
      <c r="C195" s="141"/>
      <c r="D195" s="142"/>
      <c r="E195" s="143"/>
      <c r="F195" s="142"/>
      <c r="G195" s="142"/>
      <c r="H195" s="143"/>
      <c r="I195" s="143"/>
      <c r="J195" s="144"/>
      <c r="K195" s="144"/>
      <c r="L195" s="142"/>
      <c r="M195" s="145"/>
    </row>
    <row r="196" spans="1:13" ht="12.75">
      <c r="A196" s="128" t="str">
        <f>'BM04'!A74</f>
        <v>1.5.7</v>
      </c>
      <c r="B196" s="211" t="str">
        <f>'BM04'!B74</f>
        <v>VERGA MOLDADA IN LOCO EM CONCRETO PARA JANELAS COM MAIS DE 1,5 M DE VÃO. AF_03/2016</v>
      </c>
      <c r="C196" s="212"/>
      <c r="D196" s="212"/>
      <c r="E196" s="212"/>
      <c r="F196" s="212"/>
      <c r="G196" s="212"/>
      <c r="H196" s="212"/>
      <c r="I196" s="212"/>
      <c r="J196" s="212"/>
      <c r="K196" s="213"/>
      <c r="L196" s="129">
        <f>ROUND(SUM(L197:L197),2)</f>
        <v>30.02</v>
      </c>
      <c r="M196" s="130" t="str">
        <f>'BM04'!C74</f>
        <v>M</v>
      </c>
    </row>
    <row r="197" spans="1:13" s="131" customFormat="1" ht="43.15" customHeight="1">
      <c r="A197" s="132"/>
      <c r="B197" s="209" t="s">
        <v>672</v>
      </c>
      <c r="C197" s="210"/>
      <c r="D197" s="134">
        <f>(3.37+0.2*2)*6 + (3.3+0.2*2)*2</f>
        <v>30.02</v>
      </c>
      <c r="E197" s="134"/>
      <c r="F197" s="134"/>
      <c r="G197" s="134"/>
      <c r="H197" s="134"/>
      <c r="I197" s="134"/>
      <c r="J197" s="135"/>
      <c r="K197" s="135"/>
      <c r="L197" s="134">
        <f>D197</f>
        <v>30.02</v>
      </c>
      <c r="M197" s="136"/>
    </row>
    <row r="198" spans="1:13" s="131" customFormat="1" ht="12.75">
      <c r="A198" s="139"/>
      <c r="B198" s="140"/>
      <c r="C198" s="141"/>
      <c r="D198" s="142"/>
      <c r="E198" s="143"/>
      <c r="F198" s="142"/>
      <c r="G198" s="142"/>
      <c r="H198" s="143"/>
      <c r="I198" s="143"/>
      <c r="J198" s="144"/>
      <c r="K198" s="144"/>
      <c r="L198" s="142"/>
      <c r="M198" s="145"/>
    </row>
    <row r="199" spans="1:13" ht="12.75">
      <c r="A199" s="128" t="str">
        <f>'BM04'!A75</f>
        <v>1.5.8</v>
      </c>
      <c r="B199" s="211" t="str">
        <f>'BM04'!B75</f>
        <v>CONTRAVERGA MOLDADA IN LOCO EM CONCRETO PARA VÃOS DE ATÉ 1,5 M DE COMPRIMENTO. AF_03/2016</v>
      </c>
      <c r="C199" s="212"/>
      <c r="D199" s="212"/>
      <c r="E199" s="212"/>
      <c r="F199" s="212"/>
      <c r="G199" s="212"/>
      <c r="H199" s="212"/>
      <c r="I199" s="212"/>
      <c r="J199" s="212"/>
      <c r="K199" s="213"/>
      <c r="L199" s="129">
        <f>ROUND(SUM(L200:L200),2)</f>
        <v>25.4</v>
      </c>
      <c r="M199" s="130" t="str">
        <f>'BM04'!C75</f>
        <v>M</v>
      </c>
    </row>
    <row r="200" spans="1:13" s="131" customFormat="1" ht="86.45" customHeight="1">
      <c r="A200" s="132"/>
      <c r="B200" s="209" t="s">
        <v>673</v>
      </c>
      <c r="C200" s="210"/>
      <c r="D200" s="134">
        <f>(1.2+0.45*2)*3 + (1.2+0.45*2)*5 + (1+0.45*2) + (1+0.45*2) + (1.5+0.45*2)*2</f>
        <v>25.4</v>
      </c>
      <c r="E200" s="134"/>
      <c r="F200" s="134"/>
      <c r="G200" s="134"/>
      <c r="H200" s="134"/>
      <c r="I200" s="134"/>
      <c r="J200" s="135"/>
      <c r="K200" s="135"/>
      <c r="L200" s="134">
        <f>D200</f>
        <v>25.4</v>
      </c>
      <c r="M200" s="136"/>
    </row>
    <row r="201" spans="1:13" s="131" customFormat="1" ht="12.75">
      <c r="A201" s="139"/>
      <c r="B201" s="140"/>
      <c r="C201" s="141"/>
      <c r="D201" s="142"/>
      <c r="E201" s="143"/>
      <c r="F201" s="142"/>
      <c r="G201" s="142"/>
      <c r="H201" s="143"/>
      <c r="I201" s="143"/>
      <c r="J201" s="144"/>
      <c r="K201" s="144"/>
      <c r="L201" s="142"/>
      <c r="M201" s="145"/>
    </row>
    <row r="202" spans="1:13" ht="12.75">
      <c r="A202" s="128" t="str">
        <f>'BM04'!A76</f>
        <v>1.5.9</v>
      </c>
      <c r="B202" s="211" t="str">
        <f>'BM04'!B76</f>
        <v>CONTRAVERGA MOLDADA IN LOCO EM CONCRETO PARA VÃOS DE MAIS DE 1,5 M DE COMPRIMENTO. AF_03/2016</v>
      </c>
      <c r="C202" s="212"/>
      <c r="D202" s="212"/>
      <c r="E202" s="212"/>
      <c r="F202" s="212"/>
      <c r="G202" s="212"/>
      <c r="H202" s="212"/>
      <c r="I202" s="212"/>
      <c r="J202" s="212"/>
      <c r="K202" s="213"/>
      <c r="L202" s="129">
        <f>ROUND(SUM(L203:L203),2)</f>
        <v>36.42</v>
      </c>
      <c r="M202" s="130" t="str">
        <f>'BM04'!C76</f>
        <v>M</v>
      </c>
    </row>
    <row r="203" spans="1:13" s="131" customFormat="1" ht="43.15" customHeight="1">
      <c r="A203" s="132"/>
      <c r="B203" s="209" t="s">
        <v>674</v>
      </c>
      <c r="C203" s="210"/>
      <c r="D203" s="134">
        <f>(3.37+0.6*2)*6 + (3.3+0.6*2)*2</f>
        <v>36.42</v>
      </c>
      <c r="E203" s="134"/>
      <c r="F203" s="134"/>
      <c r="G203" s="134"/>
      <c r="H203" s="134"/>
      <c r="I203" s="134"/>
      <c r="J203" s="135"/>
      <c r="K203" s="135"/>
      <c r="L203" s="134">
        <f>D203</f>
        <v>36.42</v>
      </c>
      <c r="M203" s="136"/>
    </row>
    <row r="204" spans="1:13" s="131" customFormat="1" ht="13.5" thickBot="1">
      <c r="A204" s="139"/>
      <c r="B204" s="140"/>
      <c r="C204" s="141"/>
      <c r="D204" s="142"/>
      <c r="E204" s="143"/>
      <c r="F204" s="142"/>
      <c r="G204" s="142"/>
      <c r="H204" s="143"/>
      <c r="I204" s="143"/>
      <c r="J204" s="144"/>
      <c r="K204" s="144"/>
      <c r="L204" s="142"/>
      <c r="M204" s="145"/>
    </row>
    <row r="205" spans="1:13" ht="13.5" thickBot="1">
      <c r="A205" s="121" t="str">
        <f>'BM02'!A68</f>
        <v>1.6</v>
      </c>
      <c r="B205" s="122" t="str">
        <f>'BM02'!B68</f>
        <v>ESQUADRIAS, FERRAGENS E VIDROS</v>
      </c>
      <c r="C205" s="122"/>
      <c r="D205" s="122"/>
      <c r="E205" s="122"/>
      <c r="F205" s="122"/>
      <c r="G205" s="122"/>
      <c r="H205" s="122"/>
      <c r="I205" s="122"/>
      <c r="J205" s="122"/>
      <c r="K205" s="122"/>
      <c r="L205" s="122"/>
      <c r="M205" s="123"/>
    </row>
    <row r="206" spans="1:13" ht="13.5" thickBot="1">
      <c r="A206" s="124"/>
      <c r="B206" s="125"/>
      <c r="C206" s="125"/>
      <c r="D206" s="125"/>
      <c r="E206" s="125"/>
      <c r="F206" s="125"/>
      <c r="G206" s="125"/>
      <c r="H206" s="125"/>
      <c r="I206" s="125"/>
      <c r="J206" s="125"/>
      <c r="K206" s="126"/>
      <c r="L206" s="125"/>
      <c r="M206" s="127"/>
    </row>
    <row r="207" spans="1:13" s="131" customFormat="1" ht="43.15" customHeight="1">
      <c r="A207" s="128" t="str">
        <f>'BM02'!A70</f>
        <v>1.6.1</v>
      </c>
      <c r="B207" s="211" t="str">
        <f>'BM02'!B70</f>
        <v>KIT DE PORTA DE MADEIRA FRISADA, SEMI-OCA (LEVE OU MÉDIA), PADRÃO POPULAR, 70X210CM, ESPESSURA DE 3CM, ITENS INCLUSOS: DOBRADIÇAS, MONTAGEM E INSTALAÇÃO DO BATENTE, SEM FECHADURA - FORNECIMENTO E INSTALAÇÃO. AF_12/2019</v>
      </c>
      <c r="C207" s="212"/>
      <c r="D207" s="212"/>
      <c r="E207" s="212"/>
      <c r="F207" s="212"/>
      <c r="G207" s="212"/>
      <c r="H207" s="212"/>
      <c r="I207" s="212"/>
      <c r="J207" s="212"/>
      <c r="K207" s="213"/>
      <c r="L207" s="129">
        <f>L208</f>
        <v>0</v>
      </c>
      <c r="M207" s="130" t="str">
        <f>'BM02'!C70</f>
        <v>un</v>
      </c>
    </row>
    <row r="208" spans="1:13" s="131" customFormat="1" ht="12.75">
      <c r="A208" s="132"/>
      <c r="B208" s="209"/>
      <c r="C208" s="210"/>
      <c r="D208" s="134"/>
      <c r="E208" s="134"/>
      <c r="F208" s="134"/>
      <c r="G208" s="134"/>
      <c r="H208" s="134"/>
      <c r="I208" s="134"/>
      <c r="J208" s="135"/>
      <c r="K208" s="135"/>
      <c r="L208" s="134">
        <f>ROUND(D208*K208,2)</f>
        <v>0</v>
      </c>
      <c r="M208" s="136"/>
    </row>
    <row r="209" spans="1:13" s="131" customFormat="1" ht="12.75">
      <c r="A209" s="139"/>
      <c r="B209" s="140"/>
      <c r="C209" s="141"/>
      <c r="D209" s="142"/>
      <c r="E209" s="143"/>
      <c r="F209" s="142"/>
      <c r="G209" s="142"/>
      <c r="H209" s="143"/>
      <c r="I209" s="143"/>
      <c r="J209" s="144"/>
      <c r="K209" s="144"/>
      <c r="L209" s="142"/>
      <c r="M209" s="145"/>
    </row>
    <row r="210" spans="1:13" s="131" customFormat="1" ht="43.15" customHeight="1">
      <c r="A210" s="128" t="str">
        <f>'BM02'!A71</f>
        <v>1.6.2</v>
      </c>
      <c r="B210" s="211" t="str">
        <f>'BM02'!B71</f>
        <v>KIT DE PORTA DE MADEIRA FRISADA, SEMI-OCA (LEVE OU MÉDIA), PADRÃO MÉDIO, 80X210CM, ESPESSURA DE 3,5CM, ITENS INCLUSOS: DOBRADIÇAS, MONTAGEM E INSTALAÇÃO DO BATENTE, SEM FECHADURA - FORNECIMENTO E INSTALAÇÃO. AF_12/2019</v>
      </c>
      <c r="C210" s="212"/>
      <c r="D210" s="212"/>
      <c r="E210" s="212"/>
      <c r="F210" s="212"/>
      <c r="G210" s="212"/>
      <c r="H210" s="212"/>
      <c r="I210" s="212"/>
      <c r="J210" s="212"/>
      <c r="K210" s="213"/>
      <c r="L210" s="129">
        <f>L211</f>
        <v>0</v>
      </c>
      <c r="M210" s="130" t="str">
        <f>'BM02'!C71</f>
        <v>un</v>
      </c>
    </row>
    <row r="211" spans="1:13" s="131" customFormat="1" ht="12.75">
      <c r="A211" s="132"/>
      <c r="B211" s="209"/>
      <c r="C211" s="210"/>
      <c r="D211" s="134"/>
      <c r="E211" s="134"/>
      <c r="F211" s="134"/>
      <c r="G211" s="134"/>
      <c r="H211" s="134"/>
      <c r="I211" s="134"/>
      <c r="J211" s="135"/>
      <c r="K211" s="135"/>
      <c r="L211" s="134">
        <f>ROUND(D211*K211,2)</f>
        <v>0</v>
      </c>
      <c r="M211" s="136"/>
    </row>
    <row r="212" spans="1:13" s="131" customFormat="1" ht="12.75">
      <c r="A212" s="139"/>
      <c r="B212" s="140"/>
      <c r="C212" s="141"/>
      <c r="D212" s="142"/>
      <c r="E212" s="143"/>
      <c r="F212" s="142"/>
      <c r="G212" s="142"/>
      <c r="H212" s="143"/>
      <c r="I212" s="143"/>
      <c r="J212" s="144"/>
      <c r="K212" s="144"/>
      <c r="L212" s="142"/>
      <c r="M212" s="145"/>
    </row>
    <row r="213" spans="1:13" s="131" customFormat="1" ht="43.15" customHeight="1">
      <c r="A213" s="128" t="str">
        <f>'BM02'!A72</f>
        <v>1.6.3</v>
      </c>
      <c r="B213" s="211" t="str">
        <f>'BM02'!B72</f>
        <v>KIT DE PORTA DE MADEIRA FRISADA, SEMI-OCA (LEVE OU MÉDIA), PADRÃO MÉDIO, 190X210CM, ESPESSURA DE 3,5CM, ITENS INCLUSOS: DOBRADIÇAS, MONTAGEM E INSTALAÇÃO DO BATENTE, SEM FECHADURA - FORNECIMENTO E INSTALAÇÃO. AF_12/2019</v>
      </c>
      <c r="C213" s="212"/>
      <c r="D213" s="212"/>
      <c r="E213" s="212"/>
      <c r="F213" s="212"/>
      <c r="G213" s="212"/>
      <c r="H213" s="212"/>
      <c r="I213" s="212"/>
      <c r="J213" s="212"/>
      <c r="K213" s="213"/>
      <c r="L213" s="129">
        <f>L214</f>
        <v>0</v>
      </c>
      <c r="M213" s="130" t="str">
        <f>'BM02'!C72</f>
        <v>un</v>
      </c>
    </row>
    <row r="214" spans="1:13" s="131" customFormat="1" ht="12.75">
      <c r="A214" s="132"/>
      <c r="B214" s="209"/>
      <c r="C214" s="210"/>
      <c r="D214" s="134"/>
      <c r="E214" s="134"/>
      <c r="F214" s="134"/>
      <c r="G214" s="134"/>
      <c r="H214" s="134"/>
      <c r="I214" s="134"/>
      <c r="J214" s="135"/>
      <c r="K214" s="135"/>
      <c r="L214" s="134">
        <f>ROUND(D214*K214,2)</f>
        <v>0</v>
      </c>
      <c r="M214" s="136"/>
    </row>
    <row r="215" spans="1:13" s="131" customFormat="1" ht="12.75">
      <c r="A215" s="139"/>
      <c r="B215" s="140"/>
      <c r="C215" s="141"/>
      <c r="D215" s="142"/>
      <c r="E215" s="143"/>
      <c r="F215" s="142"/>
      <c r="G215" s="142"/>
      <c r="H215" s="143"/>
      <c r="I215" s="143"/>
      <c r="J215" s="144"/>
      <c r="K215" s="144"/>
      <c r="L215" s="142"/>
      <c r="M215" s="145"/>
    </row>
    <row r="216" spans="1:13" ht="30" customHeight="1">
      <c r="A216" s="128" t="str">
        <f>'BM02'!A73</f>
        <v>1.6.4</v>
      </c>
      <c r="B216" s="211" t="str">
        <f>'BM02'!B73</f>
        <v>JANELA DE AÇO TIPO BASCULANTE PARA VIDROS, COM BATENTE, FERRAGENS E PINTURA ANTICORROSIVA. EXCLUSIVE VIDROS, ACABAMENTO, ALIZAR E CONTRAMARCO. FORNECIMENTO E INSTALAÇÃO. AF_12/2019</v>
      </c>
      <c r="C216" s="212"/>
      <c r="D216" s="212"/>
      <c r="E216" s="212"/>
      <c r="F216" s="212"/>
      <c r="G216" s="212"/>
      <c r="H216" s="212"/>
      <c r="I216" s="212"/>
      <c r="J216" s="212"/>
      <c r="K216" s="213"/>
      <c r="L216" s="129">
        <f>ROUND(SUM(L217:L222),2)</f>
        <v>42.65</v>
      </c>
      <c r="M216" s="130" t="str">
        <f>'BM02'!C73</f>
        <v>m²</v>
      </c>
    </row>
    <row r="217" spans="1:13" s="131" customFormat="1" ht="12.75">
      <c r="A217" s="132"/>
      <c r="B217" s="209" t="s">
        <v>675</v>
      </c>
      <c r="C217" s="210"/>
      <c r="D217" s="134">
        <v>6</v>
      </c>
      <c r="E217" s="134">
        <v>3.37</v>
      </c>
      <c r="F217" s="134"/>
      <c r="G217" s="134"/>
      <c r="H217" s="134"/>
      <c r="I217" s="134">
        <v>1.3</v>
      </c>
      <c r="J217" s="135"/>
      <c r="K217" s="135">
        <f>E217*I217</f>
        <v>4.3810000000000002</v>
      </c>
      <c r="L217" s="134">
        <f>ROUND(D217*K217,2)</f>
        <v>26.29</v>
      </c>
      <c r="M217" s="136"/>
    </row>
    <row r="218" spans="1:13" s="131" customFormat="1" ht="12.75">
      <c r="A218" s="132"/>
      <c r="B218" s="209" t="s">
        <v>676</v>
      </c>
      <c r="C218" s="210"/>
      <c r="D218" s="134">
        <v>2</v>
      </c>
      <c r="E218" s="134">
        <v>3.3</v>
      </c>
      <c r="F218" s="134"/>
      <c r="G218" s="134"/>
      <c r="H218" s="134"/>
      <c r="I218" s="134">
        <v>1.3</v>
      </c>
      <c r="J218" s="135"/>
      <c r="K218" s="135">
        <f t="shared" ref="K218:K222" si="13">E218*I218</f>
        <v>4.29</v>
      </c>
      <c r="L218" s="134">
        <f t="shared" ref="L218:L222" si="14">ROUND(D218*K218,2)</f>
        <v>8.58</v>
      </c>
      <c r="M218" s="136"/>
    </row>
    <row r="219" spans="1:13" s="131" customFormat="1" ht="12.75">
      <c r="A219" s="132"/>
      <c r="B219" s="209" t="s">
        <v>677</v>
      </c>
      <c r="C219" s="210"/>
      <c r="D219" s="134">
        <v>3</v>
      </c>
      <c r="E219" s="134">
        <v>1.2</v>
      </c>
      <c r="F219" s="134"/>
      <c r="G219" s="134"/>
      <c r="H219" s="134"/>
      <c r="I219" s="134">
        <v>1.3</v>
      </c>
      <c r="J219" s="135"/>
      <c r="K219" s="135">
        <f t="shared" si="13"/>
        <v>1.56</v>
      </c>
      <c r="L219" s="134">
        <f t="shared" si="14"/>
        <v>4.68</v>
      </c>
      <c r="M219" s="136"/>
    </row>
    <row r="220" spans="1:13" s="131" customFormat="1" ht="12.75">
      <c r="A220" s="132"/>
      <c r="B220" s="209" t="s">
        <v>678</v>
      </c>
      <c r="C220" s="210"/>
      <c r="D220" s="134">
        <v>5</v>
      </c>
      <c r="E220" s="134">
        <v>1.2</v>
      </c>
      <c r="F220" s="134"/>
      <c r="G220" s="134"/>
      <c r="H220" s="134"/>
      <c r="I220" s="134">
        <v>0.3</v>
      </c>
      <c r="J220" s="135"/>
      <c r="K220" s="135">
        <f t="shared" si="13"/>
        <v>0.36</v>
      </c>
      <c r="L220" s="134">
        <f t="shared" si="14"/>
        <v>1.8</v>
      </c>
      <c r="M220" s="136"/>
    </row>
    <row r="221" spans="1:13" s="131" customFormat="1" ht="12.75">
      <c r="A221" s="132"/>
      <c r="B221" s="209" t="s">
        <v>679</v>
      </c>
      <c r="C221" s="210"/>
      <c r="D221" s="134">
        <v>1</v>
      </c>
      <c r="E221" s="134">
        <v>1</v>
      </c>
      <c r="F221" s="134"/>
      <c r="G221" s="134"/>
      <c r="H221" s="134"/>
      <c r="I221" s="134">
        <v>0.3</v>
      </c>
      <c r="J221" s="135"/>
      <c r="K221" s="135">
        <f t="shared" si="13"/>
        <v>0.3</v>
      </c>
      <c r="L221" s="134">
        <f t="shared" si="14"/>
        <v>0.3</v>
      </c>
      <c r="M221" s="136"/>
    </row>
    <row r="222" spans="1:13" s="131" customFormat="1" ht="12.75">
      <c r="A222" s="132"/>
      <c r="B222" s="209" t="s">
        <v>680</v>
      </c>
      <c r="C222" s="210"/>
      <c r="D222" s="134">
        <v>1</v>
      </c>
      <c r="E222" s="134">
        <v>1</v>
      </c>
      <c r="F222" s="134"/>
      <c r="G222" s="134"/>
      <c r="H222" s="134"/>
      <c r="I222" s="134">
        <v>1</v>
      </c>
      <c r="J222" s="135"/>
      <c r="K222" s="135">
        <f t="shared" si="13"/>
        <v>1</v>
      </c>
      <c r="L222" s="134">
        <f t="shared" si="14"/>
        <v>1</v>
      </c>
      <c r="M222" s="136"/>
    </row>
    <row r="223" spans="1:13" s="131" customFormat="1" ht="12.75">
      <c r="A223" s="139"/>
      <c r="B223" s="140"/>
      <c r="C223" s="141"/>
      <c r="D223" s="142"/>
      <c r="E223" s="143"/>
      <c r="F223" s="142"/>
      <c r="G223" s="142"/>
      <c r="H223" s="143"/>
      <c r="I223" s="143"/>
      <c r="J223" s="144"/>
      <c r="K223" s="144"/>
      <c r="L223" s="142"/>
      <c r="M223" s="145"/>
    </row>
    <row r="224" spans="1:13" ht="12.6" customHeight="1">
      <c r="A224" s="184" t="str">
        <f>'BM02'!A74</f>
        <v>1.6.5</v>
      </c>
      <c r="B224" s="211" t="str">
        <f>'BM02'!B74</f>
        <v>Gradil Nylofor 3D, malha 20x5cm, Ø 5mm 250x103 cm, pintura branca, Belgo ou similar, inclusive postes e acessórios</v>
      </c>
      <c r="C224" s="212"/>
      <c r="D224" s="212"/>
      <c r="E224" s="212"/>
      <c r="F224" s="212"/>
      <c r="G224" s="212"/>
      <c r="H224" s="212"/>
      <c r="I224" s="212"/>
      <c r="J224" s="212"/>
      <c r="K224" s="213"/>
      <c r="L224" s="129">
        <f>ROUND(SUM(L225:L225),2)</f>
        <v>0</v>
      </c>
      <c r="M224" s="185" t="str">
        <f>'BM02'!C74</f>
        <v>m²</v>
      </c>
    </row>
    <row r="225" spans="1:13" s="131" customFormat="1" ht="12.75">
      <c r="A225" s="132"/>
      <c r="B225" s="209"/>
      <c r="C225" s="210"/>
      <c r="D225" s="134"/>
      <c r="E225" s="134"/>
      <c r="F225" s="134"/>
      <c r="G225" s="134"/>
      <c r="H225" s="134"/>
      <c r="I225" s="134"/>
      <c r="J225" s="135"/>
      <c r="K225" s="135"/>
      <c r="L225" s="134">
        <f t="shared" ref="L225" si="15">ROUND(D225*K225,2)</f>
        <v>0</v>
      </c>
      <c r="M225" s="136"/>
    </row>
    <row r="226" spans="1:13" s="131" customFormat="1" ht="12.75">
      <c r="A226" s="139"/>
      <c r="B226" s="140"/>
      <c r="C226" s="141"/>
      <c r="D226" s="142"/>
      <c r="E226" s="143"/>
      <c r="F226" s="142"/>
      <c r="G226" s="142"/>
      <c r="H226" s="143"/>
      <c r="I226" s="143"/>
      <c r="J226" s="144"/>
      <c r="K226" s="144"/>
      <c r="L226" s="142"/>
      <c r="M226" s="145"/>
    </row>
    <row r="227" spans="1:13" ht="12.6" customHeight="1">
      <c r="A227" s="184" t="str">
        <f>'BM02'!A75</f>
        <v>1.6.6</v>
      </c>
      <c r="B227" s="211" t="str">
        <f>'BM02'!B75</f>
        <v>Portão em ferro, em gradil metálico, padrão belgo ou equivalente, de correr</v>
      </c>
      <c r="C227" s="212"/>
      <c r="D227" s="212"/>
      <c r="E227" s="212"/>
      <c r="F227" s="212"/>
      <c r="G227" s="212"/>
      <c r="H227" s="212"/>
      <c r="I227" s="212"/>
      <c r="J227" s="212"/>
      <c r="K227" s="213"/>
      <c r="L227" s="129">
        <f>L228</f>
        <v>0</v>
      </c>
      <c r="M227" s="185" t="str">
        <f>'BM02'!C75</f>
        <v>m²</v>
      </c>
    </row>
    <row r="228" spans="1:13" s="131" customFormat="1" ht="12.75">
      <c r="A228" s="132"/>
      <c r="B228" s="209"/>
      <c r="C228" s="210"/>
      <c r="D228" s="134"/>
      <c r="E228" s="134"/>
      <c r="F228" s="134"/>
      <c r="G228" s="134"/>
      <c r="H228" s="134"/>
      <c r="I228" s="134"/>
      <c r="J228" s="135"/>
      <c r="K228" s="135"/>
      <c r="L228" s="134">
        <f>ROUND(D228*K228,2)</f>
        <v>0</v>
      </c>
      <c r="M228" s="136"/>
    </row>
    <row r="229" spans="1:13" s="131" customFormat="1" ht="12.75">
      <c r="A229" s="139"/>
      <c r="B229" s="140"/>
      <c r="C229" s="141"/>
      <c r="D229" s="142"/>
      <c r="E229" s="143"/>
      <c r="F229" s="142"/>
      <c r="G229" s="142"/>
      <c r="H229" s="143"/>
      <c r="I229" s="143"/>
      <c r="J229" s="144"/>
      <c r="K229" s="144"/>
      <c r="L229" s="142"/>
      <c r="M229" s="145"/>
    </row>
    <row r="230" spans="1:13" ht="12.6" customHeight="1">
      <c r="A230" s="184" t="str">
        <f>'BM02'!A76</f>
        <v>1.6.7</v>
      </c>
      <c r="B230" s="211" t="str">
        <f>'BM02'!B76</f>
        <v>Gradil Nylofor 3D, malha 20x5cm, Ø 5mm 250x103 cm, pintura branca, Belgo ou similar, inclusive postes e acessórios</v>
      </c>
      <c r="C230" s="212"/>
      <c r="D230" s="212"/>
      <c r="E230" s="212"/>
      <c r="F230" s="212"/>
      <c r="G230" s="212"/>
      <c r="H230" s="212"/>
      <c r="I230" s="212"/>
      <c r="J230" s="212"/>
      <c r="K230" s="213"/>
      <c r="L230" s="129">
        <f>L231</f>
        <v>0</v>
      </c>
      <c r="M230" s="185" t="str">
        <f>'BM02'!C76</f>
        <v>m²</v>
      </c>
    </row>
    <row r="231" spans="1:13" s="131" customFormat="1" ht="12.75">
      <c r="A231" s="132"/>
      <c r="B231" s="209"/>
      <c r="C231" s="210"/>
      <c r="D231" s="134"/>
      <c r="E231" s="134"/>
      <c r="F231" s="134"/>
      <c r="G231" s="134"/>
      <c r="H231" s="134"/>
      <c r="I231" s="134"/>
      <c r="J231" s="135"/>
      <c r="K231" s="135"/>
      <c r="L231" s="134">
        <f>ROUND(D231*K231,2)</f>
        <v>0</v>
      </c>
      <c r="M231" s="136"/>
    </row>
    <row r="232" spans="1:13" s="131" customFormat="1" ht="12.75">
      <c r="A232" s="139"/>
      <c r="B232" s="140"/>
      <c r="C232" s="141"/>
      <c r="D232" s="142"/>
      <c r="E232" s="143"/>
      <c r="F232" s="142"/>
      <c r="G232" s="142"/>
      <c r="H232" s="143"/>
      <c r="I232" s="143"/>
      <c r="J232" s="144"/>
      <c r="K232" s="144"/>
      <c r="L232" s="142"/>
      <c r="M232" s="145"/>
    </row>
    <row r="233" spans="1:13" ht="12.6" customHeight="1">
      <c r="A233" s="184" t="str">
        <f>'BM02'!A77</f>
        <v>1.6.8</v>
      </c>
      <c r="B233" s="211" t="str">
        <f>'BM02'!B77</f>
        <v>Barra de apoio, reta, fixa, em aço inox, l=90cm, d=1 1/2", Jackwal ou similar</v>
      </c>
      <c r="C233" s="212"/>
      <c r="D233" s="212"/>
      <c r="E233" s="212"/>
      <c r="F233" s="212"/>
      <c r="G233" s="212"/>
      <c r="H233" s="212"/>
      <c r="I233" s="212"/>
      <c r="J233" s="212"/>
      <c r="K233" s="213"/>
      <c r="L233" s="129">
        <f>L234</f>
        <v>0</v>
      </c>
      <c r="M233" s="185" t="str">
        <f>'BM02'!C77</f>
        <v>un</v>
      </c>
    </row>
    <row r="234" spans="1:13" s="131" customFormat="1" ht="12.75">
      <c r="A234" s="132"/>
      <c r="B234" s="209"/>
      <c r="C234" s="210"/>
      <c r="D234" s="134"/>
      <c r="E234" s="134"/>
      <c r="F234" s="134"/>
      <c r="G234" s="134"/>
      <c r="H234" s="134"/>
      <c r="I234" s="134"/>
      <c r="J234" s="135"/>
      <c r="K234" s="135"/>
      <c r="L234" s="134">
        <f>ROUND(D234*K234,2)</f>
        <v>0</v>
      </c>
      <c r="M234" s="136"/>
    </row>
    <row r="235" spans="1:13" s="131" customFormat="1" ht="12.75">
      <c r="A235" s="139"/>
      <c r="B235" s="140"/>
      <c r="C235" s="141"/>
      <c r="D235" s="142"/>
      <c r="E235" s="143"/>
      <c r="F235" s="142"/>
      <c r="G235" s="142"/>
      <c r="H235" s="143"/>
      <c r="I235" s="143"/>
      <c r="J235" s="144"/>
      <c r="K235" s="144"/>
      <c r="L235" s="142"/>
      <c r="M235" s="145"/>
    </row>
    <row r="236" spans="1:13" ht="12.6" customHeight="1">
      <c r="A236" s="184" t="str">
        <f>'BM02'!A78</f>
        <v>1.6.9</v>
      </c>
      <c r="B236" s="211" t="str">
        <f>'BM02'!B78</f>
        <v>VIDRO FANTASIA CANELADO 4MM</v>
      </c>
      <c r="C236" s="212"/>
      <c r="D236" s="212"/>
      <c r="E236" s="212"/>
      <c r="F236" s="212"/>
      <c r="G236" s="212"/>
      <c r="H236" s="212"/>
      <c r="I236" s="212"/>
      <c r="J236" s="212"/>
      <c r="K236" s="213"/>
      <c r="L236" s="129">
        <f>L237</f>
        <v>0</v>
      </c>
      <c r="M236" s="185" t="str">
        <f>'BM02'!C78</f>
        <v>M²</v>
      </c>
    </row>
    <row r="237" spans="1:13" s="131" customFormat="1" ht="12.75">
      <c r="A237" s="132"/>
      <c r="B237" s="209"/>
      <c r="C237" s="210"/>
      <c r="D237" s="134"/>
      <c r="E237" s="134"/>
      <c r="F237" s="134"/>
      <c r="G237" s="134"/>
      <c r="H237" s="134"/>
      <c r="I237" s="134"/>
      <c r="J237" s="135"/>
      <c r="K237" s="135"/>
      <c r="L237" s="134">
        <f>ROUND(D237*K237,2)</f>
        <v>0</v>
      </c>
      <c r="M237" s="136"/>
    </row>
    <row r="238" spans="1:13" s="131" customFormat="1" ht="12.75">
      <c r="A238" s="139"/>
      <c r="B238" s="140"/>
      <c r="C238" s="141"/>
      <c r="D238" s="142"/>
      <c r="E238" s="143"/>
      <c r="F238" s="142"/>
      <c r="G238" s="142"/>
      <c r="H238" s="143"/>
      <c r="I238" s="143"/>
      <c r="J238" s="144"/>
      <c r="K238" s="144"/>
      <c r="L238" s="142"/>
      <c r="M238" s="145"/>
    </row>
    <row r="239" spans="1:13" ht="30" customHeight="1">
      <c r="A239" s="128" t="str">
        <f>'BM02'!A79</f>
        <v>1.6.10</v>
      </c>
      <c r="B239" s="211" t="str">
        <f>'BM02'!B79</f>
        <v>FECHADURA DE EMBUTIR COM CILINDRO, EXTERNA, COMPLETA, ACABAMENTO PADRÃO MÉDIO, INCLUSO EXECUÇÃO DE FURO - FORNECIMENTO E INSTALAÇÃO. AF_12/2019</v>
      </c>
      <c r="C239" s="212"/>
      <c r="D239" s="212"/>
      <c r="E239" s="212"/>
      <c r="F239" s="212"/>
      <c r="G239" s="212"/>
      <c r="H239" s="212"/>
      <c r="I239" s="212"/>
      <c r="J239" s="212"/>
      <c r="K239" s="213"/>
      <c r="L239" s="129">
        <f>L240</f>
        <v>4</v>
      </c>
      <c r="M239" s="185" t="str">
        <f>'BM02'!C79</f>
        <v>un</v>
      </c>
    </row>
    <row r="240" spans="1:13" s="131" customFormat="1" ht="12.75">
      <c r="A240" s="132"/>
      <c r="B240" s="209" t="s">
        <v>681</v>
      </c>
      <c r="C240" s="210"/>
      <c r="D240" s="134">
        <f>4</f>
        <v>4</v>
      </c>
      <c r="E240" s="134"/>
      <c r="F240" s="134"/>
      <c r="G240" s="134"/>
      <c r="H240" s="134"/>
      <c r="I240" s="134"/>
      <c r="J240" s="135"/>
      <c r="K240" s="135"/>
      <c r="L240" s="134">
        <f>D240</f>
        <v>4</v>
      </c>
      <c r="M240" s="136"/>
    </row>
    <row r="241" spans="1:13" s="131" customFormat="1" ht="12.75">
      <c r="A241" s="139"/>
      <c r="B241" s="140"/>
      <c r="C241" s="141"/>
      <c r="D241" s="142"/>
      <c r="E241" s="143"/>
      <c r="F241" s="142"/>
      <c r="G241" s="142"/>
      <c r="H241" s="143"/>
      <c r="I241" s="143"/>
      <c r="J241" s="144"/>
      <c r="K241" s="144"/>
      <c r="L241" s="142"/>
      <c r="M241" s="145"/>
    </row>
    <row r="242" spans="1:13" ht="30" customHeight="1">
      <c r="A242" s="128" t="str">
        <f>'BM02'!A80</f>
        <v>1.6.11</v>
      </c>
      <c r="B242" s="211" t="str">
        <f>'BM02'!B80</f>
        <v>FECHADURA DE EMBUTIR COM CILINDRO, EXTERNA, COMPLETA, ACABAMENTO PADRÃO POPULAR, INCLUSO EXECUÇÃO DE FURO - FORNECIMENTO E INSTALAÇÃO. AF_12/2019</v>
      </c>
      <c r="C242" s="212"/>
      <c r="D242" s="212"/>
      <c r="E242" s="212"/>
      <c r="F242" s="212"/>
      <c r="G242" s="212"/>
      <c r="H242" s="212"/>
      <c r="I242" s="212"/>
      <c r="J242" s="212"/>
      <c r="K242" s="213"/>
      <c r="L242" s="129">
        <f>L243</f>
        <v>0</v>
      </c>
      <c r="M242" s="185" t="str">
        <f>'BM02'!C80</f>
        <v>un</v>
      </c>
    </row>
    <row r="243" spans="1:13" s="131" customFormat="1" ht="12.75">
      <c r="A243" s="132"/>
      <c r="B243" s="209"/>
      <c r="C243" s="210"/>
      <c r="D243" s="134"/>
      <c r="E243" s="134"/>
      <c r="F243" s="134"/>
      <c r="G243" s="134"/>
      <c r="H243" s="134"/>
      <c r="I243" s="134"/>
      <c r="J243" s="135"/>
      <c r="K243" s="135"/>
      <c r="L243" s="134">
        <f>ROUND(D243*K243,2)</f>
        <v>0</v>
      </c>
      <c r="M243" s="136"/>
    </row>
    <row r="244" spans="1:13" s="131" customFormat="1" ht="12.75">
      <c r="A244" s="139"/>
      <c r="B244" s="140"/>
      <c r="C244" s="141"/>
      <c r="D244" s="142"/>
      <c r="E244" s="143"/>
      <c r="F244" s="142"/>
      <c r="G244" s="142"/>
      <c r="H244" s="143"/>
      <c r="I244" s="143"/>
      <c r="J244" s="144"/>
      <c r="K244" s="144"/>
      <c r="L244" s="142"/>
      <c r="M244" s="145"/>
    </row>
    <row r="245" spans="1:13" ht="30" customHeight="1">
      <c r="A245" s="128" t="str">
        <f>'BM04'!A91</f>
        <v>1.6.12</v>
      </c>
      <c r="B245" s="211" t="str">
        <f>'BM04'!B91</f>
        <v>PORTA EM AÇO DE ABRIR TIPO VENEZIANA SEM GUARNIÇÃO, 87X210CM, FIXAÇÃO COM PARAFUSOS - FORNECIMENTO E INSTALAÇÃO. AF_12/2019</v>
      </c>
      <c r="C245" s="212"/>
      <c r="D245" s="212"/>
      <c r="E245" s="212"/>
      <c r="F245" s="212"/>
      <c r="G245" s="212"/>
      <c r="H245" s="212"/>
      <c r="I245" s="212"/>
      <c r="J245" s="212"/>
      <c r="K245" s="213"/>
      <c r="L245" s="129">
        <f>SUM(L246:L249)</f>
        <v>5</v>
      </c>
      <c r="M245" s="185" t="str">
        <f>'BM04'!C91</f>
        <v>UN</v>
      </c>
    </row>
    <row r="246" spans="1:13" s="131" customFormat="1" ht="12.75">
      <c r="A246" s="132"/>
      <c r="B246" s="209" t="s">
        <v>682</v>
      </c>
      <c r="C246" s="210"/>
      <c r="D246" s="134">
        <v>2</v>
      </c>
      <c r="E246" s="134"/>
      <c r="F246" s="134"/>
      <c r="G246" s="134"/>
      <c r="H246" s="134"/>
      <c r="I246" s="134"/>
      <c r="J246" s="135"/>
      <c r="K246" s="135"/>
      <c r="L246" s="134">
        <f>D246</f>
        <v>2</v>
      </c>
      <c r="M246" s="136"/>
    </row>
    <row r="247" spans="1:13" s="131" customFormat="1" ht="12.75">
      <c r="A247" s="132"/>
      <c r="B247" s="209" t="s">
        <v>683</v>
      </c>
      <c r="C247" s="210"/>
      <c r="D247" s="134">
        <v>1</v>
      </c>
      <c r="E247" s="134"/>
      <c r="F247" s="134"/>
      <c r="G247" s="134"/>
      <c r="H247" s="134"/>
      <c r="I247" s="134"/>
      <c r="J247" s="135"/>
      <c r="K247" s="135"/>
      <c r="L247" s="134">
        <f t="shared" ref="L247:L249" si="16">D247</f>
        <v>1</v>
      </c>
      <c r="M247" s="136"/>
    </row>
    <row r="248" spans="1:13" s="131" customFormat="1" ht="28.9" customHeight="1">
      <c r="A248" s="132"/>
      <c r="B248" s="209" t="s">
        <v>685</v>
      </c>
      <c r="C248" s="210"/>
      <c r="D248" s="134">
        <v>1</v>
      </c>
      <c r="E248" s="134"/>
      <c r="F248" s="134"/>
      <c r="G248" s="134"/>
      <c r="H248" s="134"/>
      <c r="I248" s="134"/>
      <c r="J248" s="135"/>
      <c r="K248" s="135"/>
      <c r="L248" s="134">
        <f t="shared" si="16"/>
        <v>1</v>
      </c>
      <c r="M248" s="136"/>
    </row>
    <row r="249" spans="1:13" s="131" customFormat="1" ht="12.75">
      <c r="A249" s="132"/>
      <c r="B249" s="209" t="s">
        <v>684</v>
      </c>
      <c r="C249" s="210"/>
      <c r="D249" s="134">
        <v>1</v>
      </c>
      <c r="E249" s="134"/>
      <c r="F249" s="134"/>
      <c r="G249" s="134"/>
      <c r="H249" s="134"/>
      <c r="I249" s="134"/>
      <c r="J249" s="135"/>
      <c r="K249" s="135"/>
      <c r="L249" s="134">
        <f t="shared" si="16"/>
        <v>1</v>
      </c>
      <c r="M249" s="136"/>
    </row>
    <row r="250" spans="1:13" s="131" customFormat="1" ht="12.75">
      <c r="A250" s="139"/>
      <c r="B250" s="140"/>
      <c r="C250" s="141"/>
      <c r="D250" s="142"/>
      <c r="E250" s="143"/>
      <c r="F250" s="142"/>
      <c r="G250" s="142"/>
      <c r="H250" s="143"/>
      <c r="I250" s="143"/>
      <c r="J250" s="144"/>
      <c r="K250" s="144"/>
      <c r="L250" s="142"/>
      <c r="M250" s="145"/>
    </row>
    <row r="251" spans="1:13" ht="12.75">
      <c r="A251" s="128" t="str">
        <f>'BM04'!A92</f>
        <v>1.6.13</v>
      </c>
      <c r="B251" s="211" t="str">
        <f>'BM04'!B92</f>
        <v>Gradil de ferro em barra chata 3/16"</v>
      </c>
      <c r="C251" s="212"/>
      <c r="D251" s="212"/>
      <c r="E251" s="212"/>
      <c r="F251" s="212"/>
      <c r="G251" s="212"/>
      <c r="H251" s="212"/>
      <c r="I251" s="212"/>
      <c r="J251" s="212"/>
      <c r="K251" s="213"/>
      <c r="L251" s="129">
        <f>L252</f>
        <v>0</v>
      </c>
      <c r="M251" s="185" t="str">
        <f>'BM04'!C92</f>
        <v>M²</v>
      </c>
    </row>
    <row r="252" spans="1:13" s="131" customFormat="1" ht="12.75">
      <c r="A252" s="132"/>
      <c r="B252" s="209"/>
      <c r="C252" s="210"/>
      <c r="D252" s="134"/>
      <c r="E252" s="134"/>
      <c r="F252" s="134"/>
      <c r="G252" s="134"/>
      <c r="H252" s="134"/>
      <c r="I252" s="134"/>
      <c r="J252" s="135"/>
      <c r="K252" s="135"/>
      <c r="L252" s="134">
        <f>ROUND(D252*K252,2)</f>
        <v>0</v>
      </c>
      <c r="M252" s="136"/>
    </row>
    <row r="253" spans="1:13" s="131" customFormat="1" ht="13.5" thickBot="1">
      <c r="A253" s="139"/>
      <c r="B253" s="140"/>
      <c r="C253" s="141"/>
      <c r="D253" s="142"/>
      <c r="E253" s="143"/>
      <c r="F253" s="142"/>
      <c r="G253" s="142"/>
      <c r="H253" s="143"/>
      <c r="I253" s="143"/>
      <c r="J253" s="144"/>
      <c r="K253" s="144"/>
      <c r="L253" s="142"/>
      <c r="M253" s="145"/>
    </row>
    <row r="254" spans="1:13" ht="13.5" thickBot="1">
      <c r="A254" s="121" t="str">
        <f>'BM02'!A82</f>
        <v>1.7</v>
      </c>
      <c r="B254" s="122" t="str">
        <f>'BM02'!B82</f>
        <v>COBERTA</v>
      </c>
      <c r="C254" s="122"/>
      <c r="D254" s="122"/>
      <c r="E254" s="122"/>
      <c r="F254" s="122"/>
      <c r="G254" s="122"/>
      <c r="H254" s="122"/>
      <c r="I254" s="122"/>
      <c r="J254" s="122"/>
      <c r="K254" s="122"/>
      <c r="L254" s="122"/>
      <c r="M254" s="123"/>
    </row>
    <row r="255" spans="1:13" ht="12.75">
      <c r="A255" s="124"/>
      <c r="B255" s="125"/>
      <c r="C255" s="125"/>
      <c r="D255" s="125"/>
      <c r="E255" s="125"/>
      <c r="F255" s="125"/>
      <c r="G255" s="125"/>
      <c r="H255" s="125"/>
      <c r="I255" s="125"/>
      <c r="J255" s="125"/>
      <c r="K255" s="126"/>
      <c r="L255" s="125"/>
      <c r="M255" s="127"/>
    </row>
    <row r="256" spans="1:13" ht="30" customHeight="1">
      <c r="A256" s="128" t="str">
        <f>'BM02'!A84</f>
        <v>1.7.1</v>
      </c>
      <c r="B256" s="211" t="str">
        <f>'BM02'!B84</f>
        <v>FABRICAÇÃO E INSTALAÇÃO DE ESTRUTURA PONTALETADA DE MADEIRA NÃO APARELHADA PARA TELHADOS COM ATÉ 2 ÁGUAS E PARA TELHA CERÂMICA OU DE CONCRETO, INCLUSO TRANSPORTE VERTICAL. AF_12/2015</v>
      </c>
      <c r="C256" s="212"/>
      <c r="D256" s="212"/>
      <c r="E256" s="212"/>
      <c r="F256" s="212"/>
      <c r="G256" s="212"/>
      <c r="H256" s="212"/>
      <c r="I256" s="212"/>
      <c r="J256" s="212"/>
      <c r="K256" s="213"/>
      <c r="L256" s="129">
        <f>ROUND(SUM(L257:L257),2)</f>
        <v>0</v>
      </c>
      <c r="M256" s="130" t="str">
        <f>'BM02'!C84</f>
        <v>m²</v>
      </c>
    </row>
    <row r="257" spans="1:13" s="131" customFormat="1" ht="12.75">
      <c r="A257" s="132"/>
      <c r="B257" s="209"/>
      <c r="C257" s="210"/>
      <c r="D257" s="134"/>
      <c r="E257" s="134"/>
      <c r="F257" s="134"/>
      <c r="G257" s="134"/>
      <c r="H257" s="134"/>
      <c r="I257" s="134"/>
      <c r="J257" s="135"/>
      <c r="K257" s="135"/>
      <c r="L257" s="134">
        <f>ROUND(D257*K257,2)</f>
        <v>0</v>
      </c>
      <c r="M257" s="136"/>
    </row>
    <row r="258" spans="1:13" s="131" customFormat="1" ht="12.75">
      <c r="A258" s="139"/>
      <c r="B258" s="140"/>
      <c r="C258" s="141"/>
      <c r="D258" s="142"/>
      <c r="E258" s="143"/>
      <c r="F258" s="142"/>
      <c r="G258" s="142"/>
      <c r="H258" s="143"/>
      <c r="I258" s="143"/>
      <c r="J258" s="144"/>
      <c r="K258" s="144"/>
      <c r="L258" s="142"/>
      <c r="M258" s="145"/>
    </row>
    <row r="259" spans="1:13" ht="30" customHeight="1">
      <c r="A259" s="128" t="str">
        <f>'BM02'!A85</f>
        <v>1.7.2</v>
      </c>
      <c r="B259" s="211" t="str">
        <f>'BM02'!B85</f>
        <v>TRAMA DE MADEIRA COMPOSTA POR RIPAS, CAIBROS E TERÇAS PARA TELHADOS DE ATÉ 2 ÁGUAS PARA TELHA CERÂMICA CAPA-CANAL, INCLUSO TRANSPORTE VERTICAL. AF_07/2019</v>
      </c>
      <c r="C259" s="212"/>
      <c r="D259" s="212"/>
      <c r="E259" s="212"/>
      <c r="F259" s="212"/>
      <c r="G259" s="212"/>
      <c r="H259" s="212"/>
      <c r="I259" s="212"/>
      <c r="J259" s="212"/>
      <c r="K259" s="213"/>
      <c r="L259" s="129">
        <f>ROUND(SUM(L260:L260),2)</f>
        <v>511.15</v>
      </c>
      <c r="M259" s="130" t="str">
        <f>'BM02'!C85</f>
        <v>m²</v>
      </c>
    </row>
    <row r="260" spans="1:13" s="131" customFormat="1" ht="57.6" customHeight="1">
      <c r="A260" s="132"/>
      <c r="B260" s="209" t="s">
        <v>686</v>
      </c>
      <c r="C260" s="210"/>
      <c r="D260" s="134">
        <f>ROUND((11*30.2) +  ((9.73*20.508) - (6.24*3.3)),2)</f>
        <v>511.15</v>
      </c>
      <c r="E260" s="134"/>
      <c r="F260" s="134"/>
      <c r="G260" s="134"/>
      <c r="H260" s="134"/>
      <c r="I260" s="134"/>
      <c r="J260" s="135"/>
      <c r="K260" s="135"/>
      <c r="L260" s="134">
        <f>D260</f>
        <v>511.15</v>
      </c>
      <c r="M260" s="136"/>
    </row>
    <row r="261" spans="1:13" s="131" customFormat="1" ht="12.75">
      <c r="A261" s="139"/>
      <c r="B261" s="140"/>
      <c r="C261" s="141"/>
      <c r="D261" s="142"/>
      <c r="E261" s="143"/>
      <c r="F261" s="142"/>
      <c r="G261" s="142"/>
      <c r="H261" s="143"/>
      <c r="I261" s="143"/>
      <c r="J261" s="144"/>
      <c r="K261" s="144"/>
      <c r="L261" s="142"/>
      <c r="M261" s="145"/>
    </row>
    <row r="262" spans="1:13" ht="30" customHeight="1">
      <c r="A262" s="128" t="str">
        <f>'BM02'!A86</f>
        <v>1.7.3</v>
      </c>
      <c r="B262" s="211" t="str">
        <f>'BM02'!B86</f>
        <v>TELHAMENTO COM TELHA CERÂMICA CAPA-CANAL, TIPO PLAN, COM ATÉ 2 ÁGUAS, INCLUSO TRANSPORTE VERTICAL. AF_07/2019</v>
      </c>
      <c r="C262" s="212"/>
      <c r="D262" s="212"/>
      <c r="E262" s="212"/>
      <c r="F262" s="212"/>
      <c r="G262" s="212"/>
      <c r="H262" s="212"/>
      <c r="I262" s="212"/>
      <c r="J262" s="212"/>
      <c r="K262" s="213"/>
      <c r="L262" s="129">
        <f>ROUND(SUM(L263:L263),2)</f>
        <v>511.15</v>
      </c>
      <c r="M262" s="130" t="str">
        <f>'BM02'!C86</f>
        <v>m²</v>
      </c>
    </row>
    <row r="263" spans="1:13" s="131" customFormat="1" ht="12.75">
      <c r="A263" s="132"/>
      <c r="B263" s="209" t="s">
        <v>687</v>
      </c>
      <c r="C263" s="210"/>
      <c r="D263" s="134">
        <f>L259</f>
        <v>511.15</v>
      </c>
      <c r="E263" s="134"/>
      <c r="F263" s="134"/>
      <c r="G263" s="134"/>
      <c r="H263" s="134"/>
      <c r="I263" s="134"/>
      <c r="J263" s="135"/>
      <c r="K263" s="135"/>
      <c r="L263" s="134">
        <f>D263</f>
        <v>511.15</v>
      </c>
      <c r="M263" s="136"/>
    </row>
    <row r="264" spans="1:13" s="131" customFormat="1" ht="12.75">
      <c r="A264" s="139"/>
      <c r="B264" s="140"/>
      <c r="C264" s="141"/>
      <c r="D264" s="142"/>
      <c r="E264" s="143"/>
      <c r="F264" s="142"/>
      <c r="G264" s="142"/>
      <c r="H264" s="143"/>
      <c r="I264" s="143"/>
      <c r="J264" s="144"/>
      <c r="K264" s="144"/>
      <c r="L264" s="142"/>
      <c r="M264" s="145"/>
    </row>
    <row r="265" spans="1:13" ht="30" customHeight="1">
      <c r="A265" s="128" t="str">
        <f>'BM02'!A87</f>
        <v>1.7.4</v>
      </c>
      <c r="B265" s="211" t="str">
        <f>'BM02'!B87</f>
        <v>CUMEEIRA PARA TELHA CERÂMICA EMBOÇADA COM ARGAMASSA TRAÇO 1:2:9 (CIMENTO, CAL E AREIA) PARA TELHADOS COM ATÉ 2 ÁGUAS, INCLUSO TRANSPORTE VERTICAL. AF_07/2019</v>
      </c>
      <c r="C265" s="212"/>
      <c r="D265" s="212"/>
      <c r="E265" s="212"/>
      <c r="F265" s="212"/>
      <c r="G265" s="212"/>
      <c r="H265" s="212"/>
      <c r="I265" s="212"/>
      <c r="J265" s="212"/>
      <c r="K265" s="213"/>
      <c r="L265" s="129">
        <f>ROUND(SUM(L266:L267),2)</f>
        <v>49.51</v>
      </c>
      <c r="M265" s="130" t="str">
        <f>'BM02'!C87</f>
        <v xml:space="preserve">m </v>
      </c>
    </row>
    <row r="266" spans="1:13" s="131" customFormat="1" ht="12.75">
      <c r="A266" s="132"/>
      <c r="B266" s="209" t="s">
        <v>541</v>
      </c>
      <c r="C266" s="210"/>
      <c r="D266" s="134">
        <v>1</v>
      </c>
      <c r="E266" s="134">
        <f>29.7</f>
        <v>29.7</v>
      </c>
      <c r="F266" s="134"/>
      <c r="G266" s="134"/>
      <c r="H266" s="134"/>
      <c r="I266" s="134"/>
      <c r="J266" s="135"/>
      <c r="K266" s="135">
        <f>E266</f>
        <v>29.7</v>
      </c>
      <c r="L266" s="134">
        <f>ROUND(D266*K266,2)</f>
        <v>29.7</v>
      </c>
      <c r="M266" s="136"/>
    </row>
    <row r="267" spans="1:13" s="131" customFormat="1" ht="12.75">
      <c r="A267" s="132"/>
      <c r="B267" s="209" t="s">
        <v>688</v>
      </c>
      <c r="C267" s="210"/>
      <c r="D267" s="134">
        <v>1</v>
      </c>
      <c r="E267" s="134">
        <v>19.809999999999999</v>
      </c>
      <c r="F267" s="134"/>
      <c r="G267" s="134"/>
      <c r="H267" s="134"/>
      <c r="I267" s="134"/>
      <c r="J267" s="135"/>
      <c r="K267" s="135">
        <f>E267</f>
        <v>19.809999999999999</v>
      </c>
      <c r="L267" s="134">
        <f>ROUND(D267*K267,2)</f>
        <v>19.809999999999999</v>
      </c>
      <c r="M267" s="136"/>
    </row>
    <row r="268" spans="1:13" s="131" customFormat="1" ht="12.75">
      <c r="A268" s="139"/>
      <c r="B268" s="140"/>
      <c r="C268" s="141"/>
      <c r="D268" s="142"/>
      <c r="E268" s="143"/>
      <c r="F268" s="142"/>
      <c r="G268" s="142"/>
      <c r="H268" s="143"/>
      <c r="I268" s="143"/>
      <c r="J268" s="144"/>
      <c r="K268" s="144"/>
      <c r="L268" s="142"/>
      <c r="M268" s="145"/>
    </row>
    <row r="269" spans="1:13" ht="12.75">
      <c r="A269" s="184" t="str">
        <f>'BM02'!A88</f>
        <v>1.7.5</v>
      </c>
      <c r="B269" s="211" t="str">
        <f>'BM02'!B88</f>
        <v>ALGEROZ (RUFO) DE CONCRETO ARMADO FCK=20MPA L=40CM E H=5CM - ORSE (00304)</v>
      </c>
      <c r="C269" s="212"/>
      <c r="D269" s="212"/>
      <c r="E269" s="212"/>
      <c r="F269" s="212"/>
      <c r="G269" s="212"/>
      <c r="H269" s="212"/>
      <c r="I269" s="212"/>
      <c r="J269" s="212"/>
      <c r="K269" s="213"/>
      <c r="L269" s="129">
        <f>ROUND(SUM(L270:L270),2)</f>
        <v>0</v>
      </c>
      <c r="M269" s="130" t="str">
        <f>'BM02'!C88</f>
        <v>m</v>
      </c>
    </row>
    <row r="270" spans="1:13" s="131" customFormat="1" ht="12.75">
      <c r="A270" s="132"/>
      <c r="B270" s="209"/>
      <c r="C270" s="210"/>
      <c r="D270" s="134"/>
      <c r="E270" s="134"/>
      <c r="F270" s="134"/>
      <c r="G270" s="134"/>
      <c r="H270" s="134"/>
      <c r="I270" s="134"/>
      <c r="J270" s="135"/>
      <c r="K270" s="135"/>
      <c r="L270" s="134">
        <f>ROUND(D270*K270,2)</f>
        <v>0</v>
      </c>
      <c r="M270" s="136"/>
    </row>
    <row r="271" spans="1:13" s="131" customFormat="1" ht="12.75">
      <c r="A271" s="139"/>
      <c r="B271" s="140"/>
      <c r="C271" s="141"/>
      <c r="D271" s="142"/>
      <c r="E271" s="143"/>
      <c r="F271" s="142"/>
      <c r="G271" s="142"/>
      <c r="H271" s="143"/>
      <c r="I271" s="143"/>
      <c r="J271" s="144"/>
      <c r="K271" s="144"/>
      <c r="L271" s="142"/>
      <c r="M271" s="145"/>
    </row>
    <row r="272" spans="1:13" ht="12.75">
      <c r="A272" s="184" t="str">
        <f>'BM02'!A89</f>
        <v>1.7.6</v>
      </c>
      <c r="B272" s="211" t="str">
        <f>'BM02'!B89</f>
        <v>EMBOÇAMENTO COM ARGAMASSA TRAÇO 1:2:9 (CIMENTO, CAL E AREIA). AF_07/2019</v>
      </c>
      <c r="C272" s="212"/>
      <c r="D272" s="212"/>
      <c r="E272" s="212"/>
      <c r="F272" s="212"/>
      <c r="G272" s="212"/>
      <c r="H272" s="212"/>
      <c r="I272" s="212"/>
      <c r="J272" s="212"/>
      <c r="K272" s="213"/>
      <c r="L272" s="129">
        <f>ROUND(SUM(L273:L273),2)</f>
        <v>8.7799999999999994</v>
      </c>
      <c r="M272" s="130" t="str">
        <f>'BM02'!C89</f>
        <v>m</v>
      </c>
    </row>
    <row r="273" spans="1:13" s="131" customFormat="1" ht="12.75">
      <c r="A273" s="132"/>
      <c r="B273" s="209" t="s">
        <v>689</v>
      </c>
      <c r="C273" s="210"/>
      <c r="D273" s="134">
        <v>1</v>
      </c>
      <c r="E273" s="134">
        <v>8.7799999999999994</v>
      </c>
      <c r="F273" s="134"/>
      <c r="G273" s="134"/>
      <c r="H273" s="134"/>
      <c r="I273" s="134"/>
      <c r="J273" s="135"/>
      <c r="K273" s="135">
        <f>E273</f>
        <v>8.7799999999999994</v>
      </c>
      <c r="L273" s="134">
        <f>ROUND(D273*K273,2)</f>
        <v>8.7799999999999994</v>
      </c>
      <c r="M273" s="136"/>
    </row>
    <row r="274" spans="1:13" s="131" customFormat="1" ht="12.75">
      <c r="A274" s="139"/>
      <c r="B274" s="140"/>
      <c r="C274" s="141"/>
      <c r="D274" s="142"/>
      <c r="E274" s="143"/>
      <c r="F274" s="142"/>
      <c r="G274" s="142"/>
      <c r="H274" s="143"/>
      <c r="I274" s="143"/>
      <c r="J274" s="144"/>
      <c r="K274" s="144"/>
      <c r="L274" s="142"/>
      <c r="M274" s="145"/>
    </row>
    <row r="275" spans="1:13" ht="12.75">
      <c r="A275" s="184" t="str">
        <f>'BM02'!A90</f>
        <v>1.7.7</v>
      </c>
      <c r="B275" s="211" t="str">
        <f>'BM02'!B90</f>
        <v>Impermeabilização com aplicação de argamassa polimérica tipo Denvertec 100 ou similar</v>
      </c>
      <c r="C275" s="212"/>
      <c r="D275" s="212"/>
      <c r="E275" s="212"/>
      <c r="F275" s="212"/>
      <c r="G275" s="212"/>
      <c r="H275" s="212"/>
      <c r="I275" s="212"/>
      <c r="J275" s="212"/>
      <c r="K275" s="213"/>
      <c r="L275" s="129">
        <f>ROUND(SUM(L276:L276),2)</f>
        <v>8.31</v>
      </c>
      <c r="M275" s="130" t="str">
        <f>'BM02'!C90</f>
        <v>m²</v>
      </c>
    </row>
    <row r="276" spans="1:13" s="131" customFormat="1" ht="12.75">
      <c r="A276" s="132"/>
      <c r="B276" s="209" t="s">
        <v>690</v>
      </c>
      <c r="C276" s="210"/>
      <c r="D276" s="134">
        <v>8.31</v>
      </c>
      <c r="E276" s="134"/>
      <c r="F276" s="134"/>
      <c r="G276" s="134"/>
      <c r="H276" s="134"/>
      <c r="I276" s="134"/>
      <c r="J276" s="135"/>
      <c r="K276" s="135"/>
      <c r="L276" s="134">
        <f>D276</f>
        <v>8.31</v>
      </c>
      <c r="M276" s="136"/>
    </row>
    <row r="277" spans="1:13" s="131" customFormat="1" ht="12.75">
      <c r="A277" s="139"/>
      <c r="B277" s="140"/>
      <c r="C277" s="141"/>
      <c r="D277" s="142"/>
      <c r="E277" s="143"/>
      <c r="F277" s="142"/>
      <c r="G277" s="142"/>
      <c r="H277" s="143"/>
      <c r="I277" s="143"/>
      <c r="J277" s="144"/>
      <c r="K277" s="144"/>
      <c r="L277" s="142"/>
      <c r="M277" s="145"/>
    </row>
    <row r="278" spans="1:13" ht="30" customHeight="1">
      <c r="A278" s="128" t="str">
        <f>'BM02'!A91</f>
        <v>1.7.8</v>
      </c>
      <c r="B278" s="211" t="str">
        <f>'BM02'!B91</f>
        <v>FORRO EM RÉGUAS DE PVC, FRISADO, PARA AMBIENTES RESIDENCIAIS, INCLUSIVE ESTRUTURA DE FIXAÇÃO. AF_05/2017_P</v>
      </c>
      <c r="C278" s="212"/>
      <c r="D278" s="212"/>
      <c r="E278" s="212"/>
      <c r="F278" s="212"/>
      <c r="G278" s="212"/>
      <c r="H278" s="212"/>
      <c r="I278" s="212"/>
      <c r="J278" s="212"/>
      <c r="K278" s="213"/>
      <c r="L278" s="129">
        <f>ROUND(SUM(L279:L279),2)</f>
        <v>0</v>
      </c>
      <c r="M278" s="130" t="str">
        <f>'BM02'!C91</f>
        <v>m²</v>
      </c>
    </row>
    <row r="279" spans="1:13" s="131" customFormat="1" ht="12.75">
      <c r="A279" s="132"/>
      <c r="B279" s="209"/>
      <c r="C279" s="210"/>
      <c r="D279" s="134"/>
      <c r="E279" s="134"/>
      <c r="F279" s="134"/>
      <c r="G279" s="134"/>
      <c r="H279" s="134"/>
      <c r="I279" s="134"/>
      <c r="J279" s="135"/>
      <c r="K279" s="135"/>
      <c r="L279" s="134"/>
      <c r="M279" s="136"/>
    </row>
    <row r="280" spans="1:13" s="131" customFormat="1" ht="12.75">
      <c r="A280" s="139"/>
      <c r="B280" s="140"/>
      <c r="C280" s="141"/>
      <c r="D280" s="142"/>
      <c r="E280" s="143"/>
      <c r="F280" s="142"/>
      <c r="G280" s="142"/>
      <c r="H280" s="143"/>
      <c r="I280" s="143"/>
      <c r="J280" s="144"/>
      <c r="K280" s="144"/>
      <c r="L280" s="142"/>
      <c r="M280" s="145"/>
    </row>
    <row r="281" spans="1:13" ht="12.75">
      <c r="A281" s="128" t="str">
        <f>'BM04'!A104</f>
        <v>1.7.9</v>
      </c>
      <c r="B281" s="211" t="str">
        <f>'BM04'!B104</f>
        <v>FORRO EM PLACAS DE GESSO, PARA AMBIENTES COMERCIAIS. AF_05/2017_P</v>
      </c>
      <c r="C281" s="212"/>
      <c r="D281" s="212"/>
      <c r="E281" s="212"/>
      <c r="F281" s="212"/>
      <c r="G281" s="212"/>
      <c r="H281" s="212"/>
      <c r="I281" s="212"/>
      <c r="J281" s="212"/>
      <c r="K281" s="213"/>
      <c r="L281" s="129">
        <f>ROUND(SUM(L282:L282),2)</f>
        <v>51.84</v>
      </c>
      <c r="M281" s="130" t="str">
        <f>'BM04'!C104</f>
        <v>M²</v>
      </c>
    </row>
    <row r="282" spans="1:13" s="131" customFormat="1" ht="12.75">
      <c r="A282" s="132"/>
      <c r="B282" s="209" t="s">
        <v>691</v>
      </c>
      <c r="C282" s="210"/>
      <c r="D282" s="134">
        <v>1</v>
      </c>
      <c r="E282" s="134">
        <v>7.2</v>
      </c>
      <c r="F282" s="134"/>
      <c r="G282" s="134">
        <v>7.2</v>
      </c>
      <c r="H282" s="134"/>
      <c r="I282" s="134"/>
      <c r="J282" s="135"/>
      <c r="K282" s="135">
        <f>E282*G282</f>
        <v>51.84</v>
      </c>
      <c r="L282" s="134">
        <f>ROUND(D282*K282,2)</f>
        <v>51.84</v>
      </c>
      <c r="M282" s="136"/>
    </row>
    <row r="283" spans="1:13" s="131" customFormat="1" ht="12.75">
      <c r="A283" s="139"/>
      <c r="B283" s="140"/>
      <c r="C283" s="141"/>
      <c r="D283" s="142"/>
      <c r="E283" s="143"/>
      <c r="F283" s="142"/>
      <c r="G283" s="142"/>
      <c r="H283" s="143"/>
      <c r="I283" s="143"/>
      <c r="J283" s="144"/>
      <c r="K283" s="144"/>
      <c r="L283" s="142"/>
      <c r="M283" s="145"/>
    </row>
    <row r="284" spans="1:13" ht="12.75">
      <c r="A284" s="128" t="str">
        <f>'BM04'!A105</f>
        <v>1.7.10</v>
      </c>
      <c r="B284" s="211" t="str">
        <f>'BM04'!B105</f>
        <v>Emassamento de beiral de telha ceramica</v>
      </c>
      <c r="C284" s="212"/>
      <c r="D284" s="212"/>
      <c r="E284" s="212"/>
      <c r="F284" s="212"/>
      <c r="G284" s="212"/>
      <c r="H284" s="212"/>
      <c r="I284" s="212"/>
      <c r="J284" s="212"/>
      <c r="K284" s="213"/>
      <c r="L284" s="129">
        <f>ROUND(SUM(L285:L286),2)</f>
        <v>101.42</v>
      </c>
      <c r="M284" s="130" t="str">
        <f>'BM04'!C105</f>
        <v>M</v>
      </c>
    </row>
    <row r="285" spans="1:13" s="131" customFormat="1" ht="28.9" customHeight="1">
      <c r="A285" s="132"/>
      <c r="B285" s="209" t="s">
        <v>692</v>
      </c>
      <c r="C285" s="210"/>
      <c r="D285" s="134">
        <v>2</v>
      </c>
      <c r="E285" s="134">
        <v>30.2</v>
      </c>
      <c r="F285" s="134"/>
      <c r="G285" s="134"/>
      <c r="H285" s="134"/>
      <c r="I285" s="134"/>
      <c r="J285" s="135"/>
      <c r="K285" s="135">
        <f>E285</f>
        <v>30.2</v>
      </c>
      <c r="L285" s="134">
        <f>ROUND(D285*K285,2)</f>
        <v>60.4</v>
      </c>
      <c r="M285" s="136"/>
    </row>
    <row r="286" spans="1:13" s="131" customFormat="1" ht="28.9" customHeight="1">
      <c r="A286" s="132"/>
      <c r="B286" s="209" t="s">
        <v>693</v>
      </c>
      <c r="C286" s="210"/>
      <c r="D286" s="134">
        <v>2</v>
      </c>
      <c r="E286" s="134">
        <v>20.51</v>
      </c>
      <c r="F286" s="134"/>
      <c r="G286" s="134"/>
      <c r="H286" s="134"/>
      <c r="I286" s="134"/>
      <c r="J286" s="135"/>
      <c r="K286" s="135">
        <f>E286</f>
        <v>20.51</v>
      </c>
      <c r="L286" s="134">
        <f>ROUND(D286*K286,2)</f>
        <v>41.02</v>
      </c>
      <c r="M286" s="136"/>
    </row>
    <row r="287" spans="1:13" s="131" customFormat="1" ht="13.5" thickBot="1">
      <c r="A287" s="139"/>
      <c r="B287" s="140"/>
      <c r="C287" s="141"/>
      <c r="D287" s="142"/>
      <c r="E287" s="143"/>
      <c r="F287" s="142"/>
      <c r="G287" s="142"/>
      <c r="H287" s="143"/>
      <c r="I287" s="143"/>
      <c r="J287" s="144"/>
      <c r="K287" s="144"/>
      <c r="L287" s="142"/>
      <c r="M287" s="145"/>
    </row>
    <row r="288" spans="1:13" ht="13.5" thickBot="1">
      <c r="A288" s="121" t="str">
        <f>'BM02'!A93</f>
        <v>1.8</v>
      </c>
      <c r="B288" s="122" t="str">
        <f>'BM02'!B93</f>
        <v>REVESTIMENTO E FORRO</v>
      </c>
      <c r="C288" s="122"/>
      <c r="D288" s="122"/>
      <c r="E288" s="122"/>
      <c r="F288" s="122"/>
      <c r="G288" s="122"/>
      <c r="H288" s="122"/>
      <c r="I288" s="122"/>
      <c r="J288" s="122"/>
      <c r="K288" s="122"/>
      <c r="L288" s="122"/>
      <c r="M288" s="123"/>
    </row>
    <row r="289" spans="1:13" ht="12.75">
      <c r="A289" s="124"/>
      <c r="B289" s="125"/>
      <c r="C289" s="125"/>
      <c r="D289" s="125"/>
      <c r="E289" s="125"/>
      <c r="F289" s="125"/>
      <c r="G289" s="125"/>
      <c r="H289" s="125"/>
      <c r="I289" s="125"/>
      <c r="J289" s="125"/>
      <c r="K289" s="126"/>
      <c r="L289" s="125"/>
      <c r="M289" s="127"/>
    </row>
    <row r="290" spans="1:13" ht="30" customHeight="1">
      <c r="A290" s="128" t="str">
        <f>'BM02'!A95</f>
        <v>1.8.1</v>
      </c>
      <c r="B290" s="211" t="str">
        <f>'BM02'!B95</f>
        <v>CHAPISCO APLICADO EM ALVENARIAS E ESTRUTURAS DE CONCRETO INTERNAS, COM COLHER DE PEDREIRO. ARGAMASSA TRAÇO 1:3 COM PREPARO EM BETONEIRA 400L. AF_06/2014</v>
      </c>
      <c r="C290" s="212"/>
      <c r="D290" s="212"/>
      <c r="E290" s="212"/>
      <c r="F290" s="212"/>
      <c r="G290" s="212"/>
      <c r="H290" s="212"/>
      <c r="I290" s="212"/>
      <c r="J290" s="212"/>
      <c r="K290" s="213"/>
      <c r="L290" s="129">
        <f>SUM(L291:L294)</f>
        <v>156.46</v>
      </c>
      <c r="M290" s="130" t="str">
        <f>'BM02'!C95</f>
        <v>m²</v>
      </c>
    </row>
    <row r="291" spans="1:13" s="131" customFormat="1" ht="12.75">
      <c r="A291" s="132"/>
      <c r="B291" s="290" t="s">
        <v>644</v>
      </c>
      <c r="C291" s="291"/>
      <c r="D291" s="134">
        <f>2*L175</f>
        <v>117.11999999999999</v>
      </c>
      <c r="E291" s="134"/>
      <c r="F291" s="134"/>
      <c r="G291" s="134"/>
      <c r="H291" s="134"/>
      <c r="I291" s="134"/>
      <c r="J291" s="135"/>
      <c r="K291" s="135">
        <f>D291</f>
        <v>117.11999999999999</v>
      </c>
      <c r="L291" s="134">
        <f>K291</f>
        <v>117.11999999999999</v>
      </c>
      <c r="M291" s="136"/>
    </row>
    <row r="292" spans="1:13" s="131" customFormat="1" ht="12.75">
      <c r="A292" s="132"/>
      <c r="B292" s="290" t="s">
        <v>544</v>
      </c>
      <c r="C292" s="291"/>
      <c r="D292" s="134">
        <v>2</v>
      </c>
      <c r="E292" s="134">
        <v>9.9499999999999993</v>
      </c>
      <c r="F292" s="134"/>
      <c r="G292" s="134">
        <f>1.7/2</f>
        <v>0.85</v>
      </c>
      <c r="H292" s="134"/>
      <c r="I292" s="134"/>
      <c r="J292" s="135"/>
      <c r="K292" s="135">
        <f>E292*G292</f>
        <v>8.4574999999999996</v>
      </c>
      <c r="L292" s="134">
        <f>ROUND(D292*K292,2)</f>
        <v>16.920000000000002</v>
      </c>
      <c r="M292" s="136"/>
    </row>
    <row r="293" spans="1:13" s="131" customFormat="1" ht="28.9" customHeight="1">
      <c r="A293" s="132"/>
      <c r="B293" s="290" t="s">
        <v>577</v>
      </c>
      <c r="C293" s="291"/>
      <c r="D293" s="134">
        <v>2</v>
      </c>
      <c r="E293" s="134">
        <v>8.6</v>
      </c>
      <c r="F293" s="134"/>
      <c r="G293" s="134">
        <f>1.7/2</f>
        <v>0.85</v>
      </c>
      <c r="H293" s="134"/>
      <c r="I293" s="134"/>
      <c r="J293" s="135"/>
      <c r="K293" s="135">
        <f>E293*G293</f>
        <v>7.31</v>
      </c>
      <c r="L293" s="134">
        <f>ROUND(D293*K293,2)</f>
        <v>14.62</v>
      </c>
      <c r="M293" s="136"/>
    </row>
    <row r="294" spans="1:13" s="131" customFormat="1" ht="28.9" customHeight="1">
      <c r="A294" s="132"/>
      <c r="B294" s="290" t="s">
        <v>573</v>
      </c>
      <c r="C294" s="291"/>
      <c r="D294" s="134">
        <v>2</v>
      </c>
      <c r="E294" s="134">
        <v>19.510000000000002</v>
      </c>
      <c r="F294" s="134"/>
      <c r="G294" s="134">
        <v>0.2</v>
      </c>
      <c r="H294" s="134"/>
      <c r="I294" s="134"/>
      <c r="J294" s="135"/>
      <c r="K294" s="135">
        <f>E294*G294</f>
        <v>3.9020000000000006</v>
      </c>
      <c r="L294" s="134">
        <f>ROUND(D294*K294,2)</f>
        <v>7.8</v>
      </c>
      <c r="M294" s="136"/>
    </row>
    <row r="295" spans="1:13" s="131" customFormat="1" ht="12.75">
      <c r="A295" s="146"/>
      <c r="B295" s="181"/>
      <c r="C295" s="181"/>
      <c r="D295" s="142"/>
      <c r="E295" s="142"/>
      <c r="F295" s="142"/>
      <c r="G295" s="142"/>
      <c r="H295" s="142"/>
      <c r="I295" s="142"/>
      <c r="J295" s="144"/>
      <c r="K295" s="144"/>
      <c r="L295" s="142"/>
      <c r="M295" s="145"/>
    </row>
    <row r="296" spans="1:13" s="131" customFormat="1" ht="43.15" customHeight="1">
      <c r="A296" s="128" t="str">
        <f>'BM02'!A96</f>
        <v>1.8.2</v>
      </c>
      <c r="B296" s="211" t="str">
        <f>'BM02'!B96</f>
        <v>MASSA ÚNICA, PARA RECEBIMENTO DE PINTURA, EM ARGAMASSA TRAÇO 1:2:8, PREPARO MECÂNICO COM BETONEIRA 400L, APLICADA MANUALMENTE EM FACES INTERNAS DE PAREDES, ESPESSURA DE 20MM, COM EXECUÇÃO DE TALISCAS. AF_06/2014</v>
      </c>
      <c r="C296" s="212"/>
      <c r="D296" s="212"/>
      <c r="E296" s="212"/>
      <c r="F296" s="212"/>
      <c r="G296" s="212"/>
      <c r="H296" s="212"/>
      <c r="I296" s="212"/>
      <c r="J296" s="212"/>
      <c r="K296" s="213"/>
      <c r="L296" s="129">
        <f>SUM(L297:L297)</f>
        <v>156.46</v>
      </c>
      <c r="M296" s="130" t="str">
        <f>'BM02'!C96</f>
        <v>m²</v>
      </c>
    </row>
    <row r="297" spans="1:13" s="131" customFormat="1" ht="12.75">
      <c r="A297" s="132"/>
      <c r="B297" s="209" t="s">
        <v>549</v>
      </c>
      <c r="C297" s="210"/>
      <c r="D297" s="134">
        <f>L290</f>
        <v>156.46</v>
      </c>
      <c r="E297" s="134"/>
      <c r="F297" s="134"/>
      <c r="G297" s="134"/>
      <c r="H297" s="134"/>
      <c r="I297" s="134"/>
      <c r="J297" s="135"/>
      <c r="K297" s="135">
        <f>D297</f>
        <v>156.46</v>
      </c>
      <c r="L297" s="134">
        <f>ROUND(K297,2)</f>
        <v>156.46</v>
      </c>
      <c r="M297" s="136"/>
    </row>
    <row r="298" spans="1:13" s="131" customFormat="1" ht="12.75">
      <c r="A298" s="139"/>
      <c r="B298" s="140"/>
      <c r="C298" s="141"/>
      <c r="D298" s="142"/>
      <c r="E298" s="143"/>
      <c r="F298" s="142"/>
      <c r="G298" s="142"/>
      <c r="H298" s="143"/>
      <c r="I298" s="143"/>
      <c r="J298" s="144"/>
      <c r="K298" s="144"/>
      <c r="L298" s="142"/>
      <c r="M298" s="145"/>
    </row>
    <row r="299" spans="1:13" s="131" customFormat="1" ht="43.15" customHeight="1">
      <c r="A299" s="128" t="str">
        <f>'BM02'!A97</f>
        <v>1.8.3</v>
      </c>
      <c r="B299" s="211" t="str">
        <f>'BM02'!B97</f>
        <v>EMBOÇO, PARA RECEBIMENTO DE CERÂMICA, EM ARGAMASSA TRAÇO 1:2:8, PREPARO MANUAL, APLICADO MANUALMENTE EM FACES INTERNAS DE PAREDES, PARA AMBIENTE COM ÁREA MAIOR QUE 10M2, ESPESSURA DE 20MM, COM EXECUÇÃO DE TALISCAS. AF_06/2014</v>
      </c>
      <c r="C299" s="212"/>
      <c r="D299" s="212"/>
      <c r="E299" s="212"/>
      <c r="F299" s="212"/>
      <c r="G299" s="212"/>
      <c r="H299" s="212"/>
      <c r="I299" s="212"/>
      <c r="J299" s="212"/>
      <c r="K299" s="213"/>
      <c r="L299" s="129">
        <f>SUM(L300:L300)</f>
        <v>0</v>
      </c>
      <c r="M299" s="130" t="str">
        <f>'BM02'!C97</f>
        <v>m²</v>
      </c>
    </row>
    <row r="300" spans="1:13" s="131" customFormat="1" ht="14.45" customHeight="1">
      <c r="A300" s="132"/>
      <c r="B300" s="209"/>
      <c r="C300" s="210"/>
      <c r="D300" s="134"/>
      <c r="E300" s="134"/>
      <c r="F300" s="134"/>
      <c r="G300" s="134"/>
      <c r="H300" s="134"/>
      <c r="I300" s="134"/>
      <c r="J300" s="135"/>
      <c r="K300" s="135"/>
      <c r="L300" s="134">
        <f>ROUND(K300,2)</f>
        <v>0</v>
      </c>
      <c r="M300" s="136"/>
    </row>
    <row r="301" spans="1:13" s="131" customFormat="1" ht="12.75">
      <c r="A301" s="139"/>
      <c r="B301" s="140"/>
      <c r="C301" s="141"/>
      <c r="D301" s="142"/>
      <c r="E301" s="143"/>
      <c r="F301" s="142"/>
      <c r="G301" s="142"/>
      <c r="H301" s="143"/>
      <c r="I301" s="143"/>
      <c r="J301" s="144"/>
      <c r="K301" s="144"/>
      <c r="L301" s="142"/>
      <c r="M301" s="145"/>
    </row>
    <row r="302" spans="1:13" ht="30" customHeight="1">
      <c r="A302" s="128" t="str">
        <f>'BM02'!A98</f>
        <v>1.8.4</v>
      </c>
      <c r="B302" s="211" t="str">
        <f>'BM02'!B98</f>
        <v>Revestimento cerâmico para parede, 10 x 10 cm, Eliane, linha galeria chumbo mesh ou similar, pei - 2, aplicado com argamassa industrializada ac-ii, rejuntado, exclusive regularização de base ou emboço - Rev 01</v>
      </c>
      <c r="C302" s="212"/>
      <c r="D302" s="212"/>
      <c r="E302" s="212"/>
      <c r="F302" s="212"/>
      <c r="G302" s="212"/>
      <c r="H302" s="212"/>
      <c r="I302" s="212"/>
      <c r="J302" s="212"/>
      <c r="K302" s="213"/>
      <c r="L302" s="129">
        <f>SUM(L303:L303)</f>
        <v>0</v>
      </c>
      <c r="M302" s="130" t="str">
        <f>'BM02'!C98</f>
        <v>m²</v>
      </c>
    </row>
    <row r="303" spans="1:13" s="131" customFormat="1" ht="12.75">
      <c r="A303" s="132"/>
      <c r="B303" s="209"/>
      <c r="C303" s="210"/>
      <c r="D303" s="134"/>
      <c r="E303" s="134"/>
      <c r="F303" s="134"/>
      <c r="G303" s="134"/>
      <c r="H303" s="134"/>
      <c r="I303" s="134"/>
      <c r="J303" s="135"/>
      <c r="K303" s="135"/>
      <c r="L303" s="134">
        <f>ROUND(K303,2)</f>
        <v>0</v>
      </c>
      <c r="M303" s="136"/>
    </row>
    <row r="304" spans="1:13" s="131" customFormat="1" ht="13.5" thickBot="1">
      <c r="A304" s="139"/>
      <c r="B304" s="140"/>
      <c r="C304" s="141"/>
      <c r="D304" s="142"/>
      <c r="E304" s="143"/>
      <c r="F304" s="142"/>
      <c r="G304" s="142"/>
      <c r="H304" s="143"/>
      <c r="I304" s="143"/>
      <c r="J304" s="144"/>
      <c r="K304" s="144"/>
      <c r="L304" s="142"/>
      <c r="M304" s="145"/>
    </row>
    <row r="305" spans="1:13" ht="13.5" thickBot="1">
      <c r="A305" s="121" t="str">
        <f>'BM02'!A100</f>
        <v>1.9</v>
      </c>
      <c r="B305" s="122" t="str">
        <f>'BM02'!B100</f>
        <v>PINTURA</v>
      </c>
      <c r="C305" s="122"/>
      <c r="D305" s="122"/>
      <c r="E305" s="122"/>
      <c r="F305" s="122"/>
      <c r="G305" s="122"/>
      <c r="H305" s="122"/>
      <c r="I305" s="122"/>
      <c r="J305" s="122"/>
      <c r="K305" s="122"/>
      <c r="L305" s="122"/>
      <c r="M305" s="123"/>
    </row>
    <row r="306" spans="1:13" ht="12.75">
      <c r="A306" s="124"/>
      <c r="B306" s="125"/>
      <c r="C306" s="125"/>
      <c r="D306" s="125"/>
      <c r="E306" s="125"/>
      <c r="F306" s="125"/>
      <c r="G306" s="125"/>
      <c r="H306" s="125"/>
      <c r="I306" s="125"/>
      <c r="J306" s="125"/>
      <c r="K306" s="126"/>
      <c r="L306" s="125"/>
      <c r="M306" s="127"/>
    </row>
    <row r="307" spans="1:13" ht="12.75">
      <c r="A307" s="184" t="str">
        <f>'BM02'!A102</f>
        <v>1.9.1</v>
      </c>
      <c r="B307" s="211" t="str">
        <f>'BM02'!B102</f>
        <v>APLICAÇÃO DE FUNDO SELADOR ACRÍLICO EM PAREDES, UMA DEMÃO. AF_06/2014</v>
      </c>
      <c r="C307" s="212"/>
      <c r="D307" s="212"/>
      <c r="E307" s="212"/>
      <c r="F307" s="212"/>
      <c r="G307" s="212"/>
      <c r="H307" s="212"/>
      <c r="I307" s="212"/>
      <c r="J307" s="212"/>
      <c r="K307" s="213"/>
      <c r="L307" s="129">
        <f>L308</f>
        <v>0</v>
      </c>
      <c r="M307" s="185" t="str">
        <f>'BM02'!C102</f>
        <v>m²</v>
      </c>
    </row>
    <row r="308" spans="1:13" s="131" customFormat="1" ht="12.75">
      <c r="A308" s="132"/>
      <c r="B308" s="209"/>
      <c r="C308" s="210"/>
      <c r="D308" s="134"/>
      <c r="E308" s="134"/>
      <c r="F308" s="134"/>
      <c r="G308" s="134"/>
      <c r="H308" s="134"/>
      <c r="I308" s="134"/>
      <c r="J308" s="135"/>
      <c r="K308" s="135"/>
      <c r="L308" s="134">
        <f>ROUND(D308*K308,2)</f>
        <v>0</v>
      </c>
      <c r="M308" s="136"/>
    </row>
    <row r="309" spans="1:13" s="131" customFormat="1" ht="12.75">
      <c r="A309" s="139"/>
      <c r="B309" s="140"/>
      <c r="C309" s="141"/>
      <c r="D309" s="142"/>
      <c r="E309" s="143"/>
      <c r="F309" s="142"/>
      <c r="G309" s="142"/>
      <c r="H309" s="143"/>
      <c r="I309" s="143"/>
      <c r="J309" s="144"/>
      <c r="K309" s="144"/>
      <c r="L309" s="142"/>
      <c r="M309" s="145"/>
    </row>
    <row r="310" spans="1:13" ht="12.75">
      <c r="A310" s="184" t="str">
        <f>'BM02'!A103</f>
        <v>1.9.2</v>
      </c>
      <c r="B310" s="211" t="str">
        <f>'BM02'!B103</f>
        <v>APLICAÇÃO E LIXAMENTO DE MASSA LÁTEX EM PAREDES, DUAS DEMÃOS. AF_06/2014</v>
      </c>
      <c r="C310" s="212"/>
      <c r="D310" s="212"/>
      <c r="E310" s="212"/>
      <c r="F310" s="212"/>
      <c r="G310" s="212"/>
      <c r="H310" s="212"/>
      <c r="I310" s="212"/>
      <c r="J310" s="212"/>
      <c r="K310" s="213"/>
      <c r="L310" s="129">
        <f>L311</f>
        <v>0</v>
      </c>
      <c r="M310" s="185" t="str">
        <f>'BM02'!C103</f>
        <v>m²</v>
      </c>
    </row>
    <row r="311" spans="1:13" s="131" customFormat="1" ht="12.75">
      <c r="A311" s="132"/>
      <c r="B311" s="209"/>
      <c r="C311" s="210"/>
      <c r="D311" s="134"/>
      <c r="E311" s="134"/>
      <c r="F311" s="134"/>
      <c r="G311" s="134"/>
      <c r="H311" s="134"/>
      <c r="I311" s="134"/>
      <c r="J311" s="135"/>
      <c r="K311" s="135"/>
      <c r="L311" s="134">
        <f>ROUND(D311*K311,2)</f>
        <v>0</v>
      </c>
      <c r="M311" s="136"/>
    </row>
    <row r="312" spans="1:13" s="131" customFormat="1" ht="12.75">
      <c r="A312" s="139"/>
      <c r="B312" s="140"/>
      <c r="C312" s="141"/>
      <c r="D312" s="142"/>
      <c r="E312" s="143"/>
      <c r="F312" s="142"/>
      <c r="G312" s="142"/>
      <c r="H312" s="143"/>
      <c r="I312" s="143"/>
      <c r="J312" s="144"/>
      <c r="K312" s="144"/>
      <c r="L312" s="142"/>
      <c r="M312" s="145"/>
    </row>
    <row r="313" spans="1:13" ht="30" customHeight="1">
      <c r="A313" s="128" t="str">
        <f>'BM02'!A104</f>
        <v>1.9.3</v>
      </c>
      <c r="B313" s="211" t="str">
        <f>'BM02'!B104</f>
        <v>APLICAÇÃO MANUAL DE MASSA ACRÍLICA EM PANOS DE FACHADA SEM PRESENÇA DE VÃOS, DE EDIFÍCIOS DE MÚLTIPLOS PAVIMENTOS, DUAS DEMÃOS. AF_05/2017</v>
      </c>
      <c r="C313" s="212"/>
      <c r="D313" s="212"/>
      <c r="E313" s="212"/>
      <c r="F313" s="212"/>
      <c r="G313" s="212"/>
      <c r="H313" s="212"/>
      <c r="I313" s="212"/>
      <c r="J313" s="212"/>
      <c r="K313" s="213"/>
      <c r="L313" s="129">
        <f>L314</f>
        <v>0</v>
      </c>
      <c r="M313" s="185" t="str">
        <f>'BM02'!C104</f>
        <v>m²</v>
      </c>
    </row>
    <row r="314" spans="1:13" s="131" customFormat="1" ht="12.75">
      <c r="A314" s="132"/>
      <c r="B314" s="209"/>
      <c r="C314" s="210"/>
      <c r="D314" s="134"/>
      <c r="E314" s="134"/>
      <c r="F314" s="134"/>
      <c r="G314" s="134"/>
      <c r="H314" s="134"/>
      <c r="I314" s="134"/>
      <c r="J314" s="135"/>
      <c r="K314" s="135"/>
      <c r="L314" s="134">
        <f>ROUND(D314*K314,2)</f>
        <v>0</v>
      </c>
      <c r="M314" s="136"/>
    </row>
    <row r="315" spans="1:13" s="131" customFormat="1" ht="12.75">
      <c r="A315" s="139"/>
      <c r="B315" s="140"/>
      <c r="C315" s="141"/>
      <c r="D315" s="142"/>
      <c r="E315" s="143"/>
      <c r="F315" s="142"/>
      <c r="G315" s="142"/>
      <c r="H315" s="143"/>
      <c r="I315" s="143"/>
      <c r="J315" s="144"/>
      <c r="K315" s="144"/>
      <c r="L315" s="142"/>
      <c r="M315" s="145"/>
    </row>
    <row r="316" spans="1:13" ht="12.75">
      <c r="A316" s="184" t="str">
        <f>'BM02'!A105</f>
        <v>1.9.4</v>
      </c>
      <c r="B316" s="211" t="str">
        <f>'BM02'!B105</f>
        <v>APLICAÇÃO MANUAL DE PINTURA COM TINTA LÁTEX ACRÍLICA EM PAREDES, DUAS DEMÃOS. AF_06/2014</v>
      </c>
      <c r="C316" s="212"/>
      <c r="D316" s="212"/>
      <c r="E316" s="212"/>
      <c r="F316" s="212"/>
      <c r="G316" s="212"/>
      <c r="H316" s="212"/>
      <c r="I316" s="212"/>
      <c r="J316" s="212"/>
      <c r="K316" s="213"/>
      <c r="L316" s="129">
        <f>L317</f>
        <v>0</v>
      </c>
      <c r="M316" s="185" t="str">
        <f>'BM02'!C105</f>
        <v>m²</v>
      </c>
    </row>
    <row r="317" spans="1:13" s="131" customFormat="1" ht="12.75">
      <c r="A317" s="132"/>
      <c r="B317" s="209"/>
      <c r="C317" s="210"/>
      <c r="D317" s="134"/>
      <c r="E317" s="134"/>
      <c r="F317" s="134"/>
      <c r="G317" s="134"/>
      <c r="H317" s="134"/>
      <c r="I317" s="134"/>
      <c r="J317" s="135"/>
      <c r="K317" s="135"/>
      <c r="L317" s="134">
        <f>ROUND(D317*K317,2)</f>
        <v>0</v>
      </c>
      <c r="M317" s="136"/>
    </row>
    <row r="318" spans="1:13" s="131" customFormat="1" ht="12.75">
      <c r="A318" s="139"/>
      <c r="B318" s="140"/>
      <c r="C318" s="141"/>
      <c r="D318" s="142"/>
      <c r="E318" s="143"/>
      <c r="F318" s="142"/>
      <c r="G318" s="142"/>
      <c r="H318" s="143"/>
      <c r="I318" s="143"/>
      <c r="J318" s="144"/>
      <c r="K318" s="144"/>
      <c r="L318" s="142"/>
      <c r="M318" s="145"/>
    </row>
    <row r="319" spans="1:13" ht="12.75">
      <c r="A319" s="184" t="str">
        <f>'BM02'!A106</f>
        <v>1.9.5</v>
      </c>
      <c r="B319" s="211" t="str">
        <f>'BM02'!B106</f>
        <v>PINTURA TINTA DE ACABAMENTO (PIGMENTADA) ESMALTE SINTÉTICO FOSCO EM MADEIRA, 3 DEMÃOS. AF_01/2021</v>
      </c>
      <c r="C319" s="212"/>
      <c r="D319" s="212"/>
      <c r="E319" s="212"/>
      <c r="F319" s="212"/>
      <c r="G319" s="212"/>
      <c r="H319" s="212"/>
      <c r="I319" s="212"/>
      <c r="J319" s="212"/>
      <c r="K319" s="213"/>
      <c r="L319" s="129">
        <f>L320</f>
        <v>0</v>
      </c>
      <c r="M319" s="185" t="str">
        <f>'BM02'!C106</f>
        <v>m²</v>
      </c>
    </row>
    <row r="320" spans="1:13" s="131" customFormat="1" ht="12.75">
      <c r="A320" s="132"/>
      <c r="B320" s="209"/>
      <c r="C320" s="210"/>
      <c r="D320" s="134"/>
      <c r="E320" s="134"/>
      <c r="F320" s="134"/>
      <c r="G320" s="134"/>
      <c r="H320" s="134"/>
      <c r="I320" s="134"/>
      <c r="J320" s="135"/>
      <c r="K320" s="135"/>
      <c r="L320" s="134">
        <f>ROUND(D320*K320,2)</f>
        <v>0</v>
      </c>
      <c r="M320" s="136"/>
    </row>
    <row r="321" spans="1:13" s="131" customFormat="1" ht="12.75">
      <c r="A321" s="139"/>
      <c r="B321" s="140"/>
      <c r="C321" s="141"/>
      <c r="D321" s="142"/>
      <c r="E321" s="143"/>
      <c r="F321" s="142"/>
      <c r="G321" s="142"/>
      <c r="H321" s="143"/>
      <c r="I321" s="143"/>
      <c r="J321" s="144"/>
      <c r="K321" s="144"/>
      <c r="L321" s="142"/>
      <c r="M321" s="145"/>
    </row>
    <row r="322" spans="1:13" ht="30" customHeight="1">
      <c r="A322" s="128" t="str">
        <f>'BM02'!A107</f>
        <v>1.9.6</v>
      </c>
      <c r="B322" s="211" t="str">
        <f>'BM02'!B107</f>
        <v>PINTURA COM TINTA ALQUÍDICA DE FUNDO E ACABAMENTO (ESMALTE SINTÉTICO GRAFITE) APLICADA A ROLO OU PINCEL SOBRE SUPERFÍCIES METÁLICAS (EXCETO PERFIL) EXECUTADO EM OBRA (POR DEMÃO). AF_01/2020</v>
      </c>
      <c r="C322" s="212"/>
      <c r="D322" s="212"/>
      <c r="E322" s="212"/>
      <c r="F322" s="212"/>
      <c r="G322" s="212"/>
      <c r="H322" s="212"/>
      <c r="I322" s="212"/>
      <c r="J322" s="212"/>
      <c r="K322" s="213"/>
      <c r="L322" s="129">
        <f>L323</f>
        <v>0</v>
      </c>
      <c r="M322" s="185" t="str">
        <f>'BM02'!C107</f>
        <v>m²</v>
      </c>
    </row>
    <row r="323" spans="1:13" s="131" customFormat="1" ht="12.75">
      <c r="A323" s="132"/>
      <c r="B323" s="209"/>
      <c r="C323" s="210"/>
      <c r="D323" s="134"/>
      <c r="E323" s="134"/>
      <c r="F323" s="134"/>
      <c r="G323" s="134"/>
      <c r="H323" s="134"/>
      <c r="I323" s="134"/>
      <c r="J323" s="135"/>
      <c r="K323" s="135"/>
      <c r="L323" s="134">
        <f>ROUND(D323*K323,2)</f>
        <v>0</v>
      </c>
      <c r="M323" s="136"/>
    </row>
    <row r="324" spans="1:13" s="131" customFormat="1" ht="12.75">
      <c r="A324" s="139"/>
      <c r="B324" s="140"/>
      <c r="C324" s="141"/>
      <c r="D324" s="142"/>
      <c r="E324" s="143"/>
      <c r="F324" s="142"/>
      <c r="G324" s="142"/>
      <c r="H324" s="143"/>
      <c r="I324" s="143"/>
      <c r="J324" s="144"/>
      <c r="K324" s="144"/>
      <c r="L324" s="142"/>
      <c r="M324" s="145"/>
    </row>
    <row r="325" spans="1:13" ht="12.75">
      <c r="A325" s="184" t="str">
        <f>'BM02'!A108</f>
        <v>1.9.7</v>
      </c>
      <c r="B325" s="211" t="str">
        <f>'BM02'!B108</f>
        <v>APLICAÇÃO MANUAL DE PINTURA COM TINTA LÁTEX PVA EM PAREDES, DUAS DEMÃOS. AF_06/2014</v>
      </c>
      <c r="C325" s="212"/>
      <c r="D325" s="212"/>
      <c r="E325" s="212"/>
      <c r="F325" s="212"/>
      <c r="G325" s="212"/>
      <c r="H325" s="212"/>
      <c r="I325" s="212"/>
      <c r="J325" s="212"/>
      <c r="K325" s="213"/>
      <c r="L325" s="129">
        <f>L326</f>
        <v>0</v>
      </c>
      <c r="M325" s="185" t="str">
        <f>'BM02'!C108</f>
        <v>m²</v>
      </c>
    </row>
    <row r="326" spans="1:13" s="131" customFormat="1" ht="12.75">
      <c r="A326" s="132"/>
      <c r="B326" s="209"/>
      <c r="C326" s="210"/>
      <c r="D326" s="134"/>
      <c r="E326" s="134"/>
      <c r="F326" s="134"/>
      <c r="G326" s="134"/>
      <c r="H326" s="134"/>
      <c r="I326" s="134"/>
      <c r="J326" s="135"/>
      <c r="K326" s="135"/>
      <c r="L326" s="134">
        <f>ROUND(D326*K326,2)</f>
        <v>0</v>
      </c>
      <c r="M326" s="136"/>
    </row>
    <row r="327" spans="1:13" s="131" customFormat="1" ht="12.75">
      <c r="A327" s="139"/>
      <c r="B327" s="140"/>
      <c r="C327" s="141"/>
      <c r="D327" s="142"/>
      <c r="E327" s="143"/>
      <c r="F327" s="142"/>
      <c r="G327" s="142"/>
      <c r="H327" s="143"/>
      <c r="I327" s="143"/>
      <c r="J327" s="144"/>
      <c r="K327" s="144"/>
      <c r="L327" s="142"/>
      <c r="M327" s="145"/>
    </row>
    <row r="328" spans="1:13" ht="12.75">
      <c r="A328" s="184" t="str">
        <f>'BM02'!A109</f>
        <v>1.9.8</v>
      </c>
      <c r="B328" s="211" t="str">
        <f>'BM02'!B109</f>
        <v>PINTURA IMUNIZANTE PARA MADEIRA, 1 DEMÃO. AF_01/2021</v>
      </c>
      <c r="C328" s="212"/>
      <c r="D328" s="212"/>
      <c r="E328" s="212"/>
      <c r="F328" s="212"/>
      <c r="G328" s="212"/>
      <c r="H328" s="212"/>
      <c r="I328" s="212"/>
      <c r="J328" s="212"/>
      <c r="K328" s="213"/>
      <c r="L328" s="129">
        <f>L329</f>
        <v>0</v>
      </c>
      <c r="M328" s="185" t="str">
        <f>'BM02'!C109</f>
        <v>m²</v>
      </c>
    </row>
    <row r="329" spans="1:13" s="131" customFormat="1" ht="12.75">
      <c r="A329" s="132"/>
      <c r="B329" s="209"/>
      <c r="C329" s="210"/>
      <c r="D329" s="134"/>
      <c r="E329" s="134"/>
      <c r="F329" s="134"/>
      <c r="G329" s="134"/>
      <c r="H329" s="134"/>
      <c r="I329" s="134"/>
      <c r="J329" s="135"/>
      <c r="K329" s="135"/>
      <c r="L329" s="134">
        <f>ROUND(D329*K329,2)</f>
        <v>0</v>
      </c>
      <c r="M329" s="136"/>
    </row>
    <row r="330" spans="1:13" s="131" customFormat="1" ht="12.75">
      <c r="A330" s="139"/>
      <c r="B330" s="140"/>
      <c r="C330" s="141"/>
      <c r="D330" s="142"/>
      <c r="E330" s="143"/>
      <c r="F330" s="142"/>
      <c r="G330" s="142"/>
      <c r="H330" s="143"/>
      <c r="I330" s="143"/>
      <c r="J330" s="144"/>
      <c r="K330" s="144"/>
      <c r="L330" s="142"/>
      <c r="M330" s="145"/>
    </row>
    <row r="331" spans="1:13" ht="12.75">
      <c r="A331" s="128" t="str">
        <f>'BM04'!A124</f>
        <v>1.9.9</v>
      </c>
      <c r="B331" s="211" t="str">
        <f>'BM04'!B124</f>
        <v>APLICAÇÃO DE FUNDO SELADOR LÁTEX PVA EM TETO, UMA DEMÃO. AF_06/2014</v>
      </c>
      <c r="C331" s="212"/>
      <c r="D331" s="212"/>
      <c r="E331" s="212"/>
      <c r="F331" s="212"/>
      <c r="G331" s="212"/>
      <c r="H331" s="212"/>
      <c r="I331" s="212"/>
      <c r="J331" s="212"/>
      <c r="K331" s="213"/>
      <c r="L331" s="129">
        <f>L332</f>
        <v>0</v>
      </c>
      <c r="M331" s="185" t="str">
        <f>'BM04'!C124</f>
        <v>M²</v>
      </c>
    </row>
    <row r="332" spans="1:13" s="131" customFormat="1" ht="12.75">
      <c r="A332" s="132"/>
      <c r="B332" s="209"/>
      <c r="C332" s="210"/>
      <c r="D332" s="134"/>
      <c r="E332" s="134"/>
      <c r="F332" s="134"/>
      <c r="G332" s="134"/>
      <c r="H332" s="134"/>
      <c r="I332" s="134"/>
      <c r="J332" s="135"/>
      <c r="K332" s="135"/>
      <c r="L332" s="134">
        <f>ROUND(D332*K332,2)</f>
        <v>0</v>
      </c>
      <c r="M332" s="136"/>
    </row>
    <row r="333" spans="1:13" s="131" customFormat="1" ht="12.75">
      <c r="A333" s="139"/>
      <c r="B333" s="140"/>
      <c r="C333" s="141"/>
      <c r="D333" s="142"/>
      <c r="E333" s="143"/>
      <c r="F333" s="142"/>
      <c r="G333" s="142"/>
      <c r="H333" s="143"/>
      <c r="I333" s="143"/>
      <c r="J333" s="144"/>
      <c r="K333" s="144"/>
      <c r="L333" s="142"/>
      <c r="M333" s="145"/>
    </row>
    <row r="334" spans="1:13" ht="12.75">
      <c r="A334" s="184" t="str">
        <f>'BM04'!A125</f>
        <v>1.9.10</v>
      </c>
      <c r="B334" s="211" t="str">
        <f>'BM04'!B125</f>
        <v>APLICAÇÃO E LIXAMENTO DE MASSA LÁTEX EM TETO, UMA DEMÃO. AF_06/2014</v>
      </c>
      <c r="C334" s="212"/>
      <c r="D334" s="212"/>
      <c r="E334" s="212"/>
      <c r="F334" s="212"/>
      <c r="G334" s="212"/>
      <c r="H334" s="212"/>
      <c r="I334" s="212"/>
      <c r="J334" s="212"/>
      <c r="K334" s="213"/>
      <c r="L334" s="129">
        <f>L335</f>
        <v>0</v>
      </c>
      <c r="M334" s="185" t="str">
        <f>'BM04'!C125</f>
        <v>M²</v>
      </c>
    </row>
    <row r="335" spans="1:13" s="131" customFormat="1" ht="12.75">
      <c r="A335" s="132"/>
      <c r="B335" s="209"/>
      <c r="C335" s="210"/>
      <c r="D335" s="134"/>
      <c r="E335" s="134"/>
      <c r="F335" s="134"/>
      <c r="G335" s="134"/>
      <c r="H335" s="134"/>
      <c r="I335" s="134"/>
      <c r="J335" s="135"/>
      <c r="K335" s="135"/>
      <c r="L335" s="134">
        <f>ROUND(D335*K335,2)</f>
        <v>0</v>
      </c>
      <c r="M335" s="136"/>
    </row>
    <row r="336" spans="1:13" s="131" customFormat="1" ht="12.75">
      <c r="A336" s="139"/>
      <c r="B336" s="140"/>
      <c r="C336" s="141"/>
      <c r="D336" s="142"/>
      <c r="E336" s="143"/>
      <c r="F336" s="142"/>
      <c r="G336" s="142"/>
      <c r="H336" s="143"/>
      <c r="I336" s="143"/>
      <c r="J336" s="144"/>
      <c r="K336" s="144"/>
      <c r="L336" s="142"/>
      <c r="M336" s="145"/>
    </row>
    <row r="337" spans="1:14" ht="12.75">
      <c r="A337" s="184" t="str">
        <f>'BM04'!A126</f>
        <v>1.9.11</v>
      </c>
      <c r="B337" s="211" t="str">
        <f>'BM04'!B126</f>
        <v>APLICAÇÃO MANUAL DE PINTURA COM TINTA LÁTEX PVA EM TETO, DUAS DEMÃOS. AF_06/2014</v>
      </c>
      <c r="C337" s="212"/>
      <c r="D337" s="212"/>
      <c r="E337" s="212"/>
      <c r="F337" s="212"/>
      <c r="G337" s="212"/>
      <c r="H337" s="212"/>
      <c r="I337" s="212"/>
      <c r="J337" s="212"/>
      <c r="K337" s="213"/>
      <c r="L337" s="129">
        <f>L338</f>
        <v>0</v>
      </c>
      <c r="M337" s="185" t="str">
        <f>'BM04'!C126</f>
        <v>M²</v>
      </c>
    </row>
    <row r="338" spans="1:14" s="131" customFormat="1" ht="12.75">
      <c r="A338" s="132"/>
      <c r="B338" s="209"/>
      <c r="C338" s="210"/>
      <c r="D338" s="134"/>
      <c r="E338" s="134"/>
      <c r="F338" s="134"/>
      <c r="G338" s="134"/>
      <c r="H338" s="134"/>
      <c r="I338" s="134"/>
      <c r="J338" s="135"/>
      <c r="K338" s="135"/>
      <c r="L338" s="134">
        <f>ROUND(D338*K338,2)</f>
        <v>0</v>
      </c>
      <c r="M338" s="136"/>
    </row>
    <row r="339" spans="1:14" s="131" customFormat="1" ht="13.5" thickBot="1">
      <c r="A339" s="139"/>
      <c r="B339" s="140"/>
      <c r="C339" s="141"/>
      <c r="D339" s="142"/>
      <c r="E339" s="143"/>
      <c r="F339" s="142"/>
      <c r="G339" s="142"/>
      <c r="H339" s="143"/>
      <c r="I339" s="143"/>
      <c r="J339" s="144"/>
      <c r="K339" s="144"/>
      <c r="L339" s="142"/>
      <c r="M339" s="145"/>
    </row>
    <row r="340" spans="1:14" ht="13.5" thickBot="1">
      <c r="A340" s="121" t="str">
        <f>'BM02'!A111</f>
        <v>1.10</v>
      </c>
      <c r="B340" s="122" t="str">
        <f>'BM02'!B111</f>
        <v>PAVIMENTAÇÃO</v>
      </c>
      <c r="C340" s="122"/>
      <c r="D340" s="122"/>
      <c r="E340" s="122"/>
      <c r="F340" s="122"/>
      <c r="G340" s="122"/>
      <c r="H340" s="122"/>
      <c r="I340" s="122"/>
      <c r="J340" s="122"/>
      <c r="K340" s="122"/>
      <c r="L340" s="122"/>
      <c r="M340" s="123"/>
    </row>
    <row r="341" spans="1:14" ht="12.75">
      <c r="A341" s="124"/>
      <c r="B341" s="125"/>
      <c r="C341" s="125"/>
      <c r="D341" s="125"/>
      <c r="E341" s="125"/>
      <c r="F341" s="125"/>
      <c r="G341" s="125"/>
      <c r="H341" s="125"/>
      <c r="I341" s="125"/>
      <c r="J341" s="125"/>
      <c r="K341" s="126"/>
      <c r="L341" s="125"/>
      <c r="M341" s="127"/>
    </row>
    <row r="342" spans="1:14" ht="12.75">
      <c r="A342" s="184" t="str">
        <f>'BM02'!A113</f>
        <v>1.10.1</v>
      </c>
      <c r="B342" s="211" t="str">
        <f>'BM02'!B113</f>
        <v>LASTRO DE CONCRETO MAGRO, APLICADO EM PISOS OU RADIERS, ESPESSURA DE 5 CM. AF_07/2016</v>
      </c>
      <c r="C342" s="212"/>
      <c r="D342" s="212"/>
      <c r="E342" s="212"/>
      <c r="F342" s="212"/>
      <c r="G342" s="212"/>
      <c r="H342" s="212"/>
      <c r="I342" s="212"/>
      <c r="J342" s="212"/>
      <c r="K342" s="213"/>
      <c r="L342" s="129">
        <f>SUM(L343:L344)</f>
        <v>73.137500000000003</v>
      </c>
      <c r="M342" s="185" t="str">
        <f>'BM02'!C113</f>
        <v>m²</v>
      </c>
      <c r="N342" s="195"/>
    </row>
    <row r="343" spans="1:14" s="131" customFormat="1" ht="12.75">
      <c r="A343" s="132"/>
      <c r="B343" s="209" t="s">
        <v>542</v>
      </c>
      <c r="C343" s="210"/>
      <c r="D343" s="134">
        <v>1</v>
      </c>
      <c r="E343" s="134">
        <v>1.5455700000000001</v>
      </c>
      <c r="F343" s="134"/>
      <c r="G343" s="134">
        <v>2.25</v>
      </c>
      <c r="H343" s="134"/>
      <c r="I343" s="134"/>
      <c r="J343" s="135"/>
      <c r="K343" s="135">
        <f t="shared" ref="K343:K344" si="17">E343*G343</f>
        <v>3.4775325000000001</v>
      </c>
      <c r="L343" s="134">
        <f>ROUNDDOWN(D343*K343,4)</f>
        <v>3.4775</v>
      </c>
      <c r="M343" s="136"/>
    </row>
    <row r="344" spans="1:14" s="131" customFormat="1" ht="12.75">
      <c r="A344" s="132"/>
      <c r="B344" s="209" t="s">
        <v>694</v>
      </c>
      <c r="C344" s="210"/>
      <c r="D344" s="134">
        <v>1</v>
      </c>
      <c r="E344" s="134">
        <v>25.8</v>
      </c>
      <c r="F344" s="134"/>
      <c r="G344" s="134">
        <v>2.7</v>
      </c>
      <c r="H344" s="134"/>
      <c r="I344" s="134"/>
      <c r="J344" s="135"/>
      <c r="K344" s="135">
        <f t="shared" si="17"/>
        <v>69.660000000000011</v>
      </c>
      <c r="L344" s="134">
        <f>ROUNDDOWN(D344*K344,2)</f>
        <v>69.66</v>
      </c>
      <c r="M344" s="136"/>
    </row>
    <row r="345" spans="1:14" s="131" customFormat="1" ht="12.75">
      <c r="A345" s="139"/>
      <c r="B345" s="140"/>
      <c r="C345" s="141"/>
      <c r="D345" s="142"/>
      <c r="E345" s="143"/>
      <c r="F345" s="142"/>
      <c r="G345" s="142"/>
      <c r="H345" s="143"/>
      <c r="I345" s="143"/>
      <c r="J345" s="144"/>
      <c r="K345" s="144"/>
      <c r="L345" s="142"/>
      <c r="M345" s="145"/>
    </row>
    <row r="346" spans="1:14" ht="12.75">
      <c r="A346" s="184" t="str">
        <f>'BM02'!A114</f>
        <v>1.10.2</v>
      </c>
      <c r="B346" s="211" t="str">
        <f>'BM02'!B114</f>
        <v>Regularização de base para revest. de pisos com arg. traço t4, esp. média = 2,5cm</v>
      </c>
      <c r="C346" s="212"/>
      <c r="D346" s="212"/>
      <c r="E346" s="212"/>
      <c r="F346" s="212"/>
      <c r="G346" s="212"/>
      <c r="H346" s="212"/>
      <c r="I346" s="212"/>
      <c r="J346" s="212"/>
      <c r="K346" s="213"/>
      <c r="L346" s="129">
        <f>SUM(L347:L356)</f>
        <v>115.39999999999999</v>
      </c>
      <c r="M346" s="185" t="str">
        <f>'BM02'!C114</f>
        <v>m²</v>
      </c>
    </row>
    <row r="347" spans="1:14" s="131" customFormat="1" ht="12.75">
      <c r="A347" s="132"/>
      <c r="B347" s="209" t="s">
        <v>528</v>
      </c>
      <c r="C347" s="210"/>
      <c r="D347" s="134">
        <v>1</v>
      </c>
      <c r="E347" s="134">
        <v>1.3</v>
      </c>
      <c r="F347" s="134"/>
      <c r="G347" s="134">
        <v>1.2</v>
      </c>
      <c r="H347" s="134"/>
      <c r="I347" s="134"/>
      <c r="J347" s="135"/>
      <c r="K347" s="135">
        <f t="shared" ref="K347:K356" si="18">E347*G347</f>
        <v>1.56</v>
      </c>
      <c r="L347" s="134">
        <f t="shared" ref="L347:L356" si="19">ROUND(D347*K347,2)</f>
        <v>1.56</v>
      </c>
      <c r="M347" s="136"/>
    </row>
    <row r="348" spans="1:14" s="131" customFormat="1" ht="12.75">
      <c r="A348" s="132"/>
      <c r="B348" s="209" t="s">
        <v>529</v>
      </c>
      <c r="C348" s="210"/>
      <c r="D348" s="134">
        <v>1</v>
      </c>
      <c r="E348" s="134">
        <v>2.31</v>
      </c>
      <c r="F348" s="134"/>
      <c r="G348" s="134">
        <v>1.5</v>
      </c>
      <c r="H348" s="134"/>
      <c r="I348" s="134"/>
      <c r="J348" s="135"/>
      <c r="K348" s="135">
        <f t="shared" si="18"/>
        <v>3.4649999999999999</v>
      </c>
      <c r="L348" s="134">
        <f t="shared" si="19"/>
        <v>3.47</v>
      </c>
      <c r="M348" s="136"/>
    </row>
    <row r="349" spans="1:14" s="131" customFormat="1" ht="12.75">
      <c r="A349" s="132"/>
      <c r="B349" s="209" t="s">
        <v>530</v>
      </c>
      <c r="C349" s="210"/>
      <c r="D349" s="134">
        <v>1</v>
      </c>
      <c r="E349" s="134">
        <v>1.49</v>
      </c>
      <c r="F349" s="134"/>
      <c r="G349" s="134">
        <v>1.2</v>
      </c>
      <c r="H349" s="134"/>
      <c r="I349" s="134"/>
      <c r="J349" s="135"/>
      <c r="K349" s="135">
        <f t="shared" si="18"/>
        <v>1.788</v>
      </c>
      <c r="L349" s="134">
        <f t="shared" si="19"/>
        <v>1.79</v>
      </c>
      <c r="M349" s="136"/>
    </row>
    <row r="350" spans="1:14" s="131" customFormat="1" ht="12.75">
      <c r="A350" s="132"/>
      <c r="B350" s="209" t="s">
        <v>531</v>
      </c>
      <c r="C350" s="210"/>
      <c r="D350" s="134">
        <v>1</v>
      </c>
      <c r="E350" s="134">
        <v>2.58</v>
      </c>
      <c r="F350" s="134"/>
      <c r="G350" s="134">
        <v>1.5</v>
      </c>
      <c r="H350" s="134"/>
      <c r="I350" s="134"/>
      <c r="J350" s="135"/>
      <c r="K350" s="135">
        <f t="shared" si="18"/>
        <v>3.87</v>
      </c>
      <c r="L350" s="134">
        <f t="shared" si="19"/>
        <v>3.87</v>
      </c>
      <c r="M350" s="136"/>
    </row>
    <row r="351" spans="1:14" s="131" customFormat="1" ht="12.75">
      <c r="A351" s="132"/>
      <c r="B351" s="209" t="s">
        <v>501</v>
      </c>
      <c r="C351" s="210"/>
      <c r="D351" s="134">
        <v>1</v>
      </c>
      <c r="E351" s="134">
        <v>2</v>
      </c>
      <c r="F351" s="134"/>
      <c r="G351" s="134">
        <v>1.2</v>
      </c>
      <c r="H351" s="134"/>
      <c r="I351" s="134"/>
      <c r="J351" s="135"/>
      <c r="K351" s="135">
        <f t="shared" si="18"/>
        <v>2.4</v>
      </c>
      <c r="L351" s="134">
        <f t="shared" si="19"/>
        <v>2.4</v>
      </c>
      <c r="M351" s="136"/>
    </row>
    <row r="352" spans="1:14" s="131" customFormat="1" ht="12.75">
      <c r="A352" s="132"/>
      <c r="B352" s="209" t="s">
        <v>508</v>
      </c>
      <c r="C352" s="210"/>
      <c r="D352" s="134">
        <v>1</v>
      </c>
      <c r="E352" s="134">
        <v>5.1360000000000001</v>
      </c>
      <c r="F352" s="134"/>
      <c r="G352" s="134">
        <v>4.03</v>
      </c>
      <c r="H352" s="134"/>
      <c r="I352" s="134"/>
      <c r="J352" s="135"/>
      <c r="K352" s="135">
        <f t="shared" si="18"/>
        <v>20.698080000000001</v>
      </c>
      <c r="L352" s="134">
        <f t="shared" si="19"/>
        <v>20.7</v>
      </c>
      <c r="M352" s="136"/>
    </row>
    <row r="353" spans="1:13" s="131" customFormat="1" ht="12.75">
      <c r="A353" s="132"/>
      <c r="B353" s="209" t="s">
        <v>509</v>
      </c>
      <c r="C353" s="210"/>
      <c r="D353" s="134">
        <v>1</v>
      </c>
      <c r="E353" s="134">
        <v>1.8</v>
      </c>
      <c r="F353" s="134"/>
      <c r="G353" s="134">
        <v>1.8</v>
      </c>
      <c r="H353" s="134"/>
      <c r="I353" s="134"/>
      <c r="J353" s="135"/>
      <c r="K353" s="135">
        <f t="shared" si="18"/>
        <v>3.24</v>
      </c>
      <c r="L353" s="134">
        <f t="shared" si="19"/>
        <v>3.24</v>
      </c>
      <c r="M353" s="136"/>
    </row>
    <row r="354" spans="1:13" s="131" customFormat="1" ht="12.75">
      <c r="A354" s="132"/>
      <c r="B354" s="209" t="s">
        <v>510</v>
      </c>
      <c r="C354" s="210"/>
      <c r="D354" s="134">
        <v>1</v>
      </c>
      <c r="E354" s="134">
        <v>3.15</v>
      </c>
      <c r="F354" s="134"/>
      <c r="G354" s="134">
        <v>2.08</v>
      </c>
      <c r="H354" s="134"/>
      <c r="I354" s="134"/>
      <c r="J354" s="135"/>
      <c r="K354" s="135">
        <f t="shared" si="18"/>
        <v>6.5519999999999996</v>
      </c>
      <c r="L354" s="134">
        <f t="shared" si="19"/>
        <v>6.55</v>
      </c>
      <c r="M354" s="136"/>
    </row>
    <row r="355" spans="1:13" s="131" customFormat="1" ht="12.75">
      <c r="A355" s="132"/>
      <c r="B355" s="209" t="s">
        <v>511</v>
      </c>
      <c r="C355" s="210"/>
      <c r="D355" s="134">
        <v>1</v>
      </c>
      <c r="E355" s="134">
        <v>1.2</v>
      </c>
      <c r="F355" s="134"/>
      <c r="G355" s="134">
        <v>1.8</v>
      </c>
      <c r="H355" s="134"/>
      <c r="I355" s="134"/>
      <c r="J355" s="135"/>
      <c r="K355" s="135">
        <f t="shared" si="18"/>
        <v>2.16</v>
      </c>
      <c r="L355" s="134">
        <f t="shared" si="19"/>
        <v>2.16</v>
      </c>
      <c r="M355" s="136"/>
    </row>
    <row r="356" spans="1:13" s="131" customFormat="1" ht="12.75">
      <c r="A356" s="132"/>
      <c r="B356" s="209" t="s">
        <v>694</v>
      </c>
      <c r="C356" s="210"/>
      <c r="D356" s="134">
        <v>1</v>
      </c>
      <c r="E356" s="134">
        <v>25.8</v>
      </c>
      <c r="F356" s="134"/>
      <c r="G356" s="134">
        <v>2.7</v>
      </c>
      <c r="H356" s="134"/>
      <c r="I356" s="134"/>
      <c r="J356" s="135"/>
      <c r="K356" s="135">
        <f t="shared" si="18"/>
        <v>69.660000000000011</v>
      </c>
      <c r="L356" s="134">
        <f t="shared" si="19"/>
        <v>69.66</v>
      </c>
      <c r="M356" s="136"/>
    </row>
    <row r="357" spans="1:13" s="131" customFormat="1" ht="12.75">
      <c r="A357" s="139"/>
      <c r="B357" s="140"/>
      <c r="C357" s="141"/>
      <c r="D357" s="142"/>
      <c r="E357" s="143"/>
      <c r="F357" s="142"/>
      <c r="G357" s="142"/>
      <c r="H357" s="143"/>
      <c r="I357" s="143"/>
      <c r="J357" s="144"/>
      <c r="K357" s="144"/>
      <c r="L357" s="142"/>
      <c r="M357" s="145"/>
    </row>
    <row r="358" spans="1:13" ht="30" customHeight="1">
      <c r="A358" s="128" t="str">
        <f>'BM02'!A115</f>
        <v>1.10.3</v>
      </c>
      <c r="B358" s="211" t="str">
        <f>'BM02'!B115</f>
        <v>REVESTIMENTO CERÂMICO PARA PISO COM PLACAS TIPO ESMALTADA EXTRA DE DIMENSÕES 45X45 CM APLICADA EM AMBIENTES DE ÁREA MENOR QUE 5 M2. AF_06/2014</v>
      </c>
      <c r="C358" s="212"/>
      <c r="D358" s="212"/>
      <c r="E358" s="212"/>
      <c r="F358" s="212"/>
      <c r="G358" s="212"/>
      <c r="H358" s="212"/>
      <c r="I358" s="212"/>
      <c r="J358" s="212"/>
      <c r="K358" s="213"/>
      <c r="L358" s="129">
        <f>SUM(L359:L363)</f>
        <v>34.209999999999994</v>
      </c>
      <c r="M358" s="185" t="str">
        <f>'BM02'!C115</f>
        <v>m²</v>
      </c>
    </row>
    <row r="359" spans="1:13" s="131" customFormat="1" ht="12.75">
      <c r="A359" s="132"/>
      <c r="B359" s="209" t="s">
        <v>528</v>
      </c>
      <c r="C359" s="210"/>
      <c r="D359" s="134">
        <v>1</v>
      </c>
      <c r="E359" s="134">
        <v>1.3</v>
      </c>
      <c r="F359" s="134"/>
      <c r="G359" s="134">
        <v>1.2</v>
      </c>
      <c r="H359" s="134"/>
      <c r="I359" s="134"/>
      <c r="J359" s="135"/>
      <c r="K359" s="135">
        <f t="shared" ref="K359:K363" si="20">E359*G359</f>
        <v>1.56</v>
      </c>
      <c r="L359" s="134">
        <f t="shared" ref="L359:L363" si="21">ROUND(D359*K359,2)</f>
        <v>1.56</v>
      </c>
      <c r="M359" s="136"/>
    </row>
    <row r="360" spans="1:13" s="131" customFormat="1" ht="12.75">
      <c r="A360" s="132"/>
      <c r="B360" s="209" t="s">
        <v>508</v>
      </c>
      <c r="C360" s="210"/>
      <c r="D360" s="134">
        <v>1</v>
      </c>
      <c r="E360" s="134">
        <v>5.1360000000000001</v>
      </c>
      <c r="F360" s="134"/>
      <c r="G360" s="134">
        <v>4.03</v>
      </c>
      <c r="H360" s="134"/>
      <c r="I360" s="134"/>
      <c r="J360" s="135"/>
      <c r="K360" s="135">
        <f t="shared" si="20"/>
        <v>20.698080000000001</v>
      </c>
      <c r="L360" s="134">
        <f t="shared" si="21"/>
        <v>20.7</v>
      </c>
      <c r="M360" s="136"/>
    </row>
    <row r="361" spans="1:13" s="131" customFormat="1" ht="12.75">
      <c r="A361" s="132"/>
      <c r="B361" s="209" t="s">
        <v>509</v>
      </c>
      <c r="C361" s="210"/>
      <c r="D361" s="134">
        <v>1</v>
      </c>
      <c r="E361" s="134">
        <v>1.8</v>
      </c>
      <c r="F361" s="134"/>
      <c r="G361" s="134">
        <v>1.8</v>
      </c>
      <c r="H361" s="134"/>
      <c r="I361" s="134"/>
      <c r="J361" s="135"/>
      <c r="K361" s="135">
        <f t="shared" si="20"/>
        <v>3.24</v>
      </c>
      <c r="L361" s="134">
        <f t="shared" si="21"/>
        <v>3.24</v>
      </c>
      <c r="M361" s="136"/>
    </row>
    <row r="362" spans="1:13" s="131" customFormat="1" ht="12.75">
      <c r="A362" s="132"/>
      <c r="B362" s="209" t="s">
        <v>510</v>
      </c>
      <c r="C362" s="210"/>
      <c r="D362" s="134">
        <v>1</v>
      </c>
      <c r="E362" s="134">
        <v>3.15</v>
      </c>
      <c r="F362" s="134"/>
      <c r="G362" s="134">
        <v>2.08</v>
      </c>
      <c r="H362" s="134"/>
      <c r="I362" s="134"/>
      <c r="J362" s="135"/>
      <c r="K362" s="135">
        <f t="shared" si="20"/>
        <v>6.5519999999999996</v>
      </c>
      <c r="L362" s="134">
        <f t="shared" si="21"/>
        <v>6.55</v>
      </c>
      <c r="M362" s="136"/>
    </row>
    <row r="363" spans="1:13" s="131" customFormat="1" ht="12.75">
      <c r="A363" s="132"/>
      <c r="B363" s="209" t="s">
        <v>511</v>
      </c>
      <c r="C363" s="210"/>
      <c r="D363" s="134">
        <v>1</v>
      </c>
      <c r="E363" s="134">
        <v>1.2</v>
      </c>
      <c r="F363" s="134"/>
      <c r="G363" s="134">
        <v>1.8</v>
      </c>
      <c r="H363" s="134"/>
      <c r="I363" s="134"/>
      <c r="J363" s="135"/>
      <c r="K363" s="135">
        <f t="shared" si="20"/>
        <v>2.16</v>
      </c>
      <c r="L363" s="134">
        <f t="shared" si="21"/>
        <v>2.16</v>
      </c>
      <c r="M363" s="136"/>
    </row>
    <row r="364" spans="1:13" s="131" customFormat="1" ht="12.75">
      <c r="A364" s="139"/>
      <c r="B364" s="140"/>
      <c r="C364" s="141"/>
      <c r="D364" s="142"/>
      <c r="E364" s="143"/>
      <c r="F364" s="142"/>
      <c r="G364" s="142"/>
      <c r="H364" s="143"/>
      <c r="I364" s="143"/>
      <c r="J364" s="144"/>
      <c r="K364" s="144"/>
      <c r="L364" s="142"/>
      <c r="M364" s="145"/>
    </row>
    <row r="365" spans="1:13" ht="12.75">
      <c r="A365" s="184" t="str">
        <f>'BM02'!A116</f>
        <v>1.10.4</v>
      </c>
      <c r="B365" s="211" t="str">
        <f>'BM02'!B116</f>
        <v>PISO EM GRANILITE, MARMORITE OU GRANITINA EM AMBIENTES INTERNOS. AF_09/2020</v>
      </c>
      <c r="C365" s="212"/>
      <c r="D365" s="212"/>
      <c r="E365" s="212"/>
      <c r="F365" s="212"/>
      <c r="G365" s="212"/>
      <c r="H365" s="212"/>
      <c r="I365" s="212"/>
      <c r="J365" s="212"/>
      <c r="K365" s="213"/>
      <c r="L365" s="129">
        <f>SUM(L366:L366)</f>
        <v>0</v>
      </c>
      <c r="M365" s="185" t="str">
        <f>'BM02'!C116</f>
        <v>m²</v>
      </c>
    </row>
    <row r="366" spans="1:13" s="131" customFormat="1" ht="12.75">
      <c r="A366" s="132"/>
      <c r="B366" s="209"/>
      <c r="C366" s="210"/>
      <c r="D366" s="134"/>
      <c r="E366" s="134"/>
      <c r="F366" s="134"/>
      <c r="G366" s="134"/>
      <c r="H366" s="134"/>
      <c r="I366" s="134"/>
      <c r="J366" s="135"/>
      <c r="K366" s="135"/>
      <c r="L366" s="134">
        <f>ROUND(D366*K366,2)</f>
        <v>0</v>
      </c>
      <c r="M366" s="136"/>
    </row>
    <row r="367" spans="1:13" s="131" customFormat="1" ht="12.75">
      <c r="A367" s="139"/>
      <c r="B367" s="140"/>
      <c r="C367" s="141"/>
      <c r="D367" s="142"/>
      <c r="E367" s="143"/>
      <c r="F367" s="142"/>
      <c r="G367" s="142"/>
      <c r="H367" s="143"/>
      <c r="I367" s="143"/>
      <c r="J367" s="144"/>
      <c r="K367" s="144"/>
      <c r="L367" s="142"/>
      <c r="M367" s="145"/>
    </row>
    <row r="368" spans="1:13" ht="30" customHeight="1">
      <c r="A368" s="128" t="str">
        <f>'BM02'!A117</f>
        <v>1.10.5</v>
      </c>
      <c r="B368" s="211" t="str">
        <f>'BM02'!B117</f>
        <v>EXECUÇÃO DE PASSEIO (CALÇADA) OU PISO DE CONCRETO COM CONCRETO MOLDADO IN LOCO, FEITO EM OBRA, ACABAMENTO CONVENCIONAL, ESPESSURA 6 CM, ARMADO. AF_07/2016</v>
      </c>
      <c r="C368" s="212"/>
      <c r="D368" s="212"/>
      <c r="E368" s="212"/>
      <c r="F368" s="212"/>
      <c r="G368" s="212"/>
      <c r="H368" s="212"/>
      <c r="I368" s="212"/>
      <c r="J368" s="212"/>
      <c r="K368" s="213"/>
      <c r="L368" s="129">
        <f>L369</f>
        <v>0</v>
      </c>
      <c r="M368" s="185" t="str">
        <f>'BM02'!C117</f>
        <v>m²</v>
      </c>
    </row>
    <row r="369" spans="1:13" s="131" customFormat="1" ht="12.75">
      <c r="A369" s="132"/>
      <c r="B369" s="209"/>
      <c r="C369" s="210"/>
      <c r="D369" s="134"/>
      <c r="E369" s="134"/>
      <c r="F369" s="134"/>
      <c r="G369" s="134"/>
      <c r="H369" s="134"/>
      <c r="I369" s="134"/>
      <c r="J369" s="135"/>
      <c r="K369" s="135"/>
      <c r="L369" s="134">
        <f t="shared" ref="L369" si="22">ROUND(D369*K369,2)</f>
        <v>0</v>
      </c>
      <c r="M369" s="136"/>
    </row>
    <row r="370" spans="1:13" s="131" customFormat="1" ht="13.5" thickBot="1">
      <c r="A370" s="139"/>
      <c r="B370" s="140"/>
      <c r="C370" s="141"/>
      <c r="D370" s="142"/>
      <c r="E370" s="143"/>
      <c r="F370" s="142"/>
      <c r="G370" s="142"/>
      <c r="H370" s="143"/>
      <c r="I370" s="143"/>
      <c r="J370" s="144"/>
      <c r="K370" s="144"/>
      <c r="L370" s="142"/>
      <c r="M370" s="145"/>
    </row>
    <row r="371" spans="1:13" ht="30" customHeight="1">
      <c r="A371" s="128" t="str">
        <f>'BM02'!A118</f>
        <v>1.10.6</v>
      </c>
      <c r="B371" s="211" t="str">
        <f>'BM02'!B118</f>
        <v>EXECUÇÃO DE PASSEIO (CALÇADA) OU PISO DE CONCRETO COM CONCRETO MOLDADO IN LOCO, FEITO EM OBRA, ACABAMENTO CONVENCIONAL, ESPESSURA 6 CM, ARMADO. AF_07/2016</v>
      </c>
      <c r="C371" s="212"/>
      <c r="D371" s="212"/>
      <c r="E371" s="212"/>
      <c r="F371" s="212"/>
      <c r="G371" s="212"/>
      <c r="H371" s="212"/>
      <c r="I371" s="212"/>
      <c r="J371" s="212"/>
      <c r="K371" s="213"/>
      <c r="L371" s="129">
        <f>L372</f>
        <v>49.46</v>
      </c>
      <c r="M371" s="185" t="str">
        <f>'BM02'!C118</f>
        <v>m²</v>
      </c>
    </row>
    <row r="372" spans="1:13" s="131" customFormat="1" ht="57.6" customHeight="1" thickBot="1">
      <c r="A372" s="132"/>
      <c r="B372" s="209" t="s">
        <v>696</v>
      </c>
      <c r="C372" s="210"/>
      <c r="D372" s="134">
        <v>1</v>
      </c>
      <c r="E372" s="134">
        <f>(29.7+19.81+10.84+9.74+12.35)</f>
        <v>82.439999999999984</v>
      </c>
      <c r="F372" s="134"/>
      <c r="G372" s="134">
        <v>0.6</v>
      </c>
      <c r="H372" s="134"/>
      <c r="I372" s="134"/>
      <c r="J372" s="135"/>
      <c r="K372" s="135">
        <f>E372*G372</f>
        <v>49.463999999999992</v>
      </c>
      <c r="L372" s="134">
        <f>ROUND(D372*K372,2)</f>
        <v>49.46</v>
      </c>
      <c r="M372" s="136"/>
    </row>
    <row r="373" spans="1:13" s="131" customFormat="1" ht="13.5" thickBot="1">
      <c r="A373" s="139"/>
      <c r="B373" s="140"/>
      <c r="C373" s="141"/>
      <c r="D373" s="142"/>
      <c r="E373" s="143"/>
      <c r="F373" s="142"/>
      <c r="G373" s="142"/>
      <c r="H373" s="143"/>
      <c r="I373" s="143"/>
      <c r="J373" s="144"/>
      <c r="K373" s="144"/>
      <c r="L373" s="142"/>
      <c r="M373" s="145"/>
    </row>
    <row r="374" spans="1:13" ht="30" customHeight="1">
      <c r="A374" s="128" t="str">
        <f>'BM02'!A119</f>
        <v>1.10.7</v>
      </c>
      <c r="B374" s="211" t="str">
        <f>'BM02'!B119</f>
        <v>EXECUÇÃO DE PASSEIO EM PISO INTERTRAVADO, COM BLOCO RETANGULAR COR NATURAL DE 20 X 10 CM, ESPESSURA 6 CM. AF_12/2015</v>
      </c>
      <c r="C374" s="212"/>
      <c r="D374" s="212"/>
      <c r="E374" s="212"/>
      <c r="F374" s="212"/>
      <c r="G374" s="212"/>
      <c r="H374" s="212"/>
      <c r="I374" s="212"/>
      <c r="J374" s="212"/>
      <c r="K374" s="213"/>
      <c r="L374" s="129">
        <f>L375</f>
        <v>83.57</v>
      </c>
      <c r="M374" s="185" t="str">
        <f>'BM02'!C119</f>
        <v>m²</v>
      </c>
    </row>
    <row r="375" spans="1:13" s="131" customFormat="1" ht="13.5" thickBot="1">
      <c r="A375" s="132"/>
      <c r="B375" s="209" t="s">
        <v>695</v>
      </c>
      <c r="C375" s="210"/>
      <c r="D375" s="134">
        <v>1</v>
      </c>
      <c r="E375" s="134">
        <v>30.95</v>
      </c>
      <c r="F375" s="134"/>
      <c r="G375" s="134">
        <v>2.7</v>
      </c>
      <c r="H375" s="134"/>
      <c r="I375" s="134"/>
      <c r="J375" s="135"/>
      <c r="K375" s="135">
        <f>E375*G375</f>
        <v>83.564999999999998</v>
      </c>
      <c r="L375" s="134">
        <f>ROUND(D375*K375,2)</f>
        <v>83.57</v>
      </c>
      <c r="M375" s="136"/>
    </row>
    <row r="376" spans="1:13" s="131" customFormat="1" ht="12.75">
      <c r="A376" s="139"/>
      <c r="B376" s="140"/>
      <c r="C376" s="141"/>
      <c r="D376" s="142"/>
      <c r="E376" s="143"/>
      <c r="F376" s="142"/>
      <c r="G376" s="142"/>
      <c r="H376" s="143"/>
      <c r="I376" s="143"/>
      <c r="J376" s="144"/>
      <c r="K376" s="144"/>
      <c r="L376" s="142"/>
      <c r="M376" s="145"/>
    </row>
    <row r="377" spans="1:13" ht="43.15" customHeight="1">
      <c r="A377" s="128" t="str">
        <f>'BM02'!A120</f>
        <v>1.10.8</v>
      </c>
      <c r="B377" s="211" t="str">
        <f>'BM02'!B120</f>
        <v>RAMPA DE CALÇADA DE PASSEIO EM CONCRETO PARA ACESSIBILIDADE DE PORTADORES DE NECESSIDADES ESPECIAIS (PNE) EXECUTADA CONCRETO ESTRUTURAL INCLUSIVE SINALIZAÇÃO TATIL DE ALERTA (25X25CM) E SINALIZAÇÃO UNIVERSAL EM TINTA ACRILICA-ESTIRENADA (0,80 X 1,60)M</v>
      </c>
      <c r="C377" s="212"/>
      <c r="D377" s="212"/>
      <c r="E377" s="212"/>
      <c r="F377" s="212"/>
      <c r="G377" s="212"/>
      <c r="H377" s="212"/>
      <c r="I377" s="212"/>
      <c r="J377" s="212"/>
      <c r="K377" s="213"/>
      <c r="L377" s="129">
        <f>L378</f>
        <v>0</v>
      </c>
      <c r="M377" s="185" t="str">
        <f>'BM02'!C120</f>
        <v>un</v>
      </c>
    </row>
    <row r="378" spans="1:13" s="131" customFormat="1" ht="12.75">
      <c r="A378" s="132"/>
      <c r="B378" s="209"/>
      <c r="C378" s="210"/>
      <c r="D378" s="134"/>
      <c r="E378" s="134"/>
      <c r="F378" s="134"/>
      <c r="G378" s="134"/>
      <c r="H378" s="134"/>
      <c r="I378" s="134"/>
      <c r="J378" s="135"/>
      <c r="K378" s="135"/>
      <c r="L378" s="134">
        <f>ROUND(D378*K378,2)</f>
        <v>0</v>
      </c>
      <c r="M378" s="136"/>
    </row>
    <row r="379" spans="1:13" s="131" customFormat="1" ht="13.5" thickBot="1">
      <c r="A379" s="139"/>
      <c r="B379" s="140"/>
      <c r="C379" s="141"/>
      <c r="D379" s="142"/>
      <c r="E379" s="143"/>
      <c r="F379" s="142"/>
      <c r="G379" s="142"/>
      <c r="H379" s="143"/>
      <c r="I379" s="143"/>
      <c r="J379" s="144"/>
      <c r="K379" s="144"/>
      <c r="L379" s="142"/>
      <c r="M379" s="145"/>
    </row>
    <row r="380" spans="1:13" ht="13.5" thickBot="1">
      <c r="A380" s="121" t="str">
        <f>'BM02'!A122</f>
        <v>1.11</v>
      </c>
      <c r="B380" s="122" t="str">
        <f>'BM02'!B122</f>
        <v>INSTALAÇÕES HIDRAULICAS - LOUÇAS E METAIS</v>
      </c>
      <c r="C380" s="122"/>
      <c r="D380" s="122"/>
      <c r="E380" s="122"/>
      <c r="F380" s="122"/>
      <c r="G380" s="122"/>
      <c r="H380" s="122"/>
      <c r="I380" s="122"/>
      <c r="J380" s="122"/>
      <c r="K380" s="122"/>
      <c r="L380" s="122"/>
      <c r="M380" s="123"/>
    </row>
    <row r="381" spans="1:13" ht="12.75">
      <c r="A381" s="124"/>
      <c r="B381" s="125"/>
      <c r="C381" s="125"/>
      <c r="D381" s="125"/>
      <c r="E381" s="125"/>
      <c r="F381" s="125"/>
      <c r="G381" s="125"/>
      <c r="H381" s="125"/>
      <c r="I381" s="125"/>
      <c r="J381" s="125"/>
      <c r="K381" s="126"/>
      <c r="L381" s="125"/>
      <c r="M381" s="127"/>
    </row>
    <row r="382" spans="1:13" ht="43.15" customHeight="1">
      <c r="A382" s="128" t="str">
        <f>'BM02'!A124</f>
        <v>1.11.1</v>
      </c>
      <c r="B382" s="211" t="str">
        <f>'BM02'!B124</f>
        <v>RAMPA DE CALÇADA DE PASSEIO EM CONCRETO PARA ACESSIBILIDADE DE PORTADORES DE NECESSIDADES ESPECIAIS (PNE) EXECUTADA CONCRETO ESTRUTURAL INCLUSIVE SINALIZAÇÃO TATIL DE ALERTA (25X25CM) E SINALIZAÇÃO UNIVERSAL EM TINTA ACRILICA-ESTIRENADA (0,80 X 1,60)M</v>
      </c>
      <c r="C382" s="212"/>
      <c r="D382" s="212"/>
      <c r="E382" s="212"/>
      <c r="F382" s="212"/>
      <c r="G382" s="212"/>
      <c r="H382" s="212"/>
      <c r="I382" s="212"/>
      <c r="J382" s="212"/>
      <c r="K382" s="213"/>
      <c r="L382" s="129">
        <f>L383</f>
        <v>0</v>
      </c>
      <c r="M382" s="130" t="str">
        <f>'BM02'!C124</f>
        <v>un</v>
      </c>
    </row>
    <row r="383" spans="1:13" s="131" customFormat="1" ht="12.75">
      <c r="A383" s="132"/>
      <c r="B383" s="209"/>
      <c r="C383" s="210"/>
      <c r="D383" s="134"/>
      <c r="E383" s="134"/>
      <c r="F383" s="134"/>
      <c r="G383" s="134"/>
      <c r="H383" s="134"/>
      <c r="I383" s="134"/>
      <c r="J383" s="135"/>
      <c r="K383" s="135"/>
      <c r="L383" s="134">
        <f>ROUND(D383*K383,2)</f>
        <v>0</v>
      </c>
      <c r="M383" s="136"/>
    </row>
    <row r="384" spans="1:13" s="131" customFormat="1" ht="12.75">
      <c r="A384" s="139"/>
      <c r="B384" s="140"/>
      <c r="C384" s="141"/>
      <c r="D384" s="142"/>
      <c r="E384" s="143"/>
      <c r="F384" s="142"/>
      <c r="G384" s="142"/>
      <c r="H384" s="143"/>
      <c r="I384" s="143"/>
      <c r="J384" s="144"/>
      <c r="K384" s="144"/>
      <c r="L384" s="142"/>
      <c r="M384" s="145"/>
    </row>
    <row r="385" spans="1:13" ht="30" customHeight="1">
      <c r="A385" s="128" t="str">
        <f>'BM02'!A125</f>
        <v>1.11.2</v>
      </c>
      <c r="B385" s="211" t="str">
        <f>'BM02'!B125</f>
        <v>VASO SANITARIO SIFONADO CONVENCIONAL PARA PCD SEM FURO FRONTAL COM LOUÇA BRANCA SEM ASSENTO, INCLUSO CONJUNTO DE LIGAÇÃO PARA BACIA SANITÁRIA AJUSTÁVEL - FORNECIMENTO E INSTALAÇÃO. AF_01/2020</v>
      </c>
      <c r="C385" s="212"/>
      <c r="D385" s="212"/>
      <c r="E385" s="212"/>
      <c r="F385" s="212"/>
      <c r="G385" s="212"/>
      <c r="H385" s="212"/>
      <c r="I385" s="212"/>
      <c r="J385" s="212"/>
      <c r="K385" s="213"/>
      <c r="L385" s="129">
        <f>L386</f>
        <v>0</v>
      </c>
      <c r="M385" s="130" t="str">
        <f>'BM02'!C125</f>
        <v>un</v>
      </c>
    </row>
    <row r="386" spans="1:13" s="131" customFormat="1" ht="12.75">
      <c r="A386" s="132"/>
      <c r="B386" s="209"/>
      <c r="C386" s="210"/>
      <c r="D386" s="134"/>
      <c r="E386" s="134"/>
      <c r="F386" s="134"/>
      <c r="G386" s="134"/>
      <c r="H386" s="134"/>
      <c r="I386" s="134"/>
      <c r="J386" s="135"/>
      <c r="K386" s="135"/>
      <c r="L386" s="134">
        <f>ROUND(D386*K386,2)</f>
        <v>0</v>
      </c>
      <c r="M386" s="136"/>
    </row>
    <row r="387" spans="1:13" s="131" customFormat="1" ht="12.75">
      <c r="A387" s="139"/>
      <c r="B387" s="140"/>
      <c r="C387" s="141"/>
      <c r="D387" s="142"/>
      <c r="E387" s="143"/>
      <c r="F387" s="142"/>
      <c r="G387" s="142"/>
      <c r="H387" s="143"/>
      <c r="I387" s="143"/>
      <c r="J387" s="144"/>
      <c r="K387" s="144"/>
      <c r="L387" s="142"/>
      <c r="M387" s="145"/>
    </row>
    <row r="388" spans="1:13" ht="30" customHeight="1">
      <c r="A388" s="128" t="str">
        <f>'BM02'!A126</f>
        <v>1.11.3</v>
      </c>
      <c r="B388" s="211" t="str">
        <f>'BM02'!B126</f>
        <v>Lavatório louça de canto (Deca-Izy, ref L-10117 ou similar) sem coluna, c/ sifão cromado, válvula cromada, engate cromado, exclusive torneira</v>
      </c>
      <c r="C388" s="212"/>
      <c r="D388" s="212"/>
      <c r="E388" s="212"/>
      <c r="F388" s="212"/>
      <c r="G388" s="212"/>
      <c r="H388" s="212"/>
      <c r="I388" s="212"/>
      <c r="J388" s="212"/>
      <c r="K388" s="213"/>
      <c r="L388" s="129">
        <f>L389</f>
        <v>0</v>
      </c>
      <c r="M388" s="130" t="str">
        <f>'BM02'!C126</f>
        <v>un</v>
      </c>
    </row>
    <row r="389" spans="1:13" s="131" customFormat="1" ht="12.75">
      <c r="A389" s="132"/>
      <c r="B389" s="209"/>
      <c r="C389" s="210"/>
      <c r="D389" s="134"/>
      <c r="E389" s="134"/>
      <c r="F389" s="134"/>
      <c r="G389" s="134"/>
      <c r="H389" s="134"/>
      <c r="I389" s="134"/>
      <c r="J389" s="135"/>
      <c r="K389" s="135"/>
      <c r="L389" s="134">
        <f>ROUND(D389*K389,2)</f>
        <v>0</v>
      </c>
      <c r="M389" s="136"/>
    </row>
    <row r="390" spans="1:13" s="131" customFormat="1" ht="12.75">
      <c r="A390" s="139"/>
      <c r="B390" s="140"/>
      <c r="C390" s="141"/>
      <c r="D390" s="142"/>
      <c r="E390" s="143"/>
      <c r="F390" s="142"/>
      <c r="G390" s="142"/>
      <c r="H390" s="143"/>
      <c r="I390" s="143"/>
      <c r="J390" s="144"/>
      <c r="K390" s="144"/>
      <c r="L390" s="142"/>
      <c r="M390" s="145"/>
    </row>
    <row r="391" spans="1:13" ht="30" customHeight="1">
      <c r="A391" s="128" t="str">
        <f>'BM02'!A127</f>
        <v>1.11.4</v>
      </c>
      <c r="B391" s="211" t="str">
        <f>'BM02'!B127</f>
        <v>Lavatório louça (Deca-Ravena ref L-915) sem coluna, c/válvula, sifão, engate e torneira (herc ref 1994) todos de plástico, conj. de fixação (deca ref sp7) ou similares</v>
      </c>
      <c r="C391" s="212"/>
      <c r="D391" s="212"/>
      <c r="E391" s="212"/>
      <c r="F391" s="212"/>
      <c r="G391" s="212"/>
      <c r="H391" s="212"/>
      <c r="I391" s="212"/>
      <c r="J391" s="212"/>
      <c r="K391" s="213"/>
      <c r="L391" s="129">
        <f>L392</f>
        <v>0</v>
      </c>
      <c r="M391" s="130" t="str">
        <f>'BM02'!C127</f>
        <v>un</v>
      </c>
    </row>
    <row r="392" spans="1:13" s="131" customFormat="1" ht="12.75">
      <c r="A392" s="132"/>
      <c r="B392" s="209"/>
      <c r="C392" s="210"/>
      <c r="D392" s="134"/>
      <c r="E392" s="134"/>
      <c r="F392" s="134"/>
      <c r="G392" s="134"/>
      <c r="H392" s="134"/>
      <c r="I392" s="134"/>
      <c r="J392" s="135"/>
      <c r="K392" s="135"/>
      <c r="L392" s="134">
        <f>ROUND(D392*K392,2)</f>
        <v>0</v>
      </c>
      <c r="M392" s="136"/>
    </row>
    <row r="393" spans="1:13" s="131" customFormat="1" ht="12.75">
      <c r="A393" s="139"/>
      <c r="B393" s="140"/>
      <c r="C393" s="141"/>
      <c r="D393" s="142"/>
      <c r="E393" s="143"/>
      <c r="F393" s="142"/>
      <c r="G393" s="142"/>
      <c r="H393" s="143"/>
      <c r="I393" s="143"/>
      <c r="J393" s="144"/>
      <c r="K393" s="144"/>
      <c r="L393" s="142"/>
      <c r="M393" s="145"/>
    </row>
    <row r="394" spans="1:13" ht="43.15" customHeight="1">
      <c r="A394" s="128" t="str">
        <f>'BM02'!A128</f>
        <v>1.11.5</v>
      </c>
      <c r="B394" s="211" t="str">
        <f>'BM02'!B128</f>
        <v>REGISTRO DE GAVETA BRUTO, LATÃO, ROSCÁVEL, 1 1/2, COM ACABAMENTO E CANOPLA CROMADOS, INSTALADO EM RESERVAÇÃO DE ÁGUA DE EDIFICAÇÃO QUE POSSUA RESERVATÓRIO DE FIBRA/FIBROCIMENTO FORNECIMENTO E INSTALAÇÃO. AF_06/2016</v>
      </c>
      <c r="C394" s="212"/>
      <c r="D394" s="212"/>
      <c r="E394" s="212"/>
      <c r="F394" s="212"/>
      <c r="G394" s="212"/>
      <c r="H394" s="212"/>
      <c r="I394" s="212"/>
      <c r="J394" s="212"/>
      <c r="K394" s="213"/>
      <c r="L394" s="129">
        <f>L395</f>
        <v>0</v>
      </c>
      <c r="M394" s="130" t="str">
        <f>'BM02'!C128</f>
        <v>un</v>
      </c>
    </row>
    <row r="395" spans="1:13" s="131" customFormat="1" ht="12.75">
      <c r="A395" s="132"/>
      <c r="B395" s="209"/>
      <c r="C395" s="210"/>
      <c r="D395" s="134"/>
      <c r="E395" s="134"/>
      <c r="F395" s="134"/>
      <c r="G395" s="134"/>
      <c r="H395" s="134"/>
      <c r="I395" s="134"/>
      <c r="J395" s="135"/>
      <c r="K395" s="135"/>
      <c r="L395" s="134">
        <f>ROUND(D395*K395,2)</f>
        <v>0</v>
      </c>
      <c r="M395" s="136"/>
    </row>
    <row r="396" spans="1:13" s="131" customFormat="1" ht="12.75">
      <c r="A396" s="139"/>
      <c r="B396" s="140"/>
      <c r="C396" s="141"/>
      <c r="D396" s="142"/>
      <c r="E396" s="143"/>
      <c r="F396" s="142"/>
      <c r="G396" s="142"/>
      <c r="H396" s="143"/>
      <c r="I396" s="143"/>
      <c r="J396" s="144"/>
      <c r="K396" s="144"/>
      <c r="L396" s="142"/>
      <c r="M396" s="145"/>
    </row>
    <row r="397" spans="1:13" ht="30" customHeight="1">
      <c r="A397" s="128" t="str">
        <f>'BM02'!A129</f>
        <v>1.11.6</v>
      </c>
      <c r="B397" s="211" t="str">
        <f>'BM02'!B129</f>
        <v>REGISTRO DE PRESSÃO BRUTO, LATÃO, ROSCÁVEL, 3/4", COM ACABAMENTO E CANOPLA CROMADOS. FORNECIDO E INSTALADO EM RAMAL DE ÁGUA. AF_12/2014</v>
      </c>
      <c r="C397" s="212"/>
      <c r="D397" s="212"/>
      <c r="E397" s="212"/>
      <c r="F397" s="212"/>
      <c r="G397" s="212"/>
      <c r="H397" s="212"/>
      <c r="I397" s="212"/>
      <c r="J397" s="212"/>
      <c r="K397" s="213"/>
      <c r="L397" s="129">
        <f>L398</f>
        <v>0</v>
      </c>
      <c r="M397" s="130" t="str">
        <f>'BM02'!C129</f>
        <v>un</v>
      </c>
    </row>
    <row r="398" spans="1:13" s="131" customFormat="1" ht="12.75">
      <c r="A398" s="132"/>
      <c r="B398" s="209"/>
      <c r="C398" s="210"/>
      <c r="D398" s="134"/>
      <c r="E398" s="134"/>
      <c r="F398" s="134"/>
      <c r="G398" s="134"/>
      <c r="H398" s="134"/>
      <c r="I398" s="134"/>
      <c r="J398" s="135"/>
      <c r="K398" s="135"/>
      <c r="L398" s="134">
        <f>ROUND(D398*K398,2)</f>
        <v>0</v>
      </c>
      <c r="M398" s="136"/>
    </row>
    <row r="399" spans="1:13" s="131" customFormat="1" ht="12.75">
      <c r="A399" s="139"/>
      <c r="B399" s="140"/>
      <c r="C399" s="141"/>
      <c r="D399" s="142"/>
      <c r="E399" s="143"/>
      <c r="F399" s="142"/>
      <c r="G399" s="142"/>
      <c r="H399" s="143"/>
      <c r="I399" s="143"/>
      <c r="J399" s="144"/>
      <c r="K399" s="144"/>
      <c r="L399" s="142"/>
      <c r="M399" s="145"/>
    </row>
    <row r="400" spans="1:13" ht="30" customHeight="1">
      <c r="A400" s="128" t="str">
        <f>'BM02'!A130</f>
        <v>1.11.7</v>
      </c>
      <c r="B400" s="211" t="str">
        <f>'BM02'!B130</f>
        <v>TORNEIRA CROMADA TUBO MÓVEL, DE PAREDE, 1/2 OU 3/4, PARA PIA DE COZINHA, PADRÃO MÉDIO - FORNECIMENTO E INSTALAÇÃO. AF_01/2020</v>
      </c>
      <c r="C400" s="212"/>
      <c r="D400" s="212"/>
      <c r="E400" s="212"/>
      <c r="F400" s="212"/>
      <c r="G400" s="212"/>
      <c r="H400" s="212"/>
      <c r="I400" s="212"/>
      <c r="J400" s="212"/>
      <c r="K400" s="213"/>
      <c r="L400" s="129">
        <f>L401</f>
        <v>0</v>
      </c>
      <c r="M400" s="130" t="str">
        <f>'BM02'!C130</f>
        <v>un</v>
      </c>
    </row>
    <row r="401" spans="1:13" s="131" customFormat="1" ht="12.75">
      <c r="A401" s="132"/>
      <c r="B401" s="209"/>
      <c r="C401" s="210"/>
      <c r="D401" s="134"/>
      <c r="E401" s="134"/>
      <c r="F401" s="134"/>
      <c r="G401" s="134"/>
      <c r="H401" s="134"/>
      <c r="I401" s="134"/>
      <c r="J401" s="135"/>
      <c r="K401" s="135"/>
      <c r="L401" s="134">
        <f>ROUND(D401*K401,2)</f>
        <v>0</v>
      </c>
      <c r="M401" s="136"/>
    </row>
    <row r="402" spans="1:13" s="131" customFormat="1" ht="12.75">
      <c r="A402" s="139"/>
      <c r="B402" s="140"/>
      <c r="C402" s="141"/>
      <c r="D402" s="142"/>
      <c r="E402" s="143"/>
      <c r="F402" s="142"/>
      <c r="G402" s="142"/>
      <c r="H402" s="143"/>
      <c r="I402" s="143"/>
      <c r="J402" s="144"/>
      <c r="K402" s="144"/>
      <c r="L402" s="142"/>
      <c r="M402" s="145"/>
    </row>
    <row r="403" spans="1:13" ht="30" customHeight="1">
      <c r="A403" s="128" t="str">
        <f>'BM02'!A131</f>
        <v>1.11.8</v>
      </c>
      <c r="B403" s="211" t="str">
        <f>'BM02'!B131</f>
        <v>TORNEIRA CROMADA DE MESA, 1/2 OU 3/4, PARA LAVATÓRIO, PADRÃO MÉDIO - FORNECIMENTO E INSTALAÇÃO. AF_01/2020</v>
      </c>
      <c r="C403" s="212"/>
      <c r="D403" s="212"/>
      <c r="E403" s="212"/>
      <c r="F403" s="212"/>
      <c r="G403" s="212"/>
      <c r="H403" s="212"/>
      <c r="I403" s="212"/>
      <c r="J403" s="212"/>
      <c r="K403" s="213"/>
      <c r="L403" s="129">
        <f>L404</f>
        <v>0</v>
      </c>
      <c r="M403" s="130" t="str">
        <f>'BM02'!C131</f>
        <v>un</v>
      </c>
    </row>
    <row r="404" spans="1:13" s="131" customFormat="1" ht="12.75">
      <c r="A404" s="132"/>
      <c r="B404" s="209"/>
      <c r="C404" s="210"/>
      <c r="D404" s="134"/>
      <c r="E404" s="134"/>
      <c r="F404" s="134"/>
      <c r="G404" s="134"/>
      <c r="H404" s="134"/>
      <c r="I404" s="134"/>
      <c r="J404" s="135"/>
      <c r="K404" s="135"/>
      <c r="L404" s="134">
        <f>ROUND(D404*K404,2)</f>
        <v>0</v>
      </c>
      <c r="M404" s="136"/>
    </row>
    <row r="405" spans="1:13" s="131" customFormat="1" ht="12.75">
      <c r="A405" s="139"/>
      <c r="B405" s="140"/>
      <c r="C405" s="141"/>
      <c r="D405" s="142"/>
      <c r="E405" s="143"/>
      <c r="F405" s="142"/>
      <c r="G405" s="142"/>
      <c r="H405" s="143"/>
      <c r="I405" s="143"/>
      <c r="J405" s="144"/>
      <c r="K405" s="144"/>
      <c r="L405" s="142"/>
      <c r="M405" s="145"/>
    </row>
    <row r="406" spans="1:13" ht="12.75">
      <c r="A406" s="128" t="str">
        <f>'BM02'!A132</f>
        <v>1.11.9</v>
      </c>
      <c r="B406" s="211" t="str">
        <f>'BM02'!B132</f>
        <v>TORNEIRA CROMADA 1/2 OU 3/4 PARA TANQUE, PADRÃO MÉDIO - FORNECIMENTO E INSTALAÇÃO. AF_01/2020</v>
      </c>
      <c r="C406" s="212"/>
      <c r="D406" s="212"/>
      <c r="E406" s="212"/>
      <c r="F406" s="212"/>
      <c r="G406" s="212"/>
      <c r="H406" s="212"/>
      <c r="I406" s="212"/>
      <c r="J406" s="212"/>
      <c r="K406" s="213"/>
      <c r="L406" s="129">
        <f>L407</f>
        <v>0</v>
      </c>
      <c r="M406" s="130" t="str">
        <f>'BM02'!C132</f>
        <v>un</v>
      </c>
    </row>
    <row r="407" spans="1:13" s="131" customFormat="1" ht="12.75">
      <c r="A407" s="132"/>
      <c r="B407" s="209"/>
      <c r="C407" s="210"/>
      <c r="D407" s="134"/>
      <c r="E407" s="134"/>
      <c r="F407" s="134"/>
      <c r="G407" s="134"/>
      <c r="H407" s="134"/>
      <c r="I407" s="134"/>
      <c r="J407" s="135"/>
      <c r="K407" s="135"/>
      <c r="L407" s="134">
        <f>ROUND(D407*K407,2)</f>
        <v>0</v>
      </c>
      <c r="M407" s="136"/>
    </row>
    <row r="408" spans="1:13" s="131" customFormat="1" ht="12.75">
      <c r="A408" s="139"/>
      <c r="B408" s="140"/>
      <c r="C408" s="141"/>
      <c r="D408" s="142"/>
      <c r="E408" s="143"/>
      <c r="F408" s="142"/>
      <c r="G408" s="142"/>
      <c r="H408" s="143"/>
      <c r="I408" s="143"/>
      <c r="J408" s="144"/>
      <c r="K408" s="144"/>
      <c r="L408" s="142"/>
      <c r="M408" s="145"/>
    </row>
    <row r="409" spans="1:13" ht="12.75">
      <c r="A409" s="184" t="str">
        <f>'BM02'!A133</f>
        <v>1.11.10</v>
      </c>
      <c r="B409" s="211" t="str">
        <f>'BM02'!B133</f>
        <v>Cabide em aço inox, MOLDENOX, linha stylus 108 RSL ou similar</v>
      </c>
      <c r="C409" s="212"/>
      <c r="D409" s="212"/>
      <c r="E409" s="212"/>
      <c r="F409" s="212"/>
      <c r="G409" s="212"/>
      <c r="H409" s="212"/>
      <c r="I409" s="212"/>
      <c r="J409" s="212"/>
      <c r="K409" s="213"/>
      <c r="L409" s="129">
        <f>L410</f>
        <v>0</v>
      </c>
      <c r="M409" s="130" t="str">
        <f>'BM02'!C133</f>
        <v>un</v>
      </c>
    </row>
    <row r="410" spans="1:13" s="131" customFormat="1" ht="12.75">
      <c r="A410" s="132"/>
      <c r="B410" s="209"/>
      <c r="C410" s="210"/>
      <c r="D410" s="134"/>
      <c r="E410" s="134"/>
      <c r="F410" s="134"/>
      <c r="G410" s="134"/>
      <c r="H410" s="134"/>
      <c r="I410" s="134"/>
      <c r="J410" s="135"/>
      <c r="K410" s="135"/>
      <c r="L410" s="134">
        <f>ROUND(D410*K410,2)</f>
        <v>0</v>
      </c>
      <c r="M410" s="136"/>
    </row>
    <row r="411" spans="1:13" s="131" customFormat="1" ht="12.75">
      <c r="A411" s="139"/>
      <c r="B411" s="140"/>
      <c r="C411" s="141"/>
      <c r="D411" s="142"/>
      <c r="E411" s="143"/>
      <c r="F411" s="142"/>
      <c r="G411" s="142"/>
      <c r="H411" s="143"/>
      <c r="I411" s="143"/>
      <c r="J411" s="144"/>
      <c r="K411" s="144"/>
      <c r="L411" s="142"/>
      <c r="M411" s="145"/>
    </row>
    <row r="412" spans="1:13" ht="12.75">
      <c r="A412" s="184" t="str">
        <f>'BM02'!A134</f>
        <v>1.11.11</v>
      </c>
      <c r="B412" s="211" t="str">
        <f>'BM02'!B134</f>
        <v>Chuveiro plástico sem registro</v>
      </c>
      <c r="C412" s="212"/>
      <c r="D412" s="212"/>
      <c r="E412" s="212"/>
      <c r="F412" s="212"/>
      <c r="G412" s="212"/>
      <c r="H412" s="212"/>
      <c r="I412" s="212"/>
      <c r="J412" s="212"/>
      <c r="K412" s="213"/>
      <c r="L412" s="129">
        <f>L413</f>
        <v>0</v>
      </c>
      <c r="M412" s="130" t="str">
        <f>'BM02'!C134</f>
        <v>un</v>
      </c>
    </row>
    <row r="413" spans="1:13" s="131" customFormat="1" ht="12.75">
      <c r="A413" s="132"/>
      <c r="B413" s="209"/>
      <c r="C413" s="210"/>
      <c r="D413" s="134"/>
      <c r="E413" s="134"/>
      <c r="F413" s="134"/>
      <c r="G413" s="134"/>
      <c r="H413" s="134"/>
      <c r="I413" s="134"/>
      <c r="J413" s="135"/>
      <c r="K413" s="135"/>
      <c r="L413" s="134">
        <f>ROUND(D413*K413,2)</f>
        <v>0</v>
      </c>
      <c r="M413" s="136"/>
    </row>
    <row r="414" spans="1:13" s="131" customFormat="1" ht="12.75">
      <c r="A414" s="139"/>
      <c r="B414" s="140"/>
      <c r="C414" s="141"/>
      <c r="D414" s="142"/>
      <c r="E414" s="143"/>
      <c r="F414" s="142"/>
      <c r="G414" s="142"/>
      <c r="H414" s="143"/>
      <c r="I414" s="143"/>
      <c r="J414" s="144"/>
      <c r="K414" s="144"/>
      <c r="L414" s="142"/>
      <c r="M414" s="145"/>
    </row>
    <row r="415" spans="1:13" ht="30" customHeight="1">
      <c r="A415" s="128" t="str">
        <f>'BM02'!A135</f>
        <v>1.11.12</v>
      </c>
      <c r="B415" s="211" t="str">
        <f>'BM02'!B135</f>
        <v>SABONETEIRA PLASTICA TIPO DISPENSER PARA SABONETE LIQUIDO COM RESERVATORIO 800 A 1500 ML, INCLUSO FIXAÇÃO. AF_01/2020</v>
      </c>
      <c r="C415" s="212"/>
      <c r="D415" s="212"/>
      <c r="E415" s="212"/>
      <c r="F415" s="212"/>
      <c r="G415" s="212"/>
      <c r="H415" s="212"/>
      <c r="I415" s="212"/>
      <c r="J415" s="212"/>
      <c r="K415" s="213"/>
      <c r="L415" s="129">
        <f>L416</f>
        <v>0</v>
      </c>
      <c r="M415" s="130" t="str">
        <f>'BM02'!C135</f>
        <v>un</v>
      </c>
    </row>
    <row r="416" spans="1:13" s="131" customFormat="1" ht="12.75">
      <c r="A416" s="132"/>
      <c r="B416" s="209"/>
      <c r="C416" s="210"/>
      <c r="D416" s="134"/>
      <c r="E416" s="134"/>
      <c r="F416" s="134"/>
      <c r="G416" s="134"/>
      <c r="H416" s="134"/>
      <c r="I416" s="134"/>
      <c r="J416" s="135"/>
      <c r="K416" s="135"/>
      <c r="L416" s="134">
        <f>ROUND(D416*K416,2)</f>
        <v>0</v>
      </c>
      <c r="M416" s="136"/>
    </row>
    <row r="417" spans="1:13" s="131" customFormat="1" ht="12.75">
      <c r="A417" s="139"/>
      <c r="B417" s="140"/>
      <c r="C417" s="141"/>
      <c r="D417" s="142"/>
      <c r="E417" s="143"/>
      <c r="F417" s="142"/>
      <c r="G417" s="142"/>
      <c r="H417" s="143"/>
      <c r="I417" s="143"/>
      <c r="J417" s="144"/>
      <c r="K417" s="144"/>
      <c r="L417" s="142"/>
      <c r="M417" s="145"/>
    </row>
    <row r="418" spans="1:13" ht="12.75">
      <c r="A418" s="184" t="str">
        <f>'BM02'!A136</f>
        <v>1.11.13</v>
      </c>
      <c r="B418" s="211" t="str">
        <f>'BM02'!B136</f>
        <v>Dispenser para toalha interfolhada</v>
      </c>
      <c r="C418" s="212"/>
      <c r="D418" s="212"/>
      <c r="E418" s="212"/>
      <c r="F418" s="212"/>
      <c r="G418" s="212"/>
      <c r="H418" s="212"/>
      <c r="I418" s="212"/>
      <c r="J418" s="212"/>
      <c r="K418" s="213"/>
      <c r="L418" s="129">
        <f>L419</f>
        <v>0</v>
      </c>
      <c r="M418" s="130" t="str">
        <f>'BM02'!C136</f>
        <v>un</v>
      </c>
    </row>
    <row r="419" spans="1:13" s="131" customFormat="1" ht="12.75">
      <c r="A419" s="132"/>
      <c r="B419" s="209"/>
      <c r="C419" s="210"/>
      <c r="D419" s="134"/>
      <c r="E419" s="134"/>
      <c r="F419" s="134"/>
      <c r="G419" s="134"/>
      <c r="H419" s="134"/>
      <c r="I419" s="134"/>
      <c r="J419" s="135"/>
      <c r="K419" s="135"/>
      <c r="L419" s="134">
        <f>ROUND(D419*K419,2)</f>
        <v>0</v>
      </c>
      <c r="M419" s="136"/>
    </row>
    <row r="420" spans="1:13" s="131" customFormat="1" ht="12.75">
      <c r="A420" s="139"/>
      <c r="B420" s="140"/>
      <c r="C420" s="141"/>
      <c r="D420" s="142"/>
      <c r="E420" s="143"/>
      <c r="F420" s="142"/>
      <c r="G420" s="142"/>
      <c r="H420" s="143"/>
      <c r="I420" s="143"/>
      <c r="J420" s="144"/>
      <c r="K420" s="144"/>
      <c r="L420" s="142"/>
      <c r="M420" s="145"/>
    </row>
    <row r="421" spans="1:13" ht="12.75">
      <c r="A421" s="184" t="str">
        <f>'BM02'!A137</f>
        <v>1.11.14</v>
      </c>
      <c r="B421" s="211" t="str">
        <f>'BM02'!B137</f>
        <v>Dispenser, em plástico, para papel higiênico em rolo</v>
      </c>
      <c r="C421" s="212"/>
      <c r="D421" s="212"/>
      <c r="E421" s="212"/>
      <c r="F421" s="212"/>
      <c r="G421" s="212"/>
      <c r="H421" s="212"/>
      <c r="I421" s="212"/>
      <c r="J421" s="212"/>
      <c r="K421" s="213"/>
      <c r="L421" s="129">
        <f>L422</f>
        <v>0</v>
      </c>
      <c r="M421" s="130" t="str">
        <f>'BM02'!C137</f>
        <v>un</v>
      </c>
    </row>
    <row r="422" spans="1:13" s="131" customFormat="1" ht="12.75">
      <c r="A422" s="132"/>
      <c r="B422" s="209"/>
      <c r="C422" s="210"/>
      <c r="D422" s="134"/>
      <c r="E422" s="134"/>
      <c r="F422" s="134"/>
      <c r="G422" s="134"/>
      <c r="H422" s="134"/>
      <c r="I422" s="134"/>
      <c r="J422" s="135"/>
      <c r="K422" s="135"/>
      <c r="L422" s="134">
        <f>ROUND(D422*K422,2)</f>
        <v>0</v>
      </c>
      <c r="M422" s="136"/>
    </row>
    <row r="423" spans="1:13" s="131" customFormat="1" ht="12.75">
      <c r="A423" s="139"/>
      <c r="B423" s="140"/>
      <c r="C423" s="141"/>
      <c r="D423" s="142"/>
      <c r="E423" s="143"/>
      <c r="F423" s="142"/>
      <c r="G423" s="142"/>
      <c r="H423" s="143"/>
      <c r="I423" s="143"/>
      <c r="J423" s="144"/>
      <c r="K423" s="144"/>
      <c r="L423" s="142"/>
      <c r="M423" s="145"/>
    </row>
    <row r="424" spans="1:13" ht="30" customHeight="1">
      <c r="A424" s="128" t="str">
        <f>'BM02'!A138</f>
        <v>1.11.15</v>
      </c>
      <c r="B424" s="211" t="str">
        <f>'BM02'!B138</f>
        <v>RALO SIFONADO, PVC, DN 100 X 40 MM, JUNTA SOLDÁVEL, FORNECIDO E INSTALADO EM RAMAL DE DESCARGA OU EM RAMAL DE ESGOTO SANITÁRIO. AF_12/2014</v>
      </c>
      <c r="C424" s="212"/>
      <c r="D424" s="212"/>
      <c r="E424" s="212"/>
      <c r="F424" s="212"/>
      <c r="G424" s="212"/>
      <c r="H424" s="212"/>
      <c r="I424" s="212"/>
      <c r="J424" s="212"/>
      <c r="K424" s="213"/>
      <c r="L424" s="129">
        <f>L425</f>
        <v>0</v>
      </c>
      <c r="M424" s="130" t="str">
        <f>'BM02'!C138</f>
        <v>un</v>
      </c>
    </row>
    <row r="425" spans="1:13" s="131" customFormat="1" ht="12.75">
      <c r="A425" s="132"/>
      <c r="B425" s="209"/>
      <c r="C425" s="210"/>
      <c r="D425" s="134"/>
      <c r="E425" s="134"/>
      <c r="F425" s="134"/>
      <c r="G425" s="134"/>
      <c r="H425" s="134"/>
      <c r="I425" s="134"/>
      <c r="J425" s="135"/>
      <c r="K425" s="135"/>
      <c r="L425" s="134">
        <f>ROUND(D425*K425,2)</f>
        <v>0</v>
      </c>
      <c r="M425" s="136"/>
    </row>
    <row r="426" spans="1:13" s="131" customFormat="1" ht="12.75">
      <c r="A426" s="139"/>
      <c r="B426" s="140"/>
      <c r="C426" s="141"/>
      <c r="D426" s="142"/>
      <c r="E426" s="143"/>
      <c r="F426" s="142"/>
      <c r="G426" s="142"/>
      <c r="H426" s="143"/>
      <c r="I426" s="143"/>
      <c r="J426" s="144"/>
      <c r="K426" s="144"/>
      <c r="L426" s="142"/>
      <c r="M426" s="145"/>
    </row>
    <row r="427" spans="1:13" ht="12.75">
      <c r="A427" s="184" t="str">
        <f>'BM02'!A139</f>
        <v>1.11.16</v>
      </c>
      <c r="B427" s="211" t="str">
        <f>'BM02'!B139</f>
        <v>TANQUE DE MÁRMORE SINTÉTICO SUSPENSO, 22L OU EQUIVALENTE - FORNECIMENTO E INSTALAÇÃO. AF_01/2020</v>
      </c>
      <c r="C427" s="212"/>
      <c r="D427" s="212"/>
      <c r="E427" s="212"/>
      <c r="F427" s="212"/>
      <c r="G427" s="212"/>
      <c r="H427" s="212"/>
      <c r="I427" s="212"/>
      <c r="J427" s="212"/>
      <c r="K427" s="213"/>
      <c r="L427" s="129">
        <f>L428</f>
        <v>0</v>
      </c>
      <c r="M427" s="130" t="str">
        <f>'BM02'!C139</f>
        <v>un</v>
      </c>
    </row>
    <row r="428" spans="1:13" s="131" customFormat="1" ht="12.75">
      <c r="A428" s="132"/>
      <c r="B428" s="209"/>
      <c r="C428" s="210"/>
      <c r="D428" s="134"/>
      <c r="E428" s="134"/>
      <c r="F428" s="134"/>
      <c r="G428" s="134"/>
      <c r="H428" s="134"/>
      <c r="I428" s="134"/>
      <c r="J428" s="135"/>
      <c r="K428" s="135"/>
      <c r="L428" s="134">
        <f>ROUND(D428*K428,2)</f>
        <v>0</v>
      </c>
      <c r="M428" s="136"/>
    </row>
    <row r="429" spans="1:13" s="131" customFormat="1" ht="12.75">
      <c r="A429" s="139"/>
      <c r="B429" s="140"/>
      <c r="C429" s="141"/>
      <c r="D429" s="142"/>
      <c r="E429" s="143"/>
      <c r="F429" s="142"/>
      <c r="G429" s="142"/>
      <c r="H429" s="143"/>
      <c r="I429" s="143"/>
      <c r="J429" s="144"/>
      <c r="K429" s="144"/>
      <c r="L429" s="142"/>
      <c r="M429" s="145"/>
    </row>
    <row r="430" spans="1:13" ht="30" customHeight="1">
      <c r="A430" s="128" t="str">
        <f>'BM02'!A140</f>
        <v>1.11.17</v>
      </c>
      <c r="B430" s="211" t="str">
        <f>'BM02'!B140</f>
        <v>BANCADA DE MÁRMORE SINTÉTICO, DE 120 X 60CM, COM CUBA INTEGRADA - FORNECIMENTO E INSTALAÇÃO. AF_01/2020</v>
      </c>
      <c r="C430" s="212"/>
      <c r="D430" s="212"/>
      <c r="E430" s="212"/>
      <c r="F430" s="212"/>
      <c r="G430" s="212"/>
      <c r="H430" s="212"/>
      <c r="I430" s="212"/>
      <c r="J430" s="212"/>
      <c r="K430" s="213"/>
      <c r="L430" s="129">
        <f>L431</f>
        <v>0</v>
      </c>
      <c r="M430" s="130" t="str">
        <f>'BM02'!C140</f>
        <v>un</v>
      </c>
    </row>
    <row r="431" spans="1:13" s="131" customFormat="1" ht="12.75">
      <c r="A431" s="132"/>
      <c r="B431" s="209"/>
      <c r="C431" s="210"/>
      <c r="D431" s="134"/>
      <c r="E431" s="134"/>
      <c r="F431" s="134"/>
      <c r="G431" s="134"/>
      <c r="H431" s="134"/>
      <c r="I431" s="134"/>
      <c r="J431" s="135"/>
      <c r="K431" s="135"/>
      <c r="L431" s="134">
        <f>ROUND(D431*K431,2)</f>
        <v>0</v>
      </c>
      <c r="M431" s="136"/>
    </row>
    <row r="432" spans="1:13" s="131" customFormat="1" ht="12.75">
      <c r="A432" s="139"/>
      <c r="B432" s="140"/>
      <c r="C432" s="141"/>
      <c r="D432" s="142"/>
      <c r="E432" s="143"/>
      <c r="F432" s="142"/>
      <c r="G432" s="142"/>
      <c r="H432" s="143"/>
      <c r="I432" s="143"/>
      <c r="J432" s="144"/>
      <c r="K432" s="144"/>
      <c r="L432" s="142"/>
      <c r="M432" s="145"/>
    </row>
    <row r="433" spans="1:13" ht="12.75">
      <c r="A433" s="184" t="str">
        <f>'BM02'!A141</f>
        <v>1.11.18</v>
      </c>
      <c r="B433" s="211" t="str">
        <f>'BM02'!B141</f>
        <v>ESPELHO CRISTAL ESPESSURA 4MM</v>
      </c>
      <c r="C433" s="212"/>
      <c r="D433" s="212"/>
      <c r="E433" s="212"/>
      <c r="F433" s="212"/>
      <c r="G433" s="212"/>
      <c r="H433" s="212"/>
      <c r="I433" s="212"/>
      <c r="J433" s="212"/>
      <c r="K433" s="213"/>
      <c r="L433" s="129">
        <f>L434</f>
        <v>0</v>
      </c>
      <c r="M433" s="130" t="str">
        <f>'BM02'!C141</f>
        <v>m²</v>
      </c>
    </row>
    <row r="434" spans="1:13" s="131" customFormat="1" ht="12.75">
      <c r="A434" s="132"/>
      <c r="B434" s="209"/>
      <c r="C434" s="210"/>
      <c r="D434" s="134"/>
      <c r="E434" s="134"/>
      <c r="F434" s="134"/>
      <c r="G434" s="134"/>
      <c r="H434" s="134"/>
      <c r="I434" s="134"/>
      <c r="J434" s="135"/>
      <c r="K434" s="135"/>
      <c r="L434" s="134">
        <f>ROUND(D434*K434,2)</f>
        <v>0</v>
      </c>
      <c r="M434" s="136"/>
    </row>
    <row r="435" spans="1:13" s="131" customFormat="1" ht="12.75">
      <c r="A435" s="139"/>
      <c r="B435" s="140"/>
      <c r="C435" s="141"/>
      <c r="D435" s="142"/>
      <c r="E435" s="143"/>
      <c r="F435" s="142"/>
      <c r="G435" s="142"/>
      <c r="H435" s="143"/>
      <c r="I435" s="143"/>
      <c r="J435" s="144"/>
      <c r="K435" s="144"/>
      <c r="L435" s="142"/>
      <c r="M435" s="145"/>
    </row>
    <row r="436" spans="1:13" ht="12.75">
      <c r="A436" s="184" t="str">
        <f>'BM02'!A142</f>
        <v>1.11.19</v>
      </c>
      <c r="B436" s="211" t="str">
        <f>'BM02'!B142</f>
        <v>BANCO ARTICULADO, EM ACO INOX, PARA PCD, FIXADO NA PAREDE - FORNECIMENTO E INSTALAÇÃO. AF_01/2020</v>
      </c>
      <c r="C436" s="212"/>
      <c r="D436" s="212"/>
      <c r="E436" s="212"/>
      <c r="F436" s="212"/>
      <c r="G436" s="212"/>
      <c r="H436" s="212"/>
      <c r="I436" s="212"/>
      <c r="J436" s="212"/>
      <c r="K436" s="213"/>
      <c r="L436" s="129">
        <f>L437</f>
        <v>0</v>
      </c>
      <c r="M436" s="130" t="str">
        <f>'BM02'!C142</f>
        <v>un</v>
      </c>
    </row>
    <row r="437" spans="1:13" s="131" customFormat="1" ht="12.75">
      <c r="A437" s="132"/>
      <c r="B437" s="209"/>
      <c r="C437" s="210"/>
      <c r="D437" s="134"/>
      <c r="E437" s="134"/>
      <c r="F437" s="134"/>
      <c r="G437" s="134"/>
      <c r="H437" s="134"/>
      <c r="I437" s="134"/>
      <c r="J437" s="135"/>
      <c r="K437" s="135"/>
      <c r="L437" s="134">
        <f>ROUND(D437*K437,2)</f>
        <v>0</v>
      </c>
      <c r="M437" s="136"/>
    </row>
    <row r="438" spans="1:13" s="131" customFormat="1" ht="12.75">
      <c r="A438" s="139"/>
      <c r="B438" s="140"/>
      <c r="C438" s="141"/>
      <c r="D438" s="142"/>
      <c r="E438" s="143"/>
      <c r="F438" s="142"/>
      <c r="G438" s="142"/>
      <c r="H438" s="143"/>
      <c r="I438" s="143"/>
      <c r="J438" s="144"/>
      <c r="K438" s="144"/>
      <c r="L438" s="142"/>
      <c r="M438" s="145"/>
    </row>
    <row r="439" spans="1:13" ht="12.75">
      <c r="A439" s="184" t="str">
        <f>'BM02'!A143</f>
        <v>1.11.20</v>
      </c>
      <c r="B439" s="211" t="str">
        <f>'BM02'!B143</f>
        <v>Bancada em granito cinza andorinha, e=2cm</v>
      </c>
      <c r="C439" s="212"/>
      <c r="D439" s="212"/>
      <c r="E439" s="212"/>
      <c r="F439" s="212"/>
      <c r="G439" s="212"/>
      <c r="H439" s="212"/>
      <c r="I439" s="212"/>
      <c r="J439" s="212"/>
      <c r="K439" s="213"/>
      <c r="L439" s="129">
        <f>L440</f>
        <v>0</v>
      </c>
      <c r="M439" s="130" t="str">
        <f>'BM02'!C143</f>
        <v>m²</v>
      </c>
    </row>
    <row r="440" spans="1:13" s="131" customFormat="1" ht="12.75">
      <c r="A440" s="132"/>
      <c r="B440" s="209"/>
      <c r="C440" s="210"/>
      <c r="D440" s="134"/>
      <c r="E440" s="134"/>
      <c r="F440" s="134"/>
      <c r="G440" s="134"/>
      <c r="H440" s="134"/>
      <c r="I440" s="134"/>
      <c r="J440" s="135"/>
      <c r="K440" s="135"/>
      <c r="L440" s="134">
        <f>ROUND(D440*K440,2)</f>
        <v>0</v>
      </c>
      <c r="M440" s="136"/>
    </row>
    <row r="441" spans="1:13" s="131" customFormat="1" ht="12.75">
      <c r="A441" s="139"/>
      <c r="B441" s="140"/>
      <c r="C441" s="141"/>
      <c r="D441" s="142"/>
      <c r="E441" s="143"/>
      <c r="F441" s="142"/>
      <c r="G441" s="142"/>
      <c r="H441" s="143"/>
      <c r="I441" s="143"/>
      <c r="J441" s="144"/>
      <c r="K441" s="144"/>
      <c r="L441" s="142"/>
      <c r="M441" s="145"/>
    </row>
    <row r="442" spans="1:13" ht="30" customHeight="1">
      <c r="A442" s="128" t="str">
        <f>'BM02'!A144</f>
        <v>1.11.21</v>
      </c>
      <c r="B442" s="211" t="str">
        <f>'BM02'!B144</f>
        <v>PONTO DE CONSUMO TERMINAL DE ÁGUA FRIA (SUBRAMAL) COM TUBULAÇÃO DE PVC, DN 25 MM, INSTALADO EM RAMAL DE ÁGUA, INCLUSOS RASGO E CHUMBAMENTO EM ALVENARIA. AF_12/2014</v>
      </c>
      <c r="C442" s="212"/>
      <c r="D442" s="212"/>
      <c r="E442" s="212"/>
      <c r="F442" s="212"/>
      <c r="G442" s="212"/>
      <c r="H442" s="212"/>
      <c r="I442" s="212"/>
      <c r="J442" s="212"/>
      <c r="K442" s="213"/>
      <c r="L442" s="129">
        <f>L443</f>
        <v>0</v>
      </c>
      <c r="M442" s="130" t="str">
        <f>'BM02'!C144</f>
        <v>un</v>
      </c>
    </row>
    <row r="443" spans="1:13" s="131" customFormat="1" ht="12.75">
      <c r="A443" s="132"/>
      <c r="B443" s="209"/>
      <c r="C443" s="210"/>
      <c r="D443" s="134"/>
      <c r="E443" s="134"/>
      <c r="F443" s="134"/>
      <c r="G443" s="134"/>
      <c r="H443" s="134"/>
      <c r="I443" s="134"/>
      <c r="J443" s="135"/>
      <c r="K443" s="135"/>
      <c r="L443" s="134"/>
      <c r="M443" s="136"/>
    </row>
    <row r="444" spans="1:13" s="131" customFormat="1" ht="12.75">
      <c r="A444" s="139"/>
      <c r="B444" s="140"/>
      <c r="C444" s="141"/>
      <c r="D444" s="142"/>
      <c r="E444" s="143"/>
      <c r="F444" s="142"/>
      <c r="G444" s="142"/>
      <c r="H444" s="143"/>
      <c r="I444" s="143"/>
      <c r="J444" s="144"/>
      <c r="K444" s="144"/>
      <c r="L444" s="142"/>
      <c r="M444" s="145"/>
    </row>
    <row r="445" spans="1:13" ht="30" customHeight="1">
      <c r="A445" s="128" t="str">
        <f>'BM02'!A145</f>
        <v>1.11.22</v>
      </c>
      <c r="B445" s="211" t="str">
        <f>'BM02'!B145</f>
        <v>CAIXA ENTERRADA HIDRÁULICA RETANGULAR EM ALVENARIA COM TIJOLOS CERÂMICOS MACIÇOS, DIMENSÕES INTERNAS: 0,4X0,4X0,4 M PARA REDE DE ESGOTO. AF_12/2020</v>
      </c>
      <c r="C445" s="212"/>
      <c r="D445" s="212"/>
      <c r="E445" s="212"/>
      <c r="F445" s="212"/>
      <c r="G445" s="212"/>
      <c r="H445" s="212"/>
      <c r="I445" s="212"/>
      <c r="J445" s="212"/>
      <c r="K445" s="213"/>
      <c r="L445" s="129">
        <f>L446</f>
        <v>0</v>
      </c>
      <c r="M445" s="130" t="str">
        <f>'BM02'!C145</f>
        <v>un</v>
      </c>
    </row>
    <row r="446" spans="1:13" s="131" customFormat="1" ht="12.75">
      <c r="A446" s="132"/>
      <c r="B446" s="209"/>
      <c r="C446" s="210"/>
      <c r="D446" s="134"/>
      <c r="E446" s="134"/>
      <c r="F446" s="134"/>
      <c r="G446" s="134"/>
      <c r="H446" s="134"/>
      <c r="I446" s="134"/>
      <c r="J446" s="135"/>
      <c r="K446" s="135"/>
      <c r="L446" s="134">
        <f>ROUND(D446*K446,2)</f>
        <v>0</v>
      </c>
      <c r="M446" s="136"/>
    </row>
    <row r="447" spans="1:13" s="131" customFormat="1" ht="12.75">
      <c r="A447" s="139"/>
      <c r="B447" s="140"/>
      <c r="C447" s="141"/>
      <c r="D447" s="142"/>
      <c r="E447" s="143"/>
      <c r="F447" s="142"/>
      <c r="G447" s="142"/>
      <c r="H447" s="143"/>
      <c r="I447" s="143"/>
      <c r="J447" s="144"/>
      <c r="K447" s="144"/>
      <c r="L447" s="142"/>
      <c r="M447" s="145"/>
    </row>
    <row r="448" spans="1:13" ht="69" customHeight="1">
      <c r="A448" s="128" t="str">
        <f>'BM02'!A146</f>
        <v>1.11.23</v>
      </c>
      <c r="B448" s="279" t="s">
        <v>213</v>
      </c>
      <c r="C448" s="280"/>
      <c r="D448" s="280"/>
      <c r="E448" s="280"/>
      <c r="F448" s="280"/>
      <c r="G448" s="280"/>
      <c r="H448" s="280"/>
      <c r="I448" s="280"/>
      <c r="J448" s="280"/>
      <c r="K448" s="281"/>
      <c r="L448" s="129">
        <f>L449</f>
        <v>0</v>
      </c>
      <c r="M448" s="130" t="str">
        <f>'BM02'!C146</f>
        <v>un</v>
      </c>
    </row>
    <row r="449" spans="1:13" s="131" customFormat="1" ht="12.75">
      <c r="A449" s="132"/>
      <c r="B449" s="209"/>
      <c r="C449" s="210"/>
      <c r="D449" s="134"/>
      <c r="E449" s="134"/>
      <c r="F449" s="134"/>
      <c r="G449" s="134"/>
      <c r="H449" s="134"/>
      <c r="I449" s="134"/>
      <c r="J449" s="135"/>
      <c r="K449" s="135"/>
      <c r="L449" s="134">
        <f>ROUND(D449*K449,2)</f>
        <v>0</v>
      </c>
      <c r="M449" s="136"/>
    </row>
    <row r="450" spans="1:13" s="131" customFormat="1" ht="12.75">
      <c r="A450" s="139"/>
      <c r="B450" s="140"/>
      <c r="C450" s="141"/>
      <c r="D450" s="142"/>
      <c r="E450" s="143"/>
      <c r="F450" s="142"/>
      <c r="G450" s="142"/>
      <c r="H450" s="143"/>
      <c r="I450" s="143"/>
      <c r="J450" s="144"/>
      <c r="K450" s="144"/>
      <c r="L450" s="142"/>
      <c r="M450" s="145"/>
    </row>
    <row r="451" spans="1:13" ht="12.75">
      <c r="A451" s="184" t="str">
        <f>'BM02'!A147</f>
        <v>1.11.24</v>
      </c>
      <c r="B451" s="211" t="str">
        <f>'BM02'!B147</f>
        <v>Caixa d´água em fibra de vidro - instalada, sem estrutura de suporte cap. 10.000 litros</v>
      </c>
      <c r="C451" s="212"/>
      <c r="D451" s="212"/>
      <c r="E451" s="212"/>
      <c r="F451" s="212"/>
      <c r="G451" s="212"/>
      <c r="H451" s="212"/>
      <c r="I451" s="212"/>
      <c r="J451" s="212"/>
      <c r="K451" s="213"/>
      <c r="L451" s="129">
        <f>L452</f>
        <v>0</v>
      </c>
      <c r="M451" s="130" t="str">
        <f>'BM02'!C147</f>
        <v>un</v>
      </c>
    </row>
    <row r="452" spans="1:13" s="131" customFormat="1" ht="12.75">
      <c r="A452" s="132"/>
      <c r="B452" s="209"/>
      <c r="C452" s="210"/>
      <c r="D452" s="134"/>
      <c r="E452" s="134"/>
      <c r="F452" s="134"/>
      <c r="G452" s="134"/>
      <c r="H452" s="134"/>
      <c r="I452" s="134"/>
      <c r="J452" s="135"/>
      <c r="K452" s="135"/>
      <c r="L452" s="134">
        <f>ROUND(D452*K452,2)</f>
        <v>0</v>
      </c>
      <c r="M452" s="136"/>
    </row>
    <row r="453" spans="1:13" s="131" customFormat="1" ht="12.75">
      <c r="A453" s="139"/>
      <c r="B453" s="140"/>
      <c r="C453" s="141"/>
      <c r="D453" s="142"/>
      <c r="E453" s="143"/>
      <c r="F453" s="142"/>
      <c r="G453" s="142"/>
      <c r="H453" s="143"/>
      <c r="I453" s="143"/>
      <c r="J453" s="144"/>
      <c r="K453" s="144"/>
      <c r="L453" s="142"/>
      <c r="M453" s="145"/>
    </row>
    <row r="454" spans="1:13" ht="28.9" customHeight="1">
      <c r="A454" s="184" t="str">
        <f>'BM04'!A166</f>
        <v>1.11.26</v>
      </c>
      <c r="B454" s="211" t="str">
        <f>'BM04'!B166</f>
        <v>TUBO, PVC, SOLDÁVEL, DN 25MM, INSTALADO EM DRENO DE AR-CONDICIONADO - FORNECIMENTO E INSTALAÇÃO. AF_12/2014</v>
      </c>
      <c r="C454" s="212"/>
      <c r="D454" s="212"/>
      <c r="E454" s="212"/>
      <c r="F454" s="212"/>
      <c r="G454" s="212"/>
      <c r="H454" s="212"/>
      <c r="I454" s="212"/>
      <c r="J454" s="212"/>
      <c r="K454" s="213"/>
      <c r="L454" s="129">
        <f>L455</f>
        <v>21</v>
      </c>
      <c r="M454" s="130" t="str">
        <f>'BM04'!C166</f>
        <v>M</v>
      </c>
    </row>
    <row r="455" spans="1:13" s="131" customFormat="1" ht="43.15" customHeight="1">
      <c r="A455" s="132"/>
      <c r="B455" s="209" t="s">
        <v>697</v>
      </c>
      <c r="C455" s="210"/>
      <c r="D455" s="134">
        <f>4+3</f>
        <v>7</v>
      </c>
      <c r="E455" s="134">
        <v>3</v>
      </c>
      <c r="F455" s="134"/>
      <c r="G455" s="134"/>
      <c r="H455" s="134"/>
      <c r="I455" s="134"/>
      <c r="J455" s="135"/>
      <c r="K455" s="135">
        <f>E455</f>
        <v>3</v>
      </c>
      <c r="L455" s="134">
        <f>ROUND(D455*K455,2)</f>
        <v>21</v>
      </c>
      <c r="M455" s="136"/>
    </row>
    <row r="456" spans="1:13" s="131" customFormat="1" ht="12.75">
      <c r="A456" s="139"/>
      <c r="B456" s="140"/>
      <c r="C456" s="141"/>
      <c r="D456" s="142"/>
      <c r="E456" s="143"/>
      <c r="F456" s="142"/>
      <c r="G456" s="142"/>
      <c r="H456" s="143"/>
      <c r="I456" s="143"/>
      <c r="J456" s="144"/>
      <c r="K456" s="144"/>
      <c r="L456" s="142"/>
      <c r="M456" s="145"/>
    </row>
    <row r="457" spans="1:13" ht="12.75">
      <c r="A457" s="184" t="str">
        <f>'BM04'!A167</f>
        <v>1.11.27</v>
      </c>
      <c r="B457" s="211" t="str">
        <f>'BM04'!B167</f>
        <v>JOELHO 90 GRAUS, PVC, SOLDÁVEL, DN 25MM, INSTALADO EM DRENO DE AR-CONDICIONADO - FORNECIMENTO E INSTALAÇÃO. AF_12/2014</v>
      </c>
      <c r="C457" s="212"/>
      <c r="D457" s="212"/>
      <c r="E457" s="212"/>
      <c r="F457" s="212"/>
      <c r="G457" s="212"/>
      <c r="H457" s="212"/>
      <c r="I457" s="212"/>
      <c r="J457" s="212"/>
      <c r="K457" s="213"/>
      <c r="L457" s="129">
        <f>L458</f>
        <v>7</v>
      </c>
      <c r="M457" s="130" t="str">
        <f>'BM04'!C167</f>
        <v>UN</v>
      </c>
    </row>
    <row r="458" spans="1:13" s="131" customFormat="1" ht="28.9" customHeight="1">
      <c r="A458" s="132"/>
      <c r="B458" s="209" t="s">
        <v>698</v>
      </c>
      <c r="C458" s="210"/>
      <c r="D458" s="134">
        <f>4+3</f>
        <v>7</v>
      </c>
      <c r="E458" s="134"/>
      <c r="F458" s="134"/>
      <c r="G458" s="134"/>
      <c r="H458" s="134"/>
      <c r="I458" s="134"/>
      <c r="J458" s="135"/>
      <c r="K458" s="135"/>
      <c r="L458" s="134">
        <f>D458</f>
        <v>7</v>
      </c>
      <c r="M458" s="136"/>
    </row>
    <row r="459" spans="1:13" s="131" customFormat="1" ht="13.5" thickBot="1">
      <c r="A459" s="139"/>
      <c r="B459" s="140"/>
      <c r="C459" s="141"/>
      <c r="D459" s="142"/>
      <c r="E459" s="143"/>
      <c r="F459" s="142"/>
      <c r="G459" s="142"/>
      <c r="H459" s="143"/>
      <c r="I459" s="143"/>
      <c r="J459" s="144"/>
      <c r="K459" s="144"/>
      <c r="L459" s="142"/>
      <c r="M459" s="145"/>
    </row>
    <row r="460" spans="1:13" ht="13.5" thickBot="1">
      <c r="A460" s="121" t="str">
        <f>'BM02'!A149</f>
        <v>1.12</v>
      </c>
      <c r="B460" s="122" t="str">
        <f>'BM02'!B149</f>
        <v>INSTALAÇÕES SANITÁRIAS</v>
      </c>
      <c r="C460" s="122"/>
      <c r="D460" s="122"/>
      <c r="E460" s="122"/>
      <c r="F460" s="122"/>
      <c r="G460" s="122"/>
      <c r="H460" s="122"/>
      <c r="I460" s="122"/>
      <c r="J460" s="122"/>
      <c r="K460" s="122"/>
      <c r="L460" s="122"/>
      <c r="M460" s="123"/>
    </row>
    <row r="461" spans="1:13" ht="12.75">
      <c r="A461" s="124"/>
      <c r="B461" s="125"/>
      <c r="C461" s="125"/>
      <c r="D461" s="125"/>
      <c r="E461" s="125"/>
      <c r="F461" s="125"/>
      <c r="G461" s="125"/>
      <c r="H461" s="125"/>
      <c r="I461" s="125"/>
      <c r="J461" s="125"/>
      <c r="K461" s="126"/>
      <c r="L461" s="125"/>
      <c r="M461" s="127"/>
    </row>
    <row r="462" spans="1:13" ht="30" customHeight="1">
      <c r="A462" s="128" t="str">
        <f>'BM02'!A151</f>
        <v>1.12.1</v>
      </c>
      <c r="B462" s="211" t="str">
        <f>'BM02'!B151</f>
        <v>RALO SIFONADO, PVC, DN 100 X 40 MM, JUNTA SOLDÁVEL, FORNECIDO E INSTALADO EM RAMAL DE DESCARGA OU EM RAMAL DE ESGOTO SANITÁRIO. AF_12/2014</v>
      </c>
      <c r="C462" s="212"/>
      <c r="D462" s="212"/>
      <c r="E462" s="212"/>
      <c r="F462" s="212"/>
      <c r="G462" s="212"/>
      <c r="H462" s="212"/>
      <c r="I462" s="212"/>
      <c r="J462" s="212"/>
      <c r="K462" s="213"/>
      <c r="L462" s="129">
        <f>L463</f>
        <v>7</v>
      </c>
      <c r="M462" s="130" t="str">
        <f>'BM02'!C151</f>
        <v>un</v>
      </c>
    </row>
    <row r="463" spans="1:13" s="131" customFormat="1" ht="28.9" customHeight="1">
      <c r="A463" s="132"/>
      <c r="B463" s="209" t="s">
        <v>699</v>
      </c>
      <c r="C463" s="210"/>
      <c r="D463" s="134">
        <f>5+1+1</f>
        <v>7</v>
      </c>
      <c r="E463" s="134"/>
      <c r="F463" s="134"/>
      <c r="G463" s="134"/>
      <c r="H463" s="134"/>
      <c r="I463" s="134"/>
      <c r="J463" s="135"/>
      <c r="K463" s="135"/>
      <c r="L463" s="134">
        <f>D463</f>
        <v>7</v>
      </c>
      <c r="M463" s="136"/>
    </row>
    <row r="464" spans="1:13" s="131" customFormat="1" ht="12.75">
      <c r="A464" s="139"/>
      <c r="B464" s="140"/>
      <c r="C464" s="141"/>
      <c r="D464" s="142"/>
      <c r="E464" s="143"/>
      <c r="F464" s="142"/>
      <c r="G464" s="142"/>
      <c r="H464" s="143"/>
      <c r="I464" s="143"/>
      <c r="J464" s="144"/>
      <c r="K464" s="144"/>
      <c r="L464" s="142"/>
      <c r="M464" s="145"/>
    </row>
    <row r="465" spans="1:13" ht="43.15" customHeight="1">
      <c r="A465" s="128" t="str">
        <f>'BM02'!A152</f>
        <v>1.12.2</v>
      </c>
      <c r="B465" s="211" t="str">
        <f>'BM02'!B152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465" s="212"/>
      <c r="D465" s="212"/>
      <c r="E465" s="212"/>
      <c r="F465" s="212"/>
      <c r="G465" s="212"/>
      <c r="H465" s="212"/>
      <c r="I465" s="212"/>
      <c r="J465" s="212"/>
      <c r="K465" s="213"/>
      <c r="L465" s="129">
        <f>L466</f>
        <v>0</v>
      </c>
      <c r="M465" s="130" t="str">
        <f>'BM02'!C152</f>
        <v>m</v>
      </c>
    </row>
    <row r="466" spans="1:13" s="131" customFormat="1" ht="12.75">
      <c r="A466" s="132"/>
      <c r="B466" s="209"/>
      <c r="C466" s="210"/>
      <c r="D466" s="134"/>
      <c r="E466" s="134"/>
      <c r="F466" s="134"/>
      <c r="G466" s="134"/>
      <c r="H466" s="134"/>
      <c r="I466" s="134"/>
      <c r="J466" s="135"/>
      <c r="K466" s="135"/>
      <c r="L466" s="134">
        <f>D466</f>
        <v>0</v>
      </c>
      <c r="M466" s="136"/>
    </row>
    <row r="467" spans="1:13" s="131" customFormat="1" ht="12.75">
      <c r="A467" s="139"/>
      <c r="B467" s="140"/>
      <c r="C467" s="141"/>
      <c r="D467" s="142"/>
      <c r="E467" s="143"/>
      <c r="F467" s="142"/>
      <c r="G467" s="142"/>
      <c r="H467" s="143"/>
      <c r="I467" s="143"/>
      <c r="J467" s="144"/>
      <c r="K467" s="144"/>
      <c r="L467" s="142"/>
      <c r="M467" s="145"/>
    </row>
    <row r="468" spans="1:13" ht="12.75">
      <c r="A468" s="184" t="str">
        <f>'BM02'!A153</f>
        <v>1.12.3</v>
      </c>
      <c r="B468" s="211" t="str">
        <f>'BM02'!B153</f>
        <v>Caixa de inspeção 0.60 x 0.60 x 0.60m</v>
      </c>
      <c r="C468" s="212"/>
      <c r="D468" s="212"/>
      <c r="E468" s="212"/>
      <c r="F468" s="212"/>
      <c r="G468" s="212"/>
      <c r="H468" s="212"/>
      <c r="I468" s="212"/>
      <c r="J468" s="212"/>
      <c r="K468" s="213"/>
      <c r="L468" s="129">
        <f>L469</f>
        <v>0</v>
      </c>
      <c r="M468" s="130" t="str">
        <f>'BM02'!C153</f>
        <v>un</v>
      </c>
    </row>
    <row r="469" spans="1:13" s="131" customFormat="1" ht="12.75">
      <c r="A469" s="132"/>
      <c r="B469" s="209"/>
      <c r="C469" s="210"/>
      <c r="D469" s="134"/>
      <c r="E469" s="134"/>
      <c r="F469" s="134"/>
      <c r="G469" s="134"/>
      <c r="H469" s="134"/>
      <c r="I469" s="134"/>
      <c r="J469" s="135"/>
      <c r="K469" s="135"/>
      <c r="L469" s="134">
        <f>D469</f>
        <v>0</v>
      </c>
      <c r="M469" s="136"/>
    </row>
    <row r="470" spans="1:13" s="131" customFormat="1" ht="12.75">
      <c r="A470" s="139"/>
      <c r="B470" s="140"/>
      <c r="C470" s="141"/>
      <c r="D470" s="142"/>
      <c r="E470" s="143"/>
      <c r="F470" s="142"/>
      <c r="G470" s="142"/>
      <c r="H470" s="143"/>
      <c r="I470" s="143"/>
      <c r="J470" s="144"/>
      <c r="K470" s="144"/>
      <c r="L470" s="142"/>
      <c r="M470" s="145"/>
    </row>
    <row r="471" spans="1:13" ht="12.75">
      <c r="A471" s="184" t="str">
        <f>'BM02'!A154</f>
        <v>1.12.4</v>
      </c>
      <c r="B471" s="211" t="str">
        <f>'BM02'!B154</f>
        <v>Caixa de inspeção 0,30 x 0,30 x 0,40m</v>
      </c>
      <c r="C471" s="212"/>
      <c r="D471" s="212"/>
      <c r="E471" s="212"/>
      <c r="F471" s="212"/>
      <c r="G471" s="212"/>
      <c r="H471" s="212"/>
      <c r="I471" s="212"/>
      <c r="J471" s="212"/>
      <c r="K471" s="213"/>
      <c r="L471" s="129">
        <f>L472</f>
        <v>0</v>
      </c>
      <c r="M471" s="130" t="str">
        <f>'BM02'!C154</f>
        <v>un</v>
      </c>
    </row>
    <row r="472" spans="1:13" s="131" customFormat="1" ht="12.75">
      <c r="A472" s="132"/>
      <c r="B472" s="209"/>
      <c r="C472" s="210"/>
      <c r="D472" s="134"/>
      <c r="E472" s="134"/>
      <c r="F472" s="134"/>
      <c r="G472" s="134"/>
      <c r="H472" s="134"/>
      <c r="I472" s="134"/>
      <c r="J472" s="135"/>
      <c r="K472" s="135"/>
      <c r="L472" s="134">
        <f>K472</f>
        <v>0</v>
      </c>
      <c r="M472" s="136"/>
    </row>
    <row r="473" spans="1:13" s="131" customFormat="1" ht="12.75">
      <c r="A473" s="139"/>
      <c r="B473" s="140"/>
      <c r="C473" s="141"/>
      <c r="D473" s="142"/>
      <c r="E473" s="143"/>
      <c r="F473" s="142"/>
      <c r="G473" s="142"/>
      <c r="H473" s="143"/>
      <c r="I473" s="143"/>
      <c r="J473" s="144"/>
      <c r="K473" s="144"/>
      <c r="L473" s="142"/>
      <c r="M473" s="145"/>
    </row>
    <row r="474" spans="1:13" ht="12.75">
      <c r="A474" s="184" t="str">
        <f>'BM02'!A155</f>
        <v>1.12.5</v>
      </c>
      <c r="B474" s="211" t="str">
        <f>'BM02'!B155</f>
        <v>Caixa de passagem em alvenaria de tijolos maciços esp. = 0,12m, dim. int. = 0.50 x 0.50 x 0.50m</v>
      </c>
      <c r="C474" s="212"/>
      <c r="D474" s="212"/>
      <c r="E474" s="212"/>
      <c r="F474" s="212"/>
      <c r="G474" s="212"/>
      <c r="H474" s="212"/>
      <c r="I474" s="212"/>
      <c r="J474" s="212"/>
      <c r="K474" s="213"/>
      <c r="L474" s="129">
        <f>L475</f>
        <v>0</v>
      </c>
      <c r="M474" s="130" t="str">
        <f>'BM02'!C155</f>
        <v>un</v>
      </c>
    </row>
    <row r="475" spans="1:13" s="131" customFormat="1" ht="12.75">
      <c r="A475" s="132"/>
      <c r="B475" s="209"/>
      <c r="C475" s="210"/>
      <c r="D475" s="134"/>
      <c r="E475" s="134"/>
      <c r="F475" s="134"/>
      <c r="G475" s="134"/>
      <c r="H475" s="134"/>
      <c r="I475" s="134"/>
      <c r="J475" s="135"/>
      <c r="K475" s="135"/>
      <c r="L475" s="134">
        <f>K475</f>
        <v>0</v>
      </c>
      <c r="M475" s="136"/>
    </row>
    <row r="476" spans="1:13" s="131" customFormat="1" ht="12.75">
      <c r="A476" s="139"/>
      <c r="B476" s="140"/>
      <c r="C476" s="141"/>
      <c r="D476" s="142"/>
      <c r="E476" s="143"/>
      <c r="F476" s="142"/>
      <c r="G476" s="142"/>
      <c r="H476" s="143"/>
      <c r="I476" s="143"/>
      <c r="J476" s="144"/>
      <c r="K476" s="144"/>
      <c r="L476" s="142"/>
      <c r="M476" s="145"/>
    </row>
    <row r="477" spans="1:13" ht="12.75">
      <c r="A477" s="184" t="str">
        <f>'BM02'!A156</f>
        <v>1.12.6</v>
      </c>
      <c r="B477" s="211" t="str">
        <f>'BM02'!B156</f>
        <v>Ponto de esgoto com tubo de pvc rígido soldável de Ø 40 mm (lavatórios, mictórios, ralos sifonados, etc...)</v>
      </c>
      <c r="C477" s="212"/>
      <c r="D477" s="212"/>
      <c r="E477" s="212"/>
      <c r="F477" s="212"/>
      <c r="G477" s="212"/>
      <c r="H477" s="212"/>
      <c r="I477" s="212"/>
      <c r="J477" s="212"/>
      <c r="K477" s="213"/>
      <c r="L477" s="129">
        <f>L478</f>
        <v>0</v>
      </c>
      <c r="M477" s="130" t="str">
        <f>'BM02'!C156</f>
        <v>un</v>
      </c>
    </row>
    <row r="478" spans="1:13" s="131" customFormat="1" ht="12.75">
      <c r="A478" s="132"/>
      <c r="B478" s="209"/>
      <c r="C478" s="210"/>
      <c r="D478" s="134"/>
      <c r="E478" s="134"/>
      <c r="F478" s="134"/>
      <c r="G478" s="134"/>
      <c r="H478" s="134"/>
      <c r="I478" s="134"/>
      <c r="J478" s="135"/>
      <c r="K478" s="135"/>
      <c r="L478" s="134">
        <f>K478</f>
        <v>0</v>
      </c>
      <c r="M478" s="136"/>
    </row>
    <row r="479" spans="1:13" s="131" customFormat="1" ht="12.75">
      <c r="A479" s="139"/>
      <c r="B479" s="140"/>
      <c r="C479" s="141"/>
      <c r="D479" s="142"/>
      <c r="E479" s="143"/>
      <c r="F479" s="142"/>
      <c r="G479" s="142"/>
      <c r="H479" s="143"/>
      <c r="I479" s="143"/>
      <c r="J479" s="144"/>
      <c r="K479" s="144"/>
      <c r="L479" s="142"/>
      <c r="M479" s="145"/>
    </row>
    <row r="480" spans="1:13" ht="12.75">
      <c r="A480" s="184" t="str">
        <f>'BM02'!A157</f>
        <v>1.12.7</v>
      </c>
      <c r="B480" s="211" t="str">
        <f>'BM02'!B157</f>
        <v>Ponto de esgoto com tubo de pvc rígido soldável de Ø 50 mm (pias de cozinha, máquinas de lavar, etc...)</v>
      </c>
      <c r="C480" s="212"/>
      <c r="D480" s="212"/>
      <c r="E480" s="212"/>
      <c r="F480" s="212"/>
      <c r="G480" s="212"/>
      <c r="H480" s="212"/>
      <c r="I480" s="212"/>
      <c r="J480" s="212"/>
      <c r="K480" s="213"/>
      <c r="L480" s="129">
        <f>L481</f>
        <v>0</v>
      </c>
      <c r="M480" s="130" t="str">
        <f>'BM02'!C157</f>
        <v>un</v>
      </c>
    </row>
    <row r="481" spans="1:13" s="131" customFormat="1" ht="12.75">
      <c r="A481" s="132"/>
      <c r="B481" s="209"/>
      <c r="C481" s="210"/>
      <c r="D481" s="134"/>
      <c r="E481" s="134"/>
      <c r="F481" s="134"/>
      <c r="G481" s="134"/>
      <c r="H481" s="134"/>
      <c r="I481" s="134"/>
      <c r="J481" s="135"/>
      <c r="K481" s="135"/>
      <c r="L481" s="134">
        <f>K481</f>
        <v>0</v>
      </c>
      <c r="M481" s="136"/>
    </row>
    <row r="482" spans="1:13" s="131" customFormat="1" ht="12.75">
      <c r="A482" s="139"/>
      <c r="B482" s="140"/>
      <c r="C482" s="141"/>
      <c r="D482" s="142"/>
      <c r="E482" s="143"/>
      <c r="F482" s="142"/>
      <c r="G482" s="142"/>
      <c r="H482" s="143"/>
      <c r="I482" s="143"/>
      <c r="J482" s="144"/>
      <c r="K482" s="144"/>
      <c r="L482" s="142"/>
      <c r="M482" s="145"/>
    </row>
    <row r="483" spans="1:13" ht="12.75">
      <c r="A483" s="184" t="str">
        <f>'BM02'!A158</f>
        <v>1.12.8</v>
      </c>
      <c r="B483" s="211" t="str">
        <f>'BM02'!B158</f>
        <v>Ponto de esgoto com tubo de pvc rígido soldável de Ø 100 mm (vaso sanitário)</v>
      </c>
      <c r="C483" s="212"/>
      <c r="D483" s="212"/>
      <c r="E483" s="212"/>
      <c r="F483" s="212"/>
      <c r="G483" s="212"/>
      <c r="H483" s="212"/>
      <c r="I483" s="212"/>
      <c r="J483" s="212"/>
      <c r="K483" s="213"/>
      <c r="L483" s="129">
        <f>L484</f>
        <v>0</v>
      </c>
      <c r="M483" s="130" t="str">
        <f>'BM02'!C158</f>
        <v>pt</v>
      </c>
    </row>
    <row r="484" spans="1:13" s="131" customFormat="1" ht="12.75">
      <c r="A484" s="132"/>
      <c r="B484" s="209"/>
      <c r="C484" s="210"/>
      <c r="D484" s="134"/>
      <c r="E484" s="134"/>
      <c r="F484" s="134"/>
      <c r="G484" s="134"/>
      <c r="H484" s="134"/>
      <c r="I484" s="134"/>
      <c r="J484" s="135"/>
      <c r="K484" s="135"/>
      <c r="L484" s="134">
        <f>K484</f>
        <v>0</v>
      </c>
      <c r="M484" s="136"/>
    </row>
    <row r="485" spans="1:13" s="131" customFormat="1" ht="12.75">
      <c r="A485" s="139"/>
      <c r="B485" s="140"/>
      <c r="C485" s="141"/>
      <c r="D485" s="142"/>
      <c r="E485" s="143"/>
      <c r="F485" s="142"/>
      <c r="G485" s="142"/>
      <c r="H485" s="143"/>
      <c r="I485" s="143"/>
      <c r="J485" s="144"/>
      <c r="K485" s="144"/>
      <c r="L485" s="142"/>
      <c r="M485" s="145"/>
    </row>
    <row r="486" spans="1:13" ht="12.75">
      <c r="A486" s="184" t="str">
        <f>'BM04'!A179</f>
        <v>1.12.9</v>
      </c>
      <c r="B486" s="211" t="str">
        <f>'BM04'!B179</f>
        <v>TANQUE SÉPTICO RETANGULAR, EM ALVENARIA DE TIJOLOS CERÂMICOS, VOLUME ÚTIL: 6272 L</v>
      </c>
      <c r="C486" s="212"/>
      <c r="D486" s="212"/>
      <c r="E486" s="212"/>
      <c r="F486" s="212"/>
      <c r="G486" s="212"/>
      <c r="H486" s="212"/>
      <c r="I486" s="212"/>
      <c r="J486" s="212"/>
      <c r="K486" s="213"/>
      <c r="L486" s="129">
        <f>L487</f>
        <v>1</v>
      </c>
      <c r="M486" s="130" t="str">
        <f>'BM04'!C179</f>
        <v>UN</v>
      </c>
    </row>
    <row r="487" spans="1:13" s="131" customFormat="1" ht="12.75">
      <c r="A487" s="132"/>
      <c r="B487" s="209" t="s">
        <v>700</v>
      </c>
      <c r="C487" s="210"/>
      <c r="D487" s="134">
        <f>1</f>
        <v>1</v>
      </c>
      <c r="E487" s="134"/>
      <c r="F487" s="134"/>
      <c r="G487" s="134"/>
      <c r="H487" s="134"/>
      <c r="I487" s="134"/>
      <c r="J487" s="135"/>
      <c r="K487" s="135"/>
      <c r="L487" s="134">
        <f>D487</f>
        <v>1</v>
      </c>
      <c r="M487" s="136"/>
    </row>
    <row r="488" spans="1:13" s="131" customFormat="1" ht="12.75">
      <c r="A488" s="139"/>
      <c r="B488" s="140"/>
      <c r="C488" s="141"/>
      <c r="D488" s="142"/>
      <c r="E488" s="143"/>
      <c r="F488" s="142"/>
      <c r="G488" s="142"/>
      <c r="H488" s="143"/>
      <c r="I488" s="143"/>
      <c r="J488" s="144"/>
      <c r="K488" s="144"/>
      <c r="L488" s="142"/>
      <c r="M488" s="145"/>
    </row>
    <row r="489" spans="1:13" ht="12.75">
      <c r="A489" s="184" t="str">
        <f>'BM04'!A180</f>
        <v>1.12.10</v>
      </c>
      <c r="B489" s="211" t="str">
        <f>'BM04'!B180</f>
        <v>SUMIDOURO EM ALVENARIA DE TIJOLOS CERÂMICOS, ÁREA DE INFILTRAÇÃO: 32,9 M²</v>
      </c>
      <c r="C489" s="212"/>
      <c r="D489" s="212"/>
      <c r="E489" s="212"/>
      <c r="F489" s="212"/>
      <c r="G489" s="212"/>
      <c r="H489" s="212"/>
      <c r="I489" s="212"/>
      <c r="J489" s="212"/>
      <c r="K489" s="213"/>
      <c r="L489" s="129">
        <f>L490</f>
        <v>1</v>
      </c>
      <c r="M489" s="130" t="str">
        <f>'BM04'!C180</f>
        <v>UN</v>
      </c>
    </row>
    <row r="490" spans="1:13" s="131" customFormat="1" ht="12.75">
      <c r="A490" s="132"/>
      <c r="B490" s="209" t="s">
        <v>701</v>
      </c>
      <c r="C490" s="210"/>
      <c r="D490" s="134">
        <f>1</f>
        <v>1</v>
      </c>
      <c r="E490" s="134"/>
      <c r="F490" s="134"/>
      <c r="G490" s="134"/>
      <c r="H490" s="134"/>
      <c r="I490" s="134"/>
      <c r="J490" s="135"/>
      <c r="K490" s="135"/>
      <c r="L490" s="134">
        <f>D490</f>
        <v>1</v>
      </c>
      <c r="M490" s="136"/>
    </row>
    <row r="491" spans="1:13" s="131" customFormat="1" ht="12.75">
      <c r="A491" s="139"/>
      <c r="B491" s="140"/>
      <c r="C491" s="141"/>
      <c r="D491" s="142"/>
      <c r="E491" s="143"/>
      <c r="F491" s="142"/>
      <c r="G491" s="142"/>
      <c r="H491" s="143"/>
      <c r="I491" s="143"/>
      <c r="J491" s="144"/>
      <c r="K491" s="144"/>
      <c r="L491" s="142"/>
      <c r="M491" s="145"/>
    </row>
    <row r="492" spans="1:13" ht="12.75">
      <c r="A492" s="184" t="str">
        <f>'BM04'!A181</f>
        <v>1.12.11</v>
      </c>
      <c r="B492" s="211" t="str">
        <f>'BM04'!B181</f>
        <v>Calha de concreto e alvenaria, revestida internamente, com grelha de ferro, seção 0,20 x 0,15m</v>
      </c>
      <c r="C492" s="212"/>
      <c r="D492" s="212"/>
      <c r="E492" s="212"/>
      <c r="F492" s="212"/>
      <c r="G492" s="212"/>
      <c r="H492" s="212"/>
      <c r="I492" s="212"/>
      <c r="J492" s="212"/>
      <c r="K492" s="213"/>
      <c r="L492" s="129">
        <f>L493</f>
        <v>0</v>
      </c>
      <c r="M492" s="130" t="str">
        <f>'BM04'!C181</f>
        <v>m</v>
      </c>
    </row>
    <row r="493" spans="1:13" s="131" customFormat="1" ht="12.75">
      <c r="A493" s="132"/>
      <c r="B493" s="209"/>
      <c r="C493" s="210"/>
      <c r="D493" s="134"/>
      <c r="E493" s="134"/>
      <c r="F493" s="134"/>
      <c r="G493" s="134"/>
      <c r="H493" s="134"/>
      <c r="I493" s="134"/>
      <c r="J493" s="135"/>
      <c r="K493" s="135"/>
      <c r="L493" s="134">
        <f>K493</f>
        <v>0</v>
      </c>
      <c r="M493" s="136"/>
    </row>
    <row r="494" spans="1:13" s="131" customFormat="1" ht="13.5" thickBot="1">
      <c r="A494" s="139"/>
      <c r="B494" s="140"/>
      <c r="C494" s="141"/>
      <c r="D494" s="142"/>
      <c r="E494" s="143"/>
      <c r="F494" s="142"/>
      <c r="G494" s="142"/>
      <c r="H494" s="143"/>
      <c r="I494" s="143"/>
      <c r="J494" s="144"/>
      <c r="K494" s="144"/>
      <c r="L494" s="142"/>
      <c r="M494" s="145"/>
    </row>
    <row r="495" spans="1:13" ht="13.5" thickBot="1">
      <c r="A495" s="121" t="str">
        <f>'BM02'!A160</f>
        <v>1.13</v>
      </c>
      <c r="B495" s="122" t="str">
        <f>'BM02'!B160</f>
        <v>INSTALAÇÕES ELÉTRICAS, TELEFONICAS E MECANICAS</v>
      </c>
      <c r="C495" s="122"/>
      <c r="D495" s="122"/>
      <c r="E495" s="122"/>
      <c r="F495" s="122"/>
      <c r="G495" s="122"/>
      <c r="H495" s="122"/>
      <c r="I495" s="122"/>
      <c r="J495" s="122"/>
      <c r="K495" s="122"/>
      <c r="L495" s="122"/>
      <c r="M495" s="123"/>
    </row>
    <row r="496" spans="1:13" ht="12.75">
      <c r="A496" s="124"/>
      <c r="B496" s="125"/>
      <c r="C496" s="125"/>
      <c r="D496" s="125"/>
      <c r="E496" s="125"/>
      <c r="F496" s="125"/>
      <c r="G496" s="125"/>
      <c r="H496" s="125"/>
      <c r="I496" s="125"/>
      <c r="J496" s="125"/>
      <c r="K496" s="126"/>
      <c r="L496" s="125"/>
      <c r="M496" s="127"/>
    </row>
    <row r="497" spans="1:13" ht="12.75">
      <c r="A497" s="184" t="str">
        <f>'BM02'!A162</f>
        <v>1.13.1</v>
      </c>
      <c r="B497" s="211" t="str">
        <f>'BM02'!B162</f>
        <v>Caixa de passagem em alvenaria de tijolos maciços esp. = 0,12m, dim. int. = 0.50 x 0.50 x 0.50m</v>
      </c>
      <c r="C497" s="212"/>
      <c r="D497" s="212"/>
      <c r="E497" s="212"/>
      <c r="F497" s="212"/>
      <c r="G497" s="212"/>
      <c r="H497" s="212"/>
      <c r="I497" s="212"/>
      <c r="J497" s="212"/>
      <c r="K497" s="213"/>
      <c r="L497" s="129">
        <f>L498</f>
        <v>2</v>
      </c>
      <c r="M497" s="185" t="str">
        <f>'BM02'!C162</f>
        <v>un</v>
      </c>
    </row>
    <row r="498" spans="1:13" s="131" customFormat="1" ht="28.9" customHeight="1">
      <c r="A498" s="132"/>
      <c r="B498" s="209" t="s">
        <v>702</v>
      </c>
      <c r="C498" s="210"/>
      <c r="D498" s="134">
        <f>2</f>
        <v>2</v>
      </c>
      <c r="E498" s="134"/>
      <c r="F498" s="134"/>
      <c r="G498" s="134"/>
      <c r="H498" s="134"/>
      <c r="I498" s="134"/>
      <c r="J498" s="135"/>
      <c r="K498" s="135"/>
      <c r="L498" s="134">
        <f>D498</f>
        <v>2</v>
      </c>
      <c r="M498" s="136"/>
    </row>
    <row r="499" spans="1:13" s="131" customFormat="1" ht="12.75">
      <c r="A499" s="139"/>
      <c r="B499" s="140"/>
      <c r="C499" s="141"/>
      <c r="D499" s="142"/>
      <c r="E499" s="143"/>
      <c r="F499" s="142"/>
      <c r="G499" s="142"/>
      <c r="H499" s="143"/>
      <c r="I499" s="143"/>
      <c r="J499" s="144"/>
      <c r="K499" s="144"/>
      <c r="L499" s="142"/>
      <c r="M499" s="145"/>
    </row>
    <row r="500" spans="1:13" ht="12.75">
      <c r="A500" s="184" t="str">
        <f>'BM02'!A163</f>
        <v>1.13.2</v>
      </c>
      <c r="B500" s="211" t="str">
        <f>'BM02'!B163</f>
        <v>Caixa de passagem em alvenaria de tijolos maciços esp. = 0,12m, dim. int. = 0.60 x 0.60 x 0.60m</v>
      </c>
      <c r="C500" s="212"/>
      <c r="D500" s="212"/>
      <c r="E500" s="212"/>
      <c r="F500" s="212"/>
      <c r="G500" s="212"/>
      <c r="H500" s="212"/>
      <c r="I500" s="212"/>
      <c r="J500" s="212"/>
      <c r="K500" s="213"/>
      <c r="L500" s="129">
        <f>L501</f>
        <v>0</v>
      </c>
      <c r="M500" s="185" t="str">
        <f>'BM02'!C163</f>
        <v>un</v>
      </c>
    </row>
    <row r="501" spans="1:13" s="131" customFormat="1" ht="12.75">
      <c r="A501" s="132"/>
      <c r="B501" s="209"/>
      <c r="C501" s="210"/>
      <c r="D501" s="134"/>
      <c r="E501" s="134"/>
      <c r="F501" s="134"/>
      <c r="G501" s="134"/>
      <c r="H501" s="134"/>
      <c r="I501" s="134"/>
      <c r="J501" s="135"/>
      <c r="K501" s="135"/>
      <c r="L501" s="134">
        <f>ROUND(D501*K501,2)</f>
        <v>0</v>
      </c>
      <c r="M501" s="136"/>
    </row>
    <row r="502" spans="1:13" s="131" customFormat="1" ht="12.75">
      <c r="A502" s="139"/>
      <c r="B502" s="140"/>
      <c r="C502" s="141"/>
      <c r="D502" s="142"/>
      <c r="E502" s="143"/>
      <c r="F502" s="142"/>
      <c r="G502" s="142"/>
      <c r="H502" s="143"/>
      <c r="I502" s="143"/>
      <c r="J502" s="144"/>
      <c r="K502" s="144"/>
      <c r="L502" s="142"/>
      <c r="M502" s="145"/>
    </row>
    <row r="503" spans="1:13" ht="12.75">
      <c r="A503" s="184" t="str">
        <f>'BM02'!A164</f>
        <v>1.13.3</v>
      </c>
      <c r="B503" s="211" t="str">
        <f>'BM02'!B164</f>
        <v>DISJUNTOR TRIPOLAR TIPO DIN, CORRENTE NOMINAL DE 10A - FORNECIMENTO E INSTALAÇÃO. AF_10/2020</v>
      </c>
      <c r="C503" s="212"/>
      <c r="D503" s="212"/>
      <c r="E503" s="212"/>
      <c r="F503" s="212"/>
      <c r="G503" s="212"/>
      <c r="H503" s="212"/>
      <c r="I503" s="212"/>
      <c r="J503" s="212"/>
      <c r="K503" s="213"/>
      <c r="L503" s="129">
        <f>L504</f>
        <v>0</v>
      </c>
      <c r="M503" s="185" t="str">
        <f>'BM02'!C164</f>
        <v>un</v>
      </c>
    </row>
    <row r="504" spans="1:13" s="131" customFormat="1" ht="12.75">
      <c r="A504" s="132"/>
      <c r="B504" s="209"/>
      <c r="C504" s="210"/>
      <c r="D504" s="134"/>
      <c r="E504" s="134"/>
      <c r="F504" s="134"/>
      <c r="G504" s="134"/>
      <c r="H504" s="134"/>
      <c r="I504" s="134"/>
      <c r="J504" s="135"/>
      <c r="K504" s="135"/>
      <c r="L504" s="134">
        <f>ROUND(D504*K504,2)</f>
        <v>0</v>
      </c>
      <c r="M504" s="136"/>
    </row>
    <row r="505" spans="1:13" s="131" customFormat="1" ht="12.75">
      <c r="A505" s="139"/>
      <c r="B505" s="140"/>
      <c r="C505" s="141"/>
      <c r="D505" s="142"/>
      <c r="E505" s="143"/>
      <c r="F505" s="142"/>
      <c r="G505" s="142"/>
      <c r="H505" s="143"/>
      <c r="I505" s="143"/>
      <c r="J505" s="144"/>
      <c r="K505" s="144"/>
      <c r="L505" s="142"/>
      <c r="M505" s="145"/>
    </row>
    <row r="506" spans="1:13" ht="12.75">
      <c r="A506" s="184" t="str">
        <f>'BM02'!A165</f>
        <v>1.13.4</v>
      </c>
      <c r="B506" s="211" t="str">
        <f>'BM02'!B165</f>
        <v>DISJUNTOR TRIPOLAR TIPO DIN, CORRENTE NOMINAL DE 25A - FORNECIMENTO E INSTALAÇÃO. AF_10/2020</v>
      </c>
      <c r="C506" s="212"/>
      <c r="D506" s="212"/>
      <c r="E506" s="212"/>
      <c r="F506" s="212"/>
      <c r="G506" s="212"/>
      <c r="H506" s="212"/>
      <c r="I506" s="212"/>
      <c r="J506" s="212"/>
      <c r="K506" s="213"/>
      <c r="L506" s="129">
        <f>L507</f>
        <v>0</v>
      </c>
      <c r="M506" s="185" t="str">
        <f>'BM02'!C165</f>
        <v>un</v>
      </c>
    </row>
    <row r="507" spans="1:13" s="131" customFormat="1" ht="12.75">
      <c r="A507" s="132"/>
      <c r="B507" s="209"/>
      <c r="C507" s="210"/>
      <c r="D507" s="134"/>
      <c r="E507" s="134"/>
      <c r="F507" s="134"/>
      <c r="G507" s="134"/>
      <c r="H507" s="134"/>
      <c r="I507" s="134"/>
      <c r="J507" s="135"/>
      <c r="K507" s="135"/>
      <c r="L507" s="134">
        <f>ROUND(D507*K507,2)</f>
        <v>0</v>
      </c>
      <c r="M507" s="136"/>
    </row>
    <row r="508" spans="1:13" s="131" customFormat="1" ht="12.75">
      <c r="A508" s="139"/>
      <c r="B508" s="140"/>
      <c r="C508" s="141"/>
      <c r="D508" s="142"/>
      <c r="E508" s="143"/>
      <c r="F508" s="142"/>
      <c r="G508" s="142"/>
      <c r="H508" s="143"/>
      <c r="I508" s="143"/>
      <c r="J508" s="144"/>
      <c r="K508" s="144"/>
      <c r="L508" s="142"/>
      <c r="M508" s="145"/>
    </row>
    <row r="509" spans="1:13" ht="30" customHeight="1">
      <c r="A509" s="128" t="str">
        <f>'BM02'!A166</f>
        <v>1.13.5</v>
      </c>
      <c r="B509" s="211" t="str">
        <f>'BM02'!B166</f>
        <v>DISPOSITIVO DPS CLASSE II, 1 POLO, TENSÃO MAXIMA DE 220/380V, CORRENTE NOMINAL &gt; 20KA TIPO AC - SINAPI (74130/001)</v>
      </c>
      <c r="C509" s="212"/>
      <c r="D509" s="212"/>
      <c r="E509" s="212"/>
      <c r="F509" s="212"/>
      <c r="G509" s="212"/>
      <c r="H509" s="212"/>
      <c r="I509" s="212"/>
      <c r="J509" s="212"/>
      <c r="K509" s="213"/>
      <c r="L509" s="129">
        <f>L510</f>
        <v>0</v>
      </c>
      <c r="M509" s="185" t="str">
        <f>'BM02'!C166</f>
        <v>un</v>
      </c>
    </row>
    <row r="510" spans="1:13" s="131" customFormat="1" ht="12.75">
      <c r="A510" s="132"/>
      <c r="B510" s="209"/>
      <c r="C510" s="210"/>
      <c r="D510" s="134"/>
      <c r="E510" s="134"/>
      <c r="F510" s="134"/>
      <c r="G510" s="134"/>
      <c r="H510" s="134"/>
      <c r="I510" s="134"/>
      <c r="J510" s="135"/>
      <c r="K510" s="135"/>
      <c r="L510" s="134">
        <f>ROUND(D510*K510,2)</f>
        <v>0</v>
      </c>
      <c r="M510" s="136"/>
    </row>
    <row r="511" spans="1:13" s="131" customFormat="1" ht="12.75">
      <c r="A511" s="139"/>
      <c r="B511" s="140"/>
      <c r="C511" s="141"/>
      <c r="D511" s="142"/>
      <c r="E511" s="143"/>
      <c r="F511" s="142"/>
      <c r="G511" s="142"/>
      <c r="H511" s="143"/>
      <c r="I511" s="143"/>
      <c r="J511" s="144"/>
      <c r="K511" s="144"/>
      <c r="L511" s="142"/>
      <c r="M511" s="145"/>
    </row>
    <row r="512" spans="1:13" ht="12.75">
      <c r="A512" s="184" t="str">
        <f>'BM02'!A167</f>
        <v>1.13.6</v>
      </c>
      <c r="B512" s="211" t="str">
        <f>'BM02'!B167</f>
        <v>DISJUNTOR BIPOLAR TIPO DIN, CORRENTE NOMINAL DE 50A - FORNECIMENTO E INSTALAÇÃO. AF_10/2020</v>
      </c>
      <c r="C512" s="212"/>
      <c r="D512" s="212"/>
      <c r="E512" s="212"/>
      <c r="F512" s="212"/>
      <c r="G512" s="212"/>
      <c r="H512" s="212"/>
      <c r="I512" s="212"/>
      <c r="J512" s="212"/>
      <c r="K512" s="213"/>
      <c r="L512" s="129">
        <f>L513</f>
        <v>0</v>
      </c>
      <c r="M512" s="185" t="str">
        <f>'BM02'!C167</f>
        <v>un</v>
      </c>
    </row>
    <row r="513" spans="1:13" s="131" customFormat="1" ht="12.75">
      <c r="A513" s="132"/>
      <c r="B513" s="209"/>
      <c r="C513" s="210"/>
      <c r="D513" s="134"/>
      <c r="E513" s="134"/>
      <c r="F513" s="134"/>
      <c r="G513" s="134"/>
      <c r="H513" s="134"/>
      <c r="I513" s="134"/>
      <c r="J513" s="135"/>
      <c r="K513" s="135"/>
      <c r="L513" s="134">
        <f>ROUND(D513*K513,2)</f>
        <v>0</v>
      </c>
      <c r="M513" s="136"/>
    </row>
    <row r="514" spans="1:13" s="131" customFormat="1" ht="12.75">
      <c r="A514" s="139"/>
      <c r="B514" s="140"/>
      <c r="C514" s="141"/>
      <c r="D514" s="142"/>
      <c r="E514" s="143"/>
      <c r="F514" s="142"/>
      <c r="G514" s="142"/>
      <c r="H514" s="143"/>
      <c r="I514" s="143"/>
      <c r="J514" s="144"/>
      <c r="K514" s="144"/>
      <c r="L514" s="142"/>
      <c r="M514" s="145"/>
    </row>
    <row r="515" spans="1:13" ht="12.75">
      <c r="A515" s="184" t="str">
        <f>'BM02'!A168</f>
        <v>1.13.7</v>
      </c>
      <c r="B515" s="211" t="str">
        <f>'BM02'!B168</f>
        <v>DISJUNTOR TRIPOLAR TIPO NEMA, CORRENTE NOMINAL DE 10 ATÉ 50A - FORNECIMENTO E INSTALAÇÃO. AF_10/2020</v>
      </c>
      <c r="C515" s="212"/>
      <c r="D515" s="212"/>
      <c r="E515" s="212"/>
      <c r="F515" s="212"/>
      <c r="G515" s="212"/>
      <c r="H515" s="212"/>
      <c r="I515" s="212"/>
      <c r="J515" s="212"/>
      <c r="K515" s="213"/>
      <c r="L515" s="129">
        <f>L516</f>
        <v>0</v>
      </c>
      <c r="M515" s="185" t="str">
        <f>'BM02'!C168</f>
        <v>un</v>
      </c>
    </row>
    <row r="516" spans="1:13" s="131" customFormat="1" ht="12.75">
      <c r="A516" s="132"/>
      <c r="B516" s="209"/>
      <c r="C516" s="210"/>
      <c r="D516" s="134"/>
      <c r="E516" s="134"/>
      <c r="F516" s="134"/>
      <c r="G516" s="134"/>
      <c r="H516" s="134"/>
      <c r="I516" s="134"/>
      <c r="J516" s="135"/>
      <c r="K516" s="135"/>
      <c r="L516" s="134">
        <f>ROUND(D516*K516,2)</f>
        <v>0</v>
      </c>
      <c r="M516" s="136"/>
    </row>
    <row r="517" spans="1:13" s="131" customFormat="1" ht="12.75">
      <c r="A517" s="139"/>
      <c r="B517" s="140"/>
      <c r="C517" s="141"/>
      <c r="D517" s="142"/>
      <c r="E517" s="143"/>
      <c r="F517" s="142"/>
      <c r="G517" s="142"/>
      <c r="H517" s="143"/>
      <c r="I517" s="143"/>
      <c r="J517" s="144"/>
      <c r="K517" s="144"/>
      <c r="L517" s="142"/>
      <c r="M517" s="145"/>
    </row>
    <row r="518" spans="1:13" ht="30" customHeight="1">
      <c r="A518" s="128" t="str">
        <f>'BM02'!A169</f>
        <v>1.13.8</v>
      </c>
      <c r="B518" s="211" t="str">
        <f>'BM02'!B169</f>
        <v>INTERRUPTOR SIMPLES (1 MÓDULO), 10A/250V, INCLUINDO SUPORTE E PLACA - FORNECIMENTO E INSTALAÇÃO. AF_12/2015</v>
      </c>
      <c r="C518" s="212"/>
      <c r="D518" s="212"/>
      <c r="E518" s="212"/>
      <c r="F518" s="212"/>
      <c r="G518" s="212"/>
      <c r="H518" s="212"/>
      <c r="I518" s="212"/>
      <c r="J518" s="212"/>
      <c r="K518" s="213"/>
      <c r="L518" s="129">
        <f>L519</f>
        <v>0</v>
      </c>
      <c r="M518" s="185" t="str">
        <f>'BM02'!C169</f>
        <v>un</v>
      </c>
    </row>
    <row r="519" spans="1:13" s="131" customFormat="1" ht="12.75">
      <c r="A519" s="132"/>
      <c r="B519" s="209"/>
      <c r="C519" s="210"/>
      <c r="D519" s="134"/>
      <c r="E519" s="134"/>
      <c r="F519" s="134"/>
      <c r="G519" s="134"/>
      <c r="H519" s="134"/>
      <c r="I519" s="134"/>
      <c r="J519" s="135"/>
      <c r="K519" s="135"/>
      <c r="L519" s="134">
        <f>ROUND(D519*K519,2)</f>
        <v>0</v>
      </c>
      <c r="M519" s="136"/>
    </row>
    <row r="520" spans="1:13" s="131" customFormat="1" ht="12.75">
      <c r="A520" s="139"/>
      <c r="B520" s="140"/>
      <c r="C520" s="141"/>
      <c r="D520" s="142"/>
      <c r="E520" s="143"/>
      <c r="F520" s="142"/>
      <c r="G520" s="142"/>
      <c r="H520" s="143"/>
      <c r="I520" s="143"/>
      <c r="J520" s="144"/>
      <c r="K520" s="144"/>
      <c r="L520" s="142"/>
      <c r="M520" s="145"/>
    </row>
    <row r="521" spans="1:13" ht="30" customHeight="1">
      <c r="A521" s="128" t="str">
        <f>'BM02'!A170</f>
        <v>1.13.9</v>
      </c>
      <c r="B521" s="211" t="str">
        <f>'BM02'!B170</f>
        <v>INTERRUPTOR SIMPLES (2 MÓDULOS), 10A/250V, INCLUINDO SUPORTE E PLACA - FORNECIMENTO E INSTALAÇÃO. AF_12/2015</v>
      </c>
      <c r="C521" s="212"/>
      <c r="D521" s="212"/>
      <c r="E521" s="212"/>
      <c r="F521" s="212"/>
      <c r="G521" s="212"/>
      <c r="H521" s="212"/>
      <c r="I521" s="212"/>
      <c r="J521" s="212"/>
      <c r="K521" s="213"/>
      <c r="L521" s="129">
        <f>L522</f>
        <v>0</v>
      </c>
      <c r="M521" s="185" t="str">
        <f>'BM02'!C170</f>
        <v>un</v>
      </c>
    </row>
    <row r="522" spans="1:13" s="131" customFormat="1" ht="12.75">
      <c r="A522" s="132"/>
      <c r="B522" s="209"/>
      <c r="C522" s="210"/>
      <c r="D522" s="134"/>
      <c r="E522" s="134"/>
      <c r="F522" s="134"/>
      <c r="G522" s="134"/>
      <c r="H522" s="134"/>
      <c r="I522" s="134"/>
      <c r="J522" s="135"/>
      <c r="K522" s="135"/>
      <c r="L522" s="134">
        <f>ROUND(D522*K522,2)</f>
        <v>0</v>
      </c>
      <c r="M522" s="136"/>
    </row>
    <row r="523" spans="1:13" s="131" customFormat="1" ht="12.75">
      <c r="A523" s="139"/>
      <c r="B523" s="140"/>
      <c r="C523" s="141"/>
      <c r="D523" s="142"/>
      <c r="E523" s="143"/>
      <c r="F523" s="142"/>
      <c r="G523" s="142"/>
      <c r="H523" s="143"/>
      <c r="I523" s="143"/>
      <c r="J523" s="144"/>
      <c r="K523" s="144"/>
      <c r="L523" s="142"/>
      <c r="M523" s="145"/>
    </row>
    <row r="524" spans="1:13" ht="30" customHeight="1">
      <c r="A524" s="128" t="str">
        <f>'BM02'!A171</f>
        <v>1.13.10</v>
      </c>
      <c r="B524" s="211" t="str">
        <f>'BM02'!B171</f>
        <v>LUMINÁRIA TIPO CALHA, DE SOBREPOR, COM 2 LÂMPADAS TUBULARES FLUORESCENTES DE 18 W, COM REATOR DE PARTIDA RÁPIDA - FORNECIMENTO E INSTALAÇÃO. AF_02/2020</v>
      </c>
      <c r="C524" s="212"/>
      <c r="D524" s="212"/>
      <c r="E524" s="212"/>
      <c r="F524" s="212"/>
      <c r="G524" s="212"/>
      <c r="H524" s="212"/>
      <c r="I524" s="212"/>
      <c r="J524" s="212"/>
      <c r="K524" s="213"/>
      <c r="L524" s="129">
        <f>L525</f>
        <v>0</v>
      </c>
      <c r="M524" s="185" t="str">
        <f>'BM02'!C171</f>
        <v>un</v>
      </c>
    </row>
    <row r="525" spans="1:13" s="131" customFormat="1" ht="12.75">
      <c r="A525" s="132"/>
      <c r="B525" s="209"/>
      <c r="C525" s="210"/>
      <c r="D525" s="134"/>
      <c r="E525" s="134"/>
      <c r="F525" s="134"/>
      <c r="G525" s="134"/>
      <c r="H525" s="134"/>
      <c r="I525" s="134"/>
      <c r="J525" s="135"/>
      <c r="K525" s="135"/>
      <c r="L525" s="134">
        <f>ROUND(D525*K525,2)</f>
        <v>0</v>
      </c>
      <c r="M525" s="136"/>
    </row>
    <row r="526" spans="1:13" s="131" customFormat="1" ht="12.75">
      <c r="A526" s="139"/>
      <c r="B526" s="140"/>
      <c r="C526" s="141"/>
      <c r="D526" s="142"/>
      <c r="E526" s="143"/>
      <c r="F526" s="142"/>
      <c r="G526" s="142"/>
      <c r="H526" s="143"/>
      <c r="I526" s="143"/>
      <c r="J526" s="144"/>
      <c r="K526" s="144"/>
      <c r="L526" s="142"/>
      <c r="M526" s="145"/>
    </row>
    <row r="527" spans="1:13" ht="30" customHeight="1">
      <c r="A527" s="128" t="str">
        <f>'BM02'!A172</f>
        <v>1.13.11</v>
      </c>
      <c r="B527" s="211" t="str">
        <f>'BM02'!B172</f>
        <v>LUMINÁRIA TIPO CALHA, DE SOBREPOR, COM 2 LÂMPADAS TUBULARES FLUORESCENTES DE 36 W, COM REATOR DE PARTIDA RÁPIDA - FORNECIMENTO E INSTALAÇÃO. AF_02/2020</v>
      </c>
      <c r="C527" s="212"/>
      <c r="D527" s="212"/>
      <c r="E527" s="212"/>
      <c r="F527" s="212"/>
      <c r="G527" s="212"/>
      <c r="H527" s="212"/>
      <c r="I527" s="212"/>
      <c r="J527" s="212"/>
      <c r="K527" s="213"/>
      <c r="L527" s="129">
        <f>L528</f>
        <v>0</v>
      </c>
      <c r="M527" s="185" t="str">
        <f>'BM02'!C172</f>
        <v>un</v>
      </c>
    </row>
    <row r="528" spans="1:13" s="131" customFormat="1" ht="12.75">
      <c r="A528" s="132"/>
      <c r="B528" s="209"/>
      <c r="C528" s="210"/>
      <c r="D528" s="134"/>
      <c r="E528" s="134"/>
      <c r="F528" s="134"/>
      <c r="G528" s="134"/>
      <c r="H528" s="134"/>
      <c r="I528" s="134"/>
      <c r="J528" s="135"/>
      <c r="K528" s="135"/>
      <c r="L528" s="134">
        <f>ROUND(D528*K528,2)</f>
        <v>0</v>
      </c>
      <c r="M528" s="136"/>
    </row>
    <row r="529" spans="1:13" s="131" customFormat="1" ht="12.75">
      <c r="A529" s="139"/>
      <c r="B529" s="140"/>
      <c r="C529" s="141"/>
      <c r="D529" s="142"/>
      <c r="E529" s="143"/>
      <c r="F529" s="142"/>
      <c r="G529" s="142"/>
      <c r="H529" s="143"/>
      <c r="I529" s="143"/>
      <c r="J529" s="144"/>
      <c r="K529" s="144"/>
      <c r="L529" s="142"/>
      <c r="M529" s="145"/>
    </row>
    <row r="530" spans="1:13" ht="30" customHeight="1">
      <c r="A530" s="128" t="str">
        <f>'BM02'!A173</f>
        <v>1.13.12</v>
      </c>
      <c r="B530" s="211" t="str">
        <f>'BM02'!B173</f>
        <v>LUMINÁRIA DE EMERGÊNCIA, COM 30 LÂMPADAS LED DE 2 W, SEM REATOR - FORNECIMENTO E INSTALAÇÃO. AF_02/2020</v>
      </c>
      <c r="C530" s="212"/>
      <c r="D530" s="212"/>
      <c r="E530" s="212"/>
      <c r="F530" s="212"/>
      <c r="G530" s="212"/>
      <c r="H530" s="212"/>
      <c r="I530" s="212"/>
      <c r="J530" s="212"/>
      <c r="K530" s="213"/>
      <c r="L530" s="129">
        <f>L531</f>
        <v>0</v>
      </c>
      <c r="M530" s="185" t="str">
        <f>'BM02'!C173</f>
        <v>un</v>
      </c>
    </row>
    <row r="531" spans="1:13" s="131" customFormat="1" ht="12.75">
      <c r="A531" s="132"/>
      <c r="B531" s="209"/>
      <c r="C531" s="210"/>
      <c r="D531" s="134"/>
      <c r="E531" s="134"/>
      <c r="F531" s="134"/>
      <c r="G531" s="134"/>
      <c r="H531" s="134"/>
      <c r="I531" s="134"/>
      <c r="J531" s="135"/>
      <c r="K531" s="135"/>
      <c r="L531" s="134">
        <f>ROUND(D531*K531,2)</f>
        <v>0</v>
      </c>
      <c r="M531" s="136"/>
    </row>
    <row r="532" spans="1:13" s="131" customFormat="1" ht="12.75">
      <c r="A532" s="139"/>
      <c r="B532" s="140"/>
      <c r="C532" s="141"/>
      <c r="D532" s="142"/>
      <c r="E532" s="143"/>
      <c r="F532" s="142"/>
      <c r="G532" s="142"/>
      <c r="H532" s="143"/>
      <c r="I532" s="143"/>
      <c r="J532" s="144"/>
      <c r="K532" s="144"/>
      <c r="L532" s="142"/>
      <c r="M532" s="145"/>
    </row>
    <row r="533" spans="1:13" ht="30" customHeight="1">
      <c r="A533" s="128" t="str">
        <f>'BM02'!A174</f>
        <v>1.13.13</v>
      </c>
      <c r="B533" s="211" t="str">
        <f>'BM02'!B174</f>
        <v>PONTO DE ILUMINAÇÃO RESIDENCIAL INCLUINDO INTERRUPTOR SIMPLES, CAIXA ELÉTRICA, ELETRODUTO, CABO, RASGO, QUEBRA E CHUMBAMENTO (EXCLUINDO LUMINÁRIA E LÂMPADA). AF_01/2016</v>
      </c>
      <c r="C533" s="212"/>
      <c r="D533" s="212"/>
      <c r="E533" s="212"/>
      <c r="F533" s="212"/>
      <c r="G533" s="212"/>
      <c r="H533" s="212"/>
      <c r="I533" s="212"/>
      <c r="J533" s="212"/>
      <c r="K533" s="213"/>
      <c r="L533" s="129">
        <f>L534</f>
        <v>0</v>
      </c>
      <c r="M533" s="185" t="str">
        <f>'BM02'!C174</f>
        <v>un</v>
      </c>
    </row>
    <row r="534" spans="1:13" s="131" customFormat="1" ht="12.75">
      <c r="A534" s="132"/>
      <c r="B534" s="209"/>
      <c r="C534" s="210"/>
      <c r="D534" s="134"/>
      <c r="E534" s="134"/>
      <c r="F534" s="134"/>
      <c r="G534" s="134"/>
      <c r="H534" s="134"/>
      <c r="I534" s="134"/>
      <c r="J534" s="135"/>
      <c r="K534" s="135"/>
      <c r="L534" s="134">
        <f>ROUND(D534*K534,2)</f>
        <v>0</v>
      </c>
      <c r="M534" s="136"/>
    </row>
    <row r="535" spans="1:13" s="131" customFormat="1" ht="12.75">
      <c r="A535" s="139"/>
      <c r="B535" s="140"/>
      <c r="C535" s="141"/>
      <c r="D535" s="142"/>
      <c r="E535" s="143"/>
      <c r="F535" s="142"/>
      <c r="G535" s="142"/>
      <c r="H535" s="143"/>
      <c r="I535" s="143"/>
      <c r="J535" s="144"/>
      <c r="K535" s="144"/>
      <c r="L535" s="142"/>
      <c r="M535" s="145"/>
    </row>
    <row r="536" spans="1:13" ht="30" customHeight="1">
      <c r="A536" s="128" t="str">
        <f>'BM02'!A175</f>
        <v>1.13.14</v>
      </c>
      <c r="B536" s="211" t="str">
        <f>'BM02'!B175</f>
        <v>PONTO DE TOMADA RESIDENCIAL INCLUINDO TOMADA 10A/250V, CAIXA ELÉTRICA, ELETRODUTO, CABO, RASGO, QUEBRA E CHUMBAMENTO. AF_01/2016</v>
      </c>
      <c r="C536" s="212"/>
      <c r="D536" s="212"/>
      <c r="E536" s="212"/>
      <c r="F536" s="212"/>
      <c r="G536" s="212"/>
      <c r="H536" s="212"/>
      <c r="I536" s="212"/>
      <c r="J536" s="212"/>
      <c r="K536" s="213"/>
      <c r="L536" s="129">
        <f>L537</f>
        <v>0</v>
      </c>
      <c r="M536" s="185" t="str">
        <f>'BM02'!C175</f>
        <v>un</v>
      </c>
    </row>
    <row r="537" spans="1:13" s="131" customFormat="1" ht="12.75">
      <c r="A537" s="132"/>
      <c r="B537" s="209"/>
      <c r="C537" s="210"/>
      <c r="D537" s="134"/>
      <c r="E537" s="134"/>
      <c r="F537" s="134"/>
      <c r="G537" s="134"/>
      <c r="H537" s="134"/>
      <c r="I537" s="134"/>
      <c r="J537" s="135"/>
      <c r="K537" s="135"/>
      <c r="L537" s="134">
        <f>ROUND(D537*K537,2)</f>
        <v>0</v>
      </c>
      <c r="M537" s="136"/>
    </row>
    <row r="538" spans="1:13" s="131" customFormat="1" ht="12.75">
      <c r="A538" s="139"/>
      <c r="B538" s="140"/>
      <c r="C538" s="141"/>
      <c r="D538" s="142"/>
      <c r="E538" s="143"/>
      <c r="F538" s="142"/>
      <c r="G538" s="142"/>
      <c r="H538" s="143"/>
      <c r="I538" s="143"/>
      <c r="J538" s="144"/>
      <c r="K538" s="144"/>
      <c r="L538" s="142"/>
      <c r="M538" s="145"/>
    </row>
    <row r="539" spans="1:13" ht="30" customHeight="1">
      <c r="A539" s="128" t="str">
        <f>'BM02'!A176</f>
        <v>1.13.15</v>
      </c>
      <c r="B539" s="211" t="str">
        <f>'BM02'!B176</f>
        <v>PONTO DE TOMADA RESIDENCIAL INCLUINDO TOMADA 20A/250V, CAIXA ELÉTRICA, ELETRODUTO, CABO, RASGO, QUEBRA E CHUMBAMENTO. AF_01/2016</v>
      </c>
      <c r="C539" s="212"/>
      <c r="D539" s="212"/>
      <c r="E539" s="212"/>
      <c r="F539" s="212"/>
      <c r="G539" s="212"/>
      <c r="H539" s="212"/>
      <c r="I539" s="212"/>
      <c r="J539" s="212"/>
      <c r="K539" s="213"/>
      <c r="L539" s="129">
        <f>L540</f>
        <v>0</v>
      </c>
      <c r="M539" s="185" t="str">
        <f>'BM02'!C176</f>
        <v>un</v>
      </c>
    </row>
    <row r="540" spans="1:13" s="131" customFormat="1" ht="12.75">
      <c r="A540" s="132"/>
      <c r="B540" s="209"/>
      <c r="C540" s="210"/>
      <c r="D540" s="134"/>
      <c r="E540" s="134"/>
      <c r="F540" s="134"/>
      <c r="G540" s="134"/>
      <c r="H540" s="134"/>
      <c r="I540" s="134"/>
      <c r="J540" s="135"/>
      <c r="K540" s="135"/>
      <c r="L540" s="134">
        <f>ROUND(D540*K540,2)</f>
        <v>0</v>
      </c>
      <c r="M540" s="136"/>
    </row>
    <row r="541" spans="1:13" s="131" customFormat="1" ht="12.75">
      <c r="A541" s="139"/>
      <c r="B541" s="140"/>
      <c r="C541" s="141"/>
      <c r="D541" s="142"/>
      <c r="E541" s="143"/>
      <c r="F541" s="142"/>
      <c r="G541" s="142"/>
      <c r="H541" s="143"/>
      <c r="I541" s="143"/>
      <c r="J541" s="144"/>
      <c r="K541" s="144"/>
      <c r="L541" s="142"/>
      <c r="M541" s="145"/>
    </row>
    <row r="542" spans="1:13" ht="30" customHeight="1">
      <c r="A542" s="128" t="str">
        <f>'BM02'!A177</f>
        <v>1.13.16</v>
      </c>
      <c r="B542" s="211" t="str">
        <f>'BM02'!B177</f>
        <v>PONTO DE UTILIZAÇÃO DE EQUIPAMENTOS ELÉTRICOS, RESIDENCIAL, INCLUINDO SUPORTE E PLACA, CAIXA ELÉTRICA, ELETRODUTO, CABO, RASGO, QUEBRA E CHUMBAMENTO. AF_01/2016</v>
      </c>
      <c r="C542" s="212"/>
      <c r="D542" s="212"/>
      <c r="E542" s="212"/>
      <c r="F542" s="212"/>
      <c r="G542" s="212"/>
      <c r="H542" s="212"/>
      <c r="I542" s="212"/>
      <c r="J542" s="212"/>
      <c r="K542" s="213"/>
      <c r="L542" s="129">
        <f>L543</f>
        <v>0</v>
      </c>
      <c r="M542" s="185" t="str">
        <f>'BM02'!C177</f>
        <v>un</v>
      </c>
    </row>
    <row r="543" spans="1:13" s="131" customFormat="1" ht="12.75">
      <c r="A543" s="132"/>
      <c r="B543" s="209"/>
      <c r="C543" s="210"/>
      <c r="D543" s="134"/>
      <c r="E543" s="134"/>
      <c r="F543" s="134"/>
      <c r="G543" s="134"/>
      <c r="H543" s="134"/>
      <c r="I543" s="134"/>
      <c r="J543" s="135"/>
      <c r="K543" s="135"/>
      <c r="L543" s="134">
        <f>ROUND(D543*K543,2)</f>
        <v>0</v>
      </c>
      <c r="M543" s="136"/>
    </row>
    <row r="544" spans="1:13" s="131" customFormat="1" ht="12.75">
      <c r="A544" s="139"/>
      <c r="B544" s="140"/>
      <c r="C544" s="141"/>
      <c r="D544" s="142"/>
      <c r="E544" s="143"/>
      <c r="F544" s="142"/>
      <c r="G544" s="142"/>
      <c r="H544" s="143"/>
      <c r="I544" s="143"/>
      <c r="J544" s="144"/>
      <c r="K544" s="144"/>
      <c r="L544" s="142"/>
      <c r="M544" s="145"/>
    </row>
    <row r="545" spans="1:13" ht="30" customHeight="1">
      <c r="A545" s="128" t="str">
        <f>'BM02'!A178</f>
        <v>1.13.17</v>
      </c>
      <c r="B545" s="211" t="str">
        <f>'BM02'!B178</f>
        <v>PONTO DE UTILIZAÇÃO DE EQUIPAMENTOS ELÉTRICOS, RESIDENCIAL, INCLUINDO SUPORTE E PLACA, CAIXA ELÉTRICA, ELETRODUTO, CABO, RASGO, QUEBRA E CHUMBAMENTO. AF_01/2016</v>
      </c>
      <c r="C545" s="212"/>
      <c r="D545" s="212"/>
      <c r="E545" s="212"/>
      <c r="F545" s="212"/>
      <c r="G545" s="212"/>
      <c r="H545" s="212"/>
      <c r="I545" s="212"/>
      <c r="J545" s="212"/>
      <c r="K545" s="213"/>
      <c r="L545" s="129">
        <f>L546</f>
        <v>0</v>
      </c>
      <c r="M545" s="185" t="str">
        <f>'BM02'!C178</f>
        <v>un</v>
      </c>
    </row>
    <row r="546" spans="1:13" s="131" customFormat="1" ht="12.75">
      <c r="A546" s="132"/>
      <c r="B546" s="209"/>
      <c r="C546" s="210"/>
      <c r="D546" s="134"/>
      <c r="E546" s="134"/>
      <c r="F546" s="134"/>
      <c r="G546" s="134"/>
      <c r="H546" s="134"/>
      <c r="I546" s="134"/>
      <c r="J546" s="135"/>
      <c r="K546" s="135"/>
      <c r="L546" s="134">
        <f>ROUND(D546*K546,2)</f>
        <v>0</v>
      </c>
      <c r="M546" s="136"/>
    </row>
    <row r="547" spans="1:13" s="131" customFormat="1" ht="12.75">
      <c r="A547" s="139"/>
      <c r="B547" s="140"/>
      <c r="C547" s="141"/>
      <c r="D547" s="142"/>
      <c r="E547" s="143"/>
      <c r="F547" s="142"/>
      <c r="G547" s="142"/>
      <c r="H547" s="143"/>
      <c r="I547" s="143"/>
      <c r="J547" s="144"/>
      <c r="K547" s="144"/>
      <c r="L547" s="142"/>
      <c r="M547" s="145"/>
    </row>
    <row r="548" spans="1:13" ht="30" customHeight="1">
      <c r="A548" s="128" t="str">
        <f>'BM02'!A179</f>
        <v>1.13.18</v>
      </c>
      <c r="B548" s="211" t="str">
        <f>'BM02'!B179</f>
        <v>QUADRO DE DISTRIBUIÇÃO DE ENERGIA EM CHAPA DE AÇO GALVANIZADO, DE EMBUTIR, COM BARRAMENTO TRIFÁSICO, PARA 24 DISJUNTORES DIN 100A - FORNECIMENTO E INSTALAÇÃO. AF_10/2020</v>
      </c>
      <c r="C548" s="212"/>
      <c r="D548" s="212"/>
      <c r="E548" s="212"/>
      <c r="F548" s="212"/>
      <c r="G548" s="212"/>
      <c r="H548" s="212"/>
      <c r="I548" s="212"/>
      <c r="J548" s="212"/>
      <c r="K548" s="213"/>
      <c r="L548" s="129">
        <f>L549</f>
        <v>0</v>
      </c>
      <c r="M548" s="185" t="str">
        <f>'BM02'!C179</f>
        <v>un</v>
      </c>
    </row>
    <row r="549" spans="1:13" s="131" customFormat="1" ht="12.75">
      <c r="A549" s="132"/>
      <c r="B549" s="209"/>
      <c r="C549" s="210"/>
      <c r="D549" s="134"/>
      <c r="E549" s="134"/>
      <c r="F549" s="134"/>
      <c r="G549" s="134"/>
      <c r="H549" s="134"/>
      <c r="I549" s="134"/>
      <c r="J549" s="135"/>
      <c r="K549" s="135"/>
      <c r="L549" s="134">
        <f>ROUND(D549*K549,2)</f>
        <v>0</v>
      </c>
      <c r="M549" s="136"/>
    </row>
    <row r="550" spans="1:13" s="131" customFormat="1" ht="12.75">
      <c r="A550" s="139"/>
      <c r="B550" s="140"/>
      <c r="C550" s="141"/>
      <c r="D550" s="142"/>
      <c r="E550" s="143"/>
      <c r="F550" s="142"/>
      <c r="G550" s="142"/>
      <c r="H550" s="143"/>
      <c r="I550" s="143"/>
      <c r="J550" s="144"/>
      <c r="K550" s="144"/>
      <c r="L550" s="142"/>
      <c r="M550" s="145"/>
    </row>
    <row r="551" spans="1:13" ht="30" customHeight="1">
      <c r="A551" s="128" t="str">
        <f>'BM02'!A180</f>
        <v>1.13.19</v>
      </c>
      <c r="B551" s="211" t="str">
        <f>'BM02'!B180</f>
        <v>QUADRO DE DISTRIBUIÇÃO DE ENERGIA EM CHAPA DE AÇO GALVANIZADO, DE EMBUTIR, COM BARRAMENTO TRIFÁSICO, PARA 12 DISJUNTORES DIN 100A - FORNECIMENTO E INSTALAÇÃO. AF_10/2020</v>
      </c>
      <c r="C551" s="212"/>
      <c r="D551" s="212"/>
      <c r="E551" s="212"/>
      <c r="F551" s="212"/>
      <c r="G551" s="212"/>
      <c r="H551" s="212"/>
      <c r="I551" s="212"/>
      <c r="J551" s="212"/>
      <c r="K551" s="213"/>
      <c r="L551" s="129">
        <f>L552</f>
        <v>0</v>
      </c>
      <c r="M551" s="185" t="str">
        <f>'BM02'!C180</f>
        <v>un</v>
      </c>
    </row>
    <row r="552" spans="1:13" s="131" customFormat="1" ht="12.75">
      <c r="A552" s="132"/>
      <c r="B552" s="209"/>
      <c r="C552" s="210"/>
      <c r="D552" s="134"/>
      <c r="E552" s="134"/>
      <c r="F552" s="134"/>
      <c r="G552" s="134"/>
      <c r="H552" s="134"/>
      <c r="I552" s="134"/>
      <c r="J552" s="135"/>
      <c r="K552" s="135"/>
      <c r="L552" s="134">
        <f>ROUND(D552*K552,2)</f>
        <v>0</v>
      </c>
      <c r="M552" s="136"/>
    </row>
    <row r="553" spans="1:13" s="131" customFormat="1" ht="12.75">
      <c r="A553" s="139"/>
      <c r="B553" s="140"/>
      <c r="C553" s="141"/>
      <c r="D553" s="142"/>
      <c r="E553" s="143"/>
      <c r="F553" s="142"/>
      <c r="G553" s="142"/>
      <c r="H553" s="143"/>
      <c r="I553" s="143"/>
      <c r="J553" s="144"/>
      <c r="K553" s="144"/>
      <c r="L553" s="142"/>
      <c r="M553" s="145"/>
    </row>
    <row r="554" spans="1:13" ht="12.6" customHeight="1">
      <c r="A554" s="184" t="str">
        <f>'BM02'!A181</f>
        <v>1.13.20</v>
      </c>
      <c r="B554" s="211" t="str">
        <f>'BM02'!B181</f>
        <v>Ponto de telefone, com eletroduto de pvc rígido embutido Ø 3/4"</v>
      </c>
      <c r="C554" s="212"/>
      <c r="D554" s="212"/>
      <c r="E554" s="212"/>
      <c r="F554" s="212"/>
      <c r="G554" s="212"/>
      <c r="H554" s="212"/>
      <c r="I554" s="212"/>
      <c r="J554" s="212"/>
      <c r="K554" s="213"/>
      <c r="L554" s="129">
        <f>L555</f>
        <v>0</v>
      </c>
      <c r="M554" s="185" t="str">
        <f>'BM02'!C181</f>
        <v>un</v>
      </c>
    </row>
    <row r="555" spans="1:13" s="131" customFormat="1" ht="12.75">
      <c r="A555" s="132"/>
      <c r="B555" s="209"/>
      <c r="C555" s="210"/>
      <c r="D555" s="134"/>
      <c r="E555" s="134"/>
      <c r="F555" s="134"/>
      <c r="G555" s="134"/>
      <c r="H555" s="134"/>
      <c r="I555" s="134"/>
      <c r="J555" s="135"/>
      <c r="K555" s="135"/>
      <c r="L555" s="134">
        <f>ROUND(D555*K555,2)</f>
        <v>0</v>
      </c>
      <c r="M555" s="136"/>
    </row>
    <row r="556" spans="1:13" s="131" customFormat="1" ht="12.75">
      <c r="A556" s="139"/>
      <c r="B556" s="140"/>
      <c r="C556" s="141"/>
      <c r="D556" s="142"/>
      <c r="E556" s="143"/>
      <c r="F556" s="142"/>
      <c r="G556" s="142"/>
      <c r="H556" s="143"/>
      <c r="I556" s="143"/>
      <c r="J556" s="144"/>
      <c r="K556" s="144"/>
      <c r="L556" s="142"/>
      <c r="M556" s="145"/>
    </row>
    <row r="557" spans="1:13" ht="12.6" customHeight="1">
      <c r="A557" s="184" t="str">
        <f>'BM02'!A182</f>
        <v>1.13.21</v>
      </c>
      <c r="B557" s="211" t="str">
        <f>'BM02'!B182</f>
        <v>Ponto para cabeamento estruturado embutido, com eletroduto pvc rígido Ø 3/4" c/cabo UTP 4 pares cat. 6</v>
      </c>
      <c r="C557" s="212"/>
      <c r="D557" s="212"/>
      <c r="E557" s="212"/>
      <c r="F557" s="212"/>
      <c r="G557" s="212"/>
      <c r="H557" s="212"/>
      <c r="I557" s="212"/>
      <c r="J557" s="212"/>
      <c r="K557" s="213"/>
      <c r="L557" s="129">
        <f>L558</f>
        <v>0</v>
      </c>
      <c r="M557" s="185" t="str">
        <f>'BM02'!C182</f>
        <v>pt</v>
      </c>
    </row>
    <row r="558" spans="1:13" s="131" customFormat="1" ht="12.75">
      <c r="A558" s="132"/>
      <c r="B558" s="209"/>
      <c r="C558" s="210"/>
      <c r="D558" s="134"/>
      <c r="E558" s="134"/>
      <c r="F558" s="134"/>
      <c r="G558" s="134"/>
      <c r="H558" s="134"/>
      <c r="I558" s="134"/>
      <c r="J558" s="135"/>
      <c r="K558" s="135"/>
      <c r="L558" s="134">
        <f>ROUND(D558*K558,2)</f>
        <v>0</v>
      </c>
      <c r="M558" s="136"/>
    </row>
    <row r="559" spans="1:13" s="131" customFormat="1" ht="12.75">
      <c r="A559" s="139"/>
      <c r="B559" s="140"/>
      <c r="C559" s="141"/>
      <c r="D559" s="142"/>
      <c r="E559" s="143"/>
      <c r="F559" s="142"/>
      <c r="G559" s="142"/>
      <c r="H559" s="143"/>
      <c r="I559" s="143"/>
      <c r="J559" s="144"/>
      <c r="K559" s="144"/>
      <c r="L559" s="142"/>
      <c r="M559" s="145"/>
    </row>
    <row r="560" spans="1:13" ht="30" customHeight="1">
      <c r="A560" s="128" t="str">
        <f>'BM02'!A183</f>
        <v>1.13.22</v>
      </c>
      <c r="B560" s="211" t="str">
        <f>'BM02'!B183</f>
        <v>Conjunto moto-bomba com motor de 3/4 cv, trifásico, bomba centrífuga, sucção=1", recalque=1", pr. máx. 26 mca, alt. sucção 8 mca. faixas hm (m) - q (m3/h) : (23-3,4)(20-4,7)(17-5,7)(14-6,6)(11- 7,3), inclusive chave de partida direta</v>
      </c>
      <c r="C560" s="212"/>
      <c r="D560" s="212"/>
      <c r="E560" s="212"/>
      <c r="F560" s="212"/>
      <c r="G560" s="212"/>
      <c r="H560" s="212"/>
      <c r="I560" s="212"/>
      <c r="J560" s="212"/>
      <c r="K560" s="213"/>
      <c r="L560" s="129">
        <f>L561</f>
        <v>0</v>
      </c>
      <c r="M560" s="185" t="str">
        <f>'BM02'!C183</f>
        <v>un</v>
      </c>
    </row>
    <row r="561" spans="1:13" s="131" customFormat="1" ht="12.75">
      <c r="A561" s="132"/>
      <c r="B561" s="209"/>
      <c r="C561" s="210"/>
      <c r="D561" s="134"/>
      <c r="E561" s="134"/>
      <c r="F561" s="134"/>
      <c r="G561" s="134"/>
      <c r="H561" s="134"/>
      <c r="I561" s="134"/>
      <c r="J561" s="135"/>
      <c r="K561" s="135"/>
      <c r="L561" s="134">
        <f>ROUND(D561*K561,2)</f>
        <v>0</v>
      </c>
      <c r="M561" s="136"/>
    </row>
    <row r="562" spans="1:13" s="131" customFormat="1" ht="12.75">
      <c r="A562" s="139"/>
      <c r="B562" s="140"/>
      <c r="C562" s="141"/>
      <c r="D562" s="142"/>
      <c r="E562" s="143"/>
      <c r="F562" s="142"/>
      <c r="G562" s="142"/>
      <c r="H562" s="143"/>
      <c r="I562" s="143"/>
      <c r="J562" s="144"/>
      <c r="K562" s="144"/>
      <c r="L562" s="142"/>
      <c r="M562" s="145"/>
    </row>
    <row r="563" spans="1:13" ht="30" customHeight="1">
      <c r="A563" s="128" t="str">
        <f>'BM02'!A184</f>
        <v>1.13.23</v>
      </c>
      <c r="B563" s="211" t="str">
        <f>'BM02'!B184</f>
        <v>INTERRUPTOR PULSADOR CAMPAINHA (1 MÓDULO), 10A/250V, INCLUINDO SUPORTE E PLACA - FORNECIMENTO E INSTALAÇÃO. AF_09/2017</v>
      </c>
      <c r="C563" s="212"/>
      <c r="D563" s="212"/>
      <c r="E563" s="212"/>
      <c r="F563" s="212"/>
      <c r="G563" s="212"/>
      <c r="H563" s="212"/>
      <c r="I563" s="212"/>
      <c r="J563" s="212"/>
      <c r="K563" s="213"/>
      <c r="L563" s="129">
        <f>L564</f>
        <v>0</v>
      </c>
      <c r="M563" s="185" t="str">
        <f>'BM02'!C184</f>
        <v>un</v>
      </c>
    </row>
    <row r="564" spans="1:13" s="131" customFormat="1" ht="12.75">
      <c r="A564" s="132"/>
      <c r="B564" s="209"/>
      <c r="C564" s="210"/>
      <c r="D564" s="134"/>
      <c r="E564" s="134"/>
      <c r="F564" s="134"/>
      <c r="G564" s="134"/>
      <c r="H564" s="134"/>
      <c r="I564" s="134"/>
      <c r="J564" s="135"/>
      <c r="K564" s="135"/>
      <c r="L564" s="134">
        <f>ROUND(D564*K564,2)</f>
        <v>0</v>
      </c>
      <c r="M564" s="136"/>
    </row>
    <row r="565" spans="1:13" s="131" customFormat="1" ht="12.75">
      <c r="A565" s="139"/>
      <c r="B565" s="140"/>
      <c r="C565" s="141"/>
      <c r="D565" s="142"/>
      <c r="E565" s="143"/>
      <c r="F565" s="142"/>
      <c r="G565" s="142"/>
      <c r="H565" s="143"/>
      <c r="I565" s="143"/>
      <c r="J565" s="144"/>
      <c r="K565" s="144"/>
      <c r="L565" s="142"/>
      <c r="M565" s="145"/>
    </row>
    <row r="566" spans="1:13" ht="30" customHeight="1">
      <c r="A566" s="128" t="str">
        <f>'BM02'!A185</f>
        <v>1.13.24</v>
      </c>
      <c r="B566" s="211" t="str">
        <f>'BM02'!B185</f>
        <v>ENTRADA DE ENERGIA ELÉTRICA, AÉREA, TRIFÁSICA, COM CAIXA DE EMBUTIR, CABO DE 10 MM2 E DISJUNTOR DIN 50A (NÃO INCLUSO O POSTE DE CONCRETO). AF_07/2020</v>
      </c>
      <c r="C566" s="212"/>
      <c r="D566" s="212"/>
      <c r="E566" s="212"/>
      <c r="F566" s="212"/>
      <c r="G566" s="212"/>
      <c r="H566" s="212"/>
      <c r="I566" s="212"/>
      <c r="J566" s="212"/>
      <c r="K566" s="213"/>
      <c r="L566" s="129">
        <f>L567</f>
        <v>0</v>
      </c>
      <c r="M566" s="185" t="str">
        <f>'BM02'!C185</f>
        <v>un</v>
      </c>
    </row>
    <row r="567" spans="1:13" s="131" customFormat="1" ht="12.75">
      <c r="A567" s="132"/>
      <c r="B567" s="209"/>
      <c r="C567" s="210"/>
      <c r="D567" s="134"/>
      <c r="E567" s="134"/>
      <c r="F567" s="134"/>
      <c r="G567" s="134"/>
      <c r="H567" s="134"/>
      <c r="I567" s="134"/>
      <c r="J567" s="135"/>
      <c r="K567" s="135"/>
      <c r="L567" s="134">
        <f>K567</f>
        <v>0</v>
      </c>
      <c r="M567" s="136"/>
    </row>
    <row r="568" spans="1:13" s="131" customFormat="1" ht="12.75">
      <c r="A568" s="139"/>
      <c r="B568" s="140"/>
      <c r="C568" s="141"/>
      <c r="D568" s="142"/>
      <c r="E568" s="143"/>
      <c r="F568" s="142"/>
      <c r="G568" s="142"/>
      <c r="H568" s="143"/>
      <c r="I568" s="143"/>
      <c r="J568" s="144"/>
      <c r="K568" s="144"/>
      <c r="L568" s="142"/>
      <c r="M568" s="145"/>
    </row>
    <row r="569" spans="1:13" ht="12.75">
      <c r="A569" s="128" t="str">
        <f>'BM04'!A209</f>
        <v>1.13.25</v>
      </c>
      <c r="B569" s="211" t="str">
        <f>'BM04'!B209</f>
        <v>Fornecimento e instalação de luminária braço de tempo com lâmpada fluorescente eletônica PL 23w</v>
      </c>
      <c r="C569" s="212"/>
      <c r="D569" s="212"/>
      <c r="E569" s="212"/>
      <c r="F569" s="212"/>
      <c r="G569" s="212"/>
      <c r="H569" s="212"/>
      <c r="I569" s="212"/>
      <c r="J569" s="212"/>
      <c r="K569" s="213"/>
      <c r="L569" s="129">
        <f>L570</f>
        <v>0</v>
      </c>
      <c r="M569" s="185" t="str">
        <f>'BM04'!C209</f>
        <v>UND</v>
      </c>
    </row>
    <row r="570" spans="1:13" s="131" customFormat="1" ht="12.75">
      <c r="A570" s="132"/>
      <c r="B570" s="209"/>
      <c r="C570" s="210"/>
      <c r="D570" s="134"/>
      <c r="E570" s="134"/>
      <c r="F570" s="134"/>
      <c r="G570" s="134"/>
      <c r="H570" s="134"/>
      <c r="I570" s="134"/>
      <c r="J570" s="135"/>
      <c r="K570" s="135"/>
      <c r="L570" s="134">
        <f>K570</f>
        <v>0</v>
      </c>
      <c r="M570" s="136"/>
    </row>
    <row r="571" spans="1:13" s="131" customFormat="1" ht="13.5" thickBot="1">
      <c r="A571" s="139"/>
      <c r="B571" s="140"/>
      <c r="C571" s="141"/>
      <c r="D571" s="142"/>
      <c r="E571" s="143"/>
      <c r="F571" s="142"/>
      <c r="G571" s="142"/>
      <c r="H571" s="143"/>
      <c r="I571" s="143"/>
      <c r="J571" s="144"/>
      <c r="K571" s="144"/>
      <c r="L571" s="142"/>
      <c r="M571" s="145"/>
    </row>
    <row r="572" spans="1:13" ht="13.5" thickBot="1">
      <c r="A572" s="121" t="str">
        <f>'BM02'!A187</f>
        <v>1.14</v>
      </c>
      <c r="B572" s="122" t="str">
        <f>'BM02'!B187</f>
        <v>ELEMENTOS DECORATIVOS MOBILIARIO</v>
      </c>
      <c r="C572" s="122"/>
      <c r="D572" s="122"/>
      <c r="E572" s="122"/>
      <c r="F572" s="122"/>
      <c r="G572" s="122"/>
      <c r="H572" s="122"/>
      <c r="I572" s="122"/>
      <c r="J572" s="122"/>
      <c r="K572" s="122"/>
      <c r="L572" s="122"/>
      <c r="M572" s="123"/>
    </row>
    <row r="573" spans="1:13" ht="12.75">
      <c r="A573" s="124"/>
      <c r="B573" s="125"/>
      <c r="C573" s="125"/>
      <c r="D573" s="125"/>
      <c r="E573" s="125"/>
      <c r="F573" s="125"/>
      <c r="G573" s="125"/>
      <c r="H573" s="125"/>
      <c r="I573" s="125"/>
      <c r="J573" s="125"/>
      <c r="K573" s="126"/>
      <c r="L573" s="125"/>
      <c r="M573" s="127"/>
    </row>
    <row r="574" spans="1:13" ht="30" customHeight="1">
      <c r="A574" s="128" t="str">
        <f>'BM02'!A189</f>
        <v>1.14.1</v>
      </c>
      <c r="B574" s="211" t="str">
        <f>'BM02'!B189</f>
        <v>Pintura de Letras - letreiro, sobre paredes, com lixamento, aplicação de 01 demão de líquido selador acrílico, 02 demãos de massa acrílica e 02 demãos de tinta pva latex convencional para exteriores</v>
      </c>
      <c r="C574" s="212"/>
      <c r="D574" s="212"/>
      <c r="E574" s="212"/>
      <c r="F574" s="212"/>
      <c r="G574" s="212"/>
      <c r="H574" s="212"/>
      <c r="I574" s="212"/>
      <c r="J574" s="212"/>
      <c r="K574" s="213"/>
      <c r="L574" s="129">
        <f>L575</f>
        <v>0</v>
      </c>
      <c r="M574" s="130" t="str">
        <f>'BM02'!C189</f>
        <v>un</v>
      </c>
    </row>
    <row r="575" spans="1:13" s="131" customFormat="1" ht="12.75">
      <c r="A575" s="132"/>
      <c r="B575" s="209"/>
      <c r="C575" s="210"/>
      <c r="D575" s="134"/>
      <c r="E575" s="134"/>
      <c r="F575" s="134"/>
      <c r="G575" s="134"/>
      <c r="H575" s="134"/>
      <c r="I575" s="134"/>
      <c r="J575" s="135"/>
      <c r="K575" s="135"/>
      <c r="L575" s="134">
        <f>ROUND(D575*K575,2)</f>
        <v>0</v>
      </c>
      <c r="M575" s="136"/>
    </row>
    <row r="576" spans="1:13" s="131" customFormat="1" ht="12.75">
      <c r="A576" s="139"/>
      <c r="B576" s="140"/>
      <c r="C576" s="141"/>
      <c r="D576" s="142"/>
      <c r="E576" s="143"/>
      <c r="F576" s="142"/>
      <c r="G576" s="142"/>
      <c r="H576" s="143"/>
      <c r="I576" s="143"/>
      <c r="J576" s="144"/>
      <c r="K576" s="144"/>
      <c r="L576" s="142"/>
      <c r="M576" s="145"/>
    </row>
    <row r="577" spans="1:13" ht="12.6" customHeight="1">
      <c r="A577" s="184" t="str">
        <f>'BM02'!A190</f>
        <v>1.14.2</v>
      </c>
      <c r="B577" s="211" t="str">
        <f>'BM02'!B190</f>
        <v>Placa de inauguração em alumínio com Acrilico, 80x60cm,com logomarca e moldura</v>
      </c>
      <c r="C577" s="212"/>
      <c r="D577" s="212"/>
      <c r="E577" s="212"/>
      <c r="F577" s="212"/>
      <c r="G577" s="212"/>
      <c r="H577" s="212"/>
      <c r="I577" s="212"/>
      <c r="J577" s="212"/>
      <c r="K577" s="213"/>
      <c r="L577" s="129">
        <f>L578</f>
        <v>0</v>
      </c>
      <c r="M577" s="130" t="str">
        <f>'BM02'!C190</f>
        <v>un</v>
      </c>
    </row>
    <row r="578" spans="1:13" s="131" customFormat="1" ht="12.75">
      <c r="A578" s="132"/>
      <c r="B578" s="209"/>
      <c r="C578" s="210"/>
      <c r="D578" s="134"/>
      <c r="E578" s="134"/>
      <c r="F578" s="134"/>
      <c r="G578" s="134"/>
      <c r="H578" s="134"/>
      <c r="I578" s="134"/>
      <c r="J578" s="135"/>
      <c r="K578" s="135"/>
      <c r="L578" s="134">
        <f>ROUND(D578*K578,2)</f>
        <v>0</v>
      </c>
      <c r="M578" s="136"/>
    </row>
    <row r="579" spans="1:13" s="131" customFormat="1" ht="12.75">
      <c r="A579" s="139"/>
      <c r="B579" s="140"/>
      <c r="C579" s="141"/>
      <c r="D579" s="142"/>
      <c r="E579" s="143"/>
      <c r="F579" s="142"/>
      <c r="G579" s="142"/>
      <c r="H579" s="143"/>
      <c r="I579" s="143"/>
      <c r="J579" s="144"/>
      <c r="K579" s="144"/>
      <c r="L579" s="142"/>
      <c r="M579" s="145"/>
    </row>
    <row r="580" spans="1:13" ht="12.6" customHeight="1">
      <c r="A580" s="184" t="str">
        <f>'BM02'!A191</f>
        <v>1.14.3</v>
      </c>
      <c r="B580" s="211" t="str">
        <f>'BM02'!B191</f>
        <v>Mastro simples em tubo ferro galvanizado, alt (útil)= 6m (3,80m x 2" + 2,20m x 1 1/2")</v>
      </c>
      <c r="C580" s="212"/>
      <c r="D580" s="212"/>
      <c r="E580" s="212"/>
      <c r="F580" s="212"/>
      <c r="G580" s="212"/>
      <c r="H580" s="212"/>
      <c r="I580" s="212"/>
      <c r="J580" s="212"/>
      <c r="K580" s="213"/>
      <c r="L580" s="129">
        <f>L581</f>
        <v>0</v>
      </c>
      <c r="M580" s="130" t="str">
        <f>'BM02'!C191</f>
        <v>un</v>
      </c>
    </row>
    <row r="581" spans="1:13" s="131" customFormat="1" ht="12.75">
      <c r="A581" s="132"/>
      <c r="B581" s="209"/>
      <c r="C581" s="210"/>
      <c r="D581" s="134"/>
      <c r="E581" s="134"/>
      <c r="F581" s="134"/>
      <c r="G581" s="134"/>
      <c r="H581" s="134"/>
      <c r="I581" s="134"/>
      <c r="J581" s="135"/>
      <c r="K581" s="135"/>
      <c r="L581" s="134">
        <f>ROUND(D581*K581,2)</f>
        <v>0</v>
      </c>
      <c r="M581" s="136"/>
    </row>
    <row r="582" spans="1:13" s="131" customFormat="1" ht="12.75">
      <c r="A582" s="139"/>
      <c r="B582" s="140"/>
      <c r="C582" s="141"/>
      <c r="D582" s="142"/>
      <c r="E582" s="143"/>
      <c r="F582" s="142"/>
      <c r="G582" s="142"/>
      <c r="H582" s="143"/>
      <c r="I582" s="143"/>
      <c r="J582" s="144"/>
      <c r="K582" s="144"/>
      <c r="L582" s="142"/>
      <c r="M582" s="145"/>
    </row>
    <row r="583" spans="1:13" ht="12.6" customHeight="1">
      <c r="A583" s="184" t="str">
        <f>'BM02'!A192</f>
        <v>1.14.4</v>
      </c>
      <c r="B583" s="211" t="str">
        <f>'BM02'!B192</f>
        <v>Mastro simples em tubo ferro galvanizado, alt (útil)= 6m (3,80m x 2" + 2,20m x 1 1/2")</v>
      </c>
      <c r="C583" s="212"/>
      <c r="D583" s="212"/>
      <c r="E583" s="212"/>
      <c r="F583" s="212"/>
      <c r="G583" s="212"/>
      <c r="H583" s="212"/>
      <c r="I583" s="212"/>
      <c r="J583" s="212"/>
      <c r="K583" s="213"/>
      <c r="L583" s="129">
        <f>L584</f>
        <v>0</v>
      </c>
      <c r="M583" s="130" t="str">
        <f>'BM02'!C192</f>
        <v>un</v>
      </c>
    </row>
    <row r="584" spans="1:13" s="131" customFormat="1" ht="12.75">
      <c r="A584" s="132"/>
      <c r="B584" s="209"/>
      <c r="C584" s="210"/>
      <c r="D584" s="134"/>
      <c r="E584" s="134"/>
      <c r="F584" s="134"/>
      <c r="G584" s="134"/>
      <c r="H584" s="134"/>
      <c r="I584" s="134"/>
      <c r="J584" s="135"/>
      <c r="K584" s="135"/>
      <c r="L584" s="134">
        <f>ROUND(D584*K584,2)</f>
        <v>0</v>
      </c>
      <c r="M584" s="136"/>
    </row>
    <row r="585" spans="1:13" s="131" customFormat="1" ht="12.75">
      <c r="A585" s="139"/>
      <c r="B585" s="140"/>
      <c r="C585" s="141"/>
      <c r="D585" s="142"/>
      <c r="E585" s="143"/>
      <c r="F585" s="142"/>
      <c r="G585" s="142"/>
      <c r="H585" s="143"/>
      <c r="I585" s="143"/>
      <c r="J585" s="144"/>
      <c r="K585" s="144"/>
      <c r="L585" s="142"/>
      <c r="M585" s="145"/>
    </row>
    <row r="586" spans="1:13" ht="12.6" customHeight="1">
      <c r="A586" s="184" t="str">
        <f>'BM02'!A193</f>
        <v>1.14.5</v>
      </c>
      <c r="B586" s="211" t="str">
        <f>'BM02'!B193</f>
        <v>Quadro escolar em fórmica branca com moldura</v>
      </c>
      <c r="C586" s="212"/>
      <c r="D586" s="212"/>
      <c r="E586" s="212"/>
      <c r="F586" s="212"/>
      <c r="G586" s="212"/>
      <c r="H586" s="212"/>
      <c r="I586" s="212"/>
      <c r="J586" s="212"/>
      <c r="K586" s="213"/>
      <c r="L586" s="129">
        <f>L587</f>
        <v>0</v>
      </c>
      <c r="M586" s="130" t="str">
        <f>'BM02'!C193</f>
        <v>m²</v>
      </c>
    </row>
    <row r="587" spans="1:13" s="131" customFormat="1" ht="12.75">
      <c r="A587" s="132"/>
      <c r="B587" s="209"/>
      <c r="C587" s="210"/>
      <c r="D587" s="134"/>
      <c r="E587" s="134"/>
      <c r="F587" s="134"/>
      <c r="G587" s="134"/>
      <c r="H587" s="134"/>
      <c r="I587" s="134"/>
      <c r="J587" s="135"/>
      <c r="K587" s="135"/>
      <c r="L587" s="134">
        <f>ROUND(D587*K587,2)</f>
        <v>0</v>
      </c>
      <c r="M587" s="136"/>
    </row>
    <row r="588" spans="1:13" s="131" customFormat="1" ht="12.75">
      <c r="A588" s="139"/>
      <c r="B588" s="140"/>
      <c r="C588" s="141"/>
      <c r="D588" s="142"/>
      <c r="E588" s="143"/>
      <c r="F588" s="142"/>
      <c r="G588" s="142"/>
      <c r="H588" s="143"/>
      <c r="I588" s="143"/>
      <c r="J588" s="144"/>
      <c r="K588" s="144"/>
      <c r="L588" s="142"/>
      <c r="M588" s="145"/>
    </row>
    <row r="589" spans="1:13" ht="30" customHeight="1">
      <c r="A589" s="128" t="str">
        <f>'BM02'!A194</f>
        <v>1.14.6</v>
      </c>
      <c r="B589" s="211" t="str">
        <f>'BM02'!B194</f>
        <v>EXTINTOR DE INCÊNDIO PORTÁTIL COM CARGA DE ÁGUA PRESSURIZADA DE 10 L, CLASSE A - FORNECIMENTO E INSTALAÇÃO. AF_10/2020_P</v>
      </c>
      <c r="C589" s="212"/>
      <c r="D589" s="212"/>
      <c r="E589" s="212"/>
      <c r="F589" s="212"/>
      <c r="G589" s="212"/>
      <c r="H589" s="212"/>
      <c r="I589" s="212"/>
      <c r="J589" s="212"/>
      <c r="K589" s="213"/>
      <c r="L589" s="129">
        <f>L590</f>
        <v>0</v>
      </c>
      <c r="M589" s="130" t="str">
        <f>'BM02'!C194</f>
        <v>un</v>
      </c>
    </row>
    <row r="590" spans="1:13" s="131" customFormat="1" ht="12.75">
      <c r="A590" s="132"/>
      <c r="B590" s="209"/>
      <c r="C590" s="210"/>
      <c r="D590" s="134"/>
      <c r="E590" s="134"/>
      <c r="F590" s="134"/>
      <c r="G590" s="134"/>
      <c r="H590" s="134"/>
      <c r="I590" s="134"/>
      <c r="J590" s="135"/>
      <c r="K590" s="135"/>
      <c r="L590" s="134">
        <f>ROUND(D590*K590,2)</f>
        <v>0</v>
      </c>
      <c r="M590" s="136"/>
    </row>
    <row r="591" spans="1:13" s="131" customFormat="1" ht="12.75">
      <c r="A591" s="139"/>
      <c r="B591" s="140"/>
      <c r="C591" s="141"/>
      <c r="D591" s="142"/>
      <c r="E591" s="143"/>
      <c r="F591" s="142"/>
      <c r="G591" s="142"/>
      <c r="H591" s="143"/>
      <c r="I591" s="143"/>
      <c r="J591" s="144"/>
      <c r="K591" s="144"/>
      <c r="L591" s="142"/>
      <c r="M591" s="145"/>
    </row>
    <row r="592" spans="1:13" ht="30" customHeight="1">
      <c r="A592" s="128" t="str">
        <f>'BM02'!A195</f>
        <v>1.14.7</v>
      </c>
      <c r="B592" s="211" t="str">
        <f>'BM02'!B195</f>
        <v>EXTINTOR DE INCÊNDIO PORTÁTIL COM CARGA DE PQS DE 4 KG, CLASSE BC - FORNECIMENTO E INSTALAÇÃO. AF_10/2020_P</v>
      </c>
      <c r="C592" s="212"/>
      <c r="D592" s="212"/>
      <c r="E592" s="212"/>
      <c r="F592" s="212"/>
      <c r="G592" s="212"/>
      <c r="H592" s="212"/>
      <c r="I592" s="212"/>
      <c r="J592" s="212"/>
      <c r="K592" s="213"/>
      <c r="L592" s="129">
        <f>L593</f>
        <v>0</v>
      </c>
      <c r="M592" s="130" t="str">
        <f>'BM02'!C195</f>
        <v>un</v>
      </c>
    </row>
    <row r="593" spans="1:13" s="131" customFormat="1" ht="12.75">
      <c r="A593" s="132"/>
      <c r="B593" s="209"/>
      <c r="C593" s="210"/>
      <c r="D593" s="134"/>
      <c r="E593" s="134"/>
      <c r="F593" s="134"/>
      <c r="G593" s="134"/>
      <c r="H593" s="134"/>
      <c r="I593" s="134"/>
      <c r="J593" s="135"/>
      <c r="K593" s="135"/>
      <c r="L593" s="134">
        <f>ROUND(D593*K593,2)</f>
        <v>0</v>
      </c>
      <c r="M593" s="136"/>
    </row>
    <row r="594" spans="1:13" s="131" customFormat="1" ht="13.5" thickBot="1">
      <c r="A594" s="139"/>
      <c r="B594" s="140"/>
      <c r="C594" s="141"/>
      <c r="D594" s="142"/>
      <c r="E594" s="143"/>
      <c r="F594" s="142"/>
      <c r="G594" s="142"/>
      <c r="H594" s="143"/>
      <c r="I594" s="143"/>
      <c r="J594" s="144"/>
      <c r="K594" s="144"/>
      <c r="L594" s="142"/>
      <c r="M594" s="145"/>
    </row>
    <row r="595" spans="1:13" ht="13.5" thickBot="1">
      <c r="A595" s="121" t="str">
        <f>'BM02'!A197</f>
        <v>1.15</v>
      </c>
      <c r="B595" s="122" t="str">
        <f>'BM02'!B197</f>
        <v>LIMPEZA, ENTREGA DA OBRA</v>
      </c>
      <c r="C595" s="122"/>
      <c r="D595" s="122"/>
      <c r="E595" s="122"/>
      <c r="F595" s="122"/>
      <c r="G595" s="122"/>
      <c r="H595" s="122"/>
      <c r="I595" s="122"/>
      <c r="J595" s="122"/>
      <c r="K595" s="122"/>
      <c r="L595" s="122"/>
      <c r="M595" s="123"/>
    </row>
    <row r="596" spans="1:13" ht="12.75">
      <c r="A596" s="124"/>
      <c r="B596" s="125"/>
      <c r="C596" s="125"/>
      <c r="D596" s="125"/>
      <c r="E596" s="125"/>
      <c r="F596" s="125"/>
      <c r="G596" s="125"/>
      <c r="H596" s="125"/>
      <c r="I596" s="125"/>
      <c r="J596" s="125"/>
      <c r="K596" s="126"/>
      <c r="L596" s="125"/>
      <c r="M596" s="127"/>
    </row>
    <row r="597" spans="1:13" ht="12.6" customHeight="1">
      <c r="A597" s="184" t="str">
        <f>'BM02'!A199</f>
        <v>1.15.1</v>
      </c>
      <c r="B597" s="211" t="str">
        <f>'BM02'!B199</f>
        <v>Limpeza geral</v>
      </c>
      <c r="C597" s="212"/>
      <c r="D597" s="212"/>
      <c r="E597" s="212"/>
      <c r="F597" s="212"/>
      <c r="G597" s="212"/>
      <c r="H597" s="212"/>
      <c r="I597" s="212"/>
      <c r="J597" s="212"/>
      <c r="K597" s="213"/>
      <c r="L597" s="129">
        <f>L598</f>
        <v>0</v>
      </c>
      <c r="M597" s="185" t="str">
        <f>'BM02'!C199</f>
        <v>m²</v>
      </c>
    </row>
    <row r="598" spans="1:13" s="131" customFormat="1" ht="12.75">
      <c r="A598" s="132"/>
      <c r="B598" s="209"/>
      <c r="C598" s="210"/>
      <c r="D598" s="134"/>
      <c r="E598" s="134"/>
      <c r="F598" s="134"/>
      <c r="G598" s="134"/>
      <c r="H598" s="134"/>
      <c r="I598" s="134"/>
      <c r="J598" s="135"/>
      <c r="K598" s="135"/>
      <c r="L598" s="134">
        <f>ROUND(D598*K598,2)</f>
        <v>0</v>
      </c>
      <c r="M598" s="136"/>
    </row>
    <row r="599" spans="1:13" s="131" customFormat="1" ht="12.75">
      <c r="A599" s="139"/>
      <c r="B599" s="140"/>
      <c r="C599" s="141"/>
      <c r="D599" s="142"/>
      <c r="E599" s="143"/>
      <c r="F599" s="142"/>
      <c r="G599" s="142"/>
      <c r="H599" s="143"/>
      <c r="I599" s="143"/>
      <c r="J599" s="144"/>
      <c r="K599" s="144"/>
      <c r="L599" s="142"/>
      <c r="M599" s="145"/>
    </row>
    <row r="600" spans="1:13" ht="12.6" customHeight="1">
      <c r="A600" s="184" t="str">
        <f>'BM02'!A200</f>
        <v>1.15.2</v>
      </c>
      <c r="B600" s="211" t="str">
        <f>'BM02'!B200</f>
        <v>bota-fora (carga manual, transporte e descarga mecanica, caminhão basculante de 10m³) ate 5,00km</v>
      </c>
      <c r="C600" s="212"/>
      <c r="D600" s="212"/>
      <c r="E600" s="212"/>
      <c r="F600" s="212"/>
      <c r="G600" s="212"/>
      <c r="H600" s="212"/>
      <c r="I600" s="212"/>
      <c r="J600" s="212"/>
      <c r="K600" s="213"/>
      <c r="L600" s="129">
        <f>L601</f>
        <v>0</v>
      </c>
      <c r="M600" s="185" t="str">
        <f>'BM02'!C200</f>
        <v>m³</v>
      </c>
    </row>
    <row r="601" spans="1:13" s="131" customFormat="1" ht="12.75">
      <c r="A601" s="132"/>
      <c r="B601" s="209"/>
      <c r="C601" s="210"/>
      <c r="D601" s="134"/>
      <c r="E601" s="134"/>
      <c r="F601" s="134"/>
      <c r="G601" s="134"/>
      <c r="H601" s="134"/>
      <c r="I601" s="134"/>
      <c r="J601" s="135"/>
      <c r="K601" s="135"/>
      <c r="L601" s="134">
        <f>ROUND(D601*K601,2)</f>
        <v>0</v>
      </c>
      <c r="M601" s="136"/>
    </row>
    <row r="602" spans="1:13" s="131" customFormat="1" ht="13.5" thickBot="1">
      <c r="A602" s="139"/>
      <c r="B602" s="140"/>
      <c r="C602" s="141"/>
      <c r="D602" s="142"/>
      <c r="E602" s="143"/>
      <c r="F602" s="142"/>
      <c r="G602" s="142"/>
      <c r="H602" s="143"/>
      <c r="I602" s="143"/>
      <c r="J602" s="144"/>
      <c r="K602" s="144"/>
      <c r="L602" s="142"/>
      <c r="M602" s="145"/>
    </row>
    <row r="603" spans="1:13" ht="13.9" customHeight="1" thickBot="1">
      <c r="A603" s="272" t="str">
        <f>'BM02'!A202</f>
        <v>ETAPA 02: RECREIO COBERTO</v>
      </c>
      <c r="B603" s="273"/>
      <c r="C603" s="273"/>
      <c r="D603" s="273"/>
      <c r="E603" s="273"/>
      <c r="F603" s="273"/>
      <c r="G603" s="273"/>
      <c r="H603" s="273"/>
      <c r="I603" s="273"/>
      <c r="J603" s="273"/>
      <c r="K603" s="273"/>
      <c r="L603" s="273"/>
      <c r="M603" s="274"/>
    </row>
    <row r="604" spans="1:13" s="131" customFormat="1" ht="13.5" thickBot="1">
      <c r="A604" s="139"/>
      <c r="B604" s="140"/>
      <c r="C604" s="141"/>
      <c r="D604" s="142"/>
      <c r="E604" s="143"/>
      <c r="F604" s="142"/>
      <c r="G604" s="142"/>
      <c r="H604" s="143"/>
      <c r="I604" s="143"/>
      <c r="J604" s="144"/>
      <c r="K604" s="144"/>
      <c r="L604" s="142"/>
      <c r="M604" s="145"/>
    </row>
    <row r="605" spans="1:13" ht="13.5" thickBot="1">
      <c r="A605" s="121" t="str">
        <f>'BM02'!A204</f>
        <v>2.1</v>
      </c>
      <c r="B605" s="122" t="str">
        <f>'BM02'!B204</f>
        <v>SERVIÇOS PRELIMINARES</v>
      </c>
      <c r="C605" s="122"/>
      <c r="D605" s="122"/>
      <c r="E605" s="122"/>
      <c r="F605" s="122"/>
      <c r="G605" s="122"/>
      <c r="H605" s="122"/>
      <c r="I605" s="122"/>
      <c r="J605" s="122"/>
      <c r="K605" s="122"/>
      <c r="L605" s="122"/>
      <c r="M605" s="123"/>
    </row>
    <row r="606" spans="1:13" ht="12.75">
      <c r="A606" s="124"/>
      <c r="B606" s="125"/>
      <c r="C606" s="125"/>
      <c r="D606" s="125"/>
      <c r="E606" s="125"/>
      <c r="F606" s="125"/>
      <c r="G606" s="125"/>
      <c r="H606" s="125"/>
      <c r="I606" s="125"/>
      <c r="J606" s="125"/>
      <c r="K606" s="126"/>
      <c r="L606" s="125"/>
      <c r="M606" s="127"/>
    </row>
    <row r="607" spans="1:13" ht="30" customHeight="1">
      <c r="A607" s="128" t="str">
        <f>'BM02'!A206</f>
        <v>2.1.1</v>
      </c>
      <c r="B607" s="211" t="str">
        <f>'BM02'!B206</f>
        <v>LOCACAO CONVENCIONAL DE OBRA, UTILIZANDO GABARITO DE TÁBUAS CORRIDAS PONTALETADAS A CADA 2,00M - 2 UTILIZAÇÕES. AF_10/2018</v>
      </c>
      <c r="C607" s="212"/>
      <c r="D607" s="212"/>
      <c r="E607" s="212"/>
      <c r="F607" s="212"/>
      <c r="G607" s="212"/>
      <c r="H607" s="212"/>
      <c r="I607" s="212"/>
      <c r="J607" s="212"/>
      <c r="K607" s="213"/>
      <c r="L607" s="129">
        <f>L608</f>
        <v>0</v>
      </c>
      <c r="M607" s="130" t="str">
        <f>'BM02'!C206</f>
        <v>m</v>
      </c>
    </row>
    <row r="608" spans="1:13" s="131" customFormat="1" ht="12.75">
      <c r="A608" s="132"/>
      <c r="B608" s="209"/>
      <c r="C608" s="210"/>
      <c r="D608" s="134"/>
      <c r="E608" s="134"/>
      <c r="F608" s="134"/>
      <c r="G608" s="134"/>
      <c r="H608" s="134"/>
      <c r="I608" s="134"/>
      <c r="J608" s="135"/>
      <c r="K608" s="135"/>
      <c r="L608" s="134"/>
      <c r="M608" s="136"/>
    </row>
    <row r="609" spans="1:13" s="131" customFormat="1" ht="13.5" thickBot="1">
      <c r="A609" s="139"/>
      <c r="B609" s="140"/>
      <c r="C609" s="141"/>
      <c r="D609" s="142"/>
      <c r="E609" s="143"/>
      <c r="F609" s="142"/>
      <c r="G609" s="142"/>
      <c r="H609" s="143"/>
      <c r="I609" s="143"/>
      <c r="J609" s="144"/>
      <c r="K609" s="144"/>
      <c r="L609" s="142"/>
      <c r="M609" s="145"/>
    </row>
    <row r="610" spans="1:13" ht="13.5" thickBot="1">
      <c r="A610" s="121" t="str">
        <f>'BM02'!A208</f>
        <v>2.2</v>
      </c>
      <c r="B610" s="122" t="str">
        <f>'BM02'!B208</f>
        <v>MOVIMENTO DE TERRA</v>
      </c>
      <c r="C610" s="122"/>
      <c r="D610" s="122"/>
      <c r="E610" s="122"/>
      <c r="F610" s="122"/>
      <c r="G610" s="122"/>
      <c r="H610" s="122"/>
      <c r="I610" s="122"/>
      <c r="J610" s="122"/>
      <c r="K610" s="122"/>
      <c r="L610" s="122"/>
      <c r="M610" s="123"/>
    </row>
    <row r="611" spans="1:13" ht="12.75">
      <c r="A611" s="124"/>
      <c r="B611" s="125"/>
      <c r="C611" s="125"/>
      <c r="D611" s="125"/>
      <c r="E611" s="125"/>
      <c r="F611" s="125"/>
      <c r="G611" s="125"/>
      <c r="H611" s="125"/>
      <c r="I611" s="125"/>
      <c r="J611" s="125"/>
      <c r="K611" s="126"/>
      <c r="L611" s="125"/>
      <c r="M611" s="127"/>
    </row>
    <row r="612" spans="1:13" ht="30" customHeight="1">
      <c r="A612" s="128" t="str">
        <f>'BM02'!A210</f>
        <v>2.2.1</v>
      </c>
      <c r="B612" s="211" t="str">
        <f>'BM02'!B210</f>
        <v>ESCAVACAO MECANICA DE VALA EM MATERIAL DE 2A. CATEGORIA ATE 2 M DE PROFUNDIDADE COM UTILIZACAO DE ESCAVADEIRA HIDRAULICA</v>
      </c>
      <c r="C612" s="212"/>
      <c r="D612" s="212"/>
      <c r="E612" s="212"/>
      <c r="F612" s="212"/>
      <c r="G612" s="212"/>
      <c r="H612" s="212"/>
      <c r="I612" s="212"/>
      <c r="J612" s="212"/>
      <c r="K612" s="213"/>
      <c r="L612" s="129">
        <f>L613</f>
        <v>0</v>
      </c>
      <c r="M612" s="130" t="str">
        <f>'BM02'!C210</f>
        <v>m³</v>
      </c>
    </row>
    <row r="613" spans="1:13" s="131" customFormat="1" ht="12.75">
      <c r="A613" s="132"/>
      <c r="B613" s="209"/>
      <c r="C613" s="210"/>
      <c r="D613" s="134"/>
      <c r="E613" s="134"/>
      <c r="F613" s="134"/>
      <c r="G613" s="134"/>
      <c r="H613" s="134"/>
      <c r="I613" s="134"/>
      <c r="J613" s="135"/>
      <c r="K613" s="135"/>
      <c r="L613" s="134"/>
      <c r="M613" s="136"/>
    </row>
    <row r="614" spans="1:13" s="131" customFormat="1" ht="12.75">
      <c r="A614" s="139"/>
      <c r="B614" s="140"/>
      <c r="C614" s="141"/>
      <c r="D614" s="142"/>
      <c r="E614" s="143"/>
      <c r="F614" s="142"/>
      <c r="G614" s="142"/>
      <c r="H614" s="143"/>
      <c r="I614" s="143"/>
      <c r="J614" s="144"/>
      <c r="K614" s="144"/>
      <c r="L614" s="142"/>
      <c r="M614" s="145"/>
    </row>
    <row r="615" spans="1:13" ht="12.75">
      <c r="A615" s="128" t="str">
        <f>'BM02'!A211</f>
        <v>2.2.2</v>
      </c>
      <c r="B615" s="211" t="str">
        <f>'BM02'!B211</f>
        <v>EMBASAMENTO C/PEDRA ARGAMASSADA UTILIZADO ARG.CIM/AREIA 1:4 (ADAPTADO SINAPI 95467)</v>
      </c>
      <c r="C615" s="212"/>
      <c r="D615" s="212"/>
      <c r="E615" s="212"/>
      <c r="F615" s="212"/>
      <c r="G615" s="212"/>
      <c r="H615" s="212"/>
      <c r="I615" s="212"/>
      <c r="J615" s="212"/>
      <c r="K615" s="213"/>
      <c r="L615" s="129">
        <f>L616</f>
        <v>0</v>
      </c>
      <c r="M615" s="130" t="str">
        <f>'BM02'!C211</f>
        <v>m³</v>
      </c>
    </row>
    <row r="616" spans="1:13" s="131" customFormat="1" ht="12.75">
      <c r="A616" s="132"/>
      <c r="B616" s="209"/>
      <c r="C616" s="210"/>
      <c r="D616" s="134"/>
      <c r="E616" s="134"/>
      <c r="F616" s="134"/>
      <c r="G616" s="134"/>
      <c r="H616" s="134"/>
      <c r="I616" s="134"/>
      <c r="J616" s="135"/>
      <c r="K616" s="135"/>
      <c r="L616" s="134"/>
      <c r="M616" s="136"/>
    </row>
    <row r="617" spans="1:13" s="131" customFormat="1" ht="13.5" thickBot="1">
      <c r="A617" s="139"/>
      <c r="B617" s="140"/>
      <c r="C617" s="141"/>
      <c r="D617" s="142"/>
      <c r="E617" s="143"/>
      <c r="F617" s="142"/>
      <c r="G617" s="142"/>
      <c r="H617" s="143"/>
      <c r="I617" s="143"/>
      <c r="J617" s="144"/>
      <c r="K617" s="144"/>
      <c r="L617" s="142"/>
      <c r="M617" s="145"/>
    </row>
    <row r="618" spans="1:13" ht="13.5" thickBot="1">
      <c r="A618" s="121" t="str">
        <f>'BM02'!A213</f>
        <v>2.3</v>
      </c>
      <c r="B618" s="122" t="str">
        <f>'BM02'!B213</f>
        <v>FUNDAÇÃO</v>
      </c>
      <c r="C618" s="122"/>
      <c r="D618" s="122"/>
      <c r="E618" s="122"/>
      <c r="F618" s="122"/>
      <c r="G618" s="122"/>
      <c r="H618" s="122"/>
      <c r="I618" s="122"/>
      <c r="J618" s="122"/>
      <c r="K618" s="122"/>
      <c r="L618" s="122"/>
      <c r="M618" s="123"/>
    </row>
    <row r="619" spans="1:13" ht="12.75">
      <c r="A619" s="124"/>
      <c r="B619" s="125"/>
      <c r="C619" s="125"/>
      <c r="D619" s="125"/>
      <c r="E619" s="125"/>
      <c r="F619" s="125"/>
      <c r="G619" s="125"/>
      <c r="H619" s="125"/>
      <c r="I619" s="125"/>
      <c r="J619" s="125"/>
      <c r="K619" s="126"/>
      <c r="L619" s="125"/>
      <c r="M619" s="127"/>
    </row>
    <row r="620" spans="1:13" ht="12.6" customHeight="1">
      <c r="A620" s="184" t="str">
        <f>'BM02'!A215</f>
        <v>2.3.1</v>
      </c>
      <c r="B620" s="211" t="str">
        <f>'BM02'!B215</f>
        <v>LASTRO DE CONCRETO MAGRO, APLICADO EM BLOCOS DE COROAMENTO OU SAPATAS. AF_08/2017</v>
      </c>
      <c r="C620" s="212"/>
      <c r="D620" s="212"/>
      <c r="E620" s="212"/>
      <c r="F620" s="212"/>
      <c r="G620" s="212"/>
      <c r="H620" s="212"/>
      <c r="I620" s="212"/>
      <c r="J620" s="212"/>
      <c r="K620" s="213"/>
      <c r="L620" s="129">
        <f>L621</f>
        <v>0</v>
      </c>
      <c r="M620" s="185" t="str">
        <f>'BM02'!C215</f>
        <v>m³</v>
      </c>
    </row>
    <row r="621" spans="1:13" s="131" customFormat="1" ht="12.75">
      <c r="A621" s="132"/>
      <c r="B621" s="209"/>
      <c r="C621" s="210"/>
      <c r="D621" s="134"/>
      <c r="E621" s="134"/>
      <c r="F621" s="134"/>
      <c r="G621" s="134"/>
      <c r="H621" s="134"/>
      <c r="I621" s="134"/>
      <c r="J621" s="135"/>
      <c r="K621" s="135"/>
      <c r="L621" s="134"/>
      <c r="M621" s="136"/>
    </row>
    <row r="622" spans="1:13" s="131" customFormat="1" ht="12.75">
      <c r="A622" s="139"/>
      <c r="B622" s="140"/>
      <c r="C622" s="141"/>
      <c r="D622" s="142"/>
      <c r="E622" s="143"/>
      <c r="F622" s="142"/>
      <c r="G622" s="142"/>
      <c r="H622" s="143"/>
      <c r="I622" s="143"/>
      <c r="J622" s="144"/>
      <c r="K622" s="144"/>
      <c r="L622" s="142"/>
      <c r="M622" s="145"/>
    </row>
    <row r="623" spans="1:13" ht="30" customHeight="1">
      <c r="A623" s="128" t="str">
        <f>'BM02'!A216</f>
        <v>2.3.2</v>
      </c>
      <c r="B623" s="211" t="str">
        <f>'BM02'!B216</f>
        <v>LOCACAO CONVENCIONAL DE OBRA, UTILIZANDO GABARITO DE TÁBUAS CORRIDAS PONTALETADAS A CADA 2,00M - 2 UTILIZAÇÕES. AF_10/2020</v>
      </c>
      <c r="C623" s="212"/>
      <c r="D623" s="212"/>
      <c r="E623" s="212"/>
      <c r="F623" s="212"/>
      <c r="G623" s="212"/>
      <c r="H623" s="212"/>
      <c r="I623" s="212"/>
      <c r="J623" s="212"/>
      <c r="K623" s="213"/>
      <c r="L623" s="129">
        <f>L624</f>
        <v>0</v>
      </c>
      <c r="M623" s="185" t="str">
        <f>'BM02'!C216</f>
        <v>m³</v>
      </c>
    </row>
    <row r="624" spans="1:13" s="131" customFormat="1" ht="12.75">
      <c r="A624" s="132"/>
      <c r="B624" s="209"/>
      <c r="C624" s="210"/>
      <c r="D624" s="134"/>
      <c r="E624" s="134"/>
      <c r="F624" s="134"/>
      <c r="G624" s="134"/>
      <c r="H624" s="134"/>
      <c r="I624" s="134"/>
      <c r="J624" s="135"/>
      <c r="K624" s="135"/>
      <c r="L624" s="134"/>
      <c r="M624" s="136"/>
    </row>
    <row r="625" spans="1:13" s="131" customFormat="1" ht="12.75">
      <c r="A625" s="139"/>
      <c r="B625" s="140"/>
      <c r="C625" s="141"/>
      <c r="D625" s="142"/>
      <c r="E625" s="143"/>
      <c r="F625" s="142"/>
      <c r="G625" s="142"/>
      <c r="H625" s="143"/>
      <c r="I625" s="143"/>
      <c r="J625" s="144"/>
      <c r="K625" s="144"/>
      <c r="L625" s="142"/>
      <c r="M625" s="145"/>
    </row>
    <row r="626" spans="1:13" ht="30" customHeight="1">
      <c r="A626" s="128" t="str">
        <f>'BM02'!A217</f>
        <v>2.3.3</v>
      </c>
      <c r="B626" s="211" t="str">
        <f>'BM02'!B217</f>
        <v>(COMPOSIÇÃO REPRESENTATIVA) EXECUÇÃO DE ESTRUTURAS DE CONCRETO ARMADO CONVENCIONAL, PARA EDIFICAÇÃO HABITACIONAL MULTIFAMILIAR (PRÉDIO), FCK = 25 MPA. AF_01/2017</v>
      </c>
      <c r="C626" s="212"/>
      <c r="D626" s="212"/>
      <c r="E626" s="212"/>
      <c r="F626" s="212"/>
      <c r="G626" s="212"/>
      <c r="H626" s="212"/>
      <c r="I626" s="212"/>
      <c r="J626" s="212"/>
      <c r="K626" s="213"/>
      <c r="L626" s="129">
        <f>SUM(L627:L628)</f>
        <v>0.7</v>
      </c>
      <c r="M626" s="185" t="str">
        <f>'BM02'!C217</f>
        <v>m³</v>
      </c>
    </row>
    <row r="627" spans="1:13" s="131" customFormat="1" ht="14.45" customHeight="1">
      <c r="A627" s="263"/>
      <c r="B627" s="275" t="s">
        <v>703</v>
      </c>
      <c r="C627" s="276"/>
      <c r="D627" s="134">
        <f>3*0.5</f>
        <v>1.5</v>
      </c>
      <c r="E627" s="134">
        <v>5.8</v>
      </c>
      <c r="F627" s="134"/>
      <c r="G627" s="134">
        <v>0.19</v>
      </c>
      <c r="H627" s="134"/>
      <c r="I627" s="134">
        <v>0.2</v>
      </c>
      <c r="J627" s="135"/>
      <c r="K627" s="135">
        <f>E627*G627*I627</f>
        <v>0.22039999999999998</v>
      </c>
      <c r="L627" s="134">
        <f>ROUND(D627*K627,1)</f>
        <v>0.3</v>
      </c>
      <c r="M627" s="136"/>
    </row>
    <row r="628" spans="1:13" s="131" customFormat="1" ht="12.75">
      <c r="A628" s="264"/>
      <c r="B628" s="277"/>
      <c r="C628" s="278"/>
      <c r="D628" s="134">
        <f>2*0.5</f>
        <v>1</v>
      </c>
      <c r="E628" s="134">
        <v>11.6</v>
      </c>
      <c r="F628" s="134"/>
      <c r="G628" s="134">
        <v>0.19</v>
      </c>
      <c r="H628" s="134"/>
      <c r="I628" s="134">
        <v>0.2</v>
      </c>
      <c r="J628" s="135"/>
      <c r="K628" s="135">
        <f>E628*G628*I628</f>
        <v>0.44079999999999997</v>
      </c>
      <c r="L628" s="134">
        <f>ROUND(D628*K628,1)</f>
        <v>0.4</v>
      </c>
      <c r="M628" s="136"/>
    </row>
    <row r="629" spans="1:13" s="131" customFormat="1" ht="12.75">
      <c r="A629" s="192"/>
      <c r="B629" s="190"/>
      <c r="C629" s="193"/>
      <c r="D629" s="176"/>
      <c r="E629" s="176"/>
      <c r="F629" s="176"/>
      <c r="G629" s="176"/>
      <c r="H629" s="176"/>
      <c r="I629" s="176"/>
      <c r="J629" s="177"/>
      <c r="K629" s="177"/>
      <c r="L629" s="134"/>
      <c r="M629" s="136"/>
    </row>
    <row r="630" spans="1:13" ht="43.15" customHeight="1">
      <c r="A630" s="128" t="str">
        <f>'BM04'!A242</f>
        <v>2.3.4</v>
      </c>
      <c r="B630" s="211" t="str">
        <f>'BM04'!B242</f>
        <v>ALVENARIA DE VEDAÇÃO DE BLOCOS CERÂMICOS FURADOS NA HORIZONTAL DE 9X19X19CM (ESPESSURA 19CM) DE PAREDES COM ÁREA LÍQUIDA MAIOR OU IGUAL A 6M² COM VÃOS E ARGAMASSA DE ASSENTAMENTO COM PREPARO MANUAL. AF_06/2014</v>
      </c>
      <c r="C630" s="212"/>
      <c r="D630" s="212"/>
      <c r="E630" s="212"/>
      <c r="F630" s="212"/>
      <c r="G630" s="212"/>
      <c r="H630" s="212"/>
      <c r="I630" s="212"/>
      <c r="J630" s="212"/>
      <c r="K630" s="213"/>
      <c r="L630" s="129">
        <f>SUM(L631:L634)</f>
        <v>62.239999999999995</v>
      </c>
      <c r="M630" s="185" t="str">
        <f>'BM04'!C242</f>
        <v>M²</v>
      </c>
    </row>
    <row r="631" spans="1:13" s="131" customFormat="1" ht="28.9" customHeight="1">
      <c r="A631" s="132"/>
      <c r="B631" s="209" t="s">
        <v>704</v>
      </c>
      <c r="C631" s="210"/>
      <c r="D631" s="134">
        <v>3</v>
      </c>
      <c r="E631" s="134">
        <v>5.8</v>
      </c>
      <c r="F631" s="134"/>
      <c r="G631" s="134">
        <v>0.8</v>
      </c>
      <c r="H631" s="134"/>
      <c r="I631" s="134"/>
      <c r="J631" s="135"/>
      <c r="K631" s="135">
        <f>E631*G631</f>
        <v>4.6399999999999997</v>
      </c>
      <c r="L631" s="134">
        <f>ROUND(D631*K631,2)</f>
        <v>13.92</v>
      </c>
      <c r="M631" s="136"/>
    </row>
    <row r="632" spans="1:13" s="131" customFormat="1" ht="28.9" customHeight="1">
      <c r="A632" s="132"/>
      <c r="B632" s="209" t="s">
        <v>705</v>
      </c>
      <c r="C632" s="210"/>
      <c r="D632" s="134">
        <v>2</v>
      </c>
      <c r="E632" s="134">
        <v>11.6</v>
      </c>
      <c r="F632" s="134"/>
      <c r="G632" s="134">
        <v>0.8</v>
      </c>
      <c r="H632" s="134"/>
      <c r="I632" s="134"/>
      <c r="J632" s="135"/>
      <c r="K632" s="135">
        <f t="shared" ref="K632:K634" si="23">E632*G632</f>
        <v>9.2799999999999994</v>
      </c>
      <c r="L632" s="134">
        <f>ROUND(D632*K632,2)</f>
        <v>18.559999999999999</v>
      </c>
      <c r="M632" s="136"/>
    </row>
    <row r="633" spans="1:13" s="131" customFormat="1" ht="14.45" customHeight="1">
      <c r="A633" s="263"/>
      <c r="B633" s="275" t="s">
        <v>659</v>
      </c>
      <c r="C633" s="276"/>
      <c r="D633" s="134">
        <v>2</v>
      </c>
      <c r="E633" s="134">
        <v>6.6</v>
      </c>
      <c r="F633" s="134"/>
      <c r="G633" s="134">
        <v>0.8</v>
      </c>
      <c r="H633" s="134"/>
      <c r="I633" s="134"/>
      <c r="J633" s="135"/>
      <c r="K633" s="135">
        <f t="shared" si="23"/>
        <v>5.28</v>
      </c>
      <c r="L633" s="134">
        <f>ROUND(D633*K633,2)</f>
        <v>10.56</v>
      </c>
      <c r="M633" s="136"/>
    </row>
    <row r="634" spans="1:13" s="131" customFormat="1" ht="14.45" customHeight="1">
      <c r="A634" s="264"/>
      <c r="B634" s="277"/>
      <c r="C634" s="278"/>
      <c r="D634" s="134">
        <v>2</v>
      </c>
      <c r="E634" s="134">
        <v>12</v>
      </c>
      <c r="F634" s="134"/>
      <c r="G634" s="134">
        <v>0.8</v>
      </c>
      <c r="H634" s="134"/>
      <c r="I634" s="134"/>
      <c r="J634" s="135"/>
      <c r="K634" s="135">
        <f t="shared" si="23"/>
        <v>9.6000000000000014</v>
      </c>
      <c r="L634" s="134">
        <f>ROUND(D634*K634,2)</f>
        <v>19.2</v>
      </c>
      <c r="M634" s="136"/>
    </row>
    <row r="635" spans="1:13" s="131" customFormat="1" ht="13.5" thickBot="1">
      <c r="A635" s="139"/>
      <c r="B635" s="140"/>
      <c r="C635" s="141"/>
      <c r="D635" s="142"/>
      <c r="E635" s="143"/>
      <c r="F635" s="142"/>
      <c r="G635" s="142"/>
      <c r="H635" s="143"/>
      <c r="I635" s="143"/>
      <c r="J635" s="144"/>
      <c r="K635" s="144"/>
      <c r="L635" s="142"/>
      <c r="M635" s="145"/>
    </row>
    <row r="636" spans="1:13" ht="13.5" thickBot="1">
      <c r="A636" s="121" t="str">
        <f>'BM02'!A219</f>
        <v>2.4</v>
      </c>
      <c r="B636" s="122" t="str">
        <f>'BM02'!B219</f>
        <v>ESTRUTURA</v>
      </c>
      <c r="C636" s="122"/>
      <c r="D636" s="122"/>
      <c r="E636" s="122"/>
      <c r="F636" s="122"/>
      <c r="G636" s="122"/>
      <c r="H636" s="122"/>
      <c r="I636" s="122"/>
      <c r="J636" s="122"/>
      <c r="K636" s="122"/>
      <c r="L636" s="122"/>
      <c r="M636" s="123"/>
    </row>
    <row r="637" spans="1:13" ht="12.75">
      <c r="A637" s="124"/>
      <c r="B637" s="125">
        <f>'BM02'!B220</f>
        <v>0</v>
      </c>
      <c r="C637" s="125"/>
      <c r="D637" s="125"/>
      <c r="E637" s="125"/>
      <c r="F637" s="125"/>
      <c r="G637" s="125"/>
      <c r="H637" s="125"/>
      <c r="I637" s="125"/>
      <c r="J637" s="125"/>
      <c r="K637" s="126"/>
      <c r="L637" s="125"/>
      <c r="M637" s="127"/>
    </row>
    <row r="638" spans="1:13" ht="30" customHeight="1">
      <c r="A638" s="128" t="str">
        <f>'BM02'!A221</f>
        <v>2.4.1</v>
      </c>
      <c r="B638" s="211" t="str">
        <f>'BM02'!B221</f>
        <v>(COMPOSIÇÃO REPRESENTATIVA) EXECUÇÃO DE ESTRUTURAS DE CONCRETO ARMADO, PARA EDIFICAÇÃO HABITACIONAL UNIFAMILIAR COM DOIS PAVIMENTOS (CASA EM EMPREENDIMENTOS), FCK = 25 MPA. AF_01/2017</v>
      </c>
      <c r="C638" s="212"/>
      <c r="D638" s="212"/>
      <c r="E638" s="212"/>
      <c r="F638" s="212"/>
      <c r="G638" s="212"/>
      <c r="H638" s="212"/>
      <c r="I638" s="212"/>
      <c r="J638" s="212"/>
      <c r="K638" s="213"/>
      <c r="L638" s="129">
        <f>SUM(L639:L640)</f>
        <v>0.43999999999999995</v>
      </c>
      <c r="M638" s="185" t="str">
        <f>'BM02'!C221</f>
        <v>m³</v>
      </c>
    </row>
    <row r="639" spans="1:13" s="131" customFormat="1" ht="28.9" customHeight="1">
      <c r="A639" s="132"/>
      <c r="B639" s="209" t="s">
        <v>706</v>
      </c>
      <c r="C639" s="210"/>
      <c r="D639" s="134">
        <f>0.7</f>
        <v>0.7</v>
      </c>
      <c r="E639" s="134"/>
      <c r="F639" s="134"/>
      <c r="G639" s="134"/>
      <c r="H639" s="134"/>
      <c r="I639" s="134"/>
      <c r="J639" s="135"/>
      <c r="K639" s="135"/>
      <c r="L639" s="134">
        <f>-D639</f>
        <v>-0.7</v>
      </c>
      <c r="M639" s="136"/>
    </row>
    <row r="640" spans="1:13" s="131" customFormat="1" ht="12.75">
      <c r="A640" s="132"/>
      <c r="B640" s="209" t="s">
        <v>499</v>
      </c>
      <c r="C640" s="210"/>
      <c r="D640" s="134">
        <v>11</v>
      </c>
      <c r="E640" s="134">
        <v>0.2</v>
      </c>
      <c r="F640" s="134"/>
      <c r="G640" s="134">
        <v>0.2</v>
      </c>
      <c r="H640" s="134"/>
      <c r="I640" s="134">
        <v>2.6</v>
      </c>
      <c r="J640" s="135"/>
      <c r="K640" s="135">
        <f>E640*G640*I640</f>
        <v>0.10400000000000002</v>
      </c>
      <c r="L640" s="134">
        <f>ROUND(D640*K640,2)</f>
        <v>1.1399999999999999</v>
      </c>
      <c r="M640" s="136"/>
    </row>
    <row r="641" spans="1:13" s="131" customFormat="1" ht="13.5" thickBot="1">
      <c r="A641" s="139"/>
      <c r="B641" s="140"/>
      <c r="C641" s="141"/>
      <c r="D641" s="142"/>
      <c r="E641" s="143"/>
      <c r="F641" s="142"/>
      <c r="G641" s="142"/>
      <c r="H641" s="143"/>
      <c r="I641" s="143"/>
      <c r="J641" s="144"/>
      <c r="K641" s="144"/>
      <c r="L641" s="142"/>
      <c r="M641" s="145"/>
    </row>
    <row r="642" spans="1:13" ht="13.5" thickBot="1">
      <c r="A642" s="121" t="str">
        <f>'BM02'!A223</f>
        <v>2.5</v>
      </c>
      <c r="B642" s="122" t="str">
        <f>'BM02'!B223</f>
        <v>ALVENARIA</v>
      </c>
      <c r="C642" s="122"/>
      <c r="D642" s="122"/>
      <c r="E642" s="122"/>
      <c r="F642" s="122"/>
      <c r="G642" s="122"/>
      <c r="H642" s="122"/>
      <c r="I642" s="122"/>
      <c r="J642" s="122"/>
      <c r="K642" s="122"/>
      <c r="L642" s="122"/>
      <c r="M642" s="123"/>
    </row>
    <row r="643" spans="1:13" ht="12.75">
      <c r="A643" s="124"/>
      <c r="B643" s="125"/>
      <c r="C643" s="125"/>
      <c r="D643" s="125"/>
      <c r="E643" s="125"/>
      <c r="F643" s="125"/>
      <c r="G643" s="125"/>
      <c r="H643" s="125"/>
      <c r="I643" s="125"/>
      <c r="J643" s="125"/>
      <c r="K643" s="126"/>
      <c r="L643" s="125"/>
      <c r="M643" s="127"/>
    </row>
    <row r="644" spans="1:13" ht="43.15" customHeight="1">
      <c r="A644" s="128" t="str">
        <f>'BM02'!A225</f>
        <v>2.5.1</v>
      </c>
      <c r="B644" s="211" t="str">
        <f>'BM02'!B225</f>
        <v>ALVENARIA DE VEDAÇÃO DE BLOCOS CERÂMICOS FURADOS NA HORIZONTAL DE 9X19X19CM (ESPESSURA 9CM) DE PAREDES COM ÁREA LÍQUIDA MAIOR OU IGUAL A 6M² SEM VÃOS E ARGAMASSA DE ASSENTAMENTO COM PREPARO MANUAL. AF_06/2014</v>
      </c>
      <c r="C644" s="212"/>
      <c r="D644" s="212"/>
      <c r="E644" s="212"/>
      <c r="F644" s="212"/>
      <c r="G644" s="212"/>
      <c r="H644" s="212"/>
      <c r="I644" s="212"/>
      <c r="J644" s="212"/>
      <c r="K644" s="213"/>
      <c r="L644" s="129">
        <f>ROUND(SUM(L645:L645),2)</f>
        <v>18.559999999999999</v>
      </c>
      <c r="M644" s="185" t="str">
        <f>'BM02'!C225</f>
        <v>m²</v>
      </c>
    </row>
    <row r="645" spans="1:13" s="131" customFormat="1" ht="29.45" customHeight="1">
      <c r="A645" s="132"/>
      <c r="B645" s="209" t="s">
        <v>707</v>
      </c>
      <c r="C645" s="210"/>
      <c r="D645" s="134">
        <f>(5.8*2.6 + 5.8*(1.2/2))</f>
        <v>18.559999999999999</v>
      </c>
      <c r="E645" s="134"/>
      <c r="F645" s="134"/>
      <c r="G645" s="134"/>
      <c r="H645" s="134"/>
      <c r="I645" s="134"/>
      <c r="J645" s="135"/>
      <c r="K645" s="135"/>
      <c r="L645" s="134">
        <f>D645</f>
        <v>18.559999999999999</v>
      </c>
      <c r="M645" s="136"/>
    </row>
    <row r="646" spans="1:13" s="131" customFormat="1" ht="13.5" thickBot="1">
      <c r="A646" s="139"/>
      <c r="B646" s="140"/>
      <c r="C646" s="141"/>
      <c r="D646" s="142"/>
      <c r="E646" s="143"/>
      <c r="F646" s="142"/>
      <c r="G646" s="142"/>
      <c r="H646" s="143"/>
      <c r="I646" s="143"/>
      <c r="J646" s="144"/>
      <c r="K646" s="144"/>
      <c r="L646" s="142"/>
      <c r="M646" s="145"/>
    </row>
    <row r="647" spans="1:13" ht="13.5" thickBot="1">
      <c r="A647" s="121" t="str">
        <f>'BM02'!A227</f>
        <v>2.6</v>
      </c>
      <c r="B647" s="122" t="str">
        <f>'BM02'!B227</f>
        <v>COBERTURA</v>
      </c>
      <c r="C647" s="122"/>
      <c r="D647" s="122"/>
      <c r="E647" s="122"/>
      <c r="F647" s="122"/>
      <c r="G647" s="122"/>
      <c r="H647" s="122"/>
      <c r="I647" s="122"/>
      <c r="J647" s="122"/>
      <c r="K647" s="122"/>
      <c r="L647" s="122"/>
      <c r="M647" s="123"/>
    </row>
    <row r="648" spans="1:13" ht="12.75">
      <c r="A648" s="124"/>
      <c r="B648" s="125"/>
      <c r="C648" s="125"/>
      <c r="D648" s="125"/>
      <c r="E648" s="125"/>
      <c r="F648" s="125"/>
      <c r="G648" s="125"/>
      <c r="H648" s="125"/>
      <c r="I648" s="125"/>
      <c r="J648" s="125"/>
      <c r="K648" s="126"/>
      <c r="L648" s="125"/>
      <c r="M648" s="127"/>
    </row>
    <row r="649" spans="1:13" ht="30" customHeight="1">
      <c r="A649" s="128" t="str">
        <f>'BM02'!A229</f>
        <v>2.6.1</v>
      </c>
      <c r="B649" s="211" t="str">
        <f>'BM02'!B229</f>
        <v>FABRICAÇÃO E INSTALAÇÃO DE ESTRUTURA PONTALETADA DE MADEIRA NÃO APARELHADA PARA TELHADOS COM ATÉ 2 ÁGUAS E PARA TELHA CERÂMICA OU DE CONCRETO, INCLUSO TRANSPORTE VERTICAL. AF_12/2015</v>
      </c>
      <c r="C649" s="212"/>
      <c r="D649" s="212"/>
      <c r="E649" s="212"/>
      <c r="F649" s="212"/>
      <c r="G649" s="212"/>
      <c r="H649" s="212"/>
      <c r="I649" s="212"/>
      <c r="J649" s="212"/>
      <c r="K649" s="213"/>
      <c r="L649" s="129">
        <f>L650</f>
        <v>0</v>
      </c>
      <c r="M649" s="130" t="str">
        <f>'BM02'!C229</f>
        <v>m²</v>
      </c>
    </row>
    <row r="650" spans="1:13" s="131" customFormat="1" ht="12.75">
      <c r="A650" s="132"/>
      <c r="B650" s="209"/>
      <c r="C650" s="210"/>
      <c r="D650" s="134"/>
      <c r="E650" s="134"/>
      <c r="F650" s="134"/>
      <c r="G650" s="134"/>
      <c r="H650" s="134"/>
      <c r="I650" s="134"/>
      <c r="J650" s="135"/>
      <c r="K650" s="135"/>
      <c r="L650" s="134">
        <f>ROUND(D650*K650,2)</f>
        <v>0</v>
      </c>
      <c r="M650" s="136"/>
    </row>
    <row r="651" spans="1:13" s="131" customFormat="1" ht="12.75">
      <c r="A651" s="139"/>
      <c r="B651" s="140"/>
      <c r="C651" s="141"/>
      <c r="D651" s="142"/>
      <c r="E651" s="143"/>
      <c r="F651" s="142"/>
      <c r="G651" s="142"/>
      <c r="H651" s="143"/>
      <c r="I651" s="143"/>
      <c r="J651" s="144"/>
      <c r="K651" s="144"/>
      <c r="L651" s="142"/>
      <c r="M651" s="145"/>
    </row>
    <row r="652" spans="1:13" ht="30" customHeight="1">
      <c r="A652" s="128" t="str">
        <f>'BM02'!A230</f>
        <v>2.6.2</v>
      </c>
      <c r="B652" s="211" t="str">
        <f>'BM02'!B230</f>
        <v>INSTALAÇÃO DE TESOURA (INTEIRA OU MEIA), BIAPOIADA, EM MADEIRA NÃO APARELHADA, PARA VÃOS MAIORES OU IGUAIS A 6,0 M E MENORES QUE 8,0 M, INCLUSO IÇAMENTO. AF_07/2019</v>
      </c>
      <c r="C652" s="212"/>
      <c r="D652" s="212"/>
      <c r="E652" s="212"/>
      <c r="F652" s="212"/>
      <c r="G652" s="212"/>
      <c r="H652" s="212"/>
      <c r="I652" s="212"/>
      <c r="J652" s="212"/>
      <c r="K652" s="213"/>
      <c r="L652" s="129">
        <f>L653</f>
        <v>0</v>
      </c>
      <c r="M652" s="130" t="str">
        <f>'BM02'!C230</f>
        <v>un</v>
      </c>
    </row>
    <row r="653" spans="1:13" s="131" customFormat="1" ht="12.75">
      <c r="A653" s="132"/>
      <c r="B653" s="209"/>
      <c r="C653" s="210"/>
      <c r="D653" s="134"/>
      <c r="E653" s="134"/>
      <c r="F653" s="134"/>
      <c r="G653" s="134"/>
      <c r="H653" s="134"/>
      <c r="I653" s="134"/>
      <c r="J653" s="135"/>
      <c r="K653" s="135"/>
      <c r="L653" s="134">
        <f>ROUND(D653*K653,2)</f>
        <v>0</v>
      </c>
      <c r="M653" s="136"/>
    </row>
    <row r="654" spans="1:13" s="131" customFormat="1" ht="12.75">
      <c r="A654" s="139"/>
      <c r="B654" s="140"/>
      <c r="C654" s="141"/>
      <c r="D654" s="142"/>
      <c r="E654" s="143"/>
      <c r="F654" s="142"/>
      <c r="G654" s="142"/>
      <c r="H654" s="143"/>
      <c r="I654" s="143"/>
      <c r="J654" s="144"/>
      <c r="K654" s="144"/>
      <c r="L654" s="142"/>
      <c r="M654" s="145"/>
    </row>
    <row r="655" spans="1:13" ht="30" customHeight="1">
      <c r="A655" s="128" t="str">
        <f>'BM02'!A231</f>
        <v>2.6.3</v>
      </c>
      <c r="B655" s="211" t="str">
        <f>'BM02'!B231</f>
        <v>TELHAMENTO COM TELHA CERÂMICA CAPA-CANAL, TIPO PLAN, COM ATÉ 2 ÁGUAS, INCLUSO TRANSPORTE VERTICAL. AF_07/2019</v>
      </c>
      <c r="C655" s="212"/>
      <c r="D655" s="212"/>
      <c r="E655" s="212"/>
      <c r="F655" s="212"/>
      <c r="G655" s="212"/>
      <c r="H655" s="212"/>
      <c r="I655" s="212"/>
      <c r="J655" s="212"/>
      <c r="K655" s="213"/>
      <c r="L655" s="129">
        <f>L656</f>
        <v>83.16</v>
      </c>
      <c r="M655" s="130" t="str">
        <f>'BM02'!C231</f>
        <v>m²</v>
      </c>
    </row>
    <row r="656" spans="1:13" s="131" customFormat="1" ht="12.75">
      <c r="A656" s="132"/>
      <c r="B656" s="209" t="s">
        <v>708</v>
      </c>
      <c r="C656" s="210"/>
      <c r="D656" s="134">
        <v>1</v>
      </c>
      <c r="E656" s="134">
        <v>12.6</v>
      </c>
      <c r="F656" s="134"/>
      <c r="G656" s="134">
        <v>6.6</v>
      </c>
      <c r="H656" s="134"/>
      <c r="I656" s="134"/>
      <c r="J656" s="135"/>
      <c r="K656" s="135">
        <f>E656*G656</f>
        <v>83.16</v>
      </c>
      <c r="L656" s="134">
        <f>ROUND(D656*K656,2)</f>
        <v>83.16</v>
      </c>
      <c r="M656" s="136"/>
    </row>
    <row r="657" spans="1:13" s="131" customFormat="1" ht="12.75">
      <c r="A657" s="139"/>
      <c r="B657" s="140"/>
      <c r="C657" s="141"/>
      <c r="D657" s="142"/>
      <c r="E657" s="143"/>
      <c r="F657" s="142"/>
      <c r="G657" s="142"/>
      <c r="H657" s="143"/>
      <c r="I657" s="143"/>
      <c r="J657" s="144"/>
      <c r="K657" s="144"/>
      <c r="L657" s="142"/>
      <c r="M657" s="145"/>
    </row>
    <row r="658" spans="1:13" ht="30" customHeight="1">
      <c r="A658" s="128" t="str">
        <f>'BM02'!A232</f>
        <v>2.6.4</v>
      </c>
      <c r="B658" s="211" t="str">
        <f>'BM02'!B232</f>
        <v>CUMEEIRA PARA TELHA CERÂMICA EMBOÇADA COM ARGAMASSA TRAÇO 1:2:9 (CIMENTO, CAL E AREIA) PARA TELHADOS COM ATÉ 2 ÁGUAS, INCLUSO TRANSPORTE VERTICAL. AF_07/2019</v>
      </c>
      <c r="C658" s="212"/>
      <c r="D658" s="212"/>
      <c r="E658" s="212"/>
      <c r="F658" s="212"/>
      <c r="G658" s="212"/>
      <c r="H658" s="212"/>
      <c r="I658" s="212"/>
      <c r="J658" s="212"/>
      <c r="K658" s="213"/>
      <c r="L658" s="129">
        <f>L659</f>
        <v>12.6</v>
      </c>
      <c r="M658" s="130" t="str">
        <f>'BM02'!C232</f>
        <v xml:space="preserve">m </v>
      </c>
    </row>
    <row r="659" spans="1:13" s="131" customFormat="1" ht="12.75">
      <c r="A659" s="132"/>
      <c r="B659" s="209" t="s">
        <v>709</v>
      </c>
      <c r="C659" s="210"/>
      <c r="D659" s="134">
        <v>1</v>
      </c>
      <c r="E659" s="134">
        <v>12.6</v>
      </c>
      <c r="F659" s="134"/>
      <c r="G659" s="134"/>
      <c r="H659" s="134"/>
      <c r="I659" s="134"/>
      <c r="J659" s="135"/>
      <c r="K659" s="135">
        <f>E659</f>
        <v>12.6</v>
      </c>
      <c r="L659" s="134">
        <f>ROUND(D659*K659,2)</f>
        <v>12.6</v>
      </c>
      <c r="M659" s="136"/>
    </row>
    <row r="660" spans="1:13" s="131" customFormat="1" ht="12.75">
      <c r="A660" s="139"/>
      <c r="B660" s="140"/>
      <c r="C660" s="141"/>
      <c r="D660" s="142"/>
      <c r="E660" s="143"/>
      <c r="F660" s="142"/>
      <c r="G660" s="142"/>
      <c r="H660" s="143"/>
      <c r="I660" s="143"/>
      <c r="J660" s="144"/>
      <c r="K660" s="144"/>
      <c r="L660" s="142"/>
      <c r="M660" s="145"/>
    </row>
    <row r="661" spans="1:13" ht="30" customHeight="1">
      <c r="A661" s="128" t="str">
        <f>'BM04'!A258</f>
        <v>2.6.5</v>
      </c>
      <c r="B661" s="211" t="str">
        <f>'BM04'!B258</f>
        <v>FABRICAÇÃO E INSTALAÇÃO DE TESOURA INTEIRA EM MADEIRA NÃO APARELHADA, VÃO DE 6 M, PARA TELHA CERÂMICA OU DE CONCRETO, INCLUSO IÇAMENTO. AF_12/2015</v>
      </c>
      <c r="C661" s="212"/>
      <c r="D661" s="212"/>
      <c r="E661" s="212"/>
      <c r="F661" s="212"/>
      <c r="G661" s="212"/>
      <c r="H661" s="212"/>
      <c r="I661" s="212"/>
      <c r="J661" s="212"/>
      <c r="K661" s="213"/>
      <c r="L661" s="129">
        <f>L662</f>
        <v>4</v>
      </c>
      <c r="M661" s="130" t="str">
        <f>'BM04'!C258</f>
        <v>UN</v>
      </c>
    </row>
    <row r="662" spans="1:13" s="131" customFormat="1" ht="12.75">
      <c r="A662" s="132"/>
      <c r="B662" s="209" t="s">
        <v>710</v>
      </c>
      <c r="C662" s="210"/>
      <c r="D662" s="134">
        <f>4</f>
        <v>4</v>
      </c>
      <c r="E662" s="134"/>
      <c r="F662" s="134"/>
      <c r="G662" s="134"/>
      <c r="H662" s="134"/>
      <c r="I662" s="134"/>
      <c r="J662" s="135"/>
      <c r="K662" s="135"/>
      <c r="L662" s="134">
        <f>D662</f>
        <v>4</v>
      </c>
      <c r="M662" s="136"/>
    </row>
    <row r="663" spans="1:13" s="131" customFormat="1" ht="12.75">
      <c r="A663" s="139"/>
      <c r="B663" s="140"/>
      <c r="C663" s="141"/>
      <c r="D663" s="142"/>
      <c r="E663" s="143"/>
      <c r="F663" s="142"/>
      <c r="G663" s="142"/>
      <c r="H663" s="143"/>
      <c r="I663" s="143"/>
      <c r="J663" s="144"/>
      <c r="K663" s="144"/>
      <c r="L663" s="142"/>
      <c r="M663" s="145"/>
    </row>
    <row r="664" spans="1:13" ht="30" customHeight="1">
      <c r="A664" s="128" t="str">
        <f>'BM04'!A259</f>
        <v>2.6.6</v>
      </c>
      <c r="B664" s="211" t="str">
        <f>'BM04'!B259</f>
        <v>TRAMA DE MADEIRA COMPOSTA POR RIPAS, CAIBROS E TERÇAS PARA TELHADOS DE ATÉ 2 ÁGUAS PARA TELHA CERÂMICA CAPA-CANAL, INCLUSO TRANSPORTE VERTICAL. AF_12/2015</v>
      </c>
      <c r="C664" s="212"/>
      <c r="D664" s="212"/>
      <c r="E664" s="212"/>
      <c r="F664" s="212"/>
      <c r="G664" s="212"/>
      <c r="H664" s="212"/>
      <c r="I664" s="212"/>
      <c r="J664" s="212"/>
      <c r="K664" s="213"/>
      <c r="L664" s="129">
        <f>L665</f>
        <v>83.16</v>
      </c>
      <c r="M664" s="130" t="str">
        <f>'BM04'!C259</f>
        <v>M²</v>
      </c>
    </row>
    <row r="665" spans="1:13" s="131" customFormat="1" ht="12.75">
      <c r="A665" s="132"/>
      <c r="B665" s="209" t="s">
        <v>708</v>
      </c>
      <c r="C665" s="210"/>
      <c r="D665" s="134">
        <v>1</v>
      </c>
      <c r="E665" s="134">
        <v>12.6</v>
      </c>
      <c r="F665" s="134"/>
      <c r="G665" s="134">
        <v>6.6</v>
      </c>
      <c r="H665" s="134"/>
      <c r="I665" s="134"/>
      <c r="J665" s="135"/>
      <c r="K665" s="135">
        <f>E665*G665</f>
        <v>83.16</v>
      </c>
      <c r="L665" s="134">
        <f>ROUND(D665*K665,2)</f>
        <v>83.16</v>
      </c>
      <c r="M665" s="136"/>
    </row>
    <row r="666" spans="1:13" s="131" customFormat="1" ht="13.5" thickBot="1">
      <c r="A666" s="139"/>
      <c r="B666" s="140"/>
      <c r="C666" s="141"/>
      <c r="D666" s="142"/>
      <c r="E666" s="143"/>
      <c r="F666" s="142"/>
      <c r="G666" s="142"/>
      <c r="H666" s="143"/>
      <c r="I666" s="143"/>
      <c r="J666" s="144"/>
      <c r="K666" s="144"/>
      <c r="L666" s="142"/>
      <c r="M666" s="145"/>
    </row>
    <row r="667" spans="1:13" ht="13.5" thickBot="1">
      <c r="A667" s="121" t="str">
        <f>'BM02'!A234</f>
        <v>2.7</v>
      </c>
      <c r="B667" s="122" t="str">
        <f>'BM02'!B234</f>
        <v>REVESTIMENTO</v>
      </c>
      <c r="C667" s="122"/>
      <c r="D667" s="122"/>
      <c r="E667" s="122"/>
      <c r="F667" s="122"/>
      <c r="G667" s="122"/>
      <c r="H667" s="122"/>
      <c r="I667" s="122"/>
      <c r="J667" s="122"/>
      <c r="K667" s="122"/>
      <c r="L667" s="122"/>
      <c r="M667" s="123"/>
    </row>
    <row r="668" spans="1:13" ht="12.75">
      <c r="A668" s="124"/>
      <c r="B668" s="125"/>
      <c r="C668" s="125"/>
      <c r="D668" s="125"/>
      <c r="E668" s="125"/>
      <c r="F668" s="125"/>
      <c r="G668" s="125"/>
      <c r="H668" s="125"/>
      <c r="I668" s="125"/>
      <c r="J668" s="125"/>
      <c r="K668" s="126"/>
      <c r="L668" s="125"/>
      <c r="M668" s="127"/>
    </row>
    <row r="669" spans="1:13" ht="30" customHeight="1">
      <c r="A669" s="128" t="str">
        <f>'BM02'!A236</f>
        <v>2.7.1</v>
      </c>
      <c r="B669" s="211" t="str">
        <f>'BM02'!B236</f>
        <v>CHAPISCO APLICADO EM ALVENARIAS E ESTRUTURAS DE CONCRETO INTERNAS, COM COLHER DE PEDREIRO. ARGAMASSA TRAÇO 1:3 COM PREPARO EM BETONEIRA 400L. AF_06/2014</v>
      </c>
      <c r="C669" s="212"/>
      <c r="D669" s="212"/>
      <c r="E669" s="212"/>
      <c r="F669" s="212"/>
      <c r="G669" s="212"/>
      <c r="H669" s="212"/>
      <c r="I669" s="212"/>
      <c r="J669" s="212"/>
      <c r="K669" s="213"/>
      <c r="L669" s="129">
        <f>ROUND(SUM(L670:L672),2)</f>
        <v>66.88</v>
      </c>
      <c r="M669" s="130" t="str">
        <f>'BM02'!C236</f>
        <v>m²</v>
      </c>
    </row>
    <row r="670" spans="1:13" s="131" customFormat="1" ht="12.75">
      <c r="A670" s="132"/>
      <c r="B670" s="209" t="s">
        <v>711</v>
      </c>
      <c r="C670" s="210"/>
      <c r="D670" s="134">
        <f>2*L644</f>
        <v>37.119999999999997</v>
      </c>
      <c r="E670" s="134"/>
      <c r="F670" s="134"/>
      <c r="G670" s="134"/>
      <c r="H670" s="134"/>
      <c r="I670" s="134"/>
      <c r="J670" s="135"/>
      <c r="K670" s="135"/>
      <c r="L670" s="134">
        <f>D670</f>
        <v>37.119999999999997</v>
      </c>
      <c r="M670" s="136"/>
    </row>
    <row r="671" spans="1:13" s="131" customFormat="1" ht="14.45" customHeight="1">
      <c r="A671" s="263"/>
      <c r="B671" s="275" t="s">
        <v>712</v>
      </c>
      <c r="C671" s="276"/>
      <c r="D671" s="134">
        <v>2</v>
      </c>
      <c r="E671" s="134">
        <v>6.6</v>
      </c>
      <c r="F671" s="134"/>
      <c r="G671" s="134"/>
      <c r="H671" s="134"/>
      <c r="I671" s="134">
        <v>0.8</v>
      </c>
      <c r="J671" s="135"/>
      <c r="K671" s="135">
        <f>E671*I671</f>
        <v>5.28</v>
      </c>
      <c r="L671" s="134">
        <f t="shared" ref="L671:L672" si="24">ROUND(D671*K671,2)</f>
        <v>10.56</v>
      </c>
      <c r="M671" s="136"/>
    </row>
    <row r="672" spans="1:13" s="131" customFormat="1" ht="14.45" customHeight="1">
      <c r="A672" s="264"/>
      <c r="B672" s="277"/>
      <c r="C672" s="278"/>
      <c r="D672" s="134">
        <v>2</v>
      </c>
      <c r="E672" s="134">
        <v>12</v>
      </c>
      <c r="F672" s="134"/>
      <c r="G672" s="134"/>
      <c r="H672" s="134"/>
      <c r="I672" s="134">
        <v>0.8</v>
      </c>
      <c r="J672" s="135"/>
      <c r="K672" s="135">
        <f>E672*I672</f>
        <v>9.6000000000000014</v>
      </c>
      <c r="L672" s="134">
        <f t="shared" si="24"/>
        <v>19.2</v>
      </c>
      <c r="M672" s="136"/>
    </row>
    <row r="673" spans="1:13" s="131" customFormat="1" ht="12.75">
      <c r="A673" s="139"/>
      <c r="B673" s="140"/>
      <c r="C673" s="141"/>
      <c r="D673" s="142"/>
      <c r="E673" s="143"/>
      <c r="F673" s="142"/>
      <c r="G673" s="142"/>
      <c r="H673" s="143"/>
      <c r="I673" s="143"/>
      <c r="J673" s="144"/>
      <c r="K673" s="144"/>
      <c r="L673" s="142"/>
      <c r="M673" s="145"/>
    </row>
    <row r="674" spans="1:13" ht="43.15" customHeight="1">
      <c r="A674" s="128" t="str">
        <f>'BM02'!A237</f>
        <v>2.7.2</v>
      </c>
      <c r="B674" s="211" t="str">
        <f>'BM02'!B237</f>
        <v>MASSA ÚNICA, PARA RECEBIMENTO DE PINTURA, EM ARGAMASSA TRAÇO 1:2:8, PREPARO MECÂNICO COM BETONEIRA 400L, APLICADA MANUALMENTE EM FACES INTERNAS DE PAREDES, ESPESSURA DE 20MM, COM EXECUÇÃO DE TALISCAS. AF_06/2014</v>
      </c>
      <c r="C674" s="212"/>
      <c r="D674" s="212"/>
      <c r="E674" s="212"/>
      <c r="F674" s="212"/>
      <c r="G674" s="212"/>
      <c r="H674" s="212"/>
      <c r="I674" s="212"/>
      <c r="J674" s="212"/>
      <c r="K674" s="213"/>
      <c r="L674" s="129">
        <f>L675</f>
        <v>48.319999999999993</v>
      </c>
      <c r="M674" s="130" t="str">
        <f>'BM02'!C237</f>
        <v>m²</v>
      </c>
    </row>
    <row r="675" spans="1:13" s="131" customFormat="1" ht="12.75">
      <c r="A675" s="132"/>
      <c r="B675" s="209" t="s">
        <v>713</v>
      </c>
      <c r="C675" s="210"/>
      <c r="D675" s="134">
        <f>L669-L680</f>
        <v>48.319999999999993</v>
      </c>
      <c r="E675" s="134"/>
      <c r="F675" s="134"/>
      <c r="G675" s="134"/>
      <c r="H675" s="134"/>
      <c r="I675" s="134"/>
      <c r="J675" s="135"/>
      <c r="K675" s="135"/>
      <c r="L675" s="134">
        <f>D675</f>
        <v>48.319999999999993</v>
      </c>
      <c r="M675" s="136"/>
    </row>
    <row r="676" spans="1:13" s="131" customFormat="1" ht="12.75">
      <c r="A676" s="139"/>
      <c r="B676" s="140"/>
      <c r="C676" s="141"/>
      <c r="D676" s="142"/>
      <c r="E676" s="143"/>
      <c r="F676" s="142"/>
      <c r="G676" s="142"/>
      <c r="H676" s="143"/>
      <c r="I676" s="143"/>
      <c r="J676" s="144"/>
      <c r="K676" s="144"/>
      <c r="L676" s="142"/>
      <c r="M676" s="145"/>
    </row>
    <row r="677" spans="1:13" ht="12.6" customHeight="1">
      <c r="A677" s="128" t="str">
        <f>'BM02'!A238</f>
        <v>2.7.3</v>
      </c>
      <c r="B677" s="211" t="str">
        <f>'BM02'!B238</f>
        <v>Revestimento cerâmico para parede, 10 x 10 cm, Eliane, linha galeria chumbo mesh ou similar, pei - 2, aplicado com argamassa industrializada ac-ii, rejuntado, exclusive regularização de base ou emboço - Rev 01</v>
      </c>
      <c r="C677" s="212"/>
      <c r="D677" s="212"/>
      <c r="E677" s="212"/>
      <c r="F677" s="212"/>
      <c r="G677" s="212"/>
      <c r="H677" s="212"/>
      <c r="I677" s="212"/>
      <c r="J677" s="212"/>
      <c r="K677" s="213"/>
      <c r="L677" s="129">
        <f>L678</f>
        <v>0</v>
      </c>
      <c r="M677" s="130" t="str">
        <f>'BM02'!C238</f>
        <v>m²</v>
      </c>
    </row>
    <row r="678" spans="1:13" s="131" customFormat="1" ht="12.75">
      <c r="A678" s="132"/>
      <c r="B678" s="209"/>
      <c r="C678" s="210"/>
      <c r="D678" s="134"/>
      <c r="E678" s="134"/>
      <c r="F678" s="134"/>
      <c r="G678" s="134"/>
      <c r="H678" s="134"/>
      <c r="I678" s="134"/>
      <c r="J678" s="135"/>
      <c r="K678" s="135"/>
      <c r="L678" s="134">
        <f>ROUND(D678*K678,2)</f>
        <v>0</v>
      </c>
      <c r="M678" s="136"/>
    </row>
    <row r="679" spans="1:13" s="131" customFormat="1" ht="12.75">
      <c r="A679" s="139"/>
      <c r="B679" s="140"/>
      <c r="C679" s="141"/>
      <c r="D679" s="142"/>
      <c r="E679" s="143"/>
      <c r="F679" s="142"/>
      <c r="G679" s="142"/>
      <c r="H679" s="143"/>
      <c r="I679" s="143"/>
      <c r="J679" s="144"/>
      <c r="K679" s="144"/>
      <c r="L679" s="142"/>
      <c r="M679" s="145"/>
    </row>
    <row r="680" spans="1:13" ht="28.9" customHeight="1">
      <c r="A680" s="128" t="str">
        <f>'BM04'!A266</f>
        <v>2.7.4</v>
      </c>
      <c r="B680" s="211" t="str">
        <f>'BM04'!B266</f>
        <v>EMBOCO, PARA RECEBIMENTO DE CERAMICA, EM ARGAMASSA TRAO 1:2:8, PREPARO MECANICO COM BETONEIRA 400L, APLICADO MANUALMENTE, ESPESSURA DE</v>
      </c>
      <c r="C680" s="212"/>
      <c r="D680" s="212"/>
      <c r="E680" s="212"/>
      <c r="F680" s="212"/>
      <c r="G680" s="212"/>
      <c r="H680" s="212"/>
      <c r="I680" s="212"/>
      <c r="J680" s="212"/>
      <c r="K680" s="213"/>
      <c r="L680" s="129">
        <f>L681</f>
        <v>18.559999999999999</v>
      </c>
      <c r="M680" s="130" t="str">
        <f>'BM04'!C266</f>
        <v>M²</v>
      </c>
    </row>
    <row r="681" spans="1:13" s="131" customFormat="1" ht="28.9" customHeight="1">
      <c r="A681" s="132"/>
      <c r="B681" s="209" t="s">
        <v>707</v>
      </c>
      <c r="C681" s="210"/>
      <c r="D681" s="134">
        <f>(5.8*2.6 + 5.8*(1.2/2))</f>
        <v>18.559999999999999</v>
      </c>
      <c r="E681" s="134"/>
      <c r="F681" s="134"/>
      <c r="G681" s="134"/>
      <c r="H681" s="134"/>
      <c r="I681" s="134"/>
      <c r="J681" s="135"/>
      <c r="K681" s="135"/>
      <c r="L681" s="134">
        <f>D681</f>
        <v>18.559999999999999</v>
      </c>
      <c r="M681" s="136"/>
    </row>
    <row r="682" spans="1:13" s="131" customFormat="1" ht="13.5" thickBot="1">
      <c r="A682" s="139"/>
      <c r="B682" s="140"/>
      <c r="C682" s="141"/>
      <c r="D682" s="142"/>
      <c r="E682" s="143"/>
      <c r="F682" s="142"/>
      <c r="G682" s="142"/>
      <c r="H682" s="143"/>
      <c r="I682" s="143"/>
      <c r="J682" s="144"/>
      <c r="K682" s="144"/>
      <c r="L682" s="142"/>
      <c r="M682" s="145"/>
    </row>
    <row r="683" spans="1:13" ht="13.5" thickBot="1">
      <c r="A683" s="121" t="str">
        <f>'BM02'!A240</f>
        <v>2.8</v>
      </c>
      <c r="B683" s="122" t="str">
        <f>'BM02'!B240</f>
        <v>PISOS</v>
      </c>
      <c r="C683" s="122"/>
      <c r="D683" s="122"/>
      <c r="E683" s="122"/>
      <c r="F683" s="122"/>
      <c r="G683" s="122"/>
      <c r="H683" s="122"/>
      <c r="I683" s="122"/>
      <c r="J683" s="122"/>
      <c r="K683" s="122"/>
      <c r="L683" s="122"/>
      <c r="M683" s="123"/>
    </row>
    <row r="684" spans="1:13" ht="12.75">
      <c r="A684" s="124"/>
      <c r="B684" s="125"/>
      <c r="C684" s="125"/>
      <c r="D684" s="125"/>
      <c r="E684" s="125"/>
      <c r="F684" s="125"/>
      <c r="G684" s="125"/>
      <c r="H684" s="125"/>
      <c r="I684" s="125"/>
      <c r="J684" s="125"/>
      <c r="K684" s="126"/>
      <c r="L684" s="125"/>
      <c r="M684" s="127"/>
    </row>
    <row r="685" spans="1:13" ht="12.6" customHeight="1">
      <c r="A685" s="128" t="str">
        <f>'BM02'!A242</f>
        <v>2.8.1</v>
      </c>
      <c r="B685" s="211" t="str">
        <f>'BM02'!B242</f>
        <v>LASTRO DE CONCRETO MAGRO, APLICADO EM PISOS OU RADIERS, ESPESSURA DE 5 CM. AF_07/2016</v>
      </c>
      <c r="C685" s="212"/>
      <c r="D685" s="212"/>
      <c r="E685" s="212"/>
      <c r="F685" s="212"/>
      <c r="G685" s="212"/>
      <c r="H685" s="212"/>
      <c r="I685" s="212"/>
      <c r="J685" s="212"/>
      <c r="K685" s="213"/>
      <c r="L685" s="129">
        <f>L686</f>
        <v>0</v>
      </c>
      <c r="M685" s="130" t="str">
        <f>'BM02'!C242</f>
        <v>m²</v>
      </c>
    </row>
    <row r="686" spans="1:13" s="131" customFormat="1" ht="12.75">
      <c r="A686" s="132"/>
      <c r="B686" s="209"/>
      <c r="C686" s="210"/>
      <c r="D686" s="134"/>
      <c r="E686" s="134"/>
      <c r="F686" s="134"/>
      <c r="G686" s="134"/>
      <c r="H686" s="134"/>
      <c r="I686" s="134"/>
      <c r="J686" s="135"/>
      <c r="K686" s="135"/>
      <c r="L686" s="134">
        <f>ROUND(D686*K686,2)</f>
        <v>0</v>
      </c>
      <c r="M686" s="136"/>
    </row>
    <row r="687" spans="1:13" s="131" customFormat="1" ht="12.75">
      <c r="A687" s="139"/>
      <c r="B687" s="140"/>
      <c r="C687" s="141"/>
      <c r="D687" s="142"/>
      <c r="E687" s="143"/>
      <c r="F687" s="142"/>
      <c r="G687" s="142"/>
      <c r="H687" s="143"/>
      <c r="I687" s="143"/>
      <c r="J687" s="144"/>
      <c r="K687" s="144"/>
      <c r="L687" s="142"/>
      <c r="M687" s="145"/>
    </row>
    <row r="688" spans="1:13" ht="12.6" customHeight="1">
      <c r="A688" s="128" t="str">
        <f>'BM02'!A243</f>
        <v>2.8.2</v>
      </c>
      <c r="B688" s="211" t="str">
        <f>'BM02'!B243</f>
        <v>Regularização de base para revest. de pisos com arg. traço t4, esp. média = 2,5cm</v>
      </c>
      <c r="C688" s="212"/>
      <c r="D688" s="212"/>
      <c r="E688" s="212"/>
      <c r="F688" s="212"/>
      <c r="G688" s="212"/>
      <c r="H688" s="212"/>
      <c r="I688" s="212"/>
      <c r="J688" s="212"/>
      <c r="K688" s="213"/>
      <c r="L688" s="129">
        <f>L689</f>
        <v>0</v>
      </c>
      <c r="M688" s="130" t="str">
        <f>'BM02'!C243</f>
        <v>m²</v>
      </c>
    </row>
    <row r="689" spans="1:13" s="131" customFormat="1" ht="13.15" customHeight="1">
      <c r="A689" s="132"/>
      <c r="B689" s="209"/>
      <c r="C689" s="210"/>
      <c r="D689" s="134"/>
      <c r="E689" s="134"/>
      <c r="F689" s="134"/>
      <c r="G689" s="134"/>
      <c r="H689" s="134"/>
      <c r="I689" s="134"/>
      <c r="J689" s="135"/>
      <c r="K689" s="135"/>
      <c r="L689" s="134">
        <f>ROUND(D689*K689,2)</f>
        <v>0</v>
      </c>
      <c r="M689" s="136"/>
    </row>
    <row r="690" spans="1:13" s="131" customFormat="1" ht="12.75">
      <c r="A690" s="139"/>
      <c r="B690" s="140"/>
      <c r="C690" s="141"/>
      <c r="D690" s="142"/>
      <c r="E690" s="143"/>
      <c r="F690" s="142"/>
      <c r="G690" s="142"/>
      <c r="H690" s="143"/>
      <c r="I690" s="143"/>
      <c r="J690" s="144"/>
      <c r="K690" s="144"/>
      <c r="L690" s="142"/>
      <c r="M690" s="145"/>
    </row>
    <row r="691" spans="1:13" ht="12.6" customHeight="1">
      <c r="A691" s="128" t="str">
        <f>'BM02'!A244</f>
        <v>2.8.3</v>
      </c>
      <c r="B691" s="211" t="str">
        <f>'BM02'!B244</f>
        <v>PISO EM GRANILITE, MARMORITE OU GRANITINA EM AMBIENTES INTERNOS. AF_09/2020</v>
      </c>
      <c r="C691" s="212"/>
      <c r="D691" s="212"/>
      <c r="E691" s="212"/>
      <c r="F691" s="212"/>
      <c r="G691" s="212"/>
      <c r="H691" s="212"/>
      <c r="I691" s="212"/>
      <c r="J691" s="212"/>
      <c r="K691" s="213"/>
      <c r="L691" s="129">
        <f>L692</f>
        <v>0</v>
      </c>
      <c r="M691" s="130" t="str">
        <f>'BM02'!C244</f>
        <v>m²</v>
      </c>
    </row>
    <row r="692" spans="1:13" s="131" customFormat="1" ht="12.75">
      <c r="A692" s="132"/>
      <c r="B692" s="209"/>
      <c r="C692" s="210"/>
      <c r="D692" s="134"/>
      <c r="E692" s="134"/>
      <c r="F692" s="134"/>
      <c r="G692" s="134"/>
      <c r="H692" s="134"/>
      <c r="I692" s="134"/>
      <c r="J692" s="135"/>
      <c r="K692" s="135"/>
      <c r="L692" s="134">
        <f>ROUND(D692*K692,2)</f>
        <v>0</v>
      </c>
      <c r="M692" s="136"/>
    </row>
    <row r="693" spans="1:13" s="131" customFormat="1" ht="12.75">
      <c r="A693" s="139"/>
      <c r="B693" s="140"/>
      <c r="C693" s="141"/>
      <c r="D693" s="142"/>
      <c r="E693" s="143"/>
      <c r="F693" s="142"/>
      <c r="G693" s="142"/>
      <c r="H693" s="143"/>
      <c r="I693" s="143"/>
      <c r="J693" s="144"/>
      <c r="K693" s="144"/>
      <c r="L693" s="142"/>
      <c r="M693" s="145"/>
    </row>
    <row r="694" spans="1:13" ht="12.6" customHeight="1">
      <c r="A694" s="128" t="str">
        <f>'BM04'!A273</f>
        <v>2.8.4</v>
      </c>
      <c r="B694" s="211" t="str">
        <f>'BM04'!B273</f>
        <v>EXECUÇÃO DE PASSEIO (CALÇADA) OU PISO DE CONCRETO COM CONCRETO MOLDADO IN LOCO, FEITO EM OBRA, ACABAMENTO CONVENCIONAL, ESPESSURA 6 CM, ARMADO. AF_07/2016 (LARGURA = 60 CM)</v>
      </c>
      <c r="C694" s="212"/>
      <c r="D694" s="212"/>
      <c r="E694" s="212"/>
      <c r="F694" s="212"/>
      <c r="G694" s="212"/>
      <c r="H694" s="212"/>
      <c r="I694" s="212"/>
      <c r="J694" s="212"/>
      <c r="K694" s="213"/>
      <c r="L694" s="129">
        <f>ROUND(SUM(L695:L695),2)</f>
        <v>0</v>
      </c>
      <c r="M694" s="130" t="str">
        <f>'BM04'!C273</f>
        <v>M²</v>
      </c>
    </row>
    <row r="695" spans="1:13" s="131" customFormat="1" ht="12.75">
      <c r="A695" s="191"/>
      <c r="B695" s="275"/>
      <c r="C695" s="276"/>
      <c r="D695" s="134"/>
      <c r="E695" s="134"/>
      <c r="F695" s="134"/>
      <c r="G695" s="134"/>
      <c r="H695" s="134"/>
      <c r="I695" s="134"/>
      <c r="J695" s="135"/>
      <c r="K695" s="135"/>
      <c r="L695" s="134">
        <f t="shared" ref="L695" si="25">ROUND(D695*K695,2)</f>
        <v>0</v>
      </c>
      <c r="M695" s="136"/>
    </row>
    <row r="696" spans="1:13" s="131" customFormat="1" ht="13.5" thickBot="1">
      <c r="A696" s="139"/>
      <c r="B696" s="140"/>
      <c r="C696" s="141"/>
      <c r="D696" s="142"/>
      <c r="E696" s="143"/>
      <c r="F696" s="142"/>
      <c r="G696" s="142"/>
      <c r="H696" s="143"/>
      <c r="I696" s="143"/>
      <c r="J696" s="144"/>
      <c r="K696" s="144"/>
      <c r="L696" s="142"/>
      <c r="M696" s="145"/>
    </row>
    <row r="697" spans="1:13" ht="13.5" thickBot="1">
      <c r="A697" s="121" t="str">
        <f>'BM02'!A246</f>
        <v>2.9</v>
      </c>
      <c r="B697" s="122" t="str">
        <f>'BM02'!B246</f>
        <v>INSTALAÇÃO ELÉTRICA</v>
      </c>
      <c r="C697" s="122"/>
      <c r="D697" s="122"/>
      <c r="E697" s="122"/>
      <c r="F697" s="122"/>
      <c r="G697" s="122"/>
      <c r="H697" s="122"/>
      <c r="I697" s="122"/>
      <c r="J697" s="122"/>
      <c r="K697" s="122"/>
      <c r="L697" s="122"/>
      <c r="M697" s="123"/>
    </row>
    <row r="698" spans="1:13" ht="12.75">
      <c r="A698" s="124"/>
      <c r="B698" s="125"/>
      <c r="C698" s="125"/>
      <c r="D698" s="125"/>
      <c r="E698" s="125"/>
      <c r="F698" s="125"/>
      <c r="G698" s="125"/>
      <c r="H698" s="125"/>
      <c r="I698" s="125"/>
      <c r="J698" s="125"/>
      <c r="K698" s="126"/>
      <c r="L698" s="125"/>
      <c r="M698" s="127"/>
    </row>
    <row r="699" spans="1:13" ht="30" customHeight="1">
      <c r="A699" s="128" t="str">
        <f>'BM02'!A248</f>
        <v>2.9.1</v>
      </c>
      <c r="B699" s="211" t="str">
        <f>'BM02'!B248</f>
        <v>PONTO DE TOMADA RESIDENCIAL INCLUINDO TOMADA 10A/250V, CAIXA ELÉTRICA, ELETRODUTO, CABO, RASGO, QUEBRA E CHUMBAMENTO. AF_01/2016</v>
      </c>
      <c r="C699" s="212"/>
      <c r="D699" s="212"/>
      <c r="E699" s="212"/>
      <c r="F699" s="212"/>
      <c r="G699" s="212"/>
      <c r="H699" s="212"/>
      <c r="I699" s="212"/>
      <c r="J699" s="212"/>
      <c r="K699" s="213"/>
      <c r="L699" s="129">
        <f>L700</f>
        <v>0</v>
      </c>
      <c r="M699" s="130" t="str">
        <f>'BM02'!C248</f>
        <v>un</v>
      </c>
    </row>
    <row r="700" spans="1:13" s="131" customFormat="1" ht="12.75">
      <c r="A700" s="132"/>
      <c r="B700" s="209"/>
      <c r="C700" s="210"/>
      <c r="D700" s="134"/>
      <c r="E700" s="134"/>
      <c r="F700" s="134"/>
      <c r="G700" s="134"/>
      <c r="H700" s="134"/>
      <c r="I700" s="134"/>
      <c r="J700" s="135"/>
      <c r="K700" s="135"/>
      <c r="L700" s="134">
        <f>ROUND(D700*K700,2)</f>
        <v>0</v>
      </c>
      <c r="M700" s="136"/>
    </row>
    <row r="701" spans="1:13" s="131" customFormat="1" ht="12.75">
      <c r="A701" s="139"/>
      <c r="B701" s="140"/>
      <c r="C701" s="141"/>
      <c r="D701" s="142"/>
      <c r="E701" s="143"/>
      <c r="F701" s="142"/>
      <c r="G701" s="142"/>
      <c r="H701" s="143"/>
      <c r="I701" s="143"/>
      <c r="J701" s="144"/>
      <c r="K701" s="144"/>
      <c r="L701" s="142"/>
      <c r="M701" s="145"/>
    </row>
    <row r="702" spans="1:13" ht="30" customHeight="1">
      <c r="A702" s="128" t="str">
        <f>'BM02'!A249</f>
        <v>2.9.2</v>
      </c>
      <c r="B702" s="211" t="str">
        <f>'BM02'!B249</f>
        <v>PONTO DE ILUMINAÇÃO RESIDENCIAL INCLUINDO INTERRUPTOR SIMPLES, CAIXA ELÉTRICA, ELETRODUTO, CABO, RASGO, QUEBRA E CHUMBAMENTO (EXCLUINDO LUMINÁRIA E LÂMPADA). AF_01/2016</v>
      </c>
      <c r="C702" s="212"/>
      <c r="D702" s="212"/>
      <c r="E702" s="212"/>
      <c r="F702" s="212"/>
      <c r="G702" s="212"/>
      <c r="H702" s="212"/>
      <c r="I702" s="212"/>
      <c r="J702" s="212"/>
      <c r="K702" s="213"/>
      <c r="L702" s="129">
        <f>L703</f>
        <v>0</v>
      </c>
      <c r="M702" s="130" t="str">
        <f>'BM02'!C249</f>
        <v>un</v>
      </c>
    </row>
    <row r="703" spans="1:13" s="131" customFormat="1" ht="12.75">
      <c r="A703" s="132"/>
      <c r="B703" s="209"/>
      <c r="C703" s="210"/>
      <c r="D703" s="134"/>
      <c r="E703" s="134"/>
      <c r="F703" s="134"/>
      <c r="G703" s="134"/>
      <c r="H703" s="134"/>
      <c r="I703" s="134"/>
      <c r="J703" s="135"/>
      <c r="K703" s="135"/>
      <c r="L703" s="134">
        <f>ROUND(D703*K703,2)</f>
        <v>0</v>
      </c>
      <c r="M703" s="136"/>
    </row>
    <row r="704" spans="1:13" s="131" customFormat="1" ht="12.75">
      <c r="A704" s="139"/>
      <c r="B704" s="140"/>
      <c r="C704" s="141"/>
      <c r="D704" s="142"/>
      <c r="E704" s="143"/>
      <c r="F704" s="142"/>
      <c r="G704" s="142"/>
      <c r="H704" s="143"/>
      <c r="I704" s="143"/>
      <c r="J704" s="144"/>
      <c r="K704" s="144"/>
      <c r="L704" s="142"/>
      <c r="M704" s="145"/>
    </row>
    <row r="705" spans="1:13" ht="12.6" customHeight="1">
      <c r="A705" s="128" t="str">
        <f>'BM02'!A250</f>
        <v>2.9.3</v>
      </c>
      <c r="B705" s="211" t="str">
        <f>'BM02'!B250</f>
        <v>Refletor Slim LED 150W de potência, branco Frio, 6500k, Autovolt, marca G-light ou similar - Rev 01</v>
      </c>
      <c r="C705" s="212"/>
      <c r="D705" s="212"/>
      <c r="E705" s="212"/>
      <c r="F705" s="212"/>
      <c r="G705" s="212"/>
      <c r="H705" s="212"/>
      <c r="I705" s="212"/>
      <c r="J705" s="212"/>
      <c r="K705" s="213"/>
      <c r="L705" s="129">
        <f>L706</f>
        <v>0</v>
      </c>
      <c r="M705" s="130" t="str">
        <f>'BM02'!C250</f>
        <v>un</v>
      </c>
    </row>
    <row r="706" spans="1:13" s="131" customFormat="1" ht="12.75">
      <c r="A706" s="132"/>
      <c r="B706" s="209"/>
      <c r="C706" s="210"/>
      <c r="D706" s="134"/>
      <c r="E706" s="134"/>
      <c r="F706" s="134"/>
      <c r="G706" s="134"/>
      <c r="H706" s="134"/>
      <c r="I706" s="134"/>
      <c r="J706" s="135"/>
      <c r="K706" s="135"/>
      <c r="L706" s="134">
        <f>ROUND(D706*K706,2)</f>
        <v>0</v>
      </c>
      <c r="M706" s="136"/>
    </row>
    <row r="707" spans="1:13" s="131" customFormat="1" ht="13.5" thickBot="1">
      <c r="A707" s="139"/>
      <c r="B707" s="140"/>
      <c r="C707" s="141"/>
      <c r="D707" s="142"/>
      <c r="E707" s="143"/>
      <c r="F707" s="142"/>
      <c r="G707" s="142"/>
      <c r="H707" s="143"/>
      <c r="I707" s="143"/>
      <c r="J707" s="144"/>
      <c r="K707" s="144"/>
      <c r="L707" s="142"/>
      <c r="M707" s="145"/>
    </row>
    <row r="708" spans="1:13" ht="30" customHeight="1">
      <c r="A708" s="128" t="str">
        <f>'BM02'!A251</f>
        <v>2.9.4</v>
      </c>
      <c r="B708" s="211" t="str">
        <f>'BM02'!B251</f>
        <v>CAIXA RETANGULAR 4" X 4" MÉDIA (1,30 M DO PISO), PVC, INSTALADA EM PAREDE - FORNECIMENTO E INSTALAÇÃO. AF_12/2015</v>
      </c>
      <c r="C708" s="212"/>
      <c r="D708" s="212"/>
      <c r="E708" s="212"/>
      <c r="F708" s="212"/>
      <c r="G708" s="212"/>
      <c r="H708" s="212"/>
      <c r="I708" s="212"/>
      <c r="J708" s="212"/>
      <c r="K708" s="213"/>
      <c r="L708" s="129">
        <f>L709</f>
        <v>0</v>
      </c>
      <c r="M708" s="130" t="str">
        <f>'BM02'!C251</f>
        <v>un</v>
      </c>
    </row>
    <row r="709" spans="1:13" s="131" customFormat="1" ht="12.75">
      <c r="A709" s="132"/>
      <c r="B709" s="209"/>
      <c r="C709" s="210"/>
      <c r="D709" s="134"/>
      <c r="E709" s="134"/>
      <c r="F709" s="134"/>
      <c r="G709" s="134"/>
      <c r="H709" s="134"/>
      <c r="I709" s="134"/>
      <c r="J709" s="135"/>
      <c r="K709" s="135"/>
      <c r="L709" s="134">
        <f>ROUND(D709*K709,2)</f>
        <v>0</v>
      </c>
      <c r="M709" s="136"/>
    </row>
    <row r="710" spans="1:13" s="131" customFormat="1" ht="12.75">
      <c r="A710" s="139"/>
      <c r="B710" s="140"/>
      <c r="C710" s="141"/>
      <c r="D710" s="142"/>
      <c r="E710" s="143"/>
      <c r="F710" s="142"/>
      <c r="G710" s="142"/>
      <c r="H710" s="143"/>
      <c r="I710" s="143"/>
      <c r="J710" s="144"/>
      <c r="K710" s="144"/>
      <c r="L710" s="142"/>
      <c r="M710" s="145"/>
    </row>
    <row r="711" spans="1:13" ht="30" customHeight="1">
      <c r="A711" s="128" t="str">
        <f>'BM02'!A252</f>
        <v>2.9.5</v>
      </c>
      <c r="B711" s="211" t="str">
        <f>'BM02'!B252</f>
        <v>CABO DE COBRE FLEXÍVEL ISOLADO, 2,5 MM², ANTI-CHAMA 0,6/1,0 KV, PARA CIRCUITOS TERMINAIS - FORNECIMENTO E INSTALAÇÃO. AF_12/2015</v>
      </c>
      <c r="C711" s="212"/>
      <c r="D711" s="212"/>
      <c r="E711" s="212"/>
      <c r="F711" s="212"/>
      <c r="G711" s="212"/>
      <c r="H711" s="212"/>
      <c r="I711" s="212"/>
      <c r="J711" s="212"/>
      <c r="K711" s="213"/>
      <c r="L711" s="129">
        <f>L712</f>
        <v>0</v>
      </c>
      <c r="M711" s="130" t="str">
        <f>'BM02'!C252</f>
        <v>m²</v>
      </c>
    </row>
    <row r="712" spans="1:13" s="131" customFormat="1" ht="12.75">
      <c r="A712" s="132"/>
      <c r="B712" s="209"/>
      <c r="C712" s="210"/>
      <c r="D712" s="134"/>
      <c r="E712" s="134"/>
      <c r="F712" s="134"/>
      <c r="G712" s="134"/>
      <c r="H712" s="134"/>
      <c r="I712" s="134"/>
      <c r="J712" s="135"/>
      <c r="K712" s="135"/>
      <c r="L712" s="134">
        <f>ROUND(D712*K712,2)</f>
        <v>0</v>
      </c>
      <c r="M712" s="136"/>
    </row>
    <row r="713" spans="1:13" s="131" customFormat="1" ht="13.5" thickBot="1">
      <c r="A713" s="139"/>
      <c r="B713" s="140"/>
      <c r="C713" s="141"/>
      <c r="D713" s="142"/>
      <c r="E713" s="143"/>
      <c r="F713" s="142"/>
      <c r="G713" s="142"/>
      <c r="H713" s="143"/>
      <c r="I713" s="143"/>
      <c r="J713" s="144"/>
      <c r="K713" s="144"/>
      <c r="L713" s="142"/>
      <c r="M713" s="145"/>
    </row>
    <row r="714" spans="1:13" ht="13.5" thickBot="1">
      <c r="A714" s="121" t="str">
        <f>'BM04'!A283</f>
        <v>2.10</v>
      </c>
      <c r="B714" s="122" t="str">
        <f>'BM04'!B283</f>
        <v>PINTURA</v>
      </c>
      <c r="C714" s="122"/>
      <c r="D714" s="122"/>
      <c r="E714" s="122"/>
      <c r="F714" s="122"/>
      <c r="G714" s="122"/>
      <c r="H714" s="122"/>
      <c r="I714" s="122"/>
      <c r="J714" s="122"/>
      <c r="K714" s="122"/>
      <c r="L714" s="122"/>
      <c r="M714" s="123"/>
    </row>
    <row r="715" spans="1:13" ht="12.75">
      <c r="A715" s="124"/>
      <c r="B715" s="125"/>
      <c r="C715" s="125"/>
      <c r="D715" s="125"/>
      <c r="E715" s="125"/>
      <c r="F715" s="125"/>
      <c r="G715" s="125"/>
      <c r="H715" s="125"/>
      <c r="I715" s="125"/>
      <c r="J715" s="125"/>
      <c r="K715" s="126"/>
      <c r="L715" s="125"/>
      <c r="M715" s="127"/>
    </row>
    <row r="716" spans="1:13" ht="12.75">
      <c r="A716" s="128" t="str">
        <f>'BM04'!A285</f>
        <v>2.10.1</v>
      </c>
      <c r="B716" s="211" t="str">
        <f>'BM04'!B285</f>
        <v>APLICAÇÃO DE FUNDO SELADOR ACRÍLICO EM PAREDES, UMA DEMÃO. AF_06/2014</v>
      </c>
      <c r="C716" s="212"/>
      <c r="D716" s="212"/>
      <c r="E716" s="212"/>
      <c r="F716" s="212"/>
      <c r="G716" s="212"/>
      <c r="H716" s="212"/>
      <c r="I716" s="212"/>
      <c r="J716" s="212"/>
      <c r="K716" s="213"/>
      <c r="L716" s="129">
        <f>L717</f>
        <v>0</v>
      </c>
      <c r="M716" s="130" t="str">
        <f>'BM04'!C285</f>
        <v>M²</v>
      </c>
    </row>
    <row r="717" spans="1:13" s="131" customFormat="1" ht="12.75">
      <c r="A717" s="132"/>
      <c r="B717" s="209"/>
      <c r="C717" s="210"/>
      <c r="D717" s="134"/>
      <c r="E717" s="134"/>
      <c r="F717" s="134"/>
      <c r="G717" s="134"/>
      <c r="H717" s="134"/>
      <c r="I717" s="134"/>
      <c r="J717" s="135"/>
      <c r="K717" s="135"/>
      <c r="L717" s="134">
        <f>ROUND(D717*K717,2)</f>
        <v>0</v>
      </c>
      <c r="M717" s="136"/>
    </row>
    <row r="718" spans="1:13" s="131" customFormat="1" ht="12.75">
      <c r="A718" s="139"/>
      <c r="B718" s="140"/>
      <c r="C718" s="141"/>
      <c r="D718" s="142"/>
      <c r="E718" s="143"/>
      <c r="F718" s="142"/>
      <c r="G718" s="142"/>
      <c r="H718" s="143"/>
      <c r="I718" s="143"/>
      <c r="J718" s="144"/>
      <c r="K718" s="144"/>
      <c r="L718" s="142"/>
      <c r="M718" s="145"/>
    </row>
    <row r="719" spans="1:13" ht="30" customHeight="1">
      <c r="A719" s="128" t="str">
        <f>'BM04'!A286</f>
        <v>2.10.2</v>
      </c>
      <c r="B719" s="211" t="str">
        <f>'BM04'!B286</f>
        <v>APLICAÇÃO MANUAL DE MASSA ACRÍLICA EM PANOS DE FACHADA SEM PRESENÇA DE VÃOS, DE EDIFÍCIOS DE MÚLTIPLOS PAVIMENTOS, DUAS DEMÃOS. AF_05/2017</v>
      </c>
      <c r="C719" s="212"/>
      <c r="D719" s="212"/>
      <c r="E719" s="212"/>
      <c r="F719" s="212"/>
      <c r="G719" s="212"/>
      <c r="H719" s="212"/>
      <c r="I719" s="212"/>
      <c r="J719" s="212"/>
      <c r="K719" s="213"/>
      <c r="L719" s="129">
        <f>L720</f>
        <v>0</v>
      </c>
      <c r="M719" s="130" t="str">
        <f>'BM04'!C286</f>
        <v>M²</v>
      </c>
    </row>
    <row r="720" spans="1:13" s="131" customFormat="1" ht="12.75">
      <c r="A720" s="132"/>
      <c r="B720" s="209"/>
      <c r="C720" s="210"/>
      <c r="D720" s="134"/>
      <c r="E720" s="134"/>
      <c r="F720" s="134"/>
      <c r="G720" s="134"/>
      <c r="H720" s="134"/>
      <c r="I720" s="134"/>
      <c r="J720" s="135"/>
      <c r="K720" s="135"/>
      <c r="L720" s="134">
        <f>ROUND(D720*K720,2)</f>
        <v>0</v>
      </c>
      <c r="M720" s="136"/>
    </row>
    <row r="721" spans="1:13" s="131" customFormat="1" ht="12.75">
      <c r="A721" s="139"/>
      <c r="B721" s="140"/>
      <c r="C721" s="141"/>
      <c r="D721" s="142"/>
      <c r="E721" s="143"/>
      <c r="F721" s="142"/>
      <c r="G721" s="142"/>
      <c r="H721" s="143"/>
      <c r="I721" s="143"/>
      <c r="J721" s="144"/>
      <c r="K721" s="144"/>
      <c r="L721" s="142"/>
      <c r="M721" s="145"/>
    </row>
    <row r="722" spans="1:13" ht="12.6" customHeight="1">
      <c r="A722" s="128" t="str">
        <f>'BM04'!A287</f>
        <v>2.10.3</v>
      </c>
      <c r="B722" s="211" t="str">
        <f>'BM04'!B287</f>
        <v>APLICAÇÃO MANUAL DE PINTURA COM TINTA LÁTEX ACRÍLICA EM PAREDES, DUAS DEMÃOS. AF_06/2014</v>
      </c>
      <c r="C722" s="212"/>
      <c r="D722" s="212"/>
      <c r="E722" s="212"/>
      <c r="F722" s="212"/>
      <c r="G722" s="212"/>
      <c r="H722" s="212"/>
      <c r="I722" s="212"/>
      <c r="J722" s="212"/>
      <c r="K722" s="213"/>
      <c r="L722" s="129">
        <f>L723</f>
        <v>0</v>
      </c>
      <c r="M722" s="130" t="str">
        <f>'BM04'!C287</f>
        <v>M²</v>
      </c>
    </row>
    <row r="723" spans="1:13" s="131" customFormat="1" ht="12.75">
      <c r="A723" s="132"/>
      <c r="B723" s="209"/>
      <c r="C723" s="210"/>
      <c r="D723" s="134"/>
      <c r="E723" s="134"/>
      <c r="F723" s="134"/>
      <c r="G723" s="134"/>
      <c r="H723" s="134"/>
      <c r="I723" s="134"/>
      <c r="J723" s="135"/>
      <c r="K723" s="135"/>
      <c r="L723" s="134">
        <f>ROUND(D723*K723,2)</f>
        <v>0</v>
      </c>
      <c r="M723" s="136"/>
    </row>
    <row r="724" spans="1:13" s="131" customFormat="1" ht="12.75">
      <c r="A724" s="139"/>
      <c r="B724" s="140"/>
      <c r="C724" s="141"/>
      <c r="D724" s="142"/>
      <c r="E724" s="143"/>
      <c r="F724" s="142"/>
      <c r="G724" s="142"/>
      <c r="H724" s="143"/>
      <c r="I724" s="143"/>
      <c r="J724" s="144"/>
      <c r="K724" s="144"/>
      <c r="L724" s="142"/>
      <c r="M724" s="145"/>
    </row>
  </sheetData>
  <protectedRanges>
    <protectedRange sqref="L171 L39" name="Intervalo1_1_3"/>
    <protectedRange sqref="L176:L179" name="Intervalo1_1_4"/>
    <protectedRange sqref="L369 L347:L351 L359" name="Intervalo1_1_7"/>
    <protectedRange sqref="L292" name="Intervalo1_1_4_1"/>
    <protectedRange sqref="L293:L294" name="Intervalo1_1_4_2"/>
    <protectedRange sqref="L112:L152" name="Intervalo1_1"/>
    <protectedRange sqref="L366" name="Intervalo1_1_6"/>
    <protectedRange sqref="L627:L629 L631:L634" name="Intervalo1_1_8"/>
  </protectedRanges>
  <mergeCells count="444">
    <mergeCell ref="B723:C723"/>
    <mergeCell ref="B716:K716"/>
    <mergeCell ref="B717:C717"/>
    <mergeCell ref="B719:K719"/>
    <mergeCell ref="B720:C720"/>
    <mergeCell ref="B722:K722"/>
    <mergeCell ref="A671:A672"/>
    <mergeCell ref="B694:K694"/>
    <mergeCell ref="B695:C695"/>
    <mergeCell ref="B708:K708"/>
    <mergeCell ref="B709:C709"/>
    <mergeCell ref="B711:K711"/>
    <mergeCell ref="B712:C712"/>
    <mergeCell ref="B699:K699"/>
    <mergeCell ref="B700:C700"/>
    <mergeCell ref="B702:K702"/>
    <mergeCell ref="B703:C703"/>
    <mergeCell ref="B705:K705"/>
    <mergeCell ref="B706:C706"/>
    <mergeCell ref="B685:K685"/>
    <mergeCell ref="B686:C686"/>
    <mergeCell ref="B688:K688"/>
    <mergeCell ref="B689:C689"/>
    <mergeCell ref="B691:K691"/>
    <mergeCell ref="A633:A634"/>
    <mergeCell ref="B633:C634"/>
    <mergeCell ref="B639:C639"/>
    <mergeCell ref="B661:K661"/>
    <mergeCell ref="B662:C662"/>
    <mergeCell ref="B638:K638"/>
    <mergeCell ref="B640:C640"/>
    <mergeCell ref="B644:K644"/>
    <mergeCell ref="B645:C645"/>
    <mergeCell ref="B649:K649"/>
    <mergeCell ref="B650:C650"/>
    <mergeCell ref="B350:C350"/>
    <mergeCell ref="B351:C351"/>
    <mergeCell ref="B347:C347"/>
    <mergeCell ref="B344:C344"/>
    <mergeCell ref="B630:K630"/>
    <mergeCell ref="B631:C631"/>
    <mergeCell ref="A627:A628"/>
    <mergeCell ref="B627:C628"/>
    <mergeCell ref="B632:C632"/>
    <mergeCell ref="B492:K492"/>
    <mergeCell ref="B493:C493"/>
    <mergeCell ref="B569:K569"/>
    <mergeCell ref="B570:C570"/>
    <mergeCell ref="B620:K620"/>
    <mergeCell ref="B621:C621"/>
    <mergeCell ref="B623:K623"/>
    <mergeCell ref="B624:C624"/>
    <mergeCell ref="B626:K626"/>
    <mergeCell ref="B607:K607"/>
    <mergeCell ref="B608:C608"/>
    <mergeCell ref="B612:K612"/>
    <mergeCell ref="B613:C613"/>
    <mergeCell ref="B615:K615"/>
    <mergeCell ref="B616:C616"/>
    <mergeCell ref="B200:C200"/>
    <mergeCell ref="B202:K202"/>
    <mergeCell ref="B203:C203"/>
    <mergeCell ref="B181:K181"/>
    <mergeCell ref="B363:C363"/>
    <mergeCell ref="B247:C247"/>
    <mergeCell ref="B249:C249"/>
    <mergeCell ref="B248:C248"/>
    <mergeCell ref="B281:K281"/>
    <mergeCell ref="B282:C282"/>
    <mergeCell ref="B284:K284"/>
    <mergeCell ref="B267:C267"/>
    <mergeCell ref="B245:K245"/>
    <mergeCell ref="B246:C246"/>
    <mergeCell ref="B251:K251"/>
    <mergeCell ref="B252:C252"/>
    <mergeCell ref="B293:C293"/>
    <mergeCell ref="B294:C294"/>
    <mergeCell ref="B291:C291"/>
    <mergeCell ref="B352:C352"/>
    <mergeCell ref="B353:C353"/>
    <mergeCell ref="B354:C354"/>
    <mergeCell ref="B348:C348"/>
    <mergeCell ref="B349:C349"/>
    <mergeCell ref="A72:A74"/>
    <mergeCell ref="B78:C79"/>
    <mergeCell ref="A78:A79"/>
    <mergeCell ref="A75:A77"/>
    <mergeCell ref="B75:C77"/>
    <mergeCell ref="B80:C80"/>
    <mergeCell ref="B218:C218"/>
    <mergeCell ref="B219:C219"/>
    <mergeCell ref="B220:C220"/>
    <mergeCell ref="A163:A164"/>
    <mergeCell ref="B165:C165"/>
    <mergeCell ref="B187:K187"/>
    <mergeCell ref="B188:C188"/>
    <mergeCell ref="A176:A179"/>
    <mergeCell ref="B190:K190"/>
    <mergeCell ref="B193:K193"/>
    <mergeCell ref="B176:C179"/>
    <mergeCell ref="B184:K184"/>
    <mergeCell ref="B185:C185"/>
    <mergeCell ref="B207:K207"/>
    <mergeCell ref="B208:C208"/>
    <mergeCell ref="B210:K210"/>
    <mergeCell ref="B211:C211"/>
    <mergeCell ref="B199:K199"/>
    <mergeCell ref="A96:A97"/>
    <mergeCell ref="B96:C97"/>
    <mergeCell ref="B98:C102"/>
    <mergeCell ref="A98:A102"/>
    <mergeCell ref="B112:C112"/>
    <mergeCell ref="A81:A87"/>
    <mergeCell ref="B88:C91"/>
    <mergeCell ref="A88:A91"/>
    <mergeCell ref="A92:A93"/>
    <mergeCell ref="B92:C93"/>
    <mergeCell ref="A94:A95"/>
    <mergeCell ref="B94:C95"/>
    <mergeCell ref="B72:C74"/>
    <mergeCell ref="B81:C87"/>
    <mergeCell ref="B115:C115"/>
    <mergeCell ref="B116:C116"/>
    <mergeCell ref="B114:C114"/>
    <mergeCell ref="B58:C58"/>
    <mergeCell ref="B59:C59"/>
    <mergeCell ref="B60:C60"/>
    <mergeCell ref="B50:C50"/>
    <mergeCell ref="B71:C71"/>
    <mergeCell ref="B111:C111"/>
    <mergeCell ref="B113:C113"/>
    <mergeCell ref="B692:C692"/>
    <mergeCell ref="B669:K669"/>
    <mergeCell ref="B670:C670"/>
    <mergeCell ref="B674:K674"/>
    <mergeCell ref="B675:C675"/>
    <mergeCell ref="B677:K677"/>
    <mergeCell ref="B678:C678"/>
    <mergeCell ref="B652:K652"/>
    <mergeCell ref="B653:C653"/>
    <mergeCell ref="B655:K655"/>
    <mergeCell ref="B656:C656"/>
    <mergeCell ref="B658:K658"/>
    <mergeCell ref="B659:C659"/>
    <mergeCell ref="B664:K664"/>
    <mergeCell ref="B665:C665"/>
    <mergeCell ref="B680:K680"/>
    <mergeCell ref="B681:C681"/>
    <mergeCell ref="B671:C672"/>
    <mergeCell ref="B601:C601"/>
    <mergeCell ref="A603:M603"/>
    <mergeCell ref="B584:C584"/>
    <mergeCell ref="B586:K586"/>
    <mergeCell ref="B587:C587"/>
    <mergeCell ref="B589:K589"/>
    <mergeCell ref="B590:C590"/>
    <mergeCell ref="B592:K592"/>
    <mergeCell ref="B575:C575"/>
    <mergeCell ref="B577:K577"/>
    <mergeCell ref="B578:C578"/>
    <mergeCell ref="B580:K580"/>
    <mergeCell ref="B581:C581"/>
    <mergeCell ref="B583:K583"/>
    <mergeCell ref="B593:C593"/>
    <mergeCell ref="B597:K597"/>
    <mergeCell ref="B598:C598"/>
    <mergeCell ref="B600:K600"/>
    <mergeCell ref="B561:C561"/>
    <mergeCell ref="B563:K563"/>
    <mergeCell ref="B564:C564"/>
    <mergeCell ref="B566:K566"/>
    <mergeCell ref="B567:C567"/>
    <mergeCell ref="B574:K574"/>
    <mergeCell ref="B552:C552"/>
    <mergeCell ref="B554:K554"/>
    <mergeCell ref="B555:C555"/>
    <mergeCell ref="B557:K557"/>
    <mergeCell ref="B558:C558"/>
    <mergeCell ref="B560:K560"/>
    <mergeCell ref="B543:C543"/>
    <mergeCell ref="B545:K545"/>
    <mergeCell ref="B546:C546"/>
    <mergeCell ref="B548:K548"/>
    <mergeCell ref="B549:C549"/>
    <mergeCell ref="B551:K551"/>
    <mergeCell ref="B534:C534"/>
    <mergeCell ref="B536:K536"/>
    <mergeCell ref="B537:C537"/>
    <mergeCell ref="B539:K539"/>
    <mergeCell ref="B540:C540"/>
    <mergeCell ref="B542:K542"/>
    <mergeCell ref="B525:C525"/>
    <mergeCell ref="B527:K527"/>
    <mergeCell ref="B528:C528"/>
    <mergeCell ref="B530:K530"/>
    <mergeCell ref="B531:C531"/>
    <mergeCell ref="B533:K533"/>
    <mergeCell ref="B516:C516"/>
    <mergeCell ref="B518:K518"/>
    <mergeCell ref="B519:C519"/>
    <mergeCell ref="B521:K521"/>
    <mergeCell ref="B522:C522"/>
    <mergeCell ref="B524:K524"/>
    <mergeCell ref="B507:C507"/>
    <mergeCell ref="B509:K509"/>
    <mergeCell ref="B510:C510"/>
    <mergeCell ref="B512:K512"/>
    <mergeCell ref="B513:C513"/>
    <mergeCell ref="B515:K515"/>
    <mergeCell ref="B498:C498"/>
    <mergeCell ref="B500:K500"/>
    <mergeCell ref="B501:C501"/>
    <mergeCell ref="B503:K503"/>
    <mergeCell ref="B504:C504"/>
    <mergeCell ref="B506:K506"/>
    <mergeCell ref="B478:C478"/>
    <mergeCell ref="B480:K480"/>
    <mergeCell ref="B481:C481"/>
    <mergeCell ref="B483:K483"/>
    <mergeCell ref="B484:C484"/>
    <mergeCell ref="B497:K497"/>
    <mergeCell ref="B486:K486"/>
    <mergeCell ref="B487:C487"/>
    <mergeCell ref="B489:K489"/>
    <mergeCell ref="B490:C490"/>
    <mergeCell ref="B469:C469"/>
    <mergeCell ref="B471:K471"/>
    <mergeCell ref="B472:C472"/>
    <mergeCell ref="B474:K474"/>
    <mergeCell ref="B475:C475"/>
    <mergeCell ref="B477:K477"/>
    <mergeCell ref="B452:C452"/>
    <mergeCell ref="B462:K462"/>
    <mergeCell ref="B463:C463"/>
    <mergeCell ref="B465:K465"/>
    <mergeCell ref="B466:C466"/>
    <mergeCell ref="B468:K468"/>
    <mergeCell ref="B454:K454"/>
    <mergeCell ref="B455:C455"/>
    <mergeCell ref="B457:K457"/>
    <mergeCell ref="B458:C458"/>
    <mergeCell ref="B443:C443"/>
    <mergeCell ref="B445:K445"/>
    <mergeCell ref="B446:C446"/>
    <mergeCell ref="B448:K448"/>
    <mergeCell ref="B449:C449"/>
    <mergeCell ref="B451:K451"/>
    <mergeCell ref="B434:C434"/>
    <mergeCell ref="B436:K436"/>
    <mergeCell ref="B437:C437"/>
    <mergeCell ref="B439:K439"/>
    <mergeCell ref="B440:C440"/>
    <mergeCell ref="B442:K442"/>
    <mergeCell ref="B425:C425"/>
    <mergeCell ref="B427:K427"/>
    <mergeCell ref="B428:C428"/>
    <mergeCell ref="B430:K430"/>
    <mergeCell ref="B431:C431"/>
    <mergeCell ref="B433:K433"/>
    <mergeCell ref="B416:C416"/>
    <mergeCell ref="B418:K418"/>
    <mergeCell ref="B419:C419"/>
    <mergeCell ref="B421:K421"/>
    <mergeCell ref="B422:C422"/>
    <mergeCell ref="B424:K424"/>
    <mergeCell ref="B407:C407"/>
    <mergeCell ref="B409:K409"/>
    <mergeCell ref="B410:C410"/>
    <mergeCell ref="B412:K412"/>
    <mergeCell ref="B413:C413"/>
    <mergeCell ref="B415:K415"/>
    <mergeCell ref="B398:C398"/>
    <mergeCell ref="B400:K400"/>
    <mergeCell ref="B401:C401"/>
    <mergeCell ref="B403:K403"/>
    <mergeCell ref="B404:C404"/>
    <mergeCell ref="B406:K406"/>
    <mergeCell ref="B389:C389"/>
    <mergeCell ref="B391:K391"/>
    <mergeCell ref="B392:C392"/>
    <mergeCell ref="B394:K394"/>
    <mergeCell ref="B395:C395"/>
    <mergeCell ref="B397:K397"/>
    <mergeCell ref="B378:C378"/>
    <mergeCell ref="B382:K382"/>
    <mergeCell ref="B383:C383"/>
    <mergeCell ref="B385:K385"/>
    <mergeCell ref="B386:C386"/>
    <mergeCell ref="B388:K388"/>
    <mergeCell ref="B369:C369"/>
    <mergeCell ref="B371:K371"/>
    <mergeCell ref="B372:C372"/>
    <mergeCell ref="B374:K374"/>
    <mergeCell ref="B375:C375"/>
    <mergeCell ref="B377:K377"/>
    <mergeCell ref="B355:C355"/>
    <mergeCell ref="B358:K358"/>
    <mergeCell ref="B359:C359"/>
    <mergeCell ref="B365:K365"/>
    <mergeCell ref="B366:C366"/>
    <mergeCell ref="B368:K368"/>
    <mergeCell ref="B356:C356"/>
    <mergeCell ref="B360:C360"/>
    <mergeCell ref="B361:C361"/>
    <mergeCell ref="B362:C362"/>
    <mergeCell ref="B346:K346"/>
    <mergeCell ref="B338:C338"/>
    <mergeCell ref="B343:C343"/>
    <mergeCell ref="B334:K334"/>
    <mergeCell ref="B335:C335"/>
    <mergeCell ref="B337:K337"/>
    <mergeCell ref="B326:C326"/>
    <mergeCell ref="B328:K328"/>
    <mergeCell ref="B329:C329"/>
    <mergeCell ref="B342:K342"/>
    <mergeCell ref="B331:K331"/>
    <mergeCell ref="B332:C332"/>
    <mergeCell ref="B317:C317"/>
    <mergeCell ref="B319:K319"/>
    <mergeCell ref="B320:C320"/>
    <mergeCell ref="B322:K322"/>
    <mergeCell ref="B323:C323"/>
    <mergeCell ref="B325:K325"/>
    <mergeCell ref="B308:C308"/>
    <mergeCell ref="B310:K310"/>
    <mergeCell ref="B311:C311"/>
    <mergeCell ref="B313:K313"/>
    <mergeCell ref="B314:C314"/>
    <mergeCell ref="B316:K316"/>
    <mergeCell ref="B307:K307"/>
    <mergeCell ref="B302:K302"/>
    <mergeCell ref="B303:C303"/>
    <mergeCell ref="B297:C297"/>
    <mergeCell ref="B299:K299"/>
    <mergeCell ref="B300:C300"/>
    <mergeCell ref="B191:C191"/>
    <mergeCell ref="B194:C194"/>
    <mergeCell ref="B196:K196"/>
    <mergeCell ref="B197:C197"/>
    <mergeCell ref="B292:C292"/>
    <mergeCell ref="B296:K296"/>
    <mergeCell ref="B275:K275"/>
    <mergeCell ref="B276:C276"/>
    <mergeCell ref="B278:K278"/>
    <mergeCell ref="B279:C279"/>
    <mergeCell ref="B290:K290"/>
    <mergeCell ref="B285:C285"/>
    <mergeCell ref="B286:C286"/>
    <mergeCell ref="B265:K265"/>
    <mergeCell ref="B266:C266"/>
    <mergeCell ref="B269:K269"/>
    <mergeCell ref="B270:C270"/>
    <mergeCell ref="B272:K272"/>
    <mergeCell ref="B273:C273"/>
    <mergeCell ref="B256:K256"/>
    <mergeCell ref="B257:C257"/>
    <mergeCell ref="B259:K259"/>
    <mergeCell ref="B260:C260"/>
    <mergeCell ref="B262:K262"/>
    <mergeCell ref="B263:C263"/>
    <mergeCell ref="B236:K236"/>
    <mergeCell ref="B237:C237"/>
    <mergeCell ref="B239:K239"/>
    <mergeCell ref="B240:C240"/>
    <mergeCell ref="B242:K242"/>
    <mergeCell ref="B243:C243"/>
    <mergeCell ref="B227:K227"/>
    <mergeCell ref="B228:C228"/>
    <mergeCell ref="B230:K230"/>
    <mergeCell ref="B231:C231"/>
    <mergeCell ref="B233:K233"/>
    <mergeCell ref="B234:C234"/>
    <mergeCell ref="B213:K213"/>
    <mergeCell ref="B214:C214"/>
    <mergeCell ref="B216:K216"/>
    <mergeCell ref="B217:C217"/>
    <mergeCell ref="B224:K224"/>
    <mergeCell ref="B225:C225"/>
    <mergeCell ref="B221:C221"/>
    <mergeCell ref="B222:C222"/>
    <mergeCell ref="B182:C182"/>
    <mergeCell ref="B120:C120"/>
    <mergeCell ref="B171:C171"/>
    <mergeCell ref="B175:K175"/>
    <mergeCell ref="B162:K162"/>
    <mergeCell ref="B168:C168"/>
    <mergeCell ref="B170:K170"/>
    <mergeCell ref="B163:C164"/>
    <mergeCell ref="B104:K104"/>
    <mergeCell ref="B107:K107"/>
    <mergeCell ref="B110:K110"/>
    <mergeCell ref="B159:K159"/>
    <mergeCell ref="B154:K154"/>
    <mergeCell ref="B160:C160"/>
    <mergeCell ref="B155:C155"/>
    <mergeCell ref="B44:C44"/>
    <mergeCell ref="B46:K46"/>
    <mergeCell ref="B47:C47"/>
    <mergeCell ref="B51:C51"/>
    <mergeCell ref="B67:K67"/>
    <mergeCell ref="B70:K70"/>
    <mergeCell ref="B63:C63"/>
    <mergeCell ref="B52:C52"/>
    <mergeCell ref="B53:C53"/>
    <mergeCell ref="B54:C54"/>
    <mergeCell ref="B56:C56"/>
    <mergeCell ref="B57:C57"/>
    <mergeCell ref="B55:C55"/>
    <mergeCell ref="B30:C30"/>
    <mergeCell ref="B32:K32"/>
    <mergeCell ref="B33:C33"/>
    <mergeCell ref="B35:K35"/>
    <mergeCell ref="B36:C36"/>
    <mergeCell ref="B43:K43"/>
    <mergeCell ref="B38:K38"/>
    <mergeCell ref="B39:C39"/>
    <mergeCell ref="B21:C21"/>
    <mergeCell ref="B23:K23"/>
    <mergeCell ref="B24:C24"/>
    <mergeCell ref="B26:K26"/>
    <mergeCell ref="B27:C27"/>
    <mergeCell ref="B29:K29"/>
    <mergeCell ref="A10:M10"/>
    <mergeCell ref="B14:K14"/>
    <mergeCell ref="B15:C15"/>
    <mergeCell ref="B17:K17"/>
    <mergeCell ref="B18:C18"/>
    <mergeCell ref="B20:K20"/>
    <mergeCell ref="A7:A8"/>
    <mergeCell ref="B7:C8"/>
    <mergeCell ref="D7:D8"/>
    <mergeCell ref="E7:J7"/>
    <mergeCell ref="K7:L7"/>
    <mergeCell ref="M7:M8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</mergeCells>
  <phoneticPr fontId="30" type="noConversion"/>
  <printOptions horizontalCentered="1"/>
  <pageMargins left="0.70866141732283472" right="0.70866141732283472" top="0.92519685039370081" bottom="0.92519685039370081" header="0.31496062992125984" footer="0.31496062992125984"/>
  <pageSetup paperSize="9" scale="6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N331"/>
  <sheetViews>
    <sheetView view="pageBreakPreview" topLeftCell="A226" zoomScale="70" zoomScaleNormal="85" zoomScaleSheetLayoutView="70" workbookViewId="0">
      <selection activeCell="E28" sqref="E28:E29"/>
    </sheetView>
  </sheetViews>
  <sheetFormatPr defaultColWidth="11" defaultRowHeight="15.75"/>
  <cols>
    <col min="1" max="1" width="8.5703125" style="104" customWidth="1"/>
    <col min="2" max="2" width="88.42578125" style="105" customWidth="1"/>
    <col min="3" max="3" width="6" style="106" bestFit="1" customWidth="1"/>
    <col min="4" max="4" width="10.140625" style="106" bestFit="1" customWidth="1"/>
    <col min="5" max="5" width="12.5703125" style="23" bestFit="1" customWidth="1"/>
    <col min="6" max="6" width="17.5703125" style="23" bestFit="1" customWidth="1"/>
    <col min="7" max="7" width="16.42578125" style="23" customWidth="1"/>
    <col min="8" max="8" width="15" style="107" bestFit="1" customWidth="1"/>
    <col min="9" max="9" width="18.28515625" style="23" customWidth="1"/>
    <col min="10" max="10" width="16.28515625" style="23" customWidth="1"/>
    <col min="11" max="11" width="15" style="23" customWidth="1"/>
    <col min="12" max="12" width="18.42578125" style="23" customWidth="1"/>
    <col min="13" max="13" width="15.5703125" style="24" bestFit="1" customWidth="1"/>
    <col min="14" max="14" width="11.28515625" style="14" bestFit="1" customWidth="1"/>
    <col min="15" max="15" width="10.42578125" style="15" customWidth="1"/>
    <col min="16" max="16" width="11.42578125" style="7" customWidth="1"/>
    <col min="17" max="17" width="18.7109375" style="24" bestFit="1" customWidth="1"/>
    <col min="18" max="18" width="19.85546875" style="24" bestFit="1" customWidth="1"/>
    <col min="19" max="19" width="7.42578125" style="24" customWidth="1"/>
    <col min="20" max="20" width="6" style="8" bestFit="1" customWidth="1"/>
    <col min="21" max="21" width="6.5703125" style="9" bestFit="1" customWidth="1"/>
    <col min="22" max="23" width="11" style="9"/>
    <col min="24" max="24" width="6" style="10" bestFit="1" customWidth="1"/>
    <col min="25" max="25" width="11" style="9"/>
    <col min="26" max="16384" width="11" style="12"/>
  </cols>
  <sheetData>
    <row r="1" spans="1:62" ht="60" hidden="1" customHeight="1">
      <c r="A1" s="249"/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4"/>
      <c r="N1" s="5"/>
      <c r="O1" s="6"/>
      <c r="Q1" s="4"/>
      <c r="R1" s="4"/>
      <c r="S1" s="4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</row>
    <row r="2" spans="1:62" ht="18.75" hidden="1" customHeight="1">
      <c r="A2" s="250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13"/>
      <c r="Q2" s="13"/>
      <c r="R2" s="13"/>
      <c r="S2" s="13"/>
      <c r="T2" s="16"/>
      <c r="X2" s="17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</row>
    <row r="3" spans="1:62" hidden="1">
      <c r="A3" s="251" t="s">
        <v>14</v>
      </c>
      <c r="B3" s="252" t="s">
        <v>26</v>
      </c>
      <c r="C3" s="252" t="s">
        <v>27</v>
      </c>
      <c r="D3" s="252" t="s">
        <v>28</v>
      </c>
      <c r="E3" s="252" t="s">
        <v>15</v>
      </c>
      <c r="F3" s="252"/>
      <c r="G3" s="252"/>
      <c r="H3" s="252" t="s">
        <v>29</v>
      </c>
      <c r="I3" s="252" t="s">
        <v>30</v>
      </c>
      <c r="J3" s="252"/>
      <c r="K3" s="252" t="s">
        <v>29</v>
      </c>
      <c r="L3" s="252" t="s">
        <v>30</v>
      </c>
      <c r="M3" s="13"/>
      <c r="Q3" s="13"/>
      <c r="R3" s="13"/>
      <c r="S3" s="13"/>
      <c r="T3" s="16"/>
      <c r="X3" s="17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</row>
    <row r="4" spans="1:62" ht="16.5" hidden="1" thickBot="1">
      <c r="A4" s="18"/>
      <c r="B4" s="19"/>
      <c r="C4" s="20"/>
      <c r="D4" s="20"/>
      <c r="E4" s="21"/>
      <c r="F4" s="21"/>
      <c r="G4" s="21"/>
      <c r="H4" s="22"/>
      <c r="I4" s="2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</row>
    <row r="5" spans="1:62" ht="16.5" hidden="1" thickBot="1">
      <c r="A5" s="25"/>
      <c r="B5" s="19"/>
      <c r="C5" s="20"/>
      <c r="D5" s="20"/>
      <c r="E5" s="21"/>
      <c r="F5" s="21"/>
      <c r="G5" s="21"/>
      <c r="H5" s="22"/>
      <c r="I5" s="21"/>
      <c r="J5" s="21"/>
      <c r="K5" s="21"/>
      <c r="L5" s="2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</row>
    <row r="6" spans="1:62" ht="16.5" hidden="1" thickBot="1">
      <c r="A6" s="26"/>
      <c r="B6" s="27"/>
      <c r="C6" s="28"/>
      <c r="D6" s="21"/>
      <c r="E6" s="29"/>
      <c r="F6" s="29"/>
      <c r="G6" s="29"/>
      <c r="H6" s="30"/>
      <c r="I6" s="29"/>
      <c r="J6" s="29"/>
      <c r="K6" s="21"/>
      <c r="L6" s="21"/>
      <c r="M6" s="31"/>
      <c r="Q6" s="32"/>
      <c r="R6" s="12"/>
      <c r="S6" s="12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</row>
    <row r="7" spans="1:62" ht="16.5" hidden="1" thickBot="1">
      <c r="A7" s="26"/>
      <c r="B7" s="33"/>
      <c r="C7" s="34"/>
      <c r="D7" s="35"/>
      <c r="E7" s="36"/>
      <c r="F7" s="36"/>
      <c r="G7" s="36"/>
      <c r="H7" s="37"/>
      <c r="I7" s="36"/>
      <c r="J7" s="36"/>
      <c r="K7" s="21"/>
      <c r="L7" s="21"/>
      <c r="Q7" s="12"/>
      <c r="R7" s="12"/>
      <c r="S7" s="12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</row>
    <row r="8" spans="1:62" ht="16.5" hidden="1" thickBot="1">
      <c r="A8" s="38"/>
      <c r="B8" s="39"/>
      <c r="C8" s="29"/>
      <c r="D8" s="29"/>
      <c r="E8" s="253" t="s">
        <v>32</v>
      </c>
      <c r="F8" s="254"/>
      <c r="G8" s="254"/>
      <c r="H8" s="254"/>
      <c r="I8" s="254"/>
      <c r="J8" s="254"/>
      <c r="K8" s="254"/>
      <c r="L8" s="254"/>
      <c r="M8" s="13"/>
      <c r="Q8" s="13"/>
      <c r="R8" s="13"/>
      <c r="S8" s="13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</row>
    <row r="9" spans="1:62" hidden="1">
      <c r="A9" s="40"/>
      <c r="B9" s="41"/>
      <c r="C9" s="42"/>
      <c r="D9" s="42"/>
      <c r="E9" s="255" t="s">
        <v>31</v>
      </c>
      <c r="F9" s="256"/>
      <c r="G9" s="256"/>
      <c r="H9" s="256"/>
      <c r="I9" s="256"/>
      <c r="J9" s="186"/>
      <c r="K9" s="256"/>
      <c r="L9" s="256"/>
      <c r="M9" s="13"/>
      <c r="Q9" s="13"/>
      <c r="R9" s="13"/>
      <c r="S9" s="13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</row>
    <row r="10" spans="1:62">
      <c r="A10" s="43"/>
      <c r="B10" s="44"/>
      <c r="C10" s="45"/>
      <c r="D10" s="45"/>
      <c r="E10" s="46"/>
      <c r="F10" s="46"/>
      <c r="G10" s="46"/>
      <c r="H10" s="46"/>
      <c r="I10" s="46"/>
      <c r="J10" s="46"/>
      <c r="K10" s="46"/>
      <c r="L10" s="46"/>
      <c r="M10" s="13"/>
      <c r="Q10" s="13"/>
      <c r="R10" s="13"/>
      <c r="S10" s="13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</row>
    <row r="11" spans="1:62">
      <c r="A11" s="47"/>
      <c r="B11" s="44"/>
      <c r="C11" s="45"/>
      <c r="D11" s="45"/>
      <c r="E11" s="46"/>
      <c r="F11" s="46"/>
      <c r="G11" s="46"/>
      <c r="H11" s="46"/>
      <c r="I11" s="46"/>
      <c r="J11" s="46"/>
      <c r="M11" s="13"/>
      <c r="Q11" s="13"/>
      <c r="R11" s="13"/>
      <c r="S11" s="13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</row>
    <row r="12" spans="1:62">
      <c r="A12" s="43"/>
      <c r="B12" s="44"/>
      <c r="C12" s="45"/>
      <c r="D12" s="45"/>
      <c r="E12" s="46"/>
      <c r="F12" s="46"/>
      <c r="G12" s="46"/>
      <c r="H12" s="46"/>
      <c r="I12" s="46"/>
      <c r="J12" s="46"/>
      <c r="K12" s="46"/>
      <c r="L12" s="46"/>
      <c r="M12" s="13"/>
      <c r="Q12" s="13"/>
      <c r="R12" s="13"/>
      <c r="S12" s="13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</row>
    <row r="13" spans="1:62">
      <c r="A13" s="43"/>
      <c r="B13" s="44"/>
      <c r="C13" s="45"/>
      <c r="D13" s="45"/>
      <c r="E13" s="46"/>
      <c r="F13" s="46"/>
      <c r="G13" s="46"/>
      <c r="H13" s="46"/>
      <c r="I13" s="46"/>
      <c r="J13" s="46"/>
      <c r="M13" s="13"/>
      <c r="Q13" s="13"/>
      <c r="R13" s="13"/>
      <c r="S13" s="13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</row>
    <row r="14" spans="1:62">
      <c r="A14" s="43"/>
      <c r="B14" s="44"/>
      <c r="C14" s="45"/>
      <c r="D14" s="45"/>
      <c r="E14" s="46"/>
      <c r="F14" s="46"/>
      <c r="G14" s="46"/>
      <c r="H14" s="46"/>
      <c r="I14" s="46"/>
      <c r="J14" s="46"/>
      <c r="M14" s="13"/>
      <c r="Q14" s="13"/>
      <c r="R14" s="13"/>
      <c r="S14" s="13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</row>
    <row r="15" spans="1:62">
      <c r="A15" s="246" t="s">
        <v>425</v>
      </c>
      <c r="B15" s="246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13"/>
      <c r="Q15" s="13"/>
      <c r="R15" s="13"/>
      <c r="S15" s="13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</row>
    <row r="16" spans="1:62">
      <c r="A16" s="246" t="s">
        <v>427</v>
      </c>
      <c r="B16" s="246"/>
      <c r="C16" s="246"/>
      <c r="D16" s="246"/>
      <c r="E16" s="246"/>
      <c r="F16" s="246"/>
      <c r="G16" s="246"/>
      <c r="H16" s="246"/>
      <c r="I16" s="246"/>
      <c r="J16" s="246"/>
      <c r="K16" s="246"/>
      <c r="L16" s="246"/>
      <c r="M16" s="13"/>
      <c r="Q16" s="13"/>
      <c r="R16" s="13"/>
      <c r="S16" s="13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</row>
    <row r="17" spans="1:62">
      <c r="A17" s="43"/>
      <c r="B17" s="44"/>
      <c r="C17" s="45"/>
      <c r="D17" s="45"/>
      <c r="E17" s="46"/>
      <c r="F17" s="46"/>
      <c r="G17" s="46"/>
      <c r="H17" s="46"/>
      <c r="I17" s="46"/>
      <c r="J17" s="46"/>
      <c r="M17" s="13"/>
      <c r="Q17" s="13"/>
      <c r="R17" s="13"/>
      <c r="S17" s="13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</row>
    <row r="18" spans="1:62" s="54" customFormat="1">
      <c r="A18" s="48"/>
      <c r="B18" s="49"/>
      <c r="C18" s="50"/>
      <c r="D18" s="51"/>
      <c r="E18" s="52"/>
      <c r="F18" s="52"/>
      <c r="G18" s="52"/>
      <c r="H18" s="52"/>
      <c r="I18" s="52"/>
      <c r="J18" s="52"/>
      <c r="K18" s="52"/>
      <c r="L18" s="53"/>
    </row>
    <row r="19" spans="1:62" s="54" customFormat="1" ht="18">
      <c r="A19" s="48"/>
      <c r="B19" s="48"/>
      <c r="C19" s="48"/>
      <c r="E19" s="48"/>
      <c r="F19" s="48"/>
      <c r="G19" s="48"/>
      <c r="H19" s="48"/>
      <c r="I19" s="285" t="s">
        <v>579</v>
      </c>
      <c r="J19" s="285"/>
      <c r="K19" s="285"/>
      <c r="L19" s="285"/>
    </row>
    <row r="20" spans="1:62" s="54" customFormat="1">
      <c r="A20" s="260"/>
      <c r="B20" s="260"/>
      <c r="C20" s="260"/>
      <c r="D20" s="260"/>
      <c r="E20" s="260"/>
      <c r="F20" s="260"/>
      <c r="G20" s="260"/>
      <c r="H20" s="260"/>
      <c r="I20" s="55" t="s">
        <v>33</v>
      </c>
      <c r="J20" s="56"/>
      <c r="K20" s="56"/>
      <c r="L20" s="57">
        <v>44998</v>
      </c>
    </row>
    <row r="21" spans="1:62" s="54" customFormat="1">
      <c r="A21" s="1"/>
      <c r="B21" s="53"/>
      <c r="C21" s="1"/>
      <c r="D21" s="1"/>
      <c r="E21" s="1"/>
      <c r="F21" s="1"/>
      <c r="G21" s="1"/>
      <c r="H21" s="1"/>
      <c r="I21" s="55" t="s">
        <v>420</v>
      </c>
      <c r="J21" s="56"/>
      <c r="K21" s="56"/>
      <c r="L21" s="2">
        <f>F289</f>
        <v>751811.60013000015</v>
      </c>
      <c r="M21" s="58">
        <v>719635.08</v>
      </c>
      <c r="N21" s="59">
        <v>719635.08</v>
      </c>
      <c r="O21" s="60">
        <v>0.23880000000000001</v>
      </c>
    </row>
    <row r="22" spans="1:62" s="54" customFormat="1">
      <c r="A22" s="1"/>
      <c r="B22" s="53"/>
      <c r="C22" s="1"/>
      <c r="D22" s="1"/>
      <c r="E22" s="1"/>
      <c r="F22" s="1"/>
      <c r="G22" s="1"/>
      <c r="H22" s="1"/>
      <c r="I22" s="55" t="s">
        <v>34</v>
      </c>
      <c r="J22" s="56"/>
      <c r="K22" s="56"/>
      <c r="L22" s="2">
        <f>L21-L23-L24</f>
        <v>189172.00493000008</v>
      </c>
      <c r="M22" s="61" t="e">
        <f>SUM(L21+#REF!)</f>
        <v>#REF!</v>
      </c>
      <c r="N22" s="59">
        <f>SUM(N21*O21+N21)</f>
        <v>891483.93710400001</v>
      </c>
      <c r="O22" s="59"/>
    </row>
    <row r="23" spans="1:62" s="54" customFormat="1">
      <c r="C23" s="1"/>
      <c r="D23" s="1"/>
      <c r="E23" s="1"/>
      <c r="F23" s="1"/>
      <c r="G23" s="1"/>
      <c r="H23" s="1"/>
      <c r="I23" s="55" t="s">
        <v>35</v>
      </c>
      <c r="J23" s="56"/>
      <c r="K23" s="56"/>
      <c r="L23" s="2">
        <f>J289</f>
        <v>337613.53920000006</v>
      </c>
      <c r="M23" s="61"/>
      <c r="N23" s="62"/>
      <c r="O23" s="62"/>
    </row>
    <row r="24" spans="1:62" s="54" customFormat="1">
      <c r="A24" s="247" t="s">
        <v>428</v>
      </c>
      <c r="B24" s="247"/>
      <c r="C24" s="49"/>
      <c r="D24" s="50"/>
      <c r="E24" s="49"/>
      <c r="F24" s="49"/>
      <c r="G24" s="49"/>
      <c r="H24" s="49"/>
      <c r="I24" s="63" t="s">
        <v>36</v>
      </c>
      <c r="J24" s="64"/>
      <c r="K24" s="64"/>
      <c r="L24" s="3">
        <f>K289</f>
        <v>225026.05600000001</v>
      </c>
    </row>
    <row r="25" spans="1:62" s="54" customFormat="1">
      <c r="A25" s="247" t="s">
        <v>526</v>
      </c>
      <c r="B25" s="247"/>
      <c r="C25" s="49"/>
      <c r="D25" s="50"/>
      <c r="E25" s="49"/>
      <c r="F25" s="49"/>
      <c r="G25" s="49"/>
      <c r="H25" s="49"/>
    </row>
    <row r="26" spans="1:62" s="54" customFormat="1">
      <c r="A26" s="48" t="s">
        <v>429</v>
      </c>
      <c r="B26" s="49"/>
      <c r="C26" s="50"/>
      <c r="D26" s="51"/>
      <c r="E26" s="52"/>
      <c r="F26" s="52"/>
      <c r="G26" s="52"/>
      <c r="H26" s="52"/>
      <c r="AN26" s="54" t="str">
        <f>IF(AL26=100%,"à medir","medido")</f>
        <v>medido</v>
      </c>
    </row>
    <row r="27" spans="1:62" s="54" customFormat="1">
      <c r="A27" s="48"/>
      <c r="B27" s="49"/>
      <c r="C27" s="50"/>
      <c r="D27" s="51"/>
      <c r="E27" s="52"/>
      <c r="F27" s="52"/>
      <c r="G27" s="52"/>
      <c r="H27" s="52"/>
      <c r="I27" s="65"/>
      <c r="J27" s="65"/>
      <c r="K27" s="52"/>
      <c r="L27" s="67"/>
    </row>
    <row r="28" spans="1:62" s="54" customFormat="1">
      <c r="A28" s="299" t="s">
        <v>14</v>
      </c>
      <c r="B28" s="295" t="s">
        <v>26</v>
      </c>
      <c r="C28" s="294" t="s">
        <v>27</v>
      </c>
      <c r="D28" s="294" t="s">
        <v>15</v>
      </c>
      <c r="E28" s="293" t="s">
        <v>28</v>
      </c>
      <c r="F28" s="293" t="s">
        <v>38</v>
      </c>
      <c r="G28" s="293" t="s">
        <v>539</v>
      </c>
      <c r="H28" s="293"/>
      <c r="I28" s="293"/>
      <c r="J28" s="293" t="s">
        <v>540</v>
      </c>
      <c r="K28" s="293"/>
      <c r="L28" s="293"/>
    </row>
    <row r="29" spans="1:62" ht="50.25" customHeight="1">
      <c r="A29" s="299"/>
      <c r="B29" s="295"/>
      <c r="C29" s="294"/>
      <c r="D29" s="294"/>
      <c r="E29" s="293"/>
      <c r="F29" s="293"/>
      <c r="G29" s="189" t="s">
        <v>533</v>
      </c>
      <c r="H29" s="189" t="s">
        <v>37</v>
      </c>
      <c r="I29" s="189" t="s">
        <v>39</v>
      </c>
      <c r="J29" s="189" t="s">
        <v>533</v>
      </c>
      <c r="K29" s="189" t="s">
        <v>37</v>
      </c>
      <c r="L29" s="189" t="s">
        <v>39</v>
      </c>
      <c r="M29" s="72"/>
      <c r="N29" s="73"/>
      <c r="O29" s="74"/>
      <c r="Q29" s="73"/>
      <c r="R29" s="73"/>
      <c r="S29" s="72"/>
      <c r="T29" s="16"/>
      <c r="X29" s="17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</row>
    <row r="30" spans="1:62" ht="24.6" customHeight="1">
      <c r="A30" s="296" t="s">
        <v>40</v>
      </c>
      <c r="B30" s="297"/>
      <c r="C30" s="297"/>
      <c r="D30" s="297"/>
      <c r="E30" s="297"/>
      <c r="F30" s="297"/>
      <c r="G30" s="297"/>
      <c r="H30" s="297"/>
      <c r="I30" s="297"/>
      <c r="J30" s="297"/>
      <c r="K30" s="297"/>
      <c r="L30" s="298"/>
      <c r="M30" s="72"/>
      <c r="N30" s="73"/>
      <c r="O30" s="74"/>
      <c r="Q30" s="73"/>
      <c r="R30" s="73"/>
      <c r="S30" s="72"/>
      <c r="T30" s="16"/>
      <c r="X30" s="17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</row>
    <row r="31" spans="1:62" s="87" customFormat="1">
      <c r="A31" s="148" t="s">
        <v>1</v>
      </c>
      <c r="B31" s="149" t="s">
        <v>0</v>
      </c>
      <c r="C31" s="150"/>
      <c r="D31" s="151"/>
      <c r="E31" s="150"/>
      <c r="F31" s="150">
        <f>SUM(F32:F41)</f>
        <v>17702.1358</v>
      </c>
      <c r="G31" s="150"/>
      <c r="H31" s="150"/>
      <c r="I31" s="150"/>
      <c r="J31" s="150">
        <f>SUM(J32:J41)</f>
        <v>7213.12</v>
      </c>
      <c r="K31" s="150">
        <f t="shared" ref="K31:L31" si="0">SUM(K32:K41)</f>
        <v>10489.015799999999</v>
      </c>
      <c r="L31" s="150">
        <f t="shared" si="0"/>
        <v>17702.1358</v>
      </c>
      <c r="M31" s="188">
        <f>L31/F31</f>
        <v>1</v>
      </c>
      <c r="N31" s="80"/>
      <c r="O31" s="81"/>
      <c r="P31" s="7"/>
      <c r="Q31" s="79"/>
      <c r="R31" s="79"/>
      <c r="S31" s="79"/>
      <c r="T31" s="16"/>
      <c r="U31" s="82"/>
      <c r="V31" s="14"/>
      <c r="W31" s="83"/>
      <c r="X31" s="84"/>
      <c r="Y31" s="83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</row>
    <row r="32" spans="1:62">
      <c r="A32" s="88"/>
      <c r="B32" s="89"/>
      <c r="C32" s="88"/>
      <c r="D32" s="90"/>
      <c r="E32" s="152"/>
      <c r="F32" s="152"/>
      <c r="G32" s="152"/>
      <c r="H32" s="152"/>
      <c r="I32" s="152"/>
      <c r="J32" s="152"/>
      <c r="K32" s="152"/>
      <c r="L32" s="152"/>
      <c r="M32" s="188" t="e">
        <f t="shared" ref="M32:M95" si="1">L32/F32</f>
        <v>#DIV/0!</v>
      </c>
      <c r="N32" s="80"/>
      <c r="O32" s="81"/>
      <c r="Q32" s="80"/>
      <c r="R32" s="80"/>
      <c r="S32" s="91"/>
      <c r="U32" s="82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</row>
    <row r="33" spans="1:62">
      <c r="A33" s="153" t="s">
        <v>41</v>
      </c>
      <c r="B33" s="154" t="s">
        <v>366</v>
      </c>
      <c r="C33" s="155" t="s">
        <v>16</v>
      </c>
      <c r="D33" s="156">
        <v>6</v>
      </c>
      <c r="E33" s="156">
        <v>297.62</v>
      </c>
      <c r="F33" s="156">
        <f>D33*E33</f>
        <v>1785.72</v>
      </c>
      <c r="G33" s="156">
        <v>6</v>
      </c>
      <c r="H33" s="156"/>
      <c r="I33" s="156">
        <f>G33+H33</f>
        <v>6</v>
      </c>
      <c r="J33" s="156">
        <f>E33*G33</f>
        <v>1785.72</v>
      </c>
      <c r="K33" s="156">
        <f t="shared" ref="K33:K40" si="2">H33*E33</f>
        <v>0</v>
      </c>
      <c r="L33" s="156">
        <f>J33+K33</f>
        <v>1785.72</v>
      </c>
      <c r="M33" s="188">
        <f t="shared" si="1"/>
        <v>1</v>
      </c>
      <c r="N33" s="92"/>
      <c r="O33" s="81"/>
      <c r="Q33" s="92"/>
      <c r="R33" s="92"/>
      <c r="S33" s="93"/>
      <c r="U33" s="82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</row>
    <row r="34" spans="1:62" ht="28.5">
      <c r="A34" s="153" t="s">
        <v>42</v>
      </c>
      <c r="B34" s="154" t="s">
        <v>305</v>
      </c>
      <c r="C34" s="155" t="s">
        <v>43</v>
      </c>
      <c r="D34" s="156">
        <v>140</v>
      </c>
      <c r="E34" s="156">
        <v>36.409999999999997</v>
      </c>
      <c r="F34" s="156">
        <f t="shared" ref="F34:F40" si="3">D34*E34</f>
        <v>5097.3999999999996</v>
      </c>
      <c r="G34" s="156">
        <v>140</v>
      </c>
      <c r="H34" s="156"/>
      <c r="I34" s="156">
        <f t="shared" ref="I34:I40" si="4">G34+H34</f>
        <v>140</v>
      </c>
      <c r="J34" s="156">
        <f t="shared" ref="J34:J39" si="5">E34*G34</f>
        <v>5097.3999999999996</v>
      </c>
      <c r="K34" s="156">
        <f t="shared" si="2"/>
        <v>0</v>
      </c>
      <c r="L34" s="156">
        <f t="shared" ref="L34:L40" si="6">J34+K34</f>
        <v>5097.3999999999996</v>
      </c>
      <c r="M34" s="188">
        <f t="shared" si="1"/>
        <v>1</v>
      </c>
      <c r="N34" s="80"/>
      <c r="O34" s="81"/>
      <c r="Q34" s="80"/>
      <c r="R34" s="80"/>
      <c r="S34" s="91"/>
      <c r="U34" s="82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</row>
    <row r="35" spans="1:62" ht="42.75">
      <c r="A35" s="153" t="s">
        <v>44</v>
      </c>
      <c r="B35" s="154" t="s">
        <v>367</v>
      </c>
      <c r="C35" s="155" t="s">
        <v>16</v>
      </c>
      <c r="D35" s="156">
        <v>1500</v>
      </c>
      <c r="E35" s="156">
        <v>0.22</v>
      </c>
      <c r="F35" s="156">
        <f t="shared" si="3"/>
        <v>330</v>
      </c>
      <c r="G35" s="156">
        <v>1500</v>
      </c>
      <c r="H35" s="156"/>
      <c r="I35" s="156">
        <f t="shared" si="4"/>
        <v>1500</v>
      </c>
      <c r="J35" s="156">
        <f t="shared" si="5"/>
        <v>330</v>
      </c>
      <c r="K35" s="156">
        <f t="shared" si="2"/>
        <v>0</v>
      </c>
      <c r="L35" s="156">
        <f t="shared" si="6"/>
        <v>330</v>
      </c>
      <c r="M35" s="188">
        <f t="shared" si="1"/>
        <v>1</v>
      </c>
      <c r="N35" s="80"/>
      <c r="O35" s="81"/>
      <c r="Q35" s="80"/>
      <c r="R35" s="80"/>
      <c r="S35" s="91"/>
      <c r="U35" s="82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</row>
    <row r="36" spans="1:62" s="87" customFormat="1" ht="42.75">
      <c r="A36" s="153" t="s">
        <v>45</v>
      </c>
      <c r="B36" s="154" t="s">
        <v>368</v>
      </c>
      <c r="C36" s="155" t="s">
        <v>7</v>
      </c>
      <c r="D36" s="156">
        <v>0</v>
      </c>
      <c r="E36" s="156">
        <v>414.92</v>
      </c>
      <c r="F36" s="156">
        <f t="shared" si="3"/>
        <v>0</v>
      </c>
      <c r="G36" s="156">
        <v>0</v>
      </c>
      <c r="H36" s="156"/>
      <c r="I36" s="156">
        <f t="shared" si="4"/>
        <v>0</v>
      </c>
      <c r="J36" s="156">
        <f t="shared" si="5"/>
        <v>0</v>
      </c>
      <c r="K36" s="156">
        <f t="shared" si="2"/>
        <v>0</v>
      </c>
      <c r="L36" s="156">
        <f t="shared" si="6"/>
        <v>0</v>
      </c>
      <c r="M36" s="188" t="e">
        <f t="shared" si="1"/>
        <v>#DIV/0!</v>
      </c>
      <c r="N36" s="80"/>
      <c r="O36" s="81"/>
      <c r="P36" s="7"/>
      <c r="Q36" s="79"/>
      <c r="R36" s="79"/>
      <c r="S36" s="79"/>
      <c r="T36" s="16"/>
      <c r="U36" s="82"/>
      <c r="V36" s="14"/>
      <c r="W36" s="83"/>
      <c r="X36" s="84"/>
      <c r="Y36" s="83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</row>
    <row r="37" spans="1:62" s="87" customFormat="1" ht="34.5" customHeight="1">
      <c r="A37" s="153" t="s">
        <v>46</v>
      </c>
      <c r="B37" s="157" t="s">
        <v>369</v>
      </c>
      <c r="C37" s="155" t="s">
        <v>7</v>
      </c>
      <c r="D37" s="156">
        <v>0</v>
      </c>
      <c r="E37" s="156">
        <v>1100.67</v>
      </c>
      <c r="F37" s="156">
        <f t="shared" si="3"/>
        <v>0</v>
      </c>
      <c r="G37" s="156">
        <v>0</v>
      </c>
      <c r="H37" s="156"/>
      <c r="I37" s="156">
        <f t="shared" si="4"/>
        <v>0</v>
      </c>
      <c r="J37" s="156">
        <f t="shared" si="5"/>
        <v>0</v>
      </c>
      <c r="K37" s="156">
        <f t="shared" si="2"/>
        <v>0</v>
      </c>
      <c r="L37" s="156">
        <f t="shared" si="6"/>
        <v>0</v>
      </c>
      <c r="M37" s="188" t="e">
        <f t="shared" si="1"/>
        <v>#DIV/0!</v>
      </c>
      <c r="N37" s="80"/>
      <c r="O37" s="81"/>
      <c r="P37" s="7"/>
      <c r="Q37" s="79"/>
      <c r="R37" s="79"/>
      <c r="S37" s="79"/>
      <c r="T37" s="16"/>
      <c r="U37" s="82"/>
      <c r="V37" s="14"/>
      <c r="W37" s="83"/>
      <c r="X37" s="84"/>
      <c r="Y37" s="83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</row>
    <row r="38" spans="1:62" s="87" customFormat="1" ht="42.75">
      <c r="A38" s="153" t="s">
        <v>47</v>
      </c>
      <c r="B38" s="157" t="s">
        <v>370</v>
      </c>
      <c r="C38" s="155" t="s">
        <v>7</v>
      </c>
      <c r="D38" s="156">
        <v>0</v>
      </c>
      <c r="E38" s="156">
        <v>467.94</v>
      </c>
      <c r="F38" s="156">
        <f t="shared" si="3"/>
        <v>0</v>
      </c>
      <c r="G38" s="156">
        <v>0</v>
      </c>
      <c r="H38" s="156"/>
      <c r="I38" s="156">
        <f t="shared" si="4"/>
        <v>0</v>
      </c>
      <c r="J38" s="156">
        <f t="shared" si="5"/>
        <v>0</v>
      </c>
      <c r="K38" s="156">
        <f t="shared" si="2"/>
        <v>0</v>
      </c>
      <c r="L38" s="156">
        <f t="shared" si="6"/>
        <v>0</v>
      </c>
      <c r="M38" s="188" t="e">
        <f t="shared" si="1"/>
        <v>#DIV/0!</v>
      </c>
      <c r="N38" s="80"/>
      <c r="O38" s="81"/>
      <c r="P38" s="7"/>
      <c r="Q38" s="79"/>
      <c r="R38" s="79"/>
      <c r="S38" s="79"/>
      <c r="T38" s="16"/>
      <c r="U38" s="82"/>
      <c r="V38" s="14"/>
      <c r="W38" s="83"/>
      <c r="X38" s="84"/>
      <c r="Y38" s="83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</row>
    <row r="39" spans="1:62" s="87" customFormat="1">
      <c r="A39" s="153" t="s">
        <v>48</v>
      </c>
      <c r="B39" s="158" t="s">
        <v>371</v>
      </c>
      <c r="C39" s="155" t="s">
        <v>50</v>
      </c>
      <c r="D39" s="156">
        <v>0</v>
      </c>
      <c r="E39" s="156">
        <v>490.5</v>
      </c>
      <c r="F39" s="156">
        <f t="shared" si="3"/>
        <v>0</v>
      </c>
      <c r="G39" s="156">
        <v>0</v>
      </c>
      <c r="H39" s="156"/>
      <c r="I39" s="156">
        <f t="shared" si="4"/>
        <v>0</v>
      </c>
      <c r="J39" s="156">
        <f t="shared" si="5"/>
        <v>0</v>
      </c>
      <c r="K39" s="156">
        <f t="shared" si="2"/>
        <v>0</v>
      </c>
      <c r="L39" s="156">
        <f t="shared" si="6"/>
        <v>0</v>
      </c>
      <c r="M39" s="188" t="e">
        <f t="shared" si="1"/>
        <v>#DIV/0!</v>
      </c>
      <c r="N39" s="80"/>
      <c r="O39" s="81"/>
      <c r="P39" s="7"/>
      <c r="Q39" s="79"/>
      <c r="R39" s="79"/>
      <c r="S39" s="79"/>
      <c r="T39" s="16"/>
      <c r="U39" s="82"/>
      <c r="V39" s="14"/>
      <c r="W39" s="83"/>
      <c r="X39" s="84"/>
      <c r="Y39" s="83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</row>
    <row r="40" spans="1:62" s="87" customFormat="1">
      <c r="A40" s="153" t="s">
        <v>49</v>
      </c>
      <c r="B40" s="158" t="s">
        <v>372</v>
      </c>
      <c r="C40" s="155" t="s">
        <v>50</v>
      </c>
      <c r="D40" s="156">
        <v>0</v>
      </c>
      <c r="E40" s="156">
        <v>452.14</v>
      </c>
      <c r="F40" s="156">
        <f t="shared" si="3"/>
        <v>0</v>
      </c>
      <c r="G40" s="156">
        <v>0</v>
      </c>
      <c r="H40" s="156"/>
      <c r="I40" s="156">
        <f t="shared" si="4"/>
        <v>0</v>
      </c>
      <c r="J40" s="156">
        <f>E40*G40</f>
        <v>0</v>
      </c>
      <c r="K40" s="156">
        <f t="shared" si="2"/>
        <v>0</v>
      </c>
      <c r="L40" s="156">
        <f t="shared" si="6"/>
        <v>0</v>
      </c>
      <c r="M40" s="188" t="e">
        <f t="shared" si="1"/>
        <v>#DIV/0!</v>
      </c>
      <c r="N40" s="80"/>
      <c r="O40" s="81"/>
      <c r="P40" s="7"/>
      <c r="Q40" s="79"/>
      <c r="R40" s="79"/>
      <c r="S40" s="79"/>
      <c r="T40" s="16"/>
      <c r="U40" s="82"/>
      <c r="V40" s="14"/>
      <c r="W40" s="83"/>
      <c r="X40" s="84"/>
      <c r="Y40" s="83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</row>
    <row r="41" spans="1:62" s="87" customFormat="1">
      <c r="A41" s="153" t="s">
        <v>581</v>
      </c>
      <c r="B41" s="158" t="s">
        <v>582</v>
      </c>
      <c r="C41" s="155" t="s">
        <v>81</v>
      </c>
      <c r="D41" s="156">
        <v>37.409999999999997</v>
      </c>
      <c r="E41" s="156">
        <v>280.38</v>
      </c>
      <c r="F41" s="156">
        <f t="shared" ref="F41" si="7">D41*E41</f>
        <v>10489.015799999999</v>
      </c>
      <c r="G41" s="156">
        <v>0</v>
      </c>
      <c r="H41" s="156">
        <f>'MEMORIA BM 04'!L38</f>
        <v>37.409999999999997</v>
      </c>
      <c r="I41" s="156">
        <f t="shared" ref="I41" si="8">G41+H41</f>
        <v>37.409999999999997</v>
      </c>
      <c r="J41" s="156">
        <f>E41*G41</f>
        <v>0</v>
      </c>
      <c r="K41" s="156">
        <f t="shared" ref="K41" si="9">H41*E41</f>
        <v>10489.015799999999</v>
      </c>
      <c r="L41" s="156">
        <f t="shared" ref="L41" si="10">J41+K41</f>
        <v>10489.015799999999</v>
      </c>
      <c r="M41" s="188">
        <f t="shared" si="1"/>
        <v>1</v>
      </c>
      <c r="N41" s="92"/>
      <c r="O41" s="81"/>
      <c r="P41" s="7"/>
      <c r="Q41" s="79"/>
      <c r="R41" s="79"/>
      <c r="S41" s="79"/>
      <c r="T41" s="16"/>
      <c r="U41" s="82"/>
      <c r="V41" s="14"/>
      <c r="W41" s="83"/>
      <c r="X41" s="84"/>
      <c r="Y41" s="83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</row>
    <row r="42" spans="1:62">
      <c r="A42" s="156"/>
      <c r="B42" s="159"/>
      <c r="C42" s="155"/>
      <c r="D42" s="156"/>
      <c r="E42" s="156"/>
      <c r="F42" s="156"/>
      <c r="G42" s="156"/>
      <c r="H42" s="156"/>
      <c r="I42" s="156"/>
      <c r="J42" s="156"/>
      <c r="K42" s="156"/>
      <c r="L42" s="156"/>
      <c r="M42" s="188" t="e">
        <f t="shared" si="1"/>
        <v>#DIV/0!</v>
      </c>
      <c r="N42" s="80"/>
      <c r="O42" s="81"/>
      <c r="Q42" s="80"/>
      <c r="R42" s="80"/>
      <c r="S42" s="91"/>
      <c r="U42" s="82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</row>
    <row r="43" spans="1:62" s="87" customFormat="1">
      <c r="A43" s="160" t="s">
        <v>19</v>
      </c>
      <c r="B43" s="161" t="s">
        <v>12</v>
      </c>
      <c r="C43" s="162"/>
      <c r="D43" s="163"/>
      <c r="E43" s="162"/>
      <c r="F43" s="162">
        <f>SUM(F44:F48)</f>
        <v>41975.284400000004</v>
      </c>
      <c r="G43" s="162"/>
      <c r="H43" s="162"/>
      <c r="I43" s="162"/>
      <c r="J43" s="162">
        <f>SUM(J44:J48)</f>
        <v>5249.1596</v>
      </c>
      <c r="K43" s="162">
        <f t="shared" ref="K43:L43" si="11">SUM(K44:K48)</f>
        <v>36726.124800000005</v>
      </c>
      <c r="L43" s="162">
        <f t="shared" si="11"/>
        <v>41975.284400000004</v>
      </c>
      <c r="M43" s="188">
        <f t="shared" si="1"/>
        <v>1</v>
      </c>
      <c r="N43" s="80"/>
      <c r="O43" s="81"/>
      <c r="P43" s="7"/>
      <c r="Q43" s="79"/>
      <c r="R43" s="79"/>
      <c r="S43" s="79"/>
      <c r="T43" s="16"/>
      <c r="U43" s="82"/>
      <c r="V43" s="14"/>
      <c r="W43" s="83"/>
      <c r="X43" s="84"/>
      <c r="Y43" s="83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</row>
    <row r="44" spans="1:62">
      <c r="A44" s="156"/>
      <c r="B44" s="159" t="s">
        <v>25</v>
      </c>
      <c r="C44" s="155"/>
      <c r="D44" s="156"/>
      <c r="E44" s="156"/>
      <c r="F44" s="156"/>
      <c r="G44" s="156"/>
      <c r="H44" s="156"/>
      <c r="I44" s="156"/>
      <c r="J44" s="156"/>
      <c r="K44" s="156"/>
      <c r="L44" s="156"/>
      <c r="M44" s="188" t="e">
        <f t="shared" si="1"/>
        <v>#DIV/0!</v>
      </c>
      <c r="N44" s="80"/>
      <c r="O44" s="81"/>
      <c r="Q44" s="80"/>
      <c r="R44" s="80"/>
      <c r="S44" s="91"/>
      <c r="U44" s="82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</row>
    <row r="45" spans="1:62" ht="28.5">
      <c r="A45" s="156" t="s">
        <v>51</v>
      </c>
      <c r="B45" s="157" t="s">
        <v>52</v>
      </c>
      <c r="C45" s="155" t="s">
        <v>17</v>
      </c>
      <c r="D45" s="156">
        <v>83.94</v>
      </c>
      <c r="E45" s="156">
        <v>8.32</v>
      </c>
      <c r="F45" s="156">
        <f t="shared" ref="F45:F47" si="12">D45*E45</f>
        <v>698.38080000000002</v>
      </c>
      <c r="G45" s="156">
        <v>83.940000000000012</v>
      </c>
      <c r="H45" s="156"/>
      <c r="I45" s="156">
        <f t="shared" ref="I45:I47" si="13">G45+H45</f>
        <v>83.940000000000012</v>
      </c>
      <c r="J45" s="156">
        <f>E45*G45</f>
        <v>698.38080000000014</v>
      </c>
      <c r="K45" s="156">
        <f>H45*E45</f>
        <v>0</v>
      </c>
      <c r="L45" s="156">
        <f t="shared" ref="L45:L47" si="14">J45+K45</f>
        <v>698.38080000000014</v>
      </c>
      <c r="M45" s="188">
        <f t="shared" si="1"/>
        <v>1.0000000000000002</v>
      </c>
      <c r="N45" s="81"/>
      <c r="O45" s="7"/>
      <c r="P45" s="80"/>
      <c r="Q45" s="80"/>
      <c r="R45" s="91"/>
      <c r="S45" s="8"/>
      <c r="T45" s="82"/>
      <c r="W45" s="10"/>
      <c r="X45" s="9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</row>
    <row r="46" spans="1:62">
      <c r="A46" s="156" t="s">
        <v>53</v>
      </c>
      <c r="B46" s="157" t="s">
        <v>54</v>
      </c>
      <c r="C46" s="155" t="s">
        <v>17</v>
      </c>
      <c r="D46" s="156">
        <v>21.94</v>
      </c>
      <c r="E46" s="156">
        <v>17.899999999999999</v>
      </c>
      <c r="F46" s="156">
        <f t="shared" si="12"/>
        <v>392.726</v>
      </c>
      <c r="G46" s="156">
        <v>21.940000000000005</v>
      </c>
      <c r="H46" s="156"/>
      <c r="I46" s="156">
        <f t="shared" si="13"/>
        <v>21.940000000000005</v>
      </c>
      <c r="J46" s="156">
        <f t="shared" ref="J46:J47" si="15">E46*G46</f>
        <v>392.72600000000006</v>
      </c>
      <c r="K46" s="156">
        <f t="shared" ref="K46:K47" si="16">H46*E46</f>
        <v>0</v>
      </c>
      <c r="L46" s="156">
        <f t="shared" si="14"/>
        <v>392.72600000000006</v>
      </c>
      <c r="M46" s="188">
        <f t="shared" si="1"/>
        <v>1.0000000000000002</v>
      </c>
      <c r="N46" s="81"/>
      <c r="O46" s="7"/>
      <c r="P46" s="80"/>
      <c r="Q46" s="80"/>
      <c r="R46" s="91"/>
      <c r="S46" s="8"/>
      <c r="T46" s="82"/>
      <c r="W46" s="10"/>
      <c r="X46" s="9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</row>
    <row r="47" spans="1:62" ht="28.5">
      <c r="A47" s="156" t="s">
        <v>55</v>
      </c>
      <c r="B47" s="157" t="s">
        <v>56</v>
      </c>
      <c r="C47" s="155" t="s">
        <v>17</v>
      </c>
      <c r="D47" s="156">
        <v>1072.4000000000001</v>
      </c>
      <c r="E47" s="156">
        <v>29.28</v>
      </c>
      <c r="F47" s="156">
        <f t="shared" si="12"/>
        <v>31399.872000000003</v>
      </c>
      <c r="G47" s="156">
        <v>142.01</v>
      </c>
      <c r="H47" s="156">
        <f>'MEMORIA BM 04'!L49</f>
        <v>930.39</v>
      </c>
      <c r="I47" s="156">
        <f t="shared" si="13"/>
        <v>1072.4000000000001</v>
      </c>
      <c r="J47" s="156">
        <f t="shared" si="15"/>
        <v>4158.0527999999995</v>
      </c>
      <c r="K47" s="156">
        <f t="shared" si="16"/>
        <v>27241.819200000002</v>
      </c>
      <c r="L47" s="156">
        <f t="shared" si="14"/>
        <v>31399.872000000003</v>
      </c>
      <c r="M47" s="188">
        <f t="shared" si="1"/>
        <v>1</v>
      </c>
      <c r="N47" s="92"/>
      <c r="O47" s="7"/>
      <c r="P47" s="80"/>
      <c r="Q47" s="80"/>
      <c r="R47" s="91"/>
      <c r="S47" s="8"/>
      <c r="T47" s="82"/>
      <c r="W47" s="10"/>
      <c r="X47" s="9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</row>
    <row r="48" spans="1:62" ht="28.5">
      <c r="A48" s="156" t="s">
        <v>583</v>
      </c>
      <c r="B48" s="157" t="s">
        <v>585</v>
      </c>
      <c r="C48" s="155" t="s">
        <v>584</v>
      </c>
      <c r="D48" s="156">
        <v>1179.6400000000001</v>
      </c>
      <c r="E48" s="156">
        <v>8.0399999999999991</v>
      </c>
      <c r="F48" s="156">
        <f t="shared" ref="F48" si="17">D48*E48</f>
        <v>9484.3055999999997</v>
      </c>
      <c r="G48" s="156">
        <v>0</v>
      </c>
      <c r="H48" s="156">
        <f>'MEMORIA BM 04'!L62</f>
        <v>1179.6400000000001</v>
      </c>
      <c r="I48" s="156">
        <f t="shared" ref="I48" si="18">G48+H48</f>
        <v>1179.6400000000001</v>
      </c>
      <c r="J48" s="156">
        <f t="shared" ref="J48" si="19">E48*G48</f>
        <v>0</v>
      </c>
      <c r="K48" s="156">
        <f t="shared" ref="K48" si="20">H48*E48</f>
        <v>9484.3055999999997</v>
      </c>
      <c r="L48" s="156">
        <f t="shared" ref="L48" si="21">J48+K48</f>
        <v>9484.3055999999997</v>
      </c>
      <c r="M48" s="188">
        <f t="shared" si="1"/>
        <v>1</v>
      </c>
      <c r="N48" s="92"/>
      <c r="O48" s="7"/>
      <c r="P48" s="80"/>
      <c r="Q48" s="80"/>
      <c r="R48" s="91"/>
      <c r="S48" s="8"/>
      <c r="T48" s="82"/>
      <c r="W48" s="10"/>
      <c r="X48" s="9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</row>
    <row r="49" spans="1:62">
      <c r="A49" s="156"/>
      <c r="B49" s="154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88" t="e">
        <f t="shared" si="1"/>
        <v>#DIV/0!</v>
      </c>
      <c r="N49" s="80"/>
      <c r="O49" s="81"/>
      <c r="Q49" s="80"/>
      <c r="R49" s="80"/>
      <c r="S49" s="91"/>
      <c r="U49" s="82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</row>
    <row r="50" spans="1:62" s="87" customFormat="1">
      <c r="A50" s="160" t="s">
        <v>20</v>
      </c>
      <c r="B50" s="161" t="s">
        <v>57</v>
      </c>
      <c r="C50" s="162"/>
      <c r="D50" s="163"/>
      <c r="E50" s="162"/>
      <c r="F50" s="162">
        <f>SUM(F51:F57)</f>
        <v>93429.462999999989</v>
      </c>
      <c r="G50" s="162"/>
      <c r="H50" s="162"/>
      <c r="I50" s="162"/>
      <c r="J50" s="162">
        <f>SUM(J51:J57)</f>
        <v>57065.177300000003</v>
      </c>
      <c r="K50" s="162">
        <f t="shared" ref="K50:L50" si="22">SUM(K51:K57)</f>
        <v>35751.117699999995</v>
      </c>
      <c r="L50" s="162">
        <f t="shared" si="22"/>
        <v>92816.294999999984</v>
      </c>
      <c r="M50" s="188">
        <f t="shared" si="1"/>
        <v>0.99343710238385929</v>
      </c>
      <c r="N50" s="80"/>
      <c r="O50" s="81"/>
      <c r="P50" s="7"/>
      <c r="Q50" s="79"/>
      <c r="R50" s="79"/>
      <c r="S50" s="79"/>
      <c r="T50" s="16"/>
      <c r="U50" s="82"/>
      <c r="V50" s="14"/>
      <c r="W50" s="83"/>
      <c r="X50" s="84"/>
      <c r="Y50" s="83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E50" s="86"/>
      <c r="BF50" s="86"/>
      <c r="BG50" s="86"/>
      <c r="BH50" s="86"/>
      <c r="BI50" s="86"/>
      <c r="BJ50" s="86"/>
    </row>
    <row r="51" spans="1:62">
      <c r="A51" s="156"/>
      <c r="B51" s="154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88" t="e">
        <f t="shared" si="1"/>
        <v>#DIV/0!</v>
      </c>
      <c r="N51" s="81"/>
      <c r="O51" s="7"/>
      <c r="P51" s="80"/>
      <c r="Q51" s="80"/>
      <c r="R51" s="91"/>
      <c r="S51" s="8"/>
      <c r="T51" s="82"/>
      <c r="U51" s="95"/>
      <c r="V51" s="95"/>
      <c r="W51" s="10"/>
      <c r="X51" s="9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</row>
    <row r="52" spans="1:62" ht="28.5">
      <c r="A52" s="156" t="s">
        <v>58</v>
      </c>
      <c r="B52" s="157" t="s">
        <v>59</v>
      </c>
      <c r="C52" s="156" t="s">
        <v>17</v>
      </c>
      <c r="D52" s="156">
        <v>40.07</v>
      </c>
      <c r="E52" s="156">
        <v>339.77</v>
      </c>
      <c r="F52" s="156">
        <f t="shared" ref="F52:F57" si="23">D52*E52</f>
        <v>13614.5839</v>
      </c>
      <c r="G52" s="156">
        <v>40.07</v>
      </c>
      <c r="H52" s="156"/>
      <c r="I52" s="156">
        <f t="shared" ref="I52:I56" si="24">G52+H52</f>
        <v>40.07</v>
      </c>
      <c r="J52" s="156">
        <f t="shared" ref="J52:J56" si="25">E52*G52</f>
        <v>13614.5839</v>
      </c>
      <c r="K52" s="156">
        <f t="shared" ref="K52:K56" si="26">H52*E52</f>
        <v>0</v>
      </c>
      <c r="L52" s="156">
        <f t="shared" ref="L52:L56" si="27">J52+K52</f>
        <v>13614.5839</v>
      </c>
      <c r="M52" s="188">
        <f t="shared" si="1"/>
        <v>1</v>
      </c>
      <c r="N52" s="81"/>
      <c r="O52" s="7"/>
      <c r="P52" s="80"/>
      <c r="Q52" s="80"/>
      <c r="R52" s="91"/>
      <c r="S52" s="8"/>
      <c r="T52" s="82"/>
      <c r="U52" s="95"/>
      <c r="V52" s="95"/>
      <c r="W52" s="10"/>
      <c r="X52" s="9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</row>
    <row r="53" spans="1:62" ht="63.75" customHeight="1">
      <c r="A53" s="156" t="s">
        <v>60</v>
      </c>
      <c r="B53" s="157" t="s">
        <v>61</v>
      </c>
      <c r="C53" s="156" t="s">
        <v>16</v>
      </c>
      <c r="D53" s="156">
        <v>325.26</v>
      </c>
      <c r="E53" s="156">
        <v>55.26</v>
      </c>
      <c r="F53" s="156">
        <f t="shared" si="23"/>
        <v>17973.867599999998</v>
      </c>
      <c r="G53" s="156">
        <v>28.19</v>
      </c>
      <c r="H53" s="156">
        <f>'MEMORIA BM 04'!L70</f>
        <v>297.07</v>
      </c>
      <c r="I53" s="156">
        <f t="shared" si="24"/>
        <v>325.26</v>
      </c>
      <c r="J53" s="156">
        <f t="shared" si="25"/>
        <v>1557.7794000000001</v>
      </c>
      <c r="K53" s="156">
        <f t="shared" si="26"/>
        <v>16416.088199999998</v>
      </c>
      <c r="L53" s="156">
        <f t="shared" si="27"/>
        <v>17973.867599999998</v>
      </c>
      <c r="M53" s="188">
        <f t="shared" si="1"/>
        <v>1</v>
      </c>
      <c r="N53" s="92"/>
      <c r="O53" s="7"/>
      <c r="P53" s="80"/>
      <c r="Q53" s="80"/>
      <c r="R53" s="91"/>
      <c r="S53" s="8"/>
      <c r="T53" s="82"/>
      <c r="U53" s="95"/>
      <c r="V53" s="95"/>
      <c r="W53" s="10"/>
      <c r="X53" s="9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</row>
    <row r="54" spans="1:62" ht="29.25" customHeight="1">
      <c r="A54" s="156" t="s">
        <v>62</v>
      </c>
      <c r="B54" s="157" t="s">
        <v>63</v>
      </c>
      <c r="C54" s="156" t="s">
        <v>17</v>
      </c>
      <c r="D54" s="156">
        <v>5</v>
      </c>
      <c r="E54" s="156">
        <v>394.47</v>
      </c>
      <c r="F54" s="156">
        <f t="shared" si="23"/>
        <v>1972.3500000000001</v>
      </c>
      <c r="G54" s="156">
        <v>5</v>
      </c>
      <c r="H54" s="156"/>
      <c r="I54" s="156">
        <f t="shared" si="24"/>
        <v>5</v>
      </c>
      <c r="J54" s="156">
        <f t="shared" si="25"/>
        <v>1972.3500000000001</v>
      </c>
      <c r="K54" s="156">
        <f t="shared" si="26"/>
        <v>0</v>
      </c>
      <c r="L54" s="156">
        <f t="shared" si="27"/>
        <v>1972.3500000000001</v>
      </c>
      <c r="M54" s="188">
        <f t="shared" si="1"/>
        <v>1</v>
      </c>
      <c r="N54" s="81"/>
      <c r="O54" s="7"/>
      <c r="P54" s="80"/>
      <c r="Q54" s="80"/>
      <c r="R54" s="91"/>
      <c r="S54" s="8"/>
      <c r="T54" s="82"/>
      <c r="U54" s="95"/>
      <c r="V54" s="95"/>
      <c r="W54" s="10"/>
      <c r="X54" s="9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</row>
    <row r="55" spans="1:62" ht="36.75" customHeight="1">
      <c r="A55" s="156" t="s">
        <v>64</v>
      </c>
      <c r="B55" s="157" t="s">
        <v>65</v>
      </c>
      <c r="C55" s="156" t="s">
        <v>17</v>
      </c>
      <c r="D55" s="156">
        <v>15.01</v>
      </c>
      <c r="E55" s="156">
        <v>1613.6</v>
      </c>
      <c r="F55" s="156">
        <f t="shared" si="23"/>
        <v>24220.135999999999</v>
      </c>
      <c r="G55" s="156">
        <v>15.01</v>
      </c>
      <c r="H55" s="156"/>
      <c r="I55" s="156">
        <f t="shared" si="24"/>
        <v>15.01</v>
      </c>
      <c r="J55" s="156">
        <f t="shared" si="25"/>
        <v>24220.135999999999</v>
      </c>
      <c r="K55" s="156">
        <f t="shared" si="26"/>
        <v>0</v>
      </c>
      <c r="L55" s="156">
        <f t="shared" si="27"/>
        <v>24220.135999999999</v>
      </c>
      <c r="M55" s="188">
        <f t="shared" si="1"/>
        <v>1</v>
      </c>
      <c r="N55" s="81"/>
      <c r="O55" s="7"/>
      <c r="P55" s="80"/>
      <c r="Q55" s="80"/>
      <c r="R55" s="91"/>
      <c r="S55" s="8"/>
      <c r="T55" s="82"/>
      <c r="U55" s="95"/>
      <c r="V55" s="95"/>
      <c r="W55" s="10"/>
      <c r="X55" s="9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</row>
    <row r="56" spans="1:62" ht="28.5">
      <c r="A56" s="156" t="s">
        <v>66</v>
      </c>
      <c r="B56" s="157" t="s">
        <v>67</v>
      </c>
      <c r="C56" s="156" t="s">
        <v>17</v>
      </c>
      <c r="D56" s="156">
        <v>19.46</v>
      </c>
      <c r="E56" s="156">
        <v>1613.6</v>
      </c>
      <c r="F56" s="156">
        <f t="shared" si="23"/>
        <v>31400.655999999999</v>
      </c>
      <c r="G56" s="156">
        <v>9.73</v>
      </c>
      <c r="H56" s="156">
        <f>'MEMORIA BM 04'!L110</f>
        <v>9.3499999999999979</v>
      </c>
      <c r="I56" s="156">
        <f t="shared" si="24"/>
        <v>19.079999999999998</v>
      </c>
      <c r="J56" s="156">
        <f t="shared" si="25"/>
        <v>15700.328</v>
      </c>
      <c r="K56" s="156">
        <f t="shared" si="26"/>
        <v>15087.159999999996</v>
      </c>
      <c r="L56" s="156">
        <f t="shared" si="27"/>
        <v>30787.487999999998</v>
      </c>
      <c r="M56" s="188">
        <f t="shared" si="1"/>
        <v>0.98047276464542643</v>
      </c>
      <c r="N56" s="92"/>
      <c r="O56" s="7"/>
      <c r="P56" s="80"/>
      <c r="Q56" s="80"/>
      <c r="R56" s="91"/>
      <c r="S56" s="8"/>
      <c r="T56" s="82"/>
      <c r="U56" s="95"/>
      <c r="V56" s="95"/>
      <c r="W56" s="10"/>
      <c r="X56" s="9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</row>
    <row r="57" spans="1:62" ht="28.5">
      <c r="A57" s="156" t="s">
        <v>586</v>
      </c>
      <c r="B57" s="157" t="s">
        <v>587</v>
      </c>
      <c r="C57" s="156" t="s">
        <v>81</v>
      </c>
      <c r="D57" s="156">
        <v>153.63</v>
      </c>
      <c r="E57" s="156">
        <v>27.65</v>
      </c>
      <c r="F57" s="156">
        <f t="shared" si="23"/>
        <v>4247.8694999999998</v>
      </c>
      <c r="G57" s="156">
        <v>0</v>
      </c>
      <c r="H57" s="156">
        <f>'MEMORIA BM 04'!L154</f>
        <v>153.63</v>
      </c>
      <c r="I57" s="156">
        <f t="shared" ref="I57" si="28">G57+H57</f>
        <v>153.63</v>
      </c>
      <c r="J57" s="156">
        <f t="shared" ref="J57" si="29">E57*G57</f>
        <v>0</v>
      </c>
      <c r="K57" s="156">
        <f t="shared" ref="K57" si="30">H57*E57</f>
        <v>4247.8694999999998</v>
      </c>
      <c r="L57" s="156">
        <f t="shared" ref="L57" si="31">J57+K57</f>
        <v>4247.8694999999998</v>
      </c>
      <c r="M57" s="188">
        <f t="shared" si="1"/>
        <v>1</v>
      </c>
      <c r="N57" s="92"/>
      <c r="O57" s="7"/>
      <c r="P57" s="80"/>
      <c r="Q57" s="80"/>
      <c r="R57" s="91"/>
      <c r="S57" s="8"/>
      <c r="T57" s="82"/>
      <c r="U57" s="95"/>
      <c r="V57" s="95"/>
      <c r="W57" s="10"/>
      <c r="X57" s="9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</row>
    <row r="58" spans="1:62">
      <c r="A58" s="156"/>
      <c r="B58" s="154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88" t="e">
        <f t="shared" si="1"/>
        <v>#DIV/0!</v>
      </c>
      <c r="N58" s="80"/>
      <c r="O58" s="81"/>
      <c r="Q58" s="80"/>
      <c r="R58" s="80"/>
      <c r="S58" s="91"/>
      <c r="U58" s="82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</row>
    <row r="59" spans="1:62" s="87" customFormat="1">
      <c r="A59" s="160" t="s">
        <v>21</v>
      </c>
      <c r="B59" s="161" t="s">
        <v>68</v>
      </c>
      <c r="C59" s="162"/>
      <c r="D59" s="163"/>
      <c r="E59" s="162"/>
      <c r="F59" s="162">
        <f>SUM(F60:F64)</f>
        <v>121479.837</v>
      </c>
      <c r="G59" s="162"/>
      <c r="H59" s="162"/>
      <c r="I59" s="162"/>
      <c r="J59" s="162">
        <f>SUM(J60:J64)</f>
        <v>102965.64219999997</v>
      </c>
      <c r="K59" s="162">
        <f>SUM(K60:K64)</f>
        <v>8255.468499999999</v>
      </c>
      <c r="L59" s="162">
        <f>SUM(L60:L64)</f>
        <v>111221.11069999998</v>
      </c>
      <c r="M59" s="188">
        <f t="shared" si="1"/>
        <v>0.91555202448946305</v>
      </c>
      <c r="N59" s="80"/>
      <c r="O59" s="81"/>
      <c r="P59" s="7"/>
      <c r="Q59" s="79"/>
      <c r="R59" s="79"/>
      <c r="S59" s="79"/>
      <c r="T59" s="16"/>
      <c r="U59" s="82"/>
      <c r="V59" s="14"/>
      <c r="W59" s="83"/>
      <c r="X59" s="84"/>
      <c r="Y59" s="83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86"/>
      <c r="BA59" s="86"/>
      <c r="BB59" s="86"/>
      <c r="BC59" s="86"/>
      <c r="BD59" s="86"/>
      <c r="BE59" s="86"/>
      <c r="BF59" s="86"/>
      <c r="BG59" s="86"/>
      <c r="BH59" s="86"/>
      <c r="BI59" s="86"/>
      <c r="BJ59" s="86"/>
    </row>
    <row r="60" spans="1:62">
      <c r="A60" s="156"/>
      <c r="B60" s="154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88" t="e">
        <f t="shared" si="1"/>
        <v>#DIV/0!</v>
      </c>
      <c r="N60" s="80"/>
      <c r="O60" s="81"/>
      <c r="Q60" s="80"/>
      <c r="R60" s="80"/>
      <c r="S60" s="91"/>
      <c r="U60" s="82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</row>
    <row r="61" spans="1:62" ht="48" customHeight="1">
      <c r="A61" s="156" t="s">
        <v>69</v>
      </c>
      <c r="B61" s="157" t="s">
        <v>70</v>
      </c>
      <c r="C61" s="156" t="s">
        <v>16</v>
      </c>
      <c r="D61" s="156">
        <v>20.82</v>
      </c>
      <c r="E61" s="156">
        <v>1806.13</v>
      </c>
      <c r="F61" s="156">
        <f t="shared" ref="F61" si="32">D61*E61</f>
        <v>37603.626600000003</v>
      </c>
      <c r="G61" s="156">
        <v>18.249999999999993</v>
      </c>
      <c r="H61" s="156">
        <f>'MEMORIA BM 04'!L159</f>
        <v>1.9</v>
      </c>
      <c r="I61" s="156">
        <f t="shared" ref="I61:I64" si="33">G61+H61</f>
        <v>20.149999999999991</v>
      </c>
      <c r="J61" s="156">
        <f t="shared" ref="J61:J64" si="34">E61*G61</f>
        <v>32961.87249999999</v>
      </c>
      <c r="K61" s="156">
        <f t="shared" ref="K61:K64" si="35">H61*E61</f>
        <v>3431.6469999999999</v>
      </c>
      <c r="L61" s="156">
        <f t="shared" ref="L61:L64" si="36">J61+K61</f>
        <v>36393.519499999988</v>
      </c>
      <c r="M61" s="188">
        <f t="shared" si="1"/>
        <v>0.96781940441882763</v>
      </c>
      <c r="N61" s="81"/>
      <c r="O61" s="7"/>
      <c r="P61" s="80"/>
      <c r="Q61" s="80"/>
      <c r="R61" s="91"/>
      <c r="S61" s="8"/>
      <c r="T61" s="82"/>
      <c r="W61" s="10"/>
      <c r="X61" s="9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</row>
    <row r="62" spans="1:62" ht="42.75">
      <c r="A62" s="156" t="s">
        <v>71</v>
      </c>
      <c r="B62" s="157" t="s">
        <v>72</v>
      </c>
      <c r="C62" s="156" t="s">
        <v>17</v>
      </c>
      <c r="D62" s="156">
        <v>16.36</v>
      </c>
      <c r="E62" s="156">
        <v>1820.31</v>
      </c>
      <c r="F62" s="156">
        <f>D62*E62</f>
        <v>29780.271599999996</v>
      </c>
      <c r="G62" s="156">
        <v>10.87</v>
      </c>
      <c r="H62" s="156">
        <f>'MEMORIA BM 04'!L162</f>
        <v>2.65</v>
      </c>
      <c r="I62" s="156">
        <f t="shared" si="33"/>
        <v>13.52</v>
      </c>
      <c r="J62" s="156">
        <f t="shared" si="34"/>
        <v>19786.769699999997</v>
      </c>
      <c r="K62" s="156">
        <f t="shared" si="35"/>
        <v>4823.8215</v>
      </c>
      <c r="L62" s="156">
        <f t="shared" si="36"/>
        <v>24610.591199999995</v>
      </c>
      <c r="M62" s="188">
        <f t="shared" si="1"/>
        <v>0.82640586797066007</v>
      </c>
      <c r="N62" s="81"/>
      <c r="O62" s="7"/>
      <c r="P62" s="80"/>
      <c r="Q62" s="80"/>
      <c r="R62" s="91"/>
      <c r="S62" s="8"/>
      <c r="T62" s="82"/>
      <c r="W62" s="10"/>
      <c r="X62" s="9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</row>
    <row r="63" spans="1:62">
      <c r="A63" s="156" t="s">
        <v>73</v>
      </c>
      <c r="B63" s="158" t="s">
        <v>74</v>
      </c>
      <c r="C63" s="156" t="s">
        <v>16</v>
      </c>
      <c r="D63" s="156">
        <v>12.36</v>
      </c>
      <c r="E63" s="156">
        <v>313.83</v>
      </c>
      <c r="F63" s="156">
        <f>D63*E63</f>
        <v>3878.9387999999994</v>
      </c>
      <c r="G63" s="156">
        <v>0</v>
      </c>
      <c r="H63" s="156"/>
      <c r="I63" s="156">
        <f t="shared" si="33"/>
        <v>0</v>
      </c>
      <c r="J63" s="156">
        <f t="shared" si="34"/>
        <v>0</v>
      </c>
      <c r="K63" s="156">
        <f t="shared" si="35"/>
        <v>0</v>
      </c>
      <c r="L63" s="156">
        <f t="shared" si="36"/>
        <v>0</v>
      </c>
      <c r="M63" s="188">
        <f t="shared" si="1"/>
        <v>0</v>
      </c>
      <c r="N63" s="81"/>
      <c r="O63" s="7"/>
      <c r="P63" s="80"/>
      <c r="Q63" s="80"/>
      <c r="R63" s="91"/>
      <c r="S63" s="8"/>
      <c r="T63" s="82"/>
      <c r="W63" s="10"/>
      <c r="X63" s="9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</row>
    <row r="64" spans="1:62" ht="42.75">
      <c r="A64" s="156" t="s">
        <v>75</v>
      </c>
      <c r="B64" s="157" t="s">
        <v>76</v>
      </c>
      <c r="C64" s="156" t="s">
        <v>16</v>
      </c>
      <c r="D64" s="156">
        <v>475</v>
      </c>
      <c r="E64" s="156">
        <v>105.72</v>
      </c>
      <c r="F64" s="156">
        <f>D64*E64</f>
        <v>50217</v>
      </c>
      <c r="G64" s="156">
        <v>474.99999999999994</v>
      </c>
      <c r="H64" s="156"/>
      <c r="I64" s="156">
        <f t="shared" si="33"/>
        <v>474.99999999999994</v>
      </c>
      <c r="J64" s="156">
        <f t="shared" si="34"/>
        <v>50216.999999999993</v>
      </c>
      <c r="K64" s="156">
        <f t="shared" si="35"/>
        <v>0</v>
      </c>
      <c r="L64" s="156">
        <f t="shared" si="36"/>
        <v>50216.999999999993</v>
      </c>
      <c r="M64" s="188">
        <f t="shared" si="1"/>
        <v>0.99999999999999989</v>
      </c>
      <c r="N64" s="81"/>
      <c r="O64" s="7"/>
      <c r="P64" s="80"/>
      <c r="Q64" s="80"/>
      <c r="R64" s="91"/>
      <c r="S64" s="8"/>
      <c r="T64" s="82"/>
      <c r="W64" s="10"/>
      <c r="X64" s="9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</row>
    <row r="65" spans="1:62">
      <c r="A65" s="156"/>
      <c r="B65" s="154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88" t="e">
        <f t="shared" si="1"/>
        <v>#DIV/0!</v>
      </c>
      <c r="N65" s="81"/>
      <c r="O65" s="7"/>
      <c r="P65" s="80"/>
      <c r="Q65" s="80"/>
      <c r="R65" s="91"/>
      <c r="S65" s="8"/>
      <c r="T65" s="82"/>
      <c r="W65" s="10"/>
      <c r="X65" s="9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</row>
    <row r="66" spans="1:62" s="87" customFormat="1">
      <c r="A66" s="160" t="s">
        <v>77</v>
      </c>
      <c r="B66" s="161" t="s">
        <v>78</v>
      </c>
      <c r="C66" s="162"/>
      <c r="D66" s="163"/>
      <c r="E66" s="162"/>
      <c r="F66" s="162">
        <f>SUM(F67:F76)</f>
        <v>104840.8438</v>
      </c>
      <c r="G66" s="162"/>
      <c r="H66" s="162"/>
      <c r="I66" s="162"/>
      <c r="J66" s="162">
        <f>SUM(J67:J76)</f>
        <v>81474.745100000015</v>
      </c>
      <c r="K66" s="162">
        <f t="shared" ref="K66:L66" si="37">SUM(K67:K76)</f>
        <v>21194.469800000003</v>
      </c>
      <c r="L66" s="162">
        <f t="shared" si="37"/>
        <v>102669.21490000001</v>
      </c>
      <c r="M66" s="188">
        <f t="shared" si="1"/>
        <v>0.97928642291221246</v>
      </c>
      <c r="N66" s="80"/>
      <c r="O66" s="81"/>
      <c r="P66" s="7"/>
      <c r="Q66" s="79"/>
      <c r="R66" s="79"/>
      <c r="S66" s="79"/>
      <c r="T66" s="16"/>
      <c r="U66" s="82"/>
      <c r="V66" s="14"/>
      <c r="W66" s="83"/>
      <c r="X66" s="84"/>
      <c r="Y66" s="83"/>
      <c r="Z66" s="85"/>
      <c r="AA66" s="85"/>
      <c r="AB66" s="85"/>
      <c r="AC66" s="85"/>
      <c r="AD66" s="85"/>
      <c r="AE66" s="85"/>
      <c r="AF66" s="85"/>
      <c r="AG66" s="85"/>
      <c r="AH66" s="85"/>
      <c r="AI66" s="85"/>
      <c r="AJ66" s="85"/>
      <c r="AK66" s="85"/>
      <c r="AL66" s="86"/>
      <c r="AM66" s="86"/>
      <c r="AN66" s="86"/>
      <c r="AO66" s="86"/>
      <c r="AP66" s="86"/>
      <c r="AQ66" s="86"/>
      <c r="AR66" s="86"/>
      <c r="AS66" s="86"/>
      <c r="AT66" s="86"/>
      <c r="AU66" s="86"/>
      <c r="AV66" s="86"/>
      <c r="AW66" s="86"/>
      <c r="AX66" s="86"/>
      <c r="AY66" s="86"/>
      <c r="AZ66" s="86"/>
      <c r="BA66" s="86"/>
      <c r="BB66" s="86"/>
      <c r="BC66" s="86"/>
      <c r="BD66" s="86"/>
      <c r="BE66" s="86"/>
      <c r="BF66" s="86"/>
      <c r="BG66" s="86"/>
      <c r="BH66" s="86"/>
      <c r="BI66" s="86"/>
      <c r="BJ66" s="86"/>
    </row>
    <row r="67" spans="1:62">
      <c r="A67" s="156"/>
      <c r="B67" s="154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88" t="e">
        <f t="shared" si="1"/>
        <v>#DIV/0!</v>
      </c>
      <c r="N67" s="81"/>
      <c r="O67" s="7"/>
      <c r="P67" s="80"/>
      <c r="Q67" s="80"/>
      <c r="R67" s="91"/>
      <c r="S67" s="8"/>
      <c r="T67" s="82"/>
      <c r="W67" s="10"/>
      <c r="X67" s="9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</row>
    <row r="68" spans="1:62" ht="57">
      <c r="A68" s="156" t="s">
        <v>79</v>
      </c>
      <c r="B68" s="157" t="s">
        <v>80</v>
      </c>
      <c r="C68" s="156" t="s">
        <v>16</v>
      </c>
      <c r="D68" s="156">
        <v>784.04</v>
      </c>
      <c r="E68" s="156">
        <v>49.23</v>
      </c>
      <c r="F68" s="156">
        <f t="shared" ref="F68:F92" si="38">D68*E68</f>
        <v>38598.289199999999</v>
      </c>
      <c r="G68" s="156">
        <v>684.09000000000026</v>
      </c>
      <c r="H68" s="156">
        <f>'MEMORIA BM 04'!L175</f>
        <v>58.559999999999995</v>
      </c>
      <c r="I68" s="156">
        <f t="shared" ref="I68:I70" si="39">G68+H68</f>
        <v>742.6500000000002</v>
      </c>
      <c r="J68" s="156">
        <f t="shared" ref="J68:J70" si="40">E68*G68</f>
        <v>33677.750700000011</v>
      </c>
      <c r="K68" s="156">
        <f t="shared" ref="K68:K70" si="41">H68*E68</f>
        <v>2882.9087999999997</v>
      </c>
      <c r="L68" s="156">
        <f t="shared" ref="L68:L70" si="42">J68+K68</f>
        <v>36560.659500000009</v>
      </c>
      <c r="M68" s="188">
        <f t="shared" si="1"/>
        <v>0.94720932605479335</v>
      </c>
      <c r="N68" s="81"/>
      <c r="O68" s="7"/>
      <c r="P68" s="80"/>
      <c r="Q68" s="80"/>
      <c r="R68" s="91"/>
      <c r="S68" s="8"/>
      <c r="T68" s="82"/>
      <c r="W68" s="10"/>
      <c r="X68" s="9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</row>
    <row r="69" spans="1:62" ht="42.75">
      <c r="A69" s="156" t="s">
        <v>82</v>
      </c>
      <c r="B69" s="157" t="s">
        <v>83</v>
      </c>
      <c r="C69" s="156" t="s">
        <v>16</v>
      </c>
      <c r="D69" s="156">
        <v>35.76</v>
      </c>
      <c r="E69" s="156">
        <v>186.11</v>
      </c>
      <c r="F69" s="156">
        <f t="shared" si="38"/>
        <v>6655.2936</v>
      </c>
      <c r="G69" s="156">
        <v>35.040000000000006</v>
      </c>
      <c r="H69" s="156"/>
      <c r="I69" s="156">
        <f t="shared" si="39"/>
        <v>35.040000000000006</v>
      </c>
      <c r="J69" s="156">
        <f t="shared" si="40"/>
        <v>6521.2944000000016</v>
      </c>
      <c r="K69" s="156">
        <f t="shared" si="41"/>
        <v>0</v>
      </c>
      <c r="L69" s="156">
        <f t="shared" si="42"/>
        <v>6521.2944000000016</v>
      </c>
      <c r="M69" s="188">
        <f t="shared" si="1"/>
        <v>0.97986577181208079</v>
      </c>
      <c r="N69" s="81"/>
      <c r="O69" s="7"/>
      <c r="P69" s="80"/>
      <c r="Q69" s="80"/>
      <c r="R69" s="91"/>
      <c r="S69" s="8"/>
      <c r="T69" s="82"/>
      <c r="W69" s="10"/>
      <c r="X69" s="9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</row>
    <row r="70" spans="1:62" ht="48.75" customHeight="1">
      <c r="A70" s="156" t="s">
        <v>84</v>
      </c>
      <c r="B70" s="157" t="s">
        <v>22</v>
      </c>
      <c r="C70" s="156" t="s">
        <v>16</v>
      </c>
      <c r="D70" s="156">
        <v>359.84</v>
      </c>
      <c r="E70" s="156">
        <v>142.33000000000001</v>
      </c>
      <c r="F70" s="156">
        <f t="shared" si="38"/>
        <v>51216.027200000004</v>
      </c>
      <c r="G70" s="156">
        <v>290</v>
      </c>
      <c r="H70" s="156">
        <f>'MEMORIA BM 04'!L184</f>
        <v>69.84</v>
      </c>
      <c r="I70" s="156">
        <f t="shared" si="39"/>
        <v>359.84000000000003</v>
      </c>
      <c r="J70" s="156">
        <f t="shared" si="40"/>
        <v>41275.700000000004</v>
      </c>
      <c r="K70" s="156">
        <f t="shared" si="41"/>
        <v>9940.3272000000015</v>
      </c>
      <c r="L70" s="156">
        <f t="shared" si="42"/>
        <v>51216.027200000004</v>
      </c>
      <c r="M70" s="188">
        <f t="shared" si="1"/>
        <v>1</v>
      </c>
      <c r="N70" s="92"/>
      <c r="O70" s="7"/>
      <c r="P70" s="80"/>
      <c r="Q70" s="80"/>
      <c r="R70" s="91"/>
      <c r="S70" s="8"/>
      <c r="T70" s="82"/>
      <c r="W70" s="10"/>
      <c r="X70" s="9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</row>
    <row r="71" spans="1:62" ht="28.5">
      <c r="A71" s="156" t="s">
        <v>588</v>
      </c>
      <c r="B71" s="157" t="s">
        <v>589</v>
      </c>
      <c r="C71" s="156" t="s">
        <v>43</v>
      </c>
      <c r="D71" s="156">
        <v>22.2</v>
      </c>
      <c r="E71" s="156">
        <v>58.16</v>
      </c>
      <c r="F71" s="156">
        <f t="shared" si="38"/>
        <v>1291.1519999999998</v>
      </c>
      <c r="G71" s="156">
        <v>0</v>
      </c>
      <c r="H71" s="156">
        <f>'MEMORIA BM 04'!L187</f>
        <v>22.2</v>
      </c>
      <c r="I71" s="156">
        <f t="shared" ref="I71:I76" si="43">G71+H71</f>
        <v>22.2</v>
      </c>
      <c r="J71" s="156">
        <f t="shared" ref="J71:J76" si="44">E71*G71</f>
        <v>0</v>
      </c>
      <c r="K71" s="156">
        <f t="shared" ref="K71:K76" si="45">H71*E71</f>
        <v>1291.1519999999998</v>
      </c>
      <c r="L71" s="156">
        <f t="shared" ref="L71:L76" si="46">J71+K71</f>
        <v>1291.1519999999998</v>
      </c>
      <c r="M71" s="188">
        <f t="shared" si="1"/>
        <v>1</v>
      </c>
      <c r="N71" s="92"/>
      <c r="O71" s="7"/>
      <c r="P71" s="80"/>
      <c r="Q71" s="80"/>
      <c r="R71" s="91"/>
      <c r="S71" s="8"/>
      <c r="T71" s="82"/>
      <c r="W71" s="10"/>
      <c r="X71" s="9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</row>
    <row r="72" spans="1:62" ht="28.5">
      <c r="A72" s="156" t="s">
        <v>590</v>
      </c>
      <c r="B72" s="157" t="s">
        <v>591</v>
      </c>
      <c r="C72" s="156" t="s">
        <v>43</v>
      </c>
      <c r="D72" s="156">
        <v>2.2000000000000002</v>
      </c>
      <c r="E72" s="156">
        <v>69.45</v>
      </c>
      <c r="F72" s="156">
        <f t="shared" si="38"/>
        <v>152.79000000000002</v>
      </c>
      <c r="G72" s="156">
        <v>0</v>
      </c>
      <c r="H72" s="156">
        <f>'MEMORIA BM 04'!L190</f>
        <v>2.2000000000000002</v>
      </c>
      <c r="I72" s="156">
        <f t="shared" si="43"/>
        <v>2.2000000000000002</v>
      </c>
      <c r="J72" s="156">
        <f t="shared" si="44"/>
        <v>0</v>
      </c>
      <c r="K72" s="156">
        <f t="shared" si="45"/>
        <v>152.79000000000002</v>
      </c>
      <c r="L72" s="156">
        <f t="shared" si="46"/>
        <v>152.79000000000002</v>
      </c>
      <c r="M72" s="188">
        <f t="shared" si="1"/>
        <v>1</v>
      </c>
      <c r="N72" s="92"/>
      <c r="O72" s="7"/>
      <c r="P72" s="80"/>
      <c r="Q72" s="80"/>
      <c r="R72" s="91"/>
      <c r="S72" s="8"/>
      <c r="T72" s="82"/>
      <c r="W72" s="10"/>
      <c r="X72" s="9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</row>
    <row r="73" spans="1:62" ht="28.5">
      <c r="A73" s="156" t="s">
        <v>592</v>
      </c>
      <c r="B73" s="157" t="s">
        <v>593</v>
      </c>
      <c r="C73" s="156" t="s">
        <v>43</v>
      </c>
      <c r="D73" s="156">
        <v>19.399999999999999</v>
      </c>
      <c r="E73" s="156">
        <v>59.41</v>
      </c>
      <c r="F73" s="156">
        <f t="shared" si="38"/>
        <v>1152.5539999999999</v>
      </c>
      <c r="G73" s="156">
        <v>0</v>
      </c>
      <c r="H73" s="156">
        <f>'MEMORIA BM 04'!L193</f>
        <v>19.399999999999999</v>
      </c>
      <c r="I73" s="156">
        <f t="shared" si="43"/>
        <v>19.399999999999999</v>
      </c>
      <c r="J73" s="156">
        <f t="shared" si="44"/>
        <v>0</v>
      </c>
      <c r="K73" s="156">
        <f t="shared" si="45"/>
        <v>1152.5539999999999</v>
      </c>
      <c r="L73" s="156">
        <f t="shared" si="46"/>
        <v>1152.5539999999999</v>
      </c>
      <c r="M73" s="188">
        <f t="shared" si="1"/>
        <v>1</v>
      </c>
      <c r="N73" s="92"/>
      <c r="O73" s="7"/>
      <c r="P73" s="80"/>
      <c r="Q73" s="80"/>
      <c r="R73" s="91"/>
      <c r="S73" s="8"/>
      <c r="T73" s="82"/>
      <c r="W73" s="10"/>
      <c r="X73" s="9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</row>
    <row r="74" spans="1:62" ht="28.5">
      <c r="A74" s="156" t="s">
        <v>594</v>
      </c>
      <c r="B74" s="157" t="s">
        <v>595</v>
      </c>
      <c r="C74" s="156" t="s">
        <v>43</v>
      </c>
      <c r="D74" s="156">
        <v>30.02</v>
      </c>
      <c r="E74" s="156">
        <v>68.260000000000005</v>
      </c>
      <c r="F74" s="156">
        <f t="shared" si="38"/>
        <v>2049.1651999999999</v>
      </c>
      <c r="G74" s="156">
        <v>0</v>
      </c>
      <c r="H74" s="156">
        <f>'MEMORIA BM 04'!L196</f>
        <v>30.02</v>
      </c>
      <c r="I74" s="156">
        <f t="shared" si="43"/>
        <v>30.02</v>
      </c>
      <c r="J74" s="156">
        <f t="shared" si="44"/>
        <v>0</v>
      </c>
      <c r="K74" s="156">
        <f t="shared" si="45"/>
        <v>2049.1651999999999</v>
      </c>
      <c r="L74" s="156">
        <f t="shared" si="46"/>
        <v>2049.1651999999999</v>
      </c>
      <c r="M74" s="188">
        <f t="shared" si="1"/>
        <v>1</v>
      </c>
      <c r="N74" s="92"/>
      <c r="O74" s="7"/>
      <c r="P74" s="80"/>
      <c r="Q74" s="80"/>
      <c r="R74" s="91"/>
      <c r="S74" s="8"/>
      <c r="T74" s="82"/>
      <c r="W74" s="10"/>
      <c r="X74" s="9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</row>
    <row r="75" spans="1:62" ht="28.5">
      <c r="A75" s="156" t="s">
        <v>596</v>
      </c>
      <c r="B75" s="157" t="s">
        <v>597</v>
      </c>
      <c r="C75" s="156" t="s">
        <v>43</v>
      </c>
      <c r="D75" s="156">
        <v>25.4</v>
      </c>
      <c r="E75" s="156">
        <v>56.3</v>
      </c>
      <c r="F75" s="156">
        <f t="shared" si="38"/>
        <v>1430.0199999999998</v>
      </c>
      <c r="G75" s="156">
        <v>0</v>
      </c>
      <c r="H75" s="156">
        <f>'MEMORIA BM 04'!L199</f>
        <v>25.4</v>
      </c>
      <c r="I75" s="156">
        <f t="shared" si="43"/>
        <v>25.4</v>
      </c>
      <c r="J75" s="156">
        <f t="shared" si="44"/>
        <v>0</v>
      </c>
      <c r="K75" s="156">
        <f t="shared" si="45"/>
        <v>1430.0199999999998</v>
      </c>
      <c r="L75" s="156">
        <f t="shared" si="46"/>
        <v>1430.0199999999998</v>
      </c>
      <c r="M75" s="188">
        <f t="shared" si="1"/>
        <v>1</v>
      </c>
      <c r="N75" s="92"/>
      <c r="O75" s="7"/>
      <c r="P75" s="80"/>
      <c r="Q75" s="80"/>
      <c r="R75" s="91"/>
      <c r="S75" s="8"/>
      <c r="T75" s="82"/>
      <c r="W75" s="10"/>
      <c r="X75" s="9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</row>
    <row r="76" spans="1:62" ht="28.5">
      <c r="A76" s="156" t="s">
        <v>598</v>
      </c>
      <c r="B76" s="157" t="s">
        <v>599</v>
      </c>
      <c r="C76" s="156" t="s">
        <v>43</v>
      </c>
      <c r="D76" s="156">
        <v>36.42</v>
      </c>
      <c r="E76" s="156">
        <v>63.03</v>
      </c>
      <c r="F76" s="156">
        <f t="shared" si="38"/>
        <v>2295.5526</v>
      </c>
      <c r="G76" s="156">
        <v>0</v>
      </c>
      <c r="H76" s="156">
        <f>'MEMORIA BM 04'!L202</f>
        <v>36.42</v>
      </c>
      <c r="I76" s="156">
        <f t="shared" si="43"/>
        <v>36.42</v>
      </c>
      <c r="J76" s="156">
        <f t="shared" si="44"/>
        <v>0</v>
      </c>
      <c r="K76" s="156">
        <f t="shared" si="45"/>
        <v>2295.5526</v>
      </c>
      <c r="L76" s="156">
        <f t="shared" si="46"/>
        <v>2295.5526</v>
      </c>
      <c r="M76" s="188">
        <f t="shared" si="1"/>
        <v>1</v>
      </c>
      <c r="N76" s="92"/>
      <c r="O76" s="7"/>
      <c r="P76" s="80"/>
      <c r="Q76" s="80"/>
      <c r="R76" s="91"/>
      <c r="S76" s="8"/>
      <c r="T76" s="82"/>
      <c r="W76" s="10"/>
      <c r="X76" s="9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</row>
    <row r="77" spans="1:62">
      <c r="A77" s="156"/>
      <c r="B77" s="154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88" t="e">
        <f t="shared" si="1"/>
        <v>#DIV/0!</v>
      </c>
      <c r="N77" s="81"/>
      <c r="O77" s="7"/>
      <c r="P77" s="80"/>
      <c r="Q77" s="80"/>
      <c r="R77" s="91"/>
      <c r="S77" s="8"/>
      <c r="T77" s="82"/>
      <c r="W77" s="10"/>
      <c r="X77" s="9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</row>
    <row r="78" spans="1:62" s="87" customFormat="1">
      <c r="A78" s="164" t="s">
        <v>85</v>
      </c>
      <c r="B78" s="165" t="s">
        <v>86</v>
      </c>
      <c r="C78" s="166"/>
      <c r="D78" s="167"/>
      <c r="E78" s="166"/>
      <c r="F78" s="166">
        <f>SUM(F80:F92)</f>
        <v>62123.493099999992</v>
      </c>
      <c r="G78" s="166"/>
      <c r="H78" s="166"/>
      <c r="I78" s="166"/>
      <c r="J78" s="166">
        <f>SUM(J80:J92)</f>
        <v>0</v>
      </c>
      <c r="K78" s="166">
        <f t="shared" ref="K78:L78" si="47">SUM(K80:K92)</f>
        <v>23380.335499999997</v>
      </c>
      <c r="L78" s="166">
        <f t="shared" si="47"/>
        <v>23380.335499999997</v>
      </c>
      <c r="M78" s="188">
        <f t="shared" si="1"/>
        <v>0.37635255735482781</v>
      </c>
      <c r="N78" s="98"/>
      <c r="O78" s="7"/>
      <c r="P78" s="97"/>
      <c r="Q78" s="97"/>
      <c r="R78" s="79"/>
      <c r="S78" s="16"/>
      <c r="T78" s="82"/>
      <c r="U78" s="14"/>
      <c r="V78" s="14"/>
      <c r="W78" s="84"/>
      <c r="X78" s="83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86"/>
      <c r="AL78" s="86"/>
      <c r="AM78" s="86"/>
      <c r="AN78" s="86"/>
      <c r="AO78" s="86"/>
      <c r="AP78" s="86"/>
      <c r="AQ78" s="86"/>
      <c r="AR78" s="86"/>
      <c r="AS78" s="86"/>
      <c r="AT78" s="86"/>
      <c r="AU78" s="86"/>
      <c r="AV78" s="86"/>
      <c r="AW78" s="86"/>
      <c r="AX78" s="86"/>
      <c r="AY78" s="86"/>
      <c r="AZ78" s="86"/>
      <c r="BA78" s="86"/>
      <c r="BB78" s="86"/>
      <c r="BC78" s="86"/>
      <c r="BD78" s="86"/>
      <c r="BE78" s="86"/>
      <c r="BF78" s="86"/>
      <c r="BG78" s="86"/>
      <c r="BH78" s="86"/>
      <c r="BI78" s="86"/>
    </row>
    <row r="79" spans="1:62" s="87" customFormat="1">
      <c r="A79" s="168"/>
      <c r="B79" s="169"/>
      <c r="C79" s="170"/>
      <c r="D79" s="171"/>
      <c r="E79" s="170"/>
      <c r="F79" s="170"/>
      <c r="G79" s="170"/>
      <c r="H79" s="170"/>
      <c r="I79" s="170"/>
      <c r="J79" s="170"/>
      <c r="K79" s="170"/>
      <c r="L79" s="170"/>
      <c r="M79" s="188" t="e">
        <f t="shared" si="1"/>
        <v>#DIV/0!</v>
      </c>
      <c r="N79" s="98"/>
      <c r="O79" s="7"/>
      <c r="P79" s="97"/>
      <c r="Q79" s="97"/>
      <c r="R79" s="79"/>
      <c r="S79" s="16"/>
      <c r="T79" s="82"/>
      <c r="U79" s="14"/>
      <c r="V79" s="14"/>
      <c r="W79" s="84"/>
      <c r="X79" s="83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6"/>
      <c r="AL79" s="86"/>
      <c r="AM79" s="86"/>
      <c r="AN79" s="86"/>
      <c r="AO79" s="86"/>
      <c r="AP79" s="86"/>
      <c r="AQ79" s="86"/>
      <c r="AR79" s="86"/>
      <c r="AS79" s="86"/>
      <c r="AT79" s="86"/>
      <c r="AU79" s="86"/>
      <c r="AV79" s="86"/>
      <c r="AW79" s="86"/>
      <c r="AX79" s="86"/>
      <c r="AY79" s="86"/>
      <c r="AZ79" s="86"/>
      <c r="BA79" s="86"/>
      <c r="BB79" s="86"/>
      <c r="BC79" s="86"/>
      <c r="BD79" s="86"/>
      <c r="BE79" s="86"/>
      <c r="BF79" s="86"/>
      <c r="BG79" s="86"/>
      <c r="BH79" s="86"/>
      <c r="BI79" s="86"/>
    </row>
    <row r="80" spans="1:62" ht="57">
      <c r="A80" s="156" t="s">
        <v>87</v>
      </c>
      <c r="B80" s="157" t="s">
        <v>88</v>
      </c>
      <c r="C80" s="156" t="s">
        <v>7</v>
      </c>
      <c r="D80" s="156">
        <v>8</v>
      </c>
      <c r="E80" s="156">
        <v>478.15</v>
      </c>
      <c r="F80" s="156">
        <f t="shared" si="38"/>
        <v>3825.2</v>
      </c>
      <c r="G80" s="156">
        <v>0</v>
      </c>
      <c r="H80" s="156"/>
      <c r="I80" s="156">
        <f t="shared" ref="I80:I90" si="48">G80+H80</f>
        <v>0</v>
      </c>
      <c r="J80" s="156">
        <f t="shared" ref="J80:J90" si="49">E80*G80</f>
        <v>0</v>
      </c>
      <c r="K80" s="156">
        <f t="shared" ref="K80:K90" si="50">H80*E80</f>
        <v>0</v>
      </c>
      <c r="L80" s="156">
        <f t="shared" ref="L80:L90" si="51">J80+K80</f>
        <v>0</v>
      </c>
      <c r="M80" s="188">
        <f t="shared" si="1"/>
        <v>0</v>
      </c>
      <c r="N80" s="81"/>
      <c r="O80" s="7"/>
      <c r="P80" s="80"/>
      <c r="Q80" s="80"/>
      <c r="R80" s="91"/>
      <c r="S80" s="8"/>
      <c r="T80" s="82"/>
      <c r="W80" s="10"/>
      <c r="X80" s="12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</row>
    <row r="81" spans="1:61" ht="56.25" customHeight="1">
      <c r="A81" s="156" t="s">
        <v>89</v>
      </c>
      <c r="B81" s="157" t="s">
        <v>90</v>
      </c>
      <c r="C81" s="156" t="s">
        <v>7</v>
      </c>
      <c r="D81" s="156">
        <v>10</v>
      </c>
      <c r="E81" s="156">
        <v>546.86</v>
      </c>
      <c r="F81" s="156">
        <f t="shared" si="38"/>
        <v>5468.6</v>
      </c>
      <c r="G81" s="156">
        <v>0</v>
      </c>
      <c r="H81" s="156"/>
      <c r="I81" s="156">
        <f t="shared" si="48"/>
        <v>0</v>
      </c>
      <c r="J81" s="156">
        <f t="shared" si="49"/>
        <v>0</v>
      </c>
      <c r="K81" s="156">
        <f t="shared" si="50"/>
        <v>0</v>
      </c>
      <c r="L81" s="156">
        <f t="shared" si="51"/>
        <v>0</v>
      </c>
      <c r="M81" s="188">
        <f t="shared" si="1"/>
        <v>0</v>
      </c>
      <c r="N81" s="81"/>
      <c r="O81" s="7"/>
      <c r="P81" s="80"/>
      <c r="Q81" s="80"/>
      <c r="R81" s="91"/>
      <c r="S81" s="8"/>
      <c r="T81" s="82"/>
      <c r="W81" s="10"/>
      <c r="X81" s="12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</row>
    <row r="82" spans="1:61" ht="56.25" customHeight="1">
      <c r="A82" s="156" t="s">
        <v>91</v>
      </c>
      <c r="B82" s="157" t="s">
        <v>92</v>
      </c>
      <c r="C82" s="156" t="s">
        <v>7</v>
      </c>
      <c r="D82" s="156">
        <v>0</v>
      </c>
      <c r="E82" s="156">
        <v>546.86</v>
      </c>
      <c r="F82" s="156">
        <f t="shared" si="38"/>
        <v>0</v>
      </c>
      <c r="G82" s="156">
        <v>0</v>
      </c>
      <c r="H82" s="156"/>
      <c r="I82" s="156">
        <f t="shared" si="48"/>
        <v>0</v>
      </c>
      <c r="J82" s="156">
        <f t="shared" si="49"/>
        <v>0</v>
      </c>
      <c r="K82" s="156">
        <f t="shared" si="50"/>
        <v>0</v>
      </c>
      <c r="L82" s="156">
        <f t="shared" si="51"/>
        <v>0</v>
      </c>
      <c r="M82" s="188" t="e">
        <f t="shared" si="1"/>
        <v>#DIV/0!</v>
      </c>
      <c r="N82" s="81"/>
      <c r="O82" s="7"/>
      <c r="P82" s="80"/>
      <c r="Q82" s="80"/>
      <c r="R82" s="91"/>
      <c r="S82" s="8"/>
      <c r="T82" s="82"/>
      <c r="W82" s="10"/>
      <c r="X82" s="12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</row>
    <row r="83" spans="1:61" ht="42.75">
      <c r="A83" s="156" t="s">
        <v>93</v>
      </c>
      <c r="B83" s="157" t="s">
        <v>94</v>
      </c>
      <c r="C83" s="156" t="s">
        <v>16</v>
      </c>
      <c r="D83" s="156">
        <v>42.65</v>
      </c>
      <c r="E83" s="156">
        <v>483.07</v>
      </c>
      <c r="F83" s="156">
        <f t="shared" si="38"/>
        <v>20602.9355</v>
      </c>
      <c r="G83" s="156">
        <v>0</v>
      </c>
      <c r="H83" s="156">
        <f>'MEMORIA BM 04'!L216</f>
        <v>42.65</v>
      </c>
      <c r="I83" s="156">
        <f t="shared" si="48"/>
        <v>42.65</v>
      </c>
      <c r="J83" s="156">
        <f t="shared" si="49"/>
        <v>0</v>
      </c>
      <c r="K83" s="156">
        <f t="shared" si="50"/>
        <v>20602.9355</v>
      </c>
      <c r="L83" s="156">
        <f t="shared" si="51"/>
        <v>20602.9355</v>
      </c>
      <c r="M83" s="188">
        <f t="shared" si="1"/>
        <v>1</v>
      </c>
      <c r="N83" s="81"/>
      <c r="O83" s="7"/>
      <c r="P83" s="80"/>
      <c r="Q83" s="80"/>
      <c r="R83" s="91"/>
      <c r="S83" s="8"/>
      <c r="T83" s="82"/>
      <c r="W83" s="10"/>
      <c r="X83" s="12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</row>
    <row r="84" spans="1:61" ht="28.5">
      <c r="A84" s="156" t="s">
        <v>95</v>
      </c>
      <c r="B84" s="157" t="s">
        <v>96</v>
      </c>
      <c r="C84" s="156" t="s">
        <v>16</v>
      </c>
      <c r="D84" s="156">
        <v>3</v>
      </c>
      <c r="E84" s="156">
        <v>348.93</v>
      </c>
      <c r="F84" s="156">
        <f t="shared" si="38"/>
        <v>1046.79</v>
      </c>
      <c r="G84" s="156">
        <v>0</v>
      </c>
      <c r="H84" s="156"/>
      <c r="I84" s="156">
        <f t="shared" si="48"/>
        <v>0</v>
      </c>
      <c r="J84" s="156">
        <f t="shared" si="49"/>
        <v>0</v>
      </c>
      <c r="K84" s="156">
        <f t="shared" si="50"/>
        <v>0</v>
      </c>
      <c r="L84" s="156">
        <f t="shared" si="51"/>
        <v>0</v>
      </c>
      <c r="M84" s="188">
        <f t="shared" si="1"/>
        <v>0</v>
      </c>
      <c r="N84" s="81"/>
      <c r="O84" s="7"/>
      <c r="P84" s="80"/>
      <c r="Q84" s="80"/>
      <c r="R84" s="91"/>
      <c r="S84" s="8"/>
      <c r="T84" s="82"/>
      <c r="W84" s="10"/>
      <c r="X84" s="12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</row>
    <row r="85" spans="1:61">
      <c r="A85" s="156" t="s">
        <v>97</v>
      </c>
      <c r="B85" s="157" t="s">
        <v>98</v>
      </c>
      <c r="C85" s="156" t="s">
        <v>16</v>
      </c>
      <c r="D85" s="156">
        <v>0</v>
      </c>
      <c r="E85" s="156">
        <v>348.93</v>
      </c>
      <c r="F85" s="156">
        <f t="shared" si="38"/>
        <v>0</v>
      </c>
      <c r="G85" s="156">
        <v>0</v>
      </c>
      <c r="H85" s="156"/>
      <c r="I85" s="156">
        <f t="shared" si="48"/>
        <v>0</v>
      </c>
      <c r="J85" s="156">
        <f t="shared" si="49"/>
        <v>0</v>
      </c>
      <c r="K85" s="156">
        <f t="shared" si="50"/>
        <v>0</v>
      </c>
      <c r="L85" s="156">
        <f t="shared" si="51"/>
        <v>0</v>
      </c>
      <c r="M85" s="188" t="e">
        <f t="shared" si="1"/>
        <v>#DIV/0!</v>
      </c>
      <c r="N85" s="81"/>
      <c r="O85" s="7"/>
      <c r="P85" s="80"/>
      <c r="Q85" s="80"/>
      <c r="R85" s="91"/>
      <c r="S85" s="8"/>
      <c r="T85" s="82"/>
      <c r="W85" s="10"/>
      <c r="X85" s="12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</row>
    <row r="86" spans="1:61" ht="28.5">
      <c r="A86" s="156" t="s">
        <v>99</v>
      </c>
      <c r="B86" s="157" t="s">
        <v>96</v>
      </c>
      <c r="C86" s="156" t="s">
        <v>16</v>
      </c>
      <c r="D86" s="156">
        <v>0</v>
      </c>
      <c r="E86" s="156">
        <v>687.84</v>
      </c>
      <c r="F86" s="156">
        <f t="shared" si="38"/>
        <v>0</v>
      </c>
      <c r="G86" s="156">
        <v>0</v>
      </c>
      <c r="H86" s="156"/>
      <c r="I86" s="156">
        <f t="shared" si="48"/>
        <v>0</v>
      </c>
      <c r="J86" s="156">
        <f t="shared" si="49"/>
        <v>0</v>
      </c>
      <c r="K86" s="156">
        <f t="shared" si="50"/>
        <v>0</v>
      </c>
      <c r="L86" s="156">
        <f t="shared" si="51"/>
        <v>0</v>
      </c>
      <c r="M86" s="188" t="e">
        <f t="shared" si="1"/>
        <v>#DIV/0!</v>
      </c>
      <c r="N86" s="81"/>
      <c r="O86" s="7"/>
      <c r="P86" s="80"/>
      <c r="Q86" s="80"/>
      <c r="R86" s="91"/>
      <c r="S86" s="8"/>
      <c r="T86" s="82"/>
      <c r="W86" s="10"/>
      <c r="X86" s="12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</row>
    <row r="87" spans="1:61">
      <c r="A87" s="156" t="s">
        <v>101</v>
      </c>
      <c r="B87" s="157" t="s">
        <v>100</v>
      </c>
      <c r="C87" s="156" t="s">
        <v>7</v>
      </c>
      <c r="D87" s="156">
        <v>4</v>
      </c>
      <c r="E87" s="156">
        <v>266.2</v>
      </c>
      <c r="F87" s="156">
        <f t="shared" si="38"/>
        <v>1064.8</v>
      </c>
      <c r="G87" s="156">
        <v>0</v>
      </c>
      <c r="H87" s="156"/>
      <c r="I87" s="156">
        <f t="shared" si="48"/>
        <v>0</v>
      </c>
      <c r="J87" s="156">
        <f t="shared" si="49"/>
        <v>0</v>
      </c>
      <c r="K87" s="156">
        <f t="shared" si="50"/>
        <v>0</v>
      </c>
      <c r="L87" s="156">
        <f t="shared" si="51"/>
        <v>0</v>
      </c>
      <c r="M87" s="188">
        <f t="shared" si="1"/>
        <v>0</v>
      </c>
      <c r="N87" s="81"/>
      <c r="O87" s="7"/>
      <c r="P87" s="80"/>
      <c r="Q87" s="80"/>
      <c r="R87" s="91"/>
      <c r="S87" s="8"/>
      <c r="T87" s="82"/>
      <c r="W87" s="10"/>
      <c r="X87" s="12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</row>
    <row r="88" spans="1:61">
      <c r="A88" s="156" t="s">
        <v>102</v>
      </c>
      <c r="B88" s="157" t="s">
        <v>103</v>
      </c>
      <c r="C88" s="156" t="s">
        <v>81</v>
      </c>
      <c r="D88" s="156">
        <v>42.65</v>
      </c>
      <c r="E88" s="156">
        <v>101.87</v>
      </c>
      <c r="F88" s="156">
        <f t="shared" si="38"/>
        <v>4344.7555000000002</v>
      </c>
      <c r="G88" s="156">
        <v>0</v>
      </c>
      <c r="H88" s="156"/>
      <c r="I88" s="156">
        <f t="shared" si="48"/>
        <v>0</v>
      </c>
      <c r="J88" s="156">
        <f t="shared" si="49"/>
        <v>0</v>
      </c>
      <c r="K88" s="156">
        <f t="shared" si="50"/>
        <v>0</v>
      </c>
      <c r="L88" s="156">
        <f t="shared" si="51"/>
        <v>0</v>
      </c>
      <c r="M88" s="188">
        <f t="shared" si="1"/>
        <v>0</v>
      </c>
      <c r="N88" s="81"/>
      <c r="O88" s="7"/>
      <c r="P88" s="80"/>
      <c r="Q88" s="80"/>
      <c r="R88" s="91"/>
      <c r="S88" s="8"/>
      <c r="T88" s="82"/>
      <c r="W88" s="10"/>
      <c r="X88" s="12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</row>
    <row r="89" spans="1:61" ht="42.75">
      <c r="A89" s="156" t="s">
        <v>104</v>
      </c>
      <c r="B89" s="157" t="s">
        <v>105</v>
      </c>
      <c r="C89" s="156" t="s">
        <v>7</v>
      </c>
      <c r="D89" s="156">
        <v>20</v>
      </c>
      <c r="E89" s="156">
        <v>96.95</v>
      </c>
      <c r="F89" s="156">
        <f t="shared" si="38"/>
        <v>1939</v>
      </c>
      <c r="G89" s="156">
        <v>0</v>
      </c>
      <c r="H89" s="156">
        <f>'MEMORIA BM 04'!L239</f>
        <v>4</v>
      </c>
      <c r="I89" s="156">
        <f t="shared" si="48"/>
        <v>4</v>
      </c>
      <c r="J89" s="156">
        <f t="shared" si="49"/>
        <v>0</v>
      </c>
      <c r="K89" s="156">
        <f t="shared" si="50"/>
        <v>387.8</v>
      </c>
      <c r="L89" s="156">
        <f t="shared" si="51"/>
        <v>387.8</v>
      </c>
      <c r="M89" s="188">
        <f t="shared" si="1"/>
        <v>0.2</v>
      </c>
      <c r="N89" s="81"/>
      <c r="O89" s="7"/>
      <c r="P89" s="80"/>
      <c r="Q89" s="80"/>
      <c r="R89" s="91"/>
      <c r="S89" s="8"/>
      <c r="T89" s="82"/>
      <c r="W89" s="10"/>
      <c r="X89" s="12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</row>
    <row r="90" spans="1:61" ht="42.75">
      <c r="A90" s="156" t="s">
        <v>106</v>
      </c>
      <c r="B90" s="157" t="s">
        <v>107</v>
      </c>
      <c r="C90" s="156" t="s">
        <v>7</v>
      </c>
      <c r="D90" s="156">
        <v>2</v>
      </c>
      <c r="E90" s="156">
        <v>59.28</v>
      </c>
      <c r="F90" s="156">
        <f t="shared" si="38"/>
        <v>118.56</v>
      </c>
      <c r="G90" s="156">
        <v>0</v>
      </c>
      <c r="H90" s="156"/>
      <c r="I90" s="156">
        <f t="shared" si="48"/>
        <v>0</v>
      </c>
      <c r="J90" s="156">
        <f t="shared" si="49"/>
        <v>0</v>
      </c>
      <c r="K90" s="156">
        <f t="shared" si="50"/>
        <v>0</v>
      </c>
      <c r="L90" s="156">
        <f t="shared" si="51"/>
        <v>0</v>
      </c>
      <c r="M90" s="188">
        <f t="shared" si="1"/>
        <v>0</v>
      </c>
      <c r="N90" s="81"/>
      <c r="O90" s="7"/>
      <c r="P90" s="80"/>
      <c r="Q90" s="80"/>
      <c r="R90" s="91"/>
      <c r="S90" s="8"/>
      <c r="T90" s="82"/>
      <c r="W90" s="10"/>
      <c r="X90" s="12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</row>
    <row r="91" spans="1:61" ht="28.5">
      <c r="A91" s="156" t="s">
        <v>600</v>
      </c>
      <c r="B91" s="157" t="s">
        <v>601</v>
      </c>
      <c r="C91" s="156" t="s">
        <v>602</v>
      </c>
      <c r="D91" s="156">
        <v>5</v>
      </c>
      <c r="E91" s="156">
        <v>477.92</v>
      </c>
      <c r="F91" s="156">
        <f t="shared" si="38"/>
        <v>2389.6</v>
      </c>
      <c r="G91" s="156">
        <v>0</v>
      </c>
      <c r="H91" s="156">
        <f>'MEMORIA BM 04'!L245</f>
        <v>5</v>
      </c>
      <c r="I91" s="156">
        <f t="shared" ref="I91:I92" si="52">G91+H91</f>
        <v>5</v>
      </c>
      <c r="J91" s="156">
        <f t="shared" ref="J91:J92" si="53">E91*G91</f>
        <v>0</v>
      </c>
      <c r="K91" s="156">
        <f t="shared" ref="K91:K92" si="54">H91*E91</f>
        <v>2389.6</v>
      </c>
      <c r="L91" s="156">
        <f t="shared" ref="L91:L92" si="55">J91+K91</f>
        <v>2389.6</v>
      </c>
      <c r="M91" s="188">
        <f t="shared" si="1"/>
        <v>1</v>
      </c>
      <c r="N91" s="81"/>
      <c r="O91" s="7"/>
      <c r="P91" s="80"/>
      <c r="Q91" s="80"/>
      <c r="R91" s="91"/>
      <c r="S91" s="8"/>
      <c r="T91" s="82"/>
      <c r="W91" s="10"/>
      <c r="X91" s="12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</row>
    <row r="92" spans="1:61">
      <c r="A92" s="156" t="s">
        <v>603</v>
      </c>
      <c r="B92" s="157" t="s">
        <v>604</v>
      </c>
      <c r="C92" s="156" t="s">
        <v>81</v>
      </c>
      <c r="D92" s="156">
        <v>67.010000000000005</v>
      </c>
      <c r="E92" s="156">
        <v>318.20999999999998</v>
      </c>
      <c r="F92" s="156">
        <f t="shared" si="38"/>
        <v>21323.252100000002</v>
      </c>
      <c r="G92" s="156">
        <v>0</v>
      </c>
      <c r="H92" s="156"/>
      <c r="I92" s="156">
        <f t="shared" si="52"/>
        <v>0</v>
      </c>
      <c r="J92" s="156">
        <f t="shared" si="53"/>
        <v>0</v>
      </c>
      <c r="K92" s="156">
        <f t="shared" si="54"/>
        <v>0</v>
      </c>
      <c r="L92" s="156">
        <f t="shared" si="55"/>
        <v>0</v>
      </c>
      <c r="M92" s="188">
        <f t="shared" si="1"/>
        <v>0</v>
      </c>
      <c r="N92" s="81"/>
      <c r="O92" s="7"/>
      <c r="P92" s="80"/>
      <c r="Q92" s="80"/>
      <c r="R92" s="91"/>
      <c r="S92" s="8"/>
      <c r="T92" s="82"/>
      <c r="W92" s="10"/>
      <c r="X92" s="12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</row>
    <row r="93" spans="1:61">
      <c r="A93" s="156"/>
      <c r="B93" s="154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88" t="e">
        <f t="shared" si="1"/>
        <v>#DIV/0!</v>
      </c>
      <c r="N93" s="81"/>
      <c r="O93" s="7"/>
      <c r="P93" s="80"/>
      <c r="Q93" s="80"/>
      <c r="R93" s="91"/>
      <c r="S93" s="8"/>
      <c r="T93" s="82"/>
      <c r="W93" s="10"/>
      <c r="X93" s="12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</row>
    <row r="94" spans="1:61" s="87" customFormat="1">
      <c r="A94" s="164" t="s">
        <v>108</v>
      </c>
      <c r="B94" s="165" t="s">
        <v>3</v>
      </c>
      <c r="C94" s="166"/>
      <c r="D94" s="167"/>
      <c r="E94" s="166"/>
      <c r="F94" s="166">
        <f>SUM(F96:F105)</f>
        <v>53736.512299999995</v>
      </c>
      <c r="G94" s="166"/>
      <c r="H94" s="166"/>
      <c r="I94" s="166"/>
      <c r="J94" s="166">
        <f>SUM(J96:J105)</f>
        <v>0</v>
      </c>
      <c r="K94" s="166">
        <f t="shared" ref="K94:L94" si="56">SUM(K96:K105)</f>
        <v>41141.707199999997</v>
      </c>
      <c r="L94" s="166">
        <f t="shared" si="56"/>
        <v>41141.707199999997</v>
      </c>
      <c r="M94" s="188">
        <f t="shared" si="1"/>
        <v>0.76561923055806513</v>
      </c>
      <c r="N94" s="98"/>
      <c r="O94" s="7"/>
      <c r="P94" s="97"/>
      <c r="Q94" s="97"/>
      <c r="R94" s="79"/>
      <c r="S94" s="16"/>
      <c r="T94" s="82"/>
      <c r="U94" s="14"/>
      <c r="V94" s="14"/>
      <c r="W94" s="84"/>
      <c r="X94" s="83"/>
      <c r="Y94" s="85"/>
      <c r="Z94" s="85"/>
      <c r="AA94" s="85"/>
      <c r="AB94" s="85"/>
      <c r="AC94" s="85"/>
      <c r="AD94" s="85"/>
      <c r="AE94" s="85"/>
      <c r="AF94" s="85"/>
      <c r="AG94" s="85"/>
      <c r="AH94" s="85"/>
      <c r="AI94" s="85"/>
      <c r="AJ94" s="85"/>
      <c r="AK94" s="86"/>
      <c r="AL94" s="86"/>
      <c r="AM94" s="86"/>
      <c r="AN94" s="86"/>
      <c r="AO94" s="86"/>
      <c r="AP94" s="86"/>
      <c r="AQ94" s="86"/>
      <c r="AR94" s="86"/>
      <c r="AS94" s="86"/>
      <c r="AT94" s="86"/>
      <c r="AU94" s="86"/>
      <c r="AV94" s="86"/>
      <c r="AW94" s="86"/>
      <c r="AX94" s="86"/>
      <c r="AY94" s="86"/>
      <c r="AZ94" s="86"/>
      <c r="BA94" s="86"/>
      <c r="BB94" s="86"/>
      <c r="BC94" s="86"/>
      <c r="BD94" s="86"/>
      <c r="BE94" s="86"/>
      <c r="BF94" s="86"/>
      <c r="BG94" s="86"/>
      <c r="BH94" s="86"/>
      <c r="BI94" s="86"/>
    </row>
    <row r="95" spans="1:61">
      <c r="A95" s="156"/>
      <c r="B95" s="154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88" t="e">
        <f t="shared" si="1"/>
        <v>#DIV/0!</v>
      </c>
      <c r="N95" s="81"/>
      <c r="O95" s="7"/>
      <c r="P95" s="80"/>
      <c r="Q95" s="80"/>
      <c r="R95" s="91"/>
      <c r="S95" s="8"/>
      <c r="T95" s="82"/>
      <c r="W95" s="10"/>
      <c r="X95" s="12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</row>
    <row r="96" spans="1:61" ht="42.75">
      <c r="A96" s="156" t="s">
        <v>109</v>
      </c>
      <c r="B96" s="157" t="s">
        <v>110</v>
      </c>
      <c r="C96" s="156" t="s">
        <v>16</v>
      </c>
      <c r="D96" s="156">
        <v>0</v>
      </c>
      <c r="E96" s="156">
        <v>22.8</v>
      </c>
      <c r="F96" s="156">
        <f t="shared" ref="F96:F103" si="57">D96*E96</f>
        <v>0</v>
      </c>
      <c r="G96" s="156">
        <v>0</v>
      </c>
      <c r="H96" s="156"/>
      <c r="I96" s="156">
        <f t="shared" ref="I96:I105" si="58">G96+H96</f>
        <v>0</v>
      </c>
      <c r="J96" s="156">
        <f t="shared" ref="J96:J103" si="59">E96*G96</f>
        <v>0</v>
      </c>
      <c r="K96" s="156">
        <f t="shared" ref="K96:K103" si="60">H96*E96</f>
        <v>0</v>
      </c>
      <c r="L96" s="156">
        <f t="shared" ref="L96:L103" si="61">J96+K96</f>
        <v>0</v>
      </c>
      <c r="M96" s="188" t="e">
        <f t="shared" ref="M96:M159" si="62">L96/F96</f>
        <v>#DIV/0!</v>
      </c>
      <c r="N96" s="81"/>
      <c r="O96" s="7"/>
      <c r="P96" s="80"/>
      <c r="Q96" s="80"/>
      <c r="R96" s="91"/>
      <c r="S96" s="8"/>
      <c r="T96" s="82"/>
      <c r="W96" s="10"/>
      <c r="X96" s="12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</row>
    <row r="97" spans="1:61" ht="42.75">
      <c r="A97" s="156" t="s">
        <v>111</v>
      </c>
      <c r="B97" s="157" t="s">
        <v>112</v>
      </c>
      <c r="C97" s="156" t="s">
        <v>16</v>
      </c>
      <c r="D97" s="156">
        <v>511.15</v>
      </c>
      <c r="E97" s="156">
        <v>48.73</v>
      </c>
      <c r="F97" s="156">
        <f t="shared" si="57"/>
        <v>24908.339499999998</v>
      </c>
      <c r="G97" s="156">
        <v>0</v>
      </c>
      <c r="H97" s="156">
        <f>'MEMORIA BM 04'!L259</f>
        <v>511.15</v>
      </c>
      <c r="I97" s="156">
        <f t="shared" si="58"/>
        <v>511.15</v>
      </c>
      <c r="J97" s="156">
        <f t="shared" si="59"/>
        <v>0</v>
      </c>
      <c r="K97" s="156">
        <f t="shared" si="60"/>
        <v>24908.339499999998</v>
      </c>
      <c r="L97" s="156">
        <f t="shared" si="61"/>
        <v>24908.339499999998</v>
      </c>
      <c r="M97" s="188">
        <f t="shared" si="62"/>
        <v>1</v>
      </c>
      <c r="N97" s="92"/>
      <c r="O97" s="7"/>
      <c r="P97" s="80"/>
      <c r="Q97" s="80"/>
      <c r="R97" s="91"/>
      <c r="S97" s="8"/>
      <c r="T97" s="82"/>
      <c r="W97" s="10"/>
      <c r="X97" s="9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</row>
    <row r="98" spans="1:61" ht="28.5">
      <c r="A98" s="156" t="s">
        <v>113</v>
      </c>
      <c r="B98" s="157" t="s">
        <v>114</v>
      </c>
      <c r="C98" s="156" t="s">
        <v>16</v>
      </c>
      <c r="D98" s="156">
        <v>511.15</v>
      </c>
      <c r="E98" s="156">
        <v>25.93</v>
      </c>
      <c r="F98" s="156">
        <f t="shared" si="57"/>
        <v>13254.119499999999</v>
      </c>
      <c r="G98" s="156">
        <v>0</v>
      </c>
      <c r="H98" s="156">
        <f>'MEMORIA BM 04'!L262</f>
        <v>511.15</v>
      </c>
      <c r="I98" s="156">
        <f t="shared" si="58"/>
        <v>511.15</v>
      </c>
      <c r="J98" s="156">
        <f t="shared" si="59"/>
        <v>0</v>
      </c>
      <c r="K98" s="156">
        <f t="shared" si="60"/>
        <v>13254.119499999999</v>
      </c>
      <c r="L98" s="156">
        <f t="shared" si="61"/>
        <v>13254.119499999999</v>
      </c>
      <c r="M98" s="188">
        <f t="shared" si="62"/>
        <v>1</v>
      </c>
      <c r="N98" s="92"/>
      <c r="O98" s="7"/>
      <c r="P98" s="80"/>
      <c r="Q98" s="80"/>
      <c r="R98" s="91"/>
      <c r="S98" s="8"/>
      <c r="T98" s="82"/>
      <c r="W98" s="10"/>
      <c r="X98" s="9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</row>
    <row r="99" spans="1:61" ht="42" customHeight="1">
      <c r="A99" s="156" t="s">
        <v>115</v>
      </c>
      <c r="B99" s="157" t="s">
        <v>116</v>
      </c>
      <c r="C99" s="156" t="s">
        <v>6</v>
      </c>
      <c r="D99" s="156">
        <v>70.63</v>
      </c>
      <c r="E99" s="156">
        <v>14.2</v>
      </c>
      <c r="F99" s="156">
        <f t="shared" si="57"/>
        <v>1002.9459999999999</v>
      </c>
      <c r="G99" s="156">
        <v>0</v>
      </c>
      <c r="H99" s="156">
        <f>'MEMORIA BM 04'!L265</f>
        <v>49.51</v>
      </c>
      <c r="I99" s="156">
        <f t="shared" si="58"/>
        <v>49.51</v>
      </c>
      <c r="J99" s="156">
        <f t="shared" si="59"/>
        <v>0</v>
      </c>
      <c r="K99" s="156">
        <f t="shared" si="60"/>
        <v>703.04199999999992</v>
      </c>
      <c r="L99" s="156">
        <f t="shared" si="61"/>
        <v>703.04199999999992</v>
      </c>
      <c r="M99" s="188">
        <f t="shared" si="62"/>
        <v>0.7009769219878238</v>
      </c>
      <c r="N99" s="81"/>
      <c r="O99" s="7"/>
      <c r="P99" s="80"/>
      <c r="Q99" s="80"/>
      <c r="R99" s="91"/>
      <c r="S99" s="8"/>
      <c r="T99" s="82"/>
      <c r="W99" s="10"/>
      <c r="X99" s="9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</row>
    <row r="100" spans="1:61" ht="28.5">
      <c r="A100" s="156" t="s">
        <v>117</v>
      </c>
      <c r="B100" s="157" t="s">
        <v>118</v>
      </c>
      <c r="C100" s="156" t="s">
        <v>5</v>
      </c>
      <c r="D100" s="156">
        <v>41.57</v>
      </c>
      <c r="E100" s="156">
        <v>26.11</v>
      </c>
      <c r="F100" s="156">
        <f t="shared" si="57"/>
        <v>1085.3926999999999</v>
      </c>
      <c r="G100" s="156">
        <v>0</v>
      </c>
      <c r="H100" s="156"/>
      <c r="I100" s="156">
        <f t="shared" si="58"/>
        <v>0</v>
      </c>
      <c r="J100" s="156">
        <f t="shared" si="59"/>
        <v>0</v>
      </c>
      <c r="K100" s="156">
        <f t="shared" si="60"/>
        <v>0</v>
      </c>
      <c r="L100" s="156">
        <f t="shared" si="61"/>
        <v>0</v>
      </c>
      <c r="M100" s="188">
        <f t="shared" si="62"/>
        <v>0</v>
      </c>
      <c r="N100" s="81"/>
      <c r="O100" s="7"/>
      <c r="P100" s="80"/>
      <c r="Q100" s="80"/>
      <c r="R100" s="91"/>
      <c r="S100" s="8"/>
      <c r="T100" s="82"/>
      <c r="W100" s="10"/>
      <c r="X100" s="9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</row>
    <row r="101" spans="1:61" ht="28.5">
      <c r="A101" s="156" t="s">
        <v>119</v>
      </c>
      <c r="B101" s="157" t="s">
        <v>120</v>
      </c>
      <c r="C101" s="156" t="s">
        <v>5</v>
      </c>
      <c r="D101" s="156">
        <v>8.7799999999999994</v>
      </c>
      <c r="E101" s="156">
        <v>15.87</v>
      </c>
      <c r="F101" s="156">
        <f t="shared" si="57"/>
        <v>139.33859999999999</v>
      </c>
      <c r="G101" s="156">
        <v>0</v>
      </c>
      <c r="H101" s="156">
        <f>'MEMORIA BM 04'!L272</f>
        <v>8.7799999999999994</v>
      </c>
      <c r="I101" s="156">
        <f t="shared" si="58"/>
        <v>8.7799999999999994</v>
      </c>
      <c r="J101" s="156">
        <f t="shared" si="59"/>
        <v>0</v>
      </c>
      <c r="K101" s="156">
        <f t="shared" si="60"/>
        <v>139.33859999999999</v>
      </c>
      <c r="L101" s="156">
        <f t="shared" si="61"/>
        <v>139.33859999999999</v>
      </c>
      <c r="M101" s="188">
        <f t="shared" si="62"/>
        <v>1</v>
      </c>
      <c r="N101" s="92"/>
      <c r="O101" s="7"/>
      <c r="P101" s="80"/>
      <c r="Q101" s="80"/>
      <c r="R101" s="91"/>
      <c r="S101" s="8"/>
      <c r="T101" s="82"/>
      <c r="W101" s="10"/>
      <c r="X101" s="9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</row>
    <row r="102" spans="1:61">
      <c r="A102" s="156" t="s">
        <v>121</v>
      </c>
      <c r="B102" s="157" t="s">
        <v>122</v>
      </c>
      <c r="C102" s="172" t="s">
        <v>16</v>
      </c>
      <c r="D102" s="156">
        <v>8.31</v>
      </c>
      <c r="E102" s="156">
        <v>26.72</v>
      </c>
      <c r="F102" s="156">
        <f t="shared" si="57"/>
        <v>222.04320000000001</v>
      </c>
      <c r="G102" s="156">
        <v>0</v>
      </c>
      <c r="H102" s="156">
        <f>'MEMORIA BM 04'!L275</f>
        <v>8.31</v>
      </c>
      <c r="I102" s="156">
        <f t="shared" si="58"/>
        <v>8.31</v>
      </c>
      <c r="J102" s="156">
        <f t="shared" si="59"/>
        <v>0</v>
      </c>
      <c r="K102" s="156">
        <f t="shared" si="60"/>
        <v>222.04320000000001</v>
      </c>
      <c r="L102" s="156">
        <f t="shared" si="61"/>
        <v>222.04320000000001</v>
      </c>
      <c r="M102" s="188">
        <f t="shared" si="62"/>
        <v>1</v>
      </c>
      <c r="N102" s="92"/>
      <c r="O102" s="7"/>
      <c r="P102" s="80"/>
      <c r="Q102" s="80"/>
      <c r="R102" s="91"/>
      <c r="S102" s="8"/>
      <c r="T102" s="82"/>
      <c r="W102" s="10"/>
      <c r="X102" s="9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</row>
    <row r="103" spans="1:61" s="87" customFormat="1" ht="30.75" customHeight="1">
      <c r="A103" s="156" t="s">
        <v>123</v>
      </c>
      <c r="B103" s="157" t="s">
        <v>124</v>
      </c>
      <c r="C103" s="172" t="s">
        <v>16</v>
      </c>
      <c r="D103" s="155">
        <v>0</v>
      </c>
      <c r="E103" s="155">
        <v>46.27</v>
      </c>
      <c r="F103" s="156">
        <f t="shared" si="57"/>
        <v>0</v>
      </c>
      <c r="G103" s="156">
        <v>0</v>
      </c>
      <c r="H103" s="156"/>
      <c r="I103" s="156">
        <f t="shared" si="58"/>
        <v>0</v>
      </c>
      <c r="J103" s="156">
        <f t="shared" si="59"/>
        <v>0</v>
      </c>
      <c r="K103" s="156">
        <f t="shared" si="60"/>
        <v>0</v>
      </c>
      <c r="L103" s="156">
        <f t="shared" si="61"/>
        <v>0</v>
      </c>
      <c r="M103" s="188" t="e">
        <f t="shared" si="62"/>
        <v>#DIV/0!</v>
      </c>
      <c r="N103" s="81"/>
      <c r="O103" s="7"/>
      <c r="P103" s="79"/>
      <c r="Q103" s="79"/>
      <c r="R103" s="79"/>
      <c r="S103" s="16"/>
      <c r="T103" s="82"/>
      <c r="U103" s="14"/>
      <c r="V103" s="14"/>
      <c r="W103" s="84"/>
      <c r="X103" s="83"/>
      <c r="Y103" s="85"/>
      <c r="Z103" s="85"/>
      <c r="AA103" s="85"/>
      <c r="AB103" s="85"/>
      <c r="AC103" s="85"/>
      <c r="AD103" s="85"/>
      <c r="AE103" s="86"/>
      <c r="AF103" s="86"/>
      <c r="AG103" s="86"/>
      <c r="AH103" s="86"/>
      <c r="AI103" s="86"/>
      <c r="AJ103" s="86"/>
      <c r="AK103" s="86"/>
      <c r="AL103" s="86"/>
      <c r="AM103" s="86"/>
      <c r="AN103" s="86"/>
      <c r="AO103" s="86"/>
      <c r="AP103" s="86"/>
      <c r="AQ103" s="86"/>
      <c r="AR103" s="86"/>
      <c r="AS103" s="86"/>
      <c r="AT103" s="86"/>
      <c r="AU103" s="86"/>
      <c r="AV103" s="86"/>
      <c r="AW103" s="86"/>
      <c r="AX103" s="86"/>
      <c r="AY103" s="86"/>
      <c r="AZ103" s="86"/>
      <c r="BA103" s="86"/>
      <c r="BB103" s="86"/>
      <c r="BC103" s="86"/>
      <c r="BD103" s="86"/>
      <c r="BE103" s="86"/>
      <c r="BF103" s="86"/>
      <c r="BG103" s="86"/>
      <c r="BH103" s="86"/>
      <c r="BI103" s="86"/>
    </row>
    <row r="104" spans="1:61" s="87" customFormat="1">
      <c r="A104" s="156" t="s">
        <v>605</v>
      </c>
      <c r="B104" s="157" t="s">
        <v>606</v>
      </c>
      <c r="C104" s="172" t="s">
        <v>81</v>
      </c>
      <c r="D104" s="155">
        <v>475</v>
      </c>
      <c r="E104" s="155">
        <v>26.49</v>
      </c>
      <c r="F104" s="156">
        <f t="shared" ref="F104:F105" si="63">D104*E104</f>
        <v>12582.75</v>
      </c>
      <c r="G104" s="156">
        <v>0</v>
      </c>
      <c r="H104" s="156">
        <f>'MEMORIA BM 04'!L281</f>
        <v>51.84</v>
      </c>
      <c r="I104" s="156">
        <f t="shared" si="58"/>
        <v>51.84</v>
      </c>
      <c r="J104" s="156">
        <f t="shared" ref="J104:J105" si="64">E104*G104</f>
        <v>0</v>
      </c>
      <c r="K104" s="156">
        <f t="shared" ref="K104:K105" si="65">H104*E104</f>
        <v>1373.2416000000001</v>
      </c>
      <c r="L104" s="156">
        <f t="shared" ref="L104:L105" si="66">J104+K104</f>
        <v>1373.2416000000001</v>
      </c>
      <c r="M104" s="188">
        <f t="shared" si="62"/>
        <v>0.10913684210526316</v>
      </c>
      <c r="N104" s="92"/>
      <c r="O104" s="7"/>
      <c r="P104" s="79"/>
      <c r="Q104" s="79"/>
      <c r="R104" s="79"/>
      <c r="S104" s="16"/>
      <c r="T104" s="82"/>
      <c r="U104" s="14"/>
      <c r="V104" s="14"/>
      <c r="W104" s="84"/>
      <c r="X104" s="83"/>
      <c r="Y104" s="85"/>
      <c r="Z104" s="85"/>
      <c r="AA104" s="85"/>
      <c r="AB104" s="85"/>
      <c r="AC104" s="85"/>
      <c r="AD104" s="85"/>
      <c r="AE104" s="86"/>
      <c r="AF104" s="86"/>
      <c r="AG104" s="86"/>
      <c r="AH104" s="86"/>
      <c r="AI104" s="86"/>
      <c r="AJ104" s="86"/>
      <c r="AK104" s="86"/>
      <c r="AL104" s="86"/>
      <c r="AM104" s="86"/>
      <c r="AN104" s="86"/>
      <c r="AO104" s="86"/>
      <c r="AP104" s="86"/>
      <c r="AQ104" s="86"/>
      <c r="AR104" s="86"/>
      <c r="AS104" s="86"/>
      <c r="AT104" s="86"/>
      <c r="AU104" s="86"/>
      <c r="AV104" s="86"/>
      <c r="AW104" s="86"/>
      <c r="AX104" s="86"/>
      <c r="AY104" s="86"/>
      <c r="AZ104" s="86"/>
      <c r="BA104" s="86"/>
      <c r="BB104" s="86"/>
      <c r="BC104" s="86"/>
      <c r="BD104" s="86"/>
      <c r="BE104" s="86"/>
      <c r="BF104" s="86"/>
      <c r="BG104" s="86"/>
      <c r="BH104" s="86"/>
      <c r="BI104" s="86"/>
    </row>
    <row r="105" spans="1:61" s="87" customFormat="1">
      <c r="A105" s="156" t="s">
        <v>607</v>
      </c>
      <c r="B105" s="157" t="s">
        <v>608</v>
      </c>
      <c r="C105" s="172" t="s">
        <v>43</v>
      </c>
      <c r="D105" s="155">
        <v>101.42</v>
      </c>
      <c r="E105" s="155">
        <v>5.34</v>
      </c>
      <c r="F105" s="156">
        <f t="shared" si="63"/>
        <v>541.58280000000002</v>
      </c>
      <c r="G105" s="156">
        <v>0</v>
      </c>
      <c r="H105" s="156">
        <f>'MEMORIA BM 04'!L284</f>
        <v>101.42</v>
      </c>
      <c r="I105" s="156">
        <f t="shared" si="58"/>
        <v>101.42</v>
      </c>
      <c r="J105" s="156">
        <f t="shared" si="64"/>
        <v>0</v>
      </c>
      <c r="K105" s="156">
        <f t="shared" si="65"/>
        <v>541.58280000000002</v>
      </c>
      <c r="L105" s="156">
        <f t="shared" si="66"/>
        <v>541.58280000000002</v>
      </c>
      <c r="M105" s="188">
        <f t="shared" si="62"/>
        <v>1</v>
      </c>
      <c r="N105" s="92"/>
      <c r="O105" s="7"/>
      <c r="P105" s="79"/>
      <c r="Q105" s="79"/>
      <c r="R105" s="79"/>
      <c r="S105" s="16"/>
      <c r="T105" s="82"/>
      <c r="U105" s="14"/>
      <c r="V105" s="14"/>
      <c r="W105" s="84"/>
      <c r="X105" s="83"/>
      <c r="Y105" s="85"/>
      <c r="Z105" s="85"/>
      <c r="AA105" s="85"/>
      <c r="AB105" s="85"/>
      <c r="AC105" s="85"/>
      <c r="AD105" s="85"/>
      <c r="AE105" s="86"/>
      <c r="AF105" s="86"/>
      <c r="AG105" s="86"/>
      <c r="AH105" s="86"/>
      <c r="AI105" s="86"/>
      <c r="AJ105" s="86"/>
      <c r="AK105" s="86"/>
      <c r="AL105" s="86"/>
      <c r="AM105" s="86"/>
      <c r="AN105" s="86"/>
      <c r="AO105" s="86"/>
      <c r="AP105" s="86"/>
      <c r="AQ105" s="86"/>
      <c r="AR105" s="86"/>
      <c r="AS105" s="86"/>
      <c r="AT105" s="86"/>
      <c r="AU105" s="86"/>
      <c r="AV105" s="86"/>
      <c r="AW105" s="86"/>
      <c r="AX105" s="86"/>
      <c r="AY105" s="86"/>
      <c r="AZ105" s="86"/>
      <c r="BA105" s="86"/>
      <c r="BB105" s="86"/>
      <c r="BC105" s="86"/>
      <c r="BD105" s="86"/>
      <c r="BE105" s="86"/>
      <c r="BF105" s="86"/>
      <c r="BG105" s="86"/>
      <c r="BH105" s="86"/>
      <c r="BI105" s="86"/>
    </row>
    <row r="106" spans="1:61">
      <c r="A106" s="156"/>
      <c r="B106" s="154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88" t="e">
        <f t="shared" si="62"/>
        <v>#DIV/0!</v>
      </c>
      <c r="N106" s="81"/>
      <c r="O106" s="7"/>
      <c r="P106" s="80"/>
      <c r="Q106" s="80"/>
      <c r="R106" s="91"/>
      <c r="S106" s="8"/>
      <c r="T106" s="82"/>
      <c r="W106" s="10"/>
      <c r="X106" s="9"/>
      <c r="Y106" s="99"/>
      <c r="Z106" s="100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</row>
    <row r="107" spans="1:61" s="87" customFormat="1">
      <c r="A107" s="164" t="s">
        <v>125</v>
      </c>
      <c r="B107" s="165" t="s">
        <v>126</v>
      </c>
      <c r="C107" s="166"/>
      <c r="D107" s="167"/>
      <c r="E107" s="166"/>
      <c r="F107" s="166">
        <f>SUM(F109:F112)</f>
        <v>66961.275599999994</v>
      </c>
      <c r="G107" s="166"/>
      <c r="H107" s="166"/>
      <c r="I107" s="166"/>
      <c r="J107" s="166">
        <f>SUM(J109:J112)</f>
        <v>53153.564400000003</v>
      </c>
      <c r="K107" s="166">
        <f>SUM(K109:K112)</f>
        <v>3808.2364000000007</v>
      </c>
      <c r="L107" s="166">
        <f>SUM(L109:L112)</f>
        <v>56961.800800000012</v>
      </c>
      <c r="M107" s="188">
        <f t="shared" si="62"/>
        <v>0.85066779701550399</v>
      </c>
      <c r="N107" s="98"/>
      <c r="O107" s="7"/>
      <c r="P107" s="97"/>
      <c r="Q107" s="97"/>
      <c r="R107" s="79"/>
      <c r="S107" s="16"/>
      <c r="T107" s="82"/>
      <c r="U107" s="14"/>
      <c r="V107" s="14"/>
      <c r="W107" s="84"/>
      <c r="X107" s="83"/>
      <c r="Y107" s="85"/>
      <c r="Z107" s="85"/>
      <c r="AA107" s="85"/>
      <c r="AB107" s="85"/>
      <c r="AC107" s="85"/>
      <c r="AD107" s="85"/>
      <c r="AE107" s="85"/>
      <c r="AF107" s="85"/>
      <c r="AG107" s="85"/>
      <c r="AH107" s="85"/>
      <c r="AI107" s="85"/>
      <c r="AJ107" s="85"/>
      <c r="AK107" s="86"/>
      <c r="AL107" s="86"/>
      <c r="AM107" s="86"/>
      <c r="AN107" s="86"/>
      <c r="AO107" s="86"/>
      <c r="AP107" s="86"/>
      <c r="AQ107" s="86"/>
      <c r="AR107" s="86"/>
      <c r="AS107" s="86"/>
      <c r="AT107" s="86"/>
      <c r="AU107" s="86"/>
      <c r="AV107" s="86"/>
      <c r="AW107" s="86"/>
      <c r="AX107" s="86"/>
      <c r="AY107" s="86"/>
      <c r="AZ107" s="86"/>
      <c r="BA107" s="86"/>
      <c r="BB107" s="86"/>
      <c r="BC107" s="86"/>
      <c r="BD107" s="86"/>
      <c r="BE107" s="86"/>
      <c r="BF107" s="86"/>
      <c r="BG107" s="86"/>
      <c r="BH107" s="86"/>
      <c r="BI107" s="86"/>
    </row>
    <row r="108" spans="1:61" s="87" customFormat="1">
      <c r="A108" s="156"/>
      <c r="B108" s="154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88" t="e">
        <f t="shared" si="62"/>
        <v>#DIV/0!</v>
      </c>
      <c r="N108" s="81"/>
      <c r="O108" s="7"/>
      <c r="P108" s="79"/>
      <c r="Q108" s="79"/>
      <c r="R108" s="79"/>
      <c r="S108" s="16"/>
      <c r="T108" s="82"/>
      <c r="U108" s="14"/>
      <c r="V108" s="14"/>
      <c r="W108" s="84"/>
      <c r="X108" s="83"/>
      <c r="Y108" s="85"/>
      <c r="Z108" s="85"/>
      <c r="AA108" s="85"/>
      <c r="AB108" s="85"/>
      <c r="AC108" s="85"/>
      <c r="AD108" s="85"/>
      <c r="AE108" s="85"/>
      <c r="AF108" s="85"/>
      <c r="AG108" s="85"/>
      <c r="AH108" s="85"/>
      <c r="AI108" s="85"/>
      <c r="AJ108" s="85"/>
      <c r="AK108" s="86"/>
      <c r="AL108" s="86"/>
      <c r="AM108" s="86"/>
      <c r="AN108" s="86"/>
      <c r="AO108" s="86"/>
      <c r="AP108" s="86"/>
      <c r="AQ108" s="86"/>
      <c r="AR108" s="86"/>
      <c r="AS108" s="86"/>
      <c r="AT108" s="86"/>
      <c r="AU108" s="86"/>
      <c r="AV108" s="86"/>
      <c r="AW108" s="86"/>
      <c r="AX108" s="86"/>
      <c r="AY108" s="86"/>
      <c r="AZ108" s="86"/>
      <c r="BA108" s="86"/>
      <c r="BB108" s="86"/>
      <c r="BC108" s="86"/>
      <c r="BD108" s="86"/>
      <c r="BE108" s="86"/>
      <c r="BF108" s="86"/>
      <c r="BG108" s="86"/>
      <c r="BH108" s="86"/>
      <c r="BI108" s="86"/>
    </row>
    <row r="109" spans="1:61" ht="42.75">
      <c r="A109" s="156" t="s">
        <v>127</v>
      </c>
      <c r="B109" s="157" t="s">
        <v>128</v>
      </c>
      <c r="C109" s="156" t="s">
        <v>16</v>
      </c>
      <c r="D109" s="156">
        <v>1663.44</v>
      </c>
      <c r="E109" s="156">
        <v>2.92</v>
      </c>
      <c r="F109" s="156">
        <f t="shared" ref="F109:F112" si="67">D109*E109</f>
        <v>4857.2448000000004</v>
      </c>
      <c r="G109" s="156">
        <v>1180.8399999999999</v>
      </c>
      <c r="H109" s="156">
        <f>'MEMORIA BM 04'!L290</f>
        <v>156.46</v>
      </c>
      <c r="I109" s="156">
        <f t="shared" ref="I109:I112" si="68">G109+H109</f>
        <v>1337.3</v>
      </c>
      <c r="J109" s="156">
        <f t="shared" ref="J109:J112" si="69">E109*G109</f>
        <v>3448.0527999999995</v>
      </c>
      <c r="K109" s="156">
        <f t="shared" ref="K109:K112" si="70">H109*E109</f>
        <v>456.86320000000001</v>
      </c>
      <c r="L109" s="156">
        <f t="shared" ref="L109:L112" si="71">J109+K109</f>
        <v>3904.9159999999993</v>
      </c>
      <c r="M109" s="188">
        <f t="shared" si="62"/>
        <v>0.80393642091088324</v>
      </c>
      <c r="N109" s="92"/>
      <c r="O109" s="7"/>
      <c r="P109" s="80"/>
      <c r="Q109" s="80"/>
      <c r="R109" s="91"/>
      <c r="S109" s="8"/>
      <c r="T109" s="82"/>
      <c r="W109" s="10"/>
      <c r="X109" s="9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</row>
    <row r="110" spans="1:61" ht="57.75" customHeight="1">
      <c r="A110" s="156" t="s">
        <v>129</v>
      </c>
      <c r="B110" s="157" t="s">
        <v>130</v>
      </c>
      <c r="C110" s="156" t="s">
        <v>16</v>
      </c>
      <c r="D110" s="156">
        <v>1146.79</v>
      </c>
      <c r="E110" s="156">
        <v>21.42</v>
      </c>
      <c r="F110" s="156">
        <f t="shared" si="67"/>
        <v>24564.2418</v>
      </c>
      <c r="G110" s="156">
        <v>690.43000000000018</v>
      </c>
      <c r="H110" s="156">
        <f>'MEMORIA BM 04'!L296</f>
        <v>156.46</v>
      </c>
      <c r="I110" s="156">
        <f t="shared" si="68"/>
        <v>846.89000000000021</v>
      </c>
      <c r="J110" s="156">
        <f t="shared" si="69"/>
        <v>14789.010600000005</v>
      </c>
      <c r="K110" s="156">
        <f t="shared" si="70"/>
        <v>3351.3732000000005</v>
      </c>
      <c r="L110" s="156">
        <f t="shared" si="71"/>
        <v>18140.383800000007</v>
      </c>
      <c r="M110" s="188">
        <f t="shared" si="62"/>
        <v>0.73848743013106177</v>
      </c>
      <c r="N110" s="92"/>
      <c r="O110" s="7"/>
      <c r="P110" s="80"/>
      <c r="Q110" s="80"/>
      <c r="R110" s="91"/>
      <c r="S110" s="8"/>
      <c r="T110" s="82"/>
      <c r="W110" s="10"/>
      <c r="X110" s="9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</row>
    <row r="111" spans="1:61" ht="57">
      <c r="A111" s="156" t="s">
        <v>131</v>
      </c>
      <c r="B111" s="157" t="s">
        <v>132</v>
      </c>
      <c r="C111" s="156" t="s">
        <v>16</v>
      </c>
      <c r="D111" s="156">
        <v>516.65</v>
      </c>
      <c r="E111" s="156">
        <v>21.4</v>
      </c>
      <c r="F111" s="156">
        <f t="shared" si="67"/>
        <v>11056.31</v>
      </c>
      <c r="G111" s="156">
        <v>515.2700000000001</v>
      </c>
      <c r="H111" s="156"/>
      <c r="I111" s="156">
        <f t="shared" si="68"/>
        <v>515.2700000000001</v>
      </c>
      <c r="J111" s="156">
        <f t="shared" si="69"/>
        <v>11026.778000000002</v>
      </c>
      <c r="K111" s="156">
        <f t="shared" si="70"/>
        <v>0</v>
      </c>
      <c r="L111" s="156">
        <f t="shared" si="71"/>
        <v>11026.778000000002</v>
      </c>
      <c r="M111" s="188">
        <f t="shared" si="62"/>
        <v>0.99732894609503553</v>
      </c>
      <c r="N111" s="81"/>
      <c r="O111" s="7"/>
      <c r="P111" s="80"/>
      <c r="Q111" s="80"/>
      <c r="R111" s="91"/>
      <c r="S111" s="8"/>
      <c r="T111" s="82"/>
      <c r="W111" s="10"/>
      <c r="X111" s="9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</row>
    <row r="112" spans="1:61" ht="42.75">
      <c r="A112" s="156" t="s">
        <v>133</v>
      </c>
      <c r="B112" s="157" t="s">
        <v>134</v>
      </c>
      <c r="C112" s="156" t="s">
        <v>16</v>
      </c>
      <c r="D112" s="156">
        <v>516.65</v>
      </c>
      <c r="E112" s="156">
        <v>51.26</v>
      </c>
      <c r="F112" s="156">
        <f t="shared" si="67"/>
        <v>26483.478999999999</v>
      </c>
      <c r="G112" s="156">
        <v>466.0499999999999</v>
      </c>
      <c r="H112" s="156"/>
      <c r="I112" s="156">
        <f t="shared" si="68"/>
        <v>466.0499999999999</v>
      </c>
      <c r="J112" s="156">
        <f t="shared" si="69"/>
        <v>23889.722999999994</v>
      </c>
      <c r="K112" s="156">
        <f t="shared" si="70"/>
        <v>0</v>
      </c>
      <c r="L112" s="156">
        <f t="shared" si="71"/>
        <v>23889.722999999994</v>
      </c>
      <c r="M112" s="188">
        <f t="shared" si="62"/>
        <v>0.90206135681796173</v>
      </c>
      <c r="N112" s="81"/>
      <c r="O112" s="7"/>
      <c r="P112" s="80"/>
      <c r="Q112" s="80"/>
      <c r="R112" s="91"/>
      <c r="S112" s="8"/>
      <c r="T112" s="82"/>
      <c r="W112" s="10"/>
      <c r="X112" s="9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</row>
    <row r="113" spans="1:66">
      <c r="A113" s="156"/>
      <c r="B113" s="154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88" t="e">
        <f t="shared" si="62"/>
        <v>#DIV/0!</v>
      </c>
      <c r="N113" s="81"/>
      <c r="O113" s="7"/>
      <c r="P113" s="80"/>
      <c r="Q113" s="80"/>
      <c r="R113" s="91"/>
      <c r="S113" s="8"/>
      <c r="T113" s="82"/>
      <c r="W113" s="10"/>
      <c r="X113" s="9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</row>
    <row r="114" spans="1:66" s="87" customFormat="1">
      <c r="A114" s="164" t="s">
        <v>135</v>
      </c>
      <c r="B114" s="165" t="s">
        <v>8</v>
      </c>
      <c r="C114" s="166"/>
      <c r="D114" s="167"/>
      <c r="E114" s="166"/>
      <c r="F114" s="166">
        <f>SUM(F116:F126)</f>
        <v>36084.308730000004</v>
      </c>
      <c r="G114" s="166"/>
      <c r="H114" s="166"/>
      <c r="I114" s="166"/>
      <c r="J114" s="166">
        <f>SUM(J116:J126)</f>
        <v>0</v>
      </c>
      <c r="K114" s="166">
        <f t="shared" ref="K114:L114" si="72">SUM(K116:K126)</f>
        <v>0</v>
      </c>
      <c r="L114" s="166">
        <f t="shared" si="72"/>
        <v>0</v>
      </c>
      <c r="M114" s="188">
        <f t="shared" si="62"/>
        <v>0</v>
      </c>
      <c r="N114" s="98"/>
      <c r="O114" s="7"/>
      <c r="P114" s="97"/>
      <c r="Q114" s="97"/>
      <c r="R114" s="79"/>
      <c r="S114" s="16"/>
      <c r="T114" s="82"/>
      <c r="U114" s="14"/>
      <c r="V114" s="14"/>
      <c r="W114" s="84"/>
      <c r="X114" s="83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86"/>
      <c r="AL114" s="86"/>
      <c r="AM114" s="86"/>
      <c r="AN114" s="86"/>
      <c r="AO114" s="86"/>
      <c r="AP114" s="86"/>
      <c r="AQ114" s="86"/>
      <c r="AR114" s="86"/>
      <c r="AS114" s="86"/>
      <c r="AT114" s="86"/>
      <c r="AU114" s="86"/>
      <c r="AV114" s="86"/>
      <c r="AW114" s="86"/>
      <c r="AX114" s="86"/>
      <c r="AY114" s="86"/>
      <c r="AZ114" s="86"/>
      <c r="BA114" s="86"/>
      <c r="BB114" s="86"/>
      <c r="BC114" s="86"/>
      <c r="BD114" s="86"/>
      <c r="BE114" s="86"/>
      <c r="BF114" s="86"/>
      <c r="BG114" s="86"/>
      <c r="BH114" s="86"/>
      <c r="BI114" s="86"/>
    </row>
    <row r="115" spans="1:66" s="87" customFormat="1">
      <c r="A115" s="156"/>
      <c r="B115" s="154"/>
      <c r="C115" s="156"/>
      <c r="D115" s="155"/>
      <c r="E115" s="155"/>
      <c r="F115" s="155"/>
      <c r="G115" s="155"/>
      <c r="H115" s="155"/>
      <c r="I115" s="155"/>
      <c r="J115" s="155"/>
      <c r="K115" s="155"/>
      <c r="L115" s="155"/>
      <c r="M115" s="188" t="e">
        <f t="shared" si="62"/>
        <v>#DIV/0!</v>
      </c>
      <c r="N115" s="81"/>
      <c r="O115" s="7"/>
      <c r="P115" s="79"/>
      <c r="Q115" s="79"/>
      <c r="R115" s="79"/>
      <c r="S115" s="16"/>
      <c r="T115" s="82"/>
      <c r="U115" s="14"/>
      <c r="V115" s="14"/>
      <c r="W115" s="84"/>
      <c r="X115" s="83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6"/>
      <c r="AJ115" s="86"/>
      <c r="AK115" s="86"/>
      <c r="AL115" s="86"/>
      <c r="AM115" s="86"/>
      <c r="AN115" s="86"/>
      <c r="AO115" s="86"/>
      <c r="AP115" s="86"/>
      <c r="AQ115" s="86"/>
      <c r="AR115" s="86"/>
      <c r="AS115" s="86"/>
      <c r="AT115" s="86"/>
      <c r="AU115" s="86"/>
      <c r="AV115" s="86"/>
      <c r="AW115" s="86"/>
      <c r="AX115" s="86"/>
      <c r="AY115" s="86"/>
      <c r="AZ115" s="86"/>
      <c r="BA115" s="86"/>
      <c r="BB115" s="86"/>
      <c r="BC115" s="86"/>
      <c r="BD115" s="86"/>
      <c r="BE115" s="86"/>
      <c r="BF115" s="86"/>
      <c r="BG115" s="86"/>
      <c r="BH115" s="86"/>
      <c r="BI115" s="86"/>
    </row>
    <row r="116" spans="1:66">
      <c r="A116" s="156" t="s">
        <v>136</v>
      </c>
      <c r="B116" s="157" t="s">
        <v>137</v>
      </c>
      <c r="C116" s="156" t="s">
        <v>16</v>
      </c>
      <c r="D116" s="156">
        <v>773.61700000000053</v>
      </c>
      <c r="E116" s="156">
        <v>1.79</v>
      </c>
      <c r="F116" s="156">
        <f t="shared" ref="F116:F126" si="73">D116*E116</f>
        <v>1384.7744300000011</v>
      </c>
      <c r="G116" s="156">
        <v>0</v>
      </c>
      <c r="H116" s="156"/>
      <c r="I116" s="156">
        <f t="shared" ref="I116:I123" si="74">G116+H116</f>
        <v>0</v>
      </c>
      <c r="J116" s="156">
        <f t="shared" ref="J116:J123" si="75">E116*G116</f>
        <v>0</v>
      </c>
      <c r="K116" s="156">
        <f t="shared" ref="K116:K123" si="76">H116*E116</f>
        <v>0</v>
      </c>
      <c r="L116" s="156">
        <f t="shared" ref="L116:L123" si="77">J116+K116</f>
        <v>0</v>
      </c>
      <c r="M116" s="188">
        <f t="shared" si="62"/>
        <v>0</v>
      </c>
      <c r="N116" s="81"/>
      <c r="O116" s="7"/>
      <c r="P116" s="80"/>
      <c r="Q116" s="80"/>
      <c r="R116" s="91"/>
      <c r="S116" s="8"/>
      <c r="T116" s="82"/>
      <c r="W116" s="10"/>
      <c r="X116" s="9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</row>
    <row r="117" spans="1:66" s="87" customFormat="1" ht="28.5">
      <c r="A117" s="156" t="s">
        <v>138</v>
      </c>
      <c r="B117" s="157" t="s">
        <v>139</v>
      </c>
      <c r="C117" s="156" t="s">
        <v>16</v>
      </c>
      <c r="D117" s="156">
        <v>414.88</v>
      </c>
      <c r="E117" s="156">
        <v>9.23</v>
      </c>
      <c r="F117" s="156">
        <f t="shared" si="73"/>
        <v>3829.3424</v>
      </c>
      <c r="G117" s="156">
        <v>0</v>
      </c>
      <c r="H117" s="156"/>
      <c r="I117" s="156">
        <f t="shared" si="74"/>
        <v>0</v>
      </c>
      <c r="J117" s="156">
        <f t="shared" si="75"/>
        <v>0</v>
      </c>
      <c r="K117" s="156">
        <f t="shared" si="76"/>
        <v>0</v>
      </c>
      <c r="L117" s="156">
        <f t="shared" si="77"/>
        <v>0</v>
      </c>
      <c r="M117" s="188">
        <f t="shared" si="62"/>
        <v>0</v>
      </c>
      <c r="N117" s="81"/>
      <c r="O117" s="7"/>
      <c r="P117" s="80"/>
      <c r="Q117" s="80"/>
      <c r="R117" s="79"/>
      <c r="S117" s="16"/>
      <c r="T117" s="82"/>
      <c r="U117" s="14"/>
      <c r="V117" s="14"/>
      <c r="W117" s="84"/>
      <c r="X117" s="83"/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86"/>
      <c r="AJ117" s="86"/>
      <c r="AK117" s="86"/>
      <c r="AL117" s="86"/>
      <c r="AM117" s="86"/>
      <c r="AN117" s="86"/>
      <c r="AO117" s="86"/>
      <c r="AP117" s="86"/>
      <c r="AQ117" s="86"/>
      <c r="AR117" s="86"/>
      <c r="AS117" s="86"/>
      <c r="AT117" s="86"/>
      <c r="AU117" s="86"/>
      <c r="AV117" s="86"/>
      <c r="AW117" s="86"/>
      <c r="AX117" s="86"/>
      <c r="AY117" s="86"/>
      <c r="AZ117" s="86"/>
      <c r="BA117" s="86"/>
      <c r="BB117" s="86"/>
      <c r="BC117" s="86"/>
      <c r="BD117" s="86"/>
      <c r="BE117" s="86"/>
      <c r="BF117" s="86"/>
      <c r="BG117" s="86"/>
      <c r="BH117" s="86"/>
      <c r="BI117" s="86"/>
    </row>
    <row r="118" spans="1:66" s="87" customFormat="1" ht="28.5">
      <c r="A118" s="156" t="s">
        <v>140</v>
      </c>
      <c r="B118" s="157" t="s">
        <v>141</v>
      </c>
      <c r="C118" s="156" t="s">
        <v>16</v>
      </c>
      <c r="D118" s="156">
        <v>358.74</v>
      </c>
      <c r="E118" s="156">
        <v>11.88</v>
      </c>
      <c r="F118" s="156">
        <f t="shared" si="73"/>
        <v>4261.8312000000005</v>
      </c>
      <c r="G118" s="156">
        <v>0</v>
      </c>
      <c r="H118" s="155"/>
      <c r="I118" s="156">
        <f t="shared" si="74"/>
        <v>0</v>
      </c>
      <c r="J118" s="156">
        <f t="shared" si="75"/>
        <v>0</v>
      </c>
      <c r="K118" s="156">
        <f t="shared" si="76"/>
        <v>0</v>
      </c>
      <c r="L118" s="156">
        <f t="shared" si="77"/>
        <v>0</v>
      </c>
      <c r="M118" s="188">
        <f t="shared" si="62"/>
        <v>0</v>
      </c>
      <c r="N118" s="81"/>
      <c r="O118" s="7"/>
      <c r="P118" s="80"/>
      <c r="Q118" s="80"/>
      <c r="R118" s="79"/>
      <c r="S118" s="16"/>
      <c r="T118" s="82"/>
      <c r="U118" s="14"/>
      <c r="V118" s="14"/>
      <c r="W118" s="84"/>
      <c r="X118" s="83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6"/>
      <c r="AJ118" s="86"/>
      <c r="AK118" s="86"/>
      <c r="AL118" s="86"/>
      <c r="AM118" s="86"/>
      <c r="AN118" s="86"/>
      <c r="AO118" s="86"/>
      <c r="AP118" s="86"/>
      <c r="AQ118" s="86"/>
      <c r="AR118" s="86"/>
      <c r="AS118" s="86"/>
      <c r="AT118" s="86"/>
      <c r="AU118" s="86"/>
      <c r="AV118" s="86"/>
      <c r="AW118" s="86"/>
      <c r="AX118" s="86"/>
      <c r="AY118" s="86"/>
      <c r="AZ118" s="86"/>
      <c r="BA118" s="86"/>
      <c r="BB118" s="86"/>
      <c r="BC118" s="86"/>
      <c r="BD118" s="86"/>
      <c r="BE118" s="86"/>
      <c r="BF118" s="86"/>
      <c r="BG118" s="86"/>
      <c r="BH118" s="86"/>
      <c r="BI118" s="86"/>
    </row>
    <row r="119" spans="1:66" s="87" customFormat="1" ht="28.5">
      <c r="A119" s="156" t="s">
        <v>142</v>
      </c>
      <c r="B119" s="157" t="s">
        <v>143</v>
      </c>
      <c r="C119" s="156" t="s">
        <v>16</v>
      </c>
      <c r="D119" s="156">
        <v>358.74</v>
      </c>
      <c r="E119" s="156">
        <v>10.61</v>
      </c>
      <c r="F119" s="156">
        <f t="shared" si="73"/>
        <v>3806.2313999999997</v>
      </c>
      <c r="G119" s="156">
        <v>0</v>
      </c>
      <c r="H119" s="155"/>
      <c r="I119" s="156">
        <f t="shared" si="74"/>
        <v>0</v>
      </c>
      <c r="J119" s="156">
        <f t="shared" si="75"/>
        <v>0</v>
      </c>
      <c r="K119" s="156">
        <f t="shared" si="76"/>
        <v>0</v>
      </c>
      <c r="L119" s="156">
        <f t="shared" si="77"/>
        <v>0</v>
      </c>
      <c r="M119" s="188">
        <f t="shared" si="62"/>
        <v>0</v>
      </c>
      <c r="N119" s="81"/>
      <c r="O119" s="7"/>
      <c r="P119" s="80"/>
      <c r="Q119" s="80"/>
      <c r="R119" s="79"/>
      <c r="S119" s="16"/>
      <c r="T119" s="82"/>
      <c r="U119" s="14"/>
      <c r="V119" s="14"/>
      <c r="W119" s="84"/>
      <c r="X119" s="83"/>
      <c r="Y119" s="85"/>
      <c r="Z119" s="85"/>
      <c r="AA119" s="85"/>
      <c r="AB119" s="85"/>
      <c r="AC119" s="85"/>
      <c r="AD119" s="85"/>
      <c r="AE119" s="85"/>
      <c r="AF119" s="85"/>
      <c r="AG119" s="85"/>
      <c r="AH119" s="85"/>
      <c r="AI119" s="86"/>
      <c r="AJ119" s="86"/>
      <c r="AK119" s="86"/>
      <c r="AL119" s="86"/>
      <c r="AM119" s="86"/>
      <c r="AN119" s="86"/>
      <c r="AO119" s="86"/>
      <c r="AP119" s="86"/>
      <c r="AQ119" s="86"/>
      <c r="AR119" s="86"/>
      <c r="AS119" s="86"/>
      <c r="AT119" s="86"/>
      <c r="AU119" s="86"/>
      <c r="AV119" s="86"/>
      <c r="AW119" s="86"/>
      <c r="AX119" s="86"/>
      <c r="AY119" s="86"/>
      <c r="AZ119" s="86"/>
      <c r="BA119" s="86"/>
      <c r="BB119" s="86"/>
      <c r="BC119" s="86"/>
      <c r="BD119" s="86"/>
      <c r="BE119" s="86"/>
      <c r="BF119" s="86"/>
      <c r="BG119" s="86"/>
      <c r="BH119" s="86"/>
      <c r="BI119" s="86"/>
    </row>
    <row r="120" spans="1:66" s="87" customFormat="1" ht="28.5">
      <c r="A120" s="156" t="s">
        <v>144</v>
      </c>
      <c r="B120" s="157" t="s">
        <v>145</v>
      </c>
      <c r="C120" s="156" t="s">
        <v>16</v>
      </c>
      <c r="D120" s="156">
        <v>81.38</v>
      </c>
      <c r="E120" s="156">
        <v>13.51</v>
      </c>
      <c r="F120" s="156">
        <f t="shared" si="73"/>
        <v>1099.4438</v>
      </c>
      <c r="G120" s="156">
        <v>0</v>
      </c>
      <c r="H120" s="155"/>
      <c r="I120" s="156">
        <f t="shared" si="74"/>
        <v>0</v>
      </c>
      <c r="J120" s="156">
        <f t="shared" si="75"/>
        <v>0</v>
      </c>
      <c r="K120" s="156">
        <f t="shared" si="76"/>
        <v>0</v>
      </c>
      <c r="L120" s="156">
        <f t="shared" si="77"/>
        <v>0</v>
      </c>
      <c r="M120" s="188">
        <f t="shared" si="62"/>
        <v>0</v>
      </c>
      <c r="N120" s="81"/>
      <c r="O120" s="7"/>
      <c r="P120" s="80"/>
      <c r="Q120" s="80"/>
      <c r="R120" s="79"/>
      <c r="S120" s="16"/>
      <c r="T120" s="82"/>
      <c r="U120" s="14"/>
      <c r="V120" s="14"/>
      <c r="W120" s="84"/>
      <c r="X120" s="83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6"/>
      <c r="AJ120" s="86"/>
      <c r="AK120" s="86"/>
      <c r="AL120" s="86"/>
      <c r="AM120" s="86"/>
      <c r="AN120" s="86"/>
      <c r="AO120" s="86"/>
      <c r="AP120" s="86"/>
      <c r="AQ120" s="86"/>
      <c r="AR120" s="86"/>
      <c r="AS120" s="86"/>
      <c r="AT120" s="86"/>
      <c r="AU120" s="86"/>
      <c r="AV120" s="86"/>
      <c r="AW120" s="86"/>
      <c r="AX120" s="86"/>
      <c r="AY120" s="86"/>
      <c r="AZ120" s="86"/>
      <c r="BA120" s="86"/>
      <c r="BB120" s="86"/>
      <c r="BC120" s="86"/>
      <c r="BD120" s="86"/>
      <c r="BE120" s="86"/>
      <c r="BF120" s="86"/>
      <c r="BG120" s="86"/>
      <c r="BH120" s="86"/>
      <c r="BI120" s="86"/>
    </row>
    <row r="121" spans="1:66" s="87" customFormat="1" ht="42.75">
      <c r="A121" s="156" t="s">
        <v>146</v>
      </c>
      <c r="B121" s="157" t="s">
        <v>147</v>
      </c>
      <c r="C121" s="156" t="s">
        <v>16</v>
      </c>
      <c r="D121" s="156">
        <v>83.17</v>
      </c>
      <c r="E121" s="156">
        <v>15.22</v>
      </c>
      <c r="F121" s="156">
        <f t="shared" si="73"/>
        <v>1265.8474000000001</v>
      </c>
      <c r="G121" s="156">
        <v>0</v>
      </c>
      <c r="H121" s="155"/>
      <c r="I121" s="156">
        <f t="shared" si="74"/>
        <v>0</v>
      </c>
      <c r="J121" s="156">
        <f t="shared" si="75"/>
        <v>0</v>
      </c>
      <c r="K121" s="156">
        <f t="shared" si="76"/>
        <v>0</v>
      </c>
      <c r="L121" s="156">
        <f t="shared" si="77"/>
        <v>0</v>
      </c>
      <c r="M121" s="188">
        <f t="shared" si="62"/>
        <v>0</v>
      </c>
      <c r="N121" s="81"/>
      <c r="O121" s="7"/>
      <c r="P121" s="79"/>
      <c r="Q121" s="79"/>
      <c r="R121" s="79"/>
      <c r="S121" s="16"/>
      <c r="T121" s="82"/>
      <c r="U121" s="14"/>
      <c r="V121" s="14"/>
      <c r="W121" s="84"/>
      <c r="X121" s="83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  <c r="AJ121" s="85"/>
      <c r="AK121" s="85"/>
      <c r="AL121" s="85"/>
      <c r="AM121" s="85"/>
      <c r="AN121" s="85"/>
      <c r="AO121" s="85"/>
      <c r="AP121" s="85"/>
      <c r="AQ121" s="85"/>
      <c r="AR121" s="85"/>
      <c r="AS121" s="85"/>
      <c r="AT121" s="85"/>
      <c r="AU121" s="85"/>
      <c r="AV121" s="85"/>
      <c r="AW121" s="85"/>
      <c r="AX121" s="85"/>
      <c r="AY121" s="85"/>
      <c r="AZ121" s="85"/>
      <c r="BA121" s="85"/>
      <c r="BB121" s="85"/>
      <c r="BC121" s="85"/>
      <c r="BD121" s="85"/>
      <c r="BE121" s="85"/>
      <c r="BF121" s="85"/>
      <c r="BG121" s="85"/>
      <c r="BH121" s="85"/>
      <c r="BI121" s="85"/>
      <c r="BJ121" s="101"/>
      <c r="BK121" s="101"/>
      <c r="BL121" s="101"/>
      <c r="BM121" s="101"/>
      <c r="BN121" s="101"/>
    </row>
    <row r="122" spans="1:66" s="87" customFormat="1" ht="28.5">
      <c r="A122" s="156" t="s">
        <v>148</v>
      </c>
      <c r="B122" s="157" t="s">
        <v>149</v>
      </c>
      <c r="C122" s="156" t="s">
        <v>16</v>
      </c>
      <c r="D122" s="156">
        <v>414.88</v>
      </c>
      <c r="E122" s="156">
        <v>8.5</v>
      </c>
      <c r="F122" s="156">
        <f t="shared" si="73"/>
        <v>3526.48</v>
      </c>
      <c r="G122" s="156">
        <v>0</v>
      </c>
      <c r="H122" s="155"/>
      <c r="I122" s="156">
        <f t="shared" si="74"/>
        <v>0</v>
      </c>
      <c r="J122" s="156">
        <f t="shared" si="75"/>
        <v>0</v>
      </c>
      <c r="K122" s="156">
        <f t="shared" si="76"/>
        <v>0</v>
      </c>
      <c r="L122" s="156">
        <f t="shared" si="77"/>
        <v>0</v>
      </c>
      <c r="M122" s="188">
        <f t="shared" si="62"/>
        <v>0</v>
      </c>
      <c r="N122" s="81"/>
      <c r="O122" s="7"/>
      <c r="P122" s="79"/>
      <c r="Q122" s="79"/>
      <c r="R122" s="79"/>
      <c r="S122" s="16"/>
      <c r="T122" s="82"/>
      <c r="U122" s="14"/>
      <c r="V122" s="14"/>
      <c r="W122" s="84"/>
      <c r="X122" s="83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  <c r="AJ122" s="85"/>
      <c r="AK122" s="85"/>
      <c r="AL122" s="85"/>
      <c r="AM122" s="85"/>
      <c r="AN122" s="85"/>
      <c r="AO122" s="85"/>
      <c r="AP122" s="85"/>
      <c r="AQ122" s="85"/>
      <c r="AR122" s="85"/>
      <c r="AS122" s="85"/>
      <c r="AT122" s="85"/>
      <c r="AU122" s="85"/>
      <c r="AV122" s="85"/>
      <c r="AW122" s="85"/>
      <c r="AX122" s="85"/>
      <c r="AY122" s="85"/>
      <c r="AZ122" s="85"/>
      <c r="BA122" s="85"/>
      <c r="BB122" s="85"/>
      <c r="BC122" s="85"/>
      <c r="BD122" s="85"/>
      <c r="BE122" s="85"/>
      <c r="BF122" s="85"/>
      <c r="BG122" s="85"/>
      <c r="BH122" s="85"/>
      <c r="BI122" s="85"/>
      <c r="BJ122" s="101"/>
      <c r="BK122" s="101"/>
      <c r="BL122" s="101"/>
      <c r="BM122" s="101"/>
      <c r="BN122" s="101"/>
    </row>
    <row r="123" spans="1:66" s="87" customFormat="1">
      <c r="A123" s="156" t="s">
        <v>150</v>
      </c>
      <c r="B123" s="158" t="s">
        <v>151</v>
      </c>
      <c r="C123" s="156" t="s">
        <v>16</v>
      </c>
      <c r="D123" s="156">
        <v>766.73</v>
      </c>
      <c r="E123" s="156">
        <v>6.97</v>
      </c>
      <c r="F123" s="156">
        <f t="shared" si="73"/>
        <v>5344.1081000000004</v>
      </c>
      <c r="G123" s="156">
        <v>0</v>
      </c>
      <c r="H123" s="155"/>
      <c r="I123" s="156">
        <f t="shared" si="74"/>
        <v>0</v>
      </c>
      <c r="J123" s="156">
        <f t="shared" si="75"/>
        <v>0</v>
      </c>
      <c r="K123" s="156">
        <f t="shared" si="76"/>
        <v>0</v>
      </c>
      <c r="L123" s="156">
        <f t="shared" si="77"/>
        <v>0</v>
      </c>
      <c r="M123" s="188">
        <f t="shared" si="62"/>
        <v>0</v>
      </c>
      <c r="N123" s="81"/>
      <c r="O123" s="7"/>
      <c r="P123" s="79"/>
      <c r="Q123" s="79"/>
      <c r="R123" s="79"/>
      <c r="S123" s="16"/>
      <c r="T123" s="82"/>
      <c r="U123" s="14"/>
      <c r="V123" s="14"/>
      <c r="W123" s="84"/>
      <c r="X123" s="83"/>
      <c r="Y123" s="85"/>
      <c r="Z123" s="85"/>
      <c r="AA123" s="85"/>
      <c r="AB123" s="85"/>
      <c r="AC123" s="85"/>
      <c r="AD123" s="85"/>
      <c r="AE123" s="85"/>
      <c r="AF123" s="85"/>
      <c r="AG123" s="85"/>
      <c r="AH123" s="85"/>
      <c r="AI123" s="85"/>
      <c r="AJ123" s="85"/>
      <c r="AK123" s="85"/>
      <c r="AL123" s="85"/>
      <c r="AM123" s="85"/>
      <c r="AN123" s="85"/>
      <c r="AO123" s="85"/>
      <c r="AP123" s="85"/>
      <c r="AQ123" s="85"/>
      <c r="AR123" s="85"/>
      <c r="AS123" s="85"/>
      <c r="AT123" s="85"/>
      <c r="AU123" s="85"/>
      <c r="AV123" s="85"/>
      <c r="AW123" s="85"/>
      <c r="AX123" s="85"/>
      <c r="AY123" s="85"/>
      <c r="AZ123" s="85"/>
      <c r="BA123" s="85"/>
      <c r="BB123" s="85"/>
      <c r="BC123" s="85"/>
      <c r="BD123" s="85"/>
      <c r="BE123" s="85"/>
      <c r="BF123" s="85"/>
      <c r="BG123" s="85"/>
      <c r="BH123" s="85"/>
      <c r="BI123" s="85"/>
      <c r="BJ123" s="101"/>
      <c r="BK123" s="101"/>
      <c r="BL123" s="101"/>
      <c r="BM123" s="101"/>
      <c r="BN123" s="101"/>
    </row>
    <row r="124" spans="1:66" s="87" customFormat="1">
      <c r="A124" s="156" t="s">
        <v>609</v>
      </c>
      <c r="B124" s="158" t="s">
        <v>610</v>
      </c>
      <c r="C124" s="156" t="s">
        <v>81</v>
      </c>
      <c r="D124" s="156">
        <v>475</v>
      </c>
      <c r="E124" s="156">
        <v>2.64</v>
      </c>
      <c r="F124" s="156">
        <f t="shared" si="73"/>
        <v>1254</v>
      </c>
      <c r="G124" s="156">
        <v>0</v>
      </c>
      <c r="H124" s="155"/>
      <c r="I124" s="156">
        <f t="shared" ref="I124:I126" si="78">G124+H124</f>
        <v>0</v>
      </c>
      <c r="J124" s="156">
        <f t="shared" ref="J124:J126" si="79">E124*G124</f>
        <v>0</v>
      </c>
      <c r="K124" s="156">
        <f t="shared" ref="K124:K126" si="80">H124*E124</f>
        <v>0</v>
      </c>
      <c r="L124" s="156">
        <f t="shared" ref="L124:L126" si="81">J124+K124</f>
        <v>0</v>
      </c>
      <c r="M124" s="188">
        <f t="shared" si="62"/>
        <v>0</v>
      </c>
      <c r="N124" s="81"/>
      <c r="O124" s="7"/>
      <c r="P124" s="79"/>
      <c r="Q124" s="79"/>
      <c r="R124" s="79"/>
      <c r="S124" s="16"/>
      <c r="T124" s="82"/>
      <c r="U124" s="14"/>
      <c r="V124" s="14"/>
      <c r="W124" s="84"/>
      <c r="X124" s="83"/>
      <c r="Y124" s="85"/>
      <c r="Z124" s="85"/>
      <c r="AA124" s="85"/>
      <c r="AB124" s="85"/>
      <c r="AC124" s="85"/>
      <c r="AD124" s="85"/>
      <c r="AE124" s="85"/>
      <c r="AF124" s="85"/>
      <c r="AG124" s="85"/>
      <c r="AH124" s="85"/>
      <c r="AI124" s="85"/>
      <c r="AJ124" s="85"/>
      <c r="AK124" s="85"/>
      <c r="AL124" s="85"/>
      <c r="AM124" s="85"/>
      <c r="AN124" s="85"/>
      <c r="AO124" s="85"/>
      <c r="AP124" s="85"/>
      <c r="AQ124" s="85"/>
      <c r="AR124" s="85"/>
      <c r="AS124" s="85"/>
      <c r="AT124" s="85"/>
      <c r="AU124" s="85"/>
      <c r="AV124" s="85"/>
      <c r="AW124" s="85"/>
      <c r="AX124" s="85"/>
      <c r="AY124" s="85"/>
      <c r="AZ124" s="85"/>
      <c r="BA124" s="85"/>
      <c r="BB124" s="85"/>
      <c r="BC124" s="85"/>
      <c r="BD124" s="85"/>
      <c r="BE124" s="85"/>
      <c r="BF124" s="85"/>
      <c r="BG124" s="85"/>
      <c r="BH124" s="85"/>
      <c r="BI124" s="85"/>
      <c r="BJ124" s="101"/>
      <c r="BK124" s="101"/>
      <c r="BL124" s="101"/>
      <c r="BM124" s="101"/>
      <c r="BN124" s="101"/>
    </row>
    <row r="125" spans="1:66" s="87" customFormat="1">
      <c r="A125" s="156" t="s">
        <v>611</v>
      </c>
      <c r="B125" s="158" t="s">
        <v>612</v>
      </c>
      <c r="C125" s="156" t="s">
        <v>81</v>
      </c>
      <c r="D125" s="156">
        <v>475</v>
      </c>
      <c r="E125" s="156">
        <v>12.37</v>
      </c>
      <c r="F125" s="156">
        <f t="shared" si="73"/>
        <v>5875.75</v>
      </c>
      <c r="G125" s="156">
        <v>0</v>
      </c>
      <c r="H125" s="155"/>
      <c r="I125" s="156">
        <f t="shared" si="78"/>
        <v>0</v>
      </c>
      <c r="J125" s="156">
        <f t="shared" si="79"/>
        <v>0</v>
      </c>
      <c r="K125" s="156">
        <f t="shared" si="80"/>
        <v>0</v>
      </c>
      <c r="L125" s="156">
        <f t="shared" si="81"/>
        <v>0</v>
      </c>
      <c r="M125" s="188">
        <f t="shared" si="62"/>
        <v>0</v>
      </c>
      <c r="N125" s="81"/>
      <c r="O125" s="7"/>
      <c r="P125" s="79"/>
      <c r="Q125" s="79"/>
      <c r="R125" s="79"/>
      <c r="S125" s="16"/>
      <c r="T125" s="82"/>
      <c r="U125" s="14"/>
      <c r="V125" s="14"/>
      <c r="W125" s="84"/>
      <c r="X125" s="83"/>
      <c r="Y125" s="85"/>
      <c r="Z125" s="85"/>
      <c r="AA125" s="85"/>
      <c r="AB125" s="85"/>
      <c r="AC125" s="85"/>
      <c r="AD125" s="85"/>
      <c r="AE125" s="85"/>
      <c r="AF125" s="85"/>
      <c r="AG125" s="85"/>
      <c r="AH125" s="85"/>
      <c r="AI125" s="85"/>
      <c r="AJ125" s="85"/>
      <c r="AK125" s="85"/>
      <c r="AL125" s="85"/>
      <c r="AM125" s="85"/>
      <c r="AN125" s="85"/>
      <c r="AO125" s="85"/>
      <c r="AP125" s="85"/>
      <c r="AQ125" s="85"/>
      <c r="AR125" s="85"/>
      <c r="AS125" s="85"/>
      <c r="AT125" s="85"/>
      <c r="AU125" s="85"/>
      <c r="AV125" s="85"/>
      <c r="AW125" s="85"/>
      <c r="AX125" s="85"/>
      <c r="AY125" s="85"/>
      <c r="AZ125" s="85"/>
      <c r="BA125" s="85"/>
      <c r="BB125" s="85"/>
      <c r="BC125" s="85"/>
      <c r="BD125" s="85"/>
      <c r="BE125" s="85"/>
      <c r="BF125" s="85"/>
      <c r="BG125" s="85"/>
      <c r="BH125" s="85"/>
      <c r="BI125" s="85"/>
      <c r="BJ125" s="101"/>
      <c r="BK125" s="101"/>
      <c r="BL125" s="101"/>
      <c r="BM125" s="101"/>
      <c r="BN125" s="101"/>
    </row>
    <row r="126" spans="1:66" s="87" customFormat="1">
      <c r="A126" s="156" t="s">
        <v>613</v>
      </c>
      <c r="B126" s="158" t="s">
        <v>614</v>
      </c>
      <c r="C126" s="156" t="s">
        <v>81</v>
      </c>
      <c r="D126" s="156">
        <v>475</v>
      </c>
      <c r="E126" s="156">
        <v>9.34</v>
      </c>
      <c r="F126" s="156">
        <f t="shared" si="73"/>
        <v>4436.5</v>
      </c>
      <c r="G126" s="156">
        <v>0</v>
      </c>
      <c r="H126" s="155"/>
      <c r="I126" s="156">
        <f t="shared" si="78"/>
        <v>0</v>
      </c>
      <c r="J126" s="156">
        <f t="shared" si="79"/>
        <v>0</v>
      </c>
      <c r="K126" s="156">
        <f t="shared" si="80"/>
        <v>0</v>
      </c>
      <c r="L126" s="156">
        <f t="shared" si="81"/>
        <v>0</v>
      </c>
      <c r="M126" s="188">
        <f t="shared" si="62"/>
        <v>0</v>
      </c>
      <c r="N126" s="81"/>
      <c r="O126" s="7"/>
      <c r="P126" s="79"/>
      <c r="Q126" s="79"/>
      <c r="R126" s="79"/>
      <c r="S126" s="16"/>
      <c r="T126" s="82"/>
      <c r="U126" s="14"/>
      <c r="V126" s="14"/>
      <c r="W126" s="84"/>
      <c r="X126" s="83"/>
      <c r="Y126" s="85"/>
      <c r="Z126" s="85"/>
      <c r="AA126" s="85"/>
      <c r="AB126" s="85"/>
      <c r="AC126" s="85"/>
      <c r="AD126" s="85"/>
      <c r="AE126" s="85"/>
      <c r="AF126" s="85"/>
      <c r="AG126" s="85"/>
      <c r="AH126" s="85"/>
      <c r="AI126" s="85"/>
      <c r="AJ126" s="85"/>
      <c r="AK126" s="85"/>
      <c r="AL126" s="85"/>
      <c r="AM126" s="85"/>
      <c r="AN126" s="85"/>
      <c r="AO126" s="85"/>
      <c r="AP126" s="85"/>
      <c r="AQ126" s="85"/>
      <c r="AR126" s="85"/>
      <c r="AS126" s="85"/>
      <c r="AT126" s="85"/>
      <c r="AU126" s="85"/>
      <c r="AV126" s="85"/>
      <c r="AW126" s="85"/>
      <c r="AX126" s="85"/>
      <c r="AY126" s="85"/>
      <c r="AZ126" s="85"/>
      <c r="BA126" s="85"/>
      <c r="BB126" s="85"/>
      <c r="BC126" s="85"/>
      <c r="BD126" s="85"/>
      <c r="BE126" s="85"/>
      <c r="BF126" s="85"/>
      <c r="BG126" s="85"/>
      <c r="BH126" s="85"/>
      <c r="BI126" s="85"/>
      <c r="BJ126" s="101"/>
      <c r="BK126" s="101"/>
      <c r="BL126" s="101"/>
      <c r="BM126" s="101"/>
      <c r="BN126" s="101"/>
    </row>
    <row r="127" spans="1:66" s="87" customFormat="1">
      <c r="A127" s="156"/>
      <c r="B127" s="154"/>
      <c r="C127" s="156"/>
      <c r="D127" s="156"/>
      <c r="E127" s="156"/>
      <c r="F127" s="156"/>
      <c r="G127" s="156"/>
      <c r="H127" s="155"/>
      <c r="I127" s="156"/>
      <c r="J127" s="156"/>
      <c r="K127" s="156"/>
      <c r="L127" s="156"/>
      <c r="M127" s="188" t="e">
        <f t="shared" si="62"/>
        <v>#DIV/0!</v>
      </c>
      <c r="N127" s="81"/>
      <c r="O127" s="7"/>
      <c r="P127" s="79"/>
      <c r="Q127" s="79"/>
      <c r="R127" s="79"/>
      <c r="S127" s="16"/>
      <c r="T127" s="82"/>
      <c r="U127" s="14"/>
      <c r="V127" s="14"/>
      <c r="W127" s="84"/>
      <c r="X127" s="83"/>
      <c r="Y127" s="85"/>
      <c r="Z127" s="85"/>
      <c r="AA127" s="85"/>
      <c r="AB127" s="85"/>
      <c r="AC127" s="85"/>
      <c r="AD127" s="85"/>
      <c r="AE127" s="85"/>
      <c r="AF127" s="85"/>
      <c r="AG127" s="85"/>
      <c r="AH127" s="85"/>
      <c r="AI127" s="85"/>
      <c r="AJ127" s="85"/>
      <c r="AK127" s="85"/>
      <c r="AL127" s="85"/>
      <c r="AM127" s="85"/>
      <c r="AN127" s="85"/>
      <c r="AO127" s="85"/>
      <c r="AP127" s="85"/>
      <c r="AQ127" s="85"/>
      <c r="AR127" s="85"/>
      <c r="AS127" s="85"/>
      <c r="AT127" s="85"/>
      <c r="AU127" s="85"/>
      <c r="AV127" s="85"/>
      <c r="AW127" s="85"/>
      <c r="AX127" s="85"/>
      <c r="AY127" s="85"/>
      <c r="AZ127" s="85"/>
      <c r="BA127" s="85"/>
      <c r="BB127" s="85"/>
      <c r="BC127" s="85"/>
      <c r="BD127" s="85"/>
      <c r="BE127" s="85"/>
      <c r="BF127" s="85"/>
      <c r="BG127" s="85"/>
      <c r="BH127" s="85"/>
      <c r="BI127" s="85"/>
      <c r="BJ127" s="101"/>
      <c r="BK127" s="101"/>
      <c r="BL127" s="101"/>
      <c r="BM127" s="101"/>
      <c r="BN127" s="101"/>
    </row>
    <row r="128" spans="1:66" s="87" customFormat="1">
      <c r="A128" s="164" t="s">
        <v>152</v>
      </c>
      <c r="B128" s="165" t="s">
        <v>4</v>
      </c>
      <c r="C128" s="166"/>
      <c r="D128" s="167"/>
      <c r="E128" s="166"/>
      <c r="F128" s="166">
        <f>SUM(F130:F137)</f>
        <v>36882.385199999997</v>
      </c>
      <c r="G128" s="166"/>
      <c r="H128" s="166"/>
      <c r="I128" s="166"/>
      <c r="J128" s="166">
        <f>SUM(J130:J137)</f>
        <v>14114.631600000001</v>
      </c>
      <c r="K128" s="166">
        <f>SUM(K130:K137)</f>
        <v>11442.242699999999</v>
      </c>
      <c r="L128" s="166">
        <f>SUM(L130:L137)</f>
        <v>25556.874299999999</v>
      </c>
      <c r="M128" s="188">
        <f t="shared" si="62"/>
        <v>0.69292900015587933</v>
      </c>
      <c r="N128" s="98"/>
      <c r="O128" s="7"/>
      <c r="P128" s="97"/>
      <c r="Q128" s="97"/>
      <c r="R128" s="79"/>
      <c r="S128" s="16"/>
      <c r="T128" s="82"/>
      <c r="U128" s="14"/>
      <c r="V128" s="14"/>
      <c r="W128" s="84"/>
      <c r="X128" s="83"/>
      <c r="Y128" s="85"/>
      <c r="Z128" s="85"/>
      <c r="AA128" s="85"/>
      <c r="AB128" s="85"/>
      <c r="AC128" s="85"/>
      <c r="AD128" s="85"/>
      <c r="AE128" s="85"/>
      <c r="AF128" s="85"/>
      <c r="AG128" s="85"/>
      <c r="AH128" s="85"/>
      <c r="AI128" s="85"/>
      <c r="AJ128" s="85"/>
      <c r="AK128" s="86"/>
      <c r="AL128" s="86"/>
      <c r="AM128" s="86"/>
      <c r="AN128" s="86"/>
      <c r="AO128" s="86"/>
      <c r="AP128" s="86"/>
      <c r="AQ128" s="86"/>
      <c r="AR128" s="86"/>
      <c r="AS128" s="86"/>
      <c r="AT128" s="86"/>
      <c r="AU128" s="86"/>
      <c r="AV128" s="86"/>
      <c r="AW128" s="86"/>
      <c r="AX128" s="86"/>
      <c r="AY128" s="86"/>
      <c r="AZ128" s="86"/>
      <c r="BA128" s="86"/>
      <c r="BB128" s="86"/>
      <c r="BC128" s="86"/>
      <c r="BD128" s="86"/>
      <c r="BE128" s="86"/>
      <c r="BF128" s="86"/>
      <c r="BG128" s="86"/>
      <c r="BH128" s="86"/>
      <c r="BI128" s="86"/>
    </row>
    <row r="129" spans="1:66" s="87" customFormat="1">
      <c r="A129" s="173"/>
      <c r="B129" s="154"/>
      <c r="C129" s="156"/>
      <c r="D129" s="155"/>
      <c r="E129" s="155"/>
      <c r="F129" s="155"/>
      <c r="G129" s="155"/>
      <c r="H129" s="155"/>
      <c r="I129" s="155"/>
      <c r="J129" s="155"/>
      <c r="K129" s="155"/>
      <c r="L129" s="155"/>
      <c r="M129" s="188" t="e">
        <f t="shared" si="62"/>
        <v>#DIV/0!</v>
      </c>
      <c r="N129" s="81"/>
      <c r="O129" s="7"/>
      <c r="P129" s="79"/>
      <c r="Q129" s="79"/>
      <c r="R129" s="79"/>
      <c r="S129" s="16"/>
      <c r="T129" s="82"/>
      <c r="U129" s="14"/>
      <c r="V129" s="14"/>
      <c r="W129" s="84"/>
      <c r="X129" s="83"/>
      <c r="Y129" s="85"/>
      <c r="Z129" s="85"/>
      <c r="AA129" s="85"/>
      <c r="AB129" s="85"/>
      <c r="AC129" s="85"/>
      <c r="AD129" s="85"/>
      <c r="AE129" s="85"/>
      <c r="AF129" s="85"/>
      <c r="AG129" s="85"/>
      <c r="AH129" s="85"/>
      <c r="AI129" s="85"/>
      <c r="AJ129" s="85"/>
      <c r="AK129" s="85"/>
      <c r="AL129" s="85"/>
      <c r="AM129" s="85"/>
      <c r="AN129" s="85"/>
      <c r="AO129" s="85"/>
      <c r="AP129" s="85"/>
      <c r="AQ129" s="85"/>
      <c r="AR129" s="85"/>
      <c r="AS129" s="85"/>
      <c r="AT129" s="85"/>
      <c r="AU129" s="85"/>
      <c r="AV129" s="85"/>
      <c r="AW129" s="85"/>
      <c r="AX129" s="85"/>
      <c r="AY129" s="85"/>
      <c r="AZ129" s="85"/>
      <c r="BA129" s="85"/>
      <c r="BB129" s="85"/>
      <c r="BC129" s="85"/>
      <c r="BD129" s="85"/>
      <c r="BE129" s="85"/>
      <c r="BF129" s="85"/>
      <c r="BG129" s="85"/>
      <c r="BH129" s="85"/>
      <c r="BI129" s="85"/>
      <c r="BJ129" s="101"/>
      <c r="BK129" s="101"/>
      <c r="BL129" s="101"/>
      <c r="BM129" s="101"/>
      <c r="BN129" s="101"/>
    </row>
    <row r="130" spans="1:66" s="87" customFormat="1" ht="28.5">
      <c r="A130" s="156" t="s">
        <v>153</v>
      </c>
      <c r="B130" s="157" t="s">
        <v>154</v>
      </c>
      <c r="C130" s="156" t="s">
        <v>16</v>
      </c>
      <c r="D130" s="156">
        <v>497.30999999999995</v>
      </c>
      <c r="E130" s="156">
        <v>19.399999999999999</v>
      </c>
      <c r="F130" s="156">
        <f t="shared" ref="F130:F137" si="82">D130*E130</f>
        <v>9647.8139999999985</v>
      </c>
      <c r="G130" s="156">
        <v>424.17250000000001</v>
      </c>
      <c r="H130" s="155">
        <f>'MEMORIA BM 04'!L342</f>
        <v>73.137500000000003</v>
      </c>
      <c r="I130" s="156">
        <f t="shared" ref="I130:I137" si="83">G130+H130</f>
        <v>497.31</v>
      </c>
      <c r="J130" s="156">
        <f t="shared" ref="J130:J137" si="84">E130*G130</f>
        <v>8228.9465</v>
      </c>
      <c r="K130" s="156">
        <f t="shared" ref="K130:K137" si="85">H130*E130</f>
        <v>1418.8675000000001</v>
      </c>
      <c r="L130" s="156">
        <f t="shared" ref="L130:L137" si="86">J130+K130</f>
        <v>9647.8140000000003</v>
      </c>
      <c r="M130" s="188">
        <f t="shared" si="62"/>
        <v>1.0000000000000002</v>
      </c>
      <c r="N130" s="92"/>
      <c r="O130" s="194"/>
      <c r="P130" s="79"/>
      <c r="Q130" s="79"/>
      <c r="R130" s="79"/>
      <c r="S130" s="16"/>
      <c r="T130" s="82"/>
      <c r="U130" s="14"/>
      <c r="V130" s="14"/>
      <c r="W130" s="84"/>
      <c r="X130" s="83"/>
      <c r="Y130" s="85"/>
      <c r="Z130" s="85"/>
      <c r="AA130" s="85"/>
      <c r="AB130" s="85"/>
      <c r="AC130" s="85"/>
      <c r="AD130" s="85"/>
      <c r="AE130" s="85"/>
      <c r="AF130" s="85"/>
      <c r="AG130" s="85"/>
      <c r="AH130" s="85"/>
      <c r="AI130" s="85"/>
      <c r="AJ130" s="85"/>
      <c r="AK130" s="85"/>
      <c r="AL130" s="85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  <c r="AX130" s="85"/>
      <c r="AY130" s="85"/>
      <c r="AZ130" s="85"/>
      <c r="BA130" s="85"/>
      <c r="BB130" s="85"/>
      <c r="BC130" s="85"/>
      <c r="BD130" s="85"/>
      <c r="BE130" s="85"/>
      <c r="BF130" s="85"/>
      <c r="BG130" s="85"/>
      <c r="BH130" s="85"/>
      <c r="BI130" s="85"/>
      <c r="BJ130" s="101"/>
      <c r="BK130" s="101"/>
      <c r="BL130" s="101"/>
      <c r="BM130" s="101"/>
      <c r="BN130" s="101"/>
    </row>
    <row r="131" spans="1:66" s="87" customFormat="1">
      <c r="A131" s="156" t="s">
        <v>155</v>
      </c>
      <c r="B131" s="157" t="s">
        <v>156</v>
      </c>
      <c r="C131" s="156" t="s">
        <v>16</v>
      </c>
      <c r="D131" s="156">
        <v>115.4</v>
      </c>
      <c r="E131" s="156">
        <v>18.36</v>
      </c>
      <c r="F131" s="156">
        <f t="shared" si="82"/>
        <v>2118.7440000000001</v>
      </c>
      <c r="G131" s="156">
        <v>0</v>
      </c>
      <c r="H131" s="155">
        <f>'MEMORIA BM 04'!L346</f>
        <v>115.39999999999999</v>
      </c>
      <c r="I131" s="156">
        <f t="shared" si="83"/>
        <v>115.39999999999999</v>
      </c>
      <c r="J131" s="156">
        <f t="shared" si="84"/>
        <v>0</v>
      </c>
      <c r="K131" s="156">
        <f t="shared" si="85"/>
        <v>2118.7439999999997</v>
      </c>
      <c r="L131" s="156">
        <f t="shared" si="86"/>
        <v>2118.7439999999997</v>
      </c>
      <c r="M131" s="188">
        <f t="shared" si="62"/>
        <v>0.99999999999999978</v>
      </c>
      <c r="N131" s="92"/>
      <c r="O131" s="7"/>
      <c r="P131" s="79"/>
      <c r="Q131" s="79"/>
      <c r="R131" s="79"/>
      <c r="S131" s="16"/>
      <c r="T131" s="82"/>
      <c r="U131" s="14"/>
      <c r="V131" s="14"/>
      <c r="W131" s="84"/>
      <c r="X131" s="83"/>
      <c r="Y131" s="85"/>
      <c r="Z131" s="85"/>
      <c r="AA131" s="85"/>
      <c r="AB131" s="85"/>
      <c r="AC131" s="85"/>
      <c r="AD131" s="85"/>
      <c r="AE131" s="85"/>
      <c r="AF131" s="85"/>
      <c r="AG131" s="85"/>
      <c r="AH131" s="85"/>
      <c r="AI131" s="85"/>
      <c r="AJ131" s="85"/>
      <c r="AK131" s="85"/>
      <c r="AL131" s="85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  <c r="AX131" s="85"/>
      <c r="AY131" s="85"/>
      <c r="AZ131" s="85"/>
      <c r="BA131" s="85"/>
      <c r="BB131" s="85"/>
      <c r="BC131" s="85"/>
      <c r="BD131" s="85"/>
      <c r="BE131" s="85"/>
      <c r="BF131" s="85"/>
      <c r="BG131" s="85"/>
      <c r="BH131" s="85"/>
      <c r="BI131" s="85"/>
      <c r="BJ131" s="101"/>
      <c r="BK131" s="101"/>
      <c r="BL131" s="101"/>
      <c r="BM131" s="101"/>
      <c r="BN131" s="101"/>
    </row>
    <row r="132" spans="1:66" s="87" customFormat="1" ht="42.75">
      <c r="A132" s="156" t="s">
        <v>157</v>
      </c>
      <c r="B132" s="157" t="s">
        <v>158</v>
      </c>
      <c r="C132" s="156" t="s">
        <v>16</v>
      </c>
      <c r="D132" s="156">
        <v>45.74</v>
      </c>
      <c r="E132" s="156">
        <v>46.2</v>
      </c>
      <c r="F132" s="156">
        <f t="shared" si="82"/>
        <v>2113.1880000000001</v>
      </c>
      <c r="G132" s="156">
        <v>0</v>
      </c>
      <c r="H132" s="155">
        <f>'MEMORIA BM 04'!L358</f>
        <v>34.209999999999994</v>
      </c>
      <c r="I132" s="156">
        <f t="shared" si="83"/>
        <v>34.209999999999994</v>
      </c>
      <c r="J132" s="156">
        <f t="shared" si="84"/>
        <v>0</v>
      </c>
      <c r="K132" s="156">
        <f t="shared" si="85"/>
        <v>1580.5019999999997</v>
      </c>
      <c r="L132" s="156">
        <f t="shared" si="86"/>
        <v>1580.5019999999997</v>
      </c>
      <c r="M132" s="188">
        <f t="shared" si="62"/>
        <v>0.74792304328815029</v>
      </c>
      <c r="N132" s="81"/>
      <c r="O132" s="7"/>
      <c r="P132" s="79"/>
      <c r="Q132" s="79"/>
      <c r="R132" s="79"/>
      <c r="S132" s="16"/>
      <c r="T132" s="82"/>
      <c r="U132" s="14"/>
      <c r="V132" s="14"/>
      <c r="W132" s="84"/>
      <c r="X132" s="83"/>
      <c r="Y132" s="85"/>
      <c r="Z132" s="85"/>
      <c r="AA132" s="85"/>
      <c r="AB132" s="85"/>
      <c r="AC132" s="85"/>
      <c r="AD132" s="85"/>
      <c r="AE132" s="85"/>
      <c r="AF132" s="85"/>
      <c r="AG132" s="85"/>
      <c r="AH132" s="85"/>
      <c r="AI132" s="85"/>
      <c r="AJ132" s="85"/>
      <c r="AK132" s="85"/>
      <c r="AL132" s="85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  <c r="AX132" s="85"/>
      <c r="AY132" s="85"/>
      <c r="AZ132" s="85"/>
      <c r="BA132" s="85"/>
      <c r="BB132" s="85"/>
      <c r="BC132" s="85"/>
      <c r="BD132" s="85"/>
      <c r="BE132" s="85"/>
      <c r="BF132" s="85"/>
      <c r="BG132" s="85"/>
      <c r="BH132" s="85"/>
      <c r="BI132" s="85"/>
      <c r="BJ132" s="101"/>
      <c r="BK132" s="101"/>
      <c r="BL132" s="101"/>
      <c r="BM132" s="101"/>
      <c r="BN132" s="101"/>
    </row>
    <row r="133" spans="1:66" s="87" customFormat="1" ht="28.5">
      <c r="A133" s="156" t="s">
        <v>159</v>
      </c>
      <c r="B133" s="157" t="s">
        <v>160</v>
      </c>
      <c r="C133" s="156" t="s">
        <v>16</v>
      </c>
      <c r="D133" s="156">
        <v>381.91</v>
      </c>
      <c r="E133" s="156">
        <v>24.63</v>
      </c>
      <c r="F133" s="156">
        <f t="shared" si="82"/>
        <v>9406.4433000000008</v>
      </c>
      <c r="G133" s="156">
        <v>0</v>
      </c>
      <c r="H133" s="155"/>
      <c r="I133" s="156">
        <f t="shared" si="83"/>
        <v>0</v>
      </c>
      <c r="J133" s="156">
        <f t="shared" si="84"/>
        <v>0</v>
      </c>
      <c r="K133" s="156">
        <f t="shared" si="85"/>
        <v>0</v>
      </c>
      <c r="L133" s="156">
        <f t="shared" si="86"/>
        <v>0</v>
      </c>
      <c r="M133" s="188">
        <f t="shared" si="62"/>
        <v>0</v>
      </c>
      <c r="N133" s="81"/>
      <c r="O133" s="7"/>
      <c r="P133" s="79"/>
      <c r="Q133" s="79"/>
      <c r="R133" s="79"/>
      <c r="S133" s="16"/>
      <c r="T133" s="82"/>
      <c r="U133" s="14"/>
      <c r="V133" s="14"/>
      <c r="W133" s="84"/>
      <c r="X133" s="83"/>
      <c r="Y133" s="85"/>
      <c r="Z133" s="85"/>
      <c r="AA133" s="85"/>
      <c r="AB133" s="85"/>
      <c r="AC133" s="85"/>
      <c r="AD133" s="85"/>
      <c r="AE133" s="85"/>
      <c r="AF133" s="85"/>
      <c r="AG133" s="85"/>
      <c r="AH133" s="85"/>
      <c r="AI133" s="85"/>
      <c r="AJ133" s="85"/>
      <c r="AK133" s="85"/>
      <c r="AL133" s="85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  <c r="AX133" s="85"/>
      <c r="AY133" s="85"/>
      <c r="AZ133" s="85"/>
      <c r="BA133" s="85"/>
      <c r="BB133" s="85"/>
      <c r="BC133" s="85"/>
      <c r="BD133" s="85"/>
      <c r="BE133" s="85"/>
      <c r="BF133" s="85"/>
      <c r="BG133" s="85"/>
      <c r="BH133" s="85"/>
      <c r="BI133" s="85"/>
      <c r="BJ133" s="101"/>
      <c r="BK133" s="101"/>
      <c r="BL133" s="101"/>
      <c r="BM133" s="101"/>
      <c r="BN133" s="101"/>
    </row>
    <row r="134" spans="1:66" s="87" customFormat="1" ht="42" customHeight="1">
      <c r="A134" s="156" t="s">
        <v>161</v>
      </c>
      <c r="B134" s="157" t="s">
        <v>162</v>
      </c>
      <c r="C134" s="156" t="s">
        <v>16</v>
      </c>
      <c r="D134" s="156">
        <v>99.37</v>
      </c>
      <c r="E134" s="156">
        <v>59.23</v>
      </c>
      <c r="F134" s="156">
        <f t="shared" si="82"/>
        <v>5885.6850999999997</v>
      </c>
      <c r="G134" s="156">
        <v>99.37</v>
      </c>
      <c r="H134" s="155"/>
      <c r="I134" s="156">
        <f t="shared" si="83"/>
        <v>99.37</v>
      </c>
      <c r="J134" s="156">
        <f t="shared" si="84"/>
        <v>5885.6850999999997</v>
      </c>
      <c r="K134" s="156">
        <f t="shared" si="85"/>
        <v>0</v>
      </c>
      <c r="L134" s="156">
        <f t="shared" si="86"/>
        <v>5885.6850999999997</v>
      </c>
      <c r="M134" s="188">
        <f t="shared" si="62"/>
        <v>1</v>
      </c>
      <c r="N134" s="81"/>
      <c r="O134" s="7"/>
      <c r="P134" s="79"/>
      <c r="Q134" s="79"/>
      <c r="R134" s="79"/>
      <c r="S134" s="16"/>
      <c r="T134" s="82"/>
      <c r="U134" s="14"/>
      <c r="V134" s="14"/>
      <c r="W134" s="84"/>
      <c r="X134" s="83"/>
      <c r="Y134" s="85"/>
      <c r="Z134" s="85"/>
      <c r="AA134" s="85"/>
      <c r="AB134" s="85"/>
      <c r="AC134" s="85"/>
      <c r="AD134" s="85"/>
      <c r="AE134" s="85"/>
      <c r="AF134" s="85"/>
      <c r="AG134" s="85"/>
      <c r="AH134" s="85"/>
      <c r="AI134" s="85"/>
      <c r="AJ134" s="85"/>
      <c r="AK134" s="85"/>
      <c r="AL134" s="85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  <c r="AX134" s="85"/>
      <c r="AY134" s="85"/>
      <c r="AZ134" s="85"/>
      <c r="BA134" s="85"/>
      <c r="BB134" s="85"/>
      <c r="BC134" s="85"/>
      <c r="BD134" s="85"/>
      <c r="BE134" s="85"/>
      <c r="BF134" s="85"/>
      <c r="BG134" s="85"/>
      <c r="BH134" s="85"/>
      <c r="BI134" s="85"/>
      <c r="BJ134" s="101"/>
      <c r="BK134" s="101"/>
      <c r="BL134" s="101"/>
      <c r="BM134" s="101"/>
      <c r="BN134" s="101"/>
    </row>
    <row r="135" spans="1:66" s="87" customFormat="1" ht="42.75">
      <c r="A135" s="156" t="s">
        <v>163</v>
      </c>
      <c r="B135" s="157" t="s">
        <v>162</v>
      </c>
      <c r="C135" s="156" t="s">
        <v>16</v>
      </c>
      <c r="D135" s="156">
        <v>55.96</v>
      </c>
      <c r="E135" s="156">
        <v>59.23</v>
      </c>
      <c r="F135" s="156">
        <f t="shared" si="82"/>
        <v>3314.5108</v>
      </c>
      <c r="G135" s="156">
        <v>0</v>
      </c>
      <c r="H135" s="155">
        <f>'MEMORIA BM 04'!L371</f>
        <v>49.46</v>
      </c>
      <c r="I135" s="156">
        <f t="shared" si="83"/>
        <v>49.46</v>
      </c>
      <c r="J135" s="156">
        <f t="shared" si="84"/>
        <v>0</v>
      </c>
      <c r="K135" s="156">
        <f t="shared" si="85"/>
        <v>2929.5157999999997</v>
      </c>
      <c r="L135" s="156">
        <f t="shared" si="86"/>
        <v>2929.5157999999997</v>
      </c>
      <c r="M135" s="188">
        <f t="shared" si="62"/>
        <v>0.88384560400285905</v>
      </c>
      <c r="N135" s="81"/>
      <c r="O135" s="7"/>
      <c r="P135" s="79"/>
      <c r="Q135" s="79"/>
      <c r="R135" s="79"/>
      <c r="S135" s="16"/>
      <c r="T135" s="82"/>
      <c r="U135" s="14"/>
      <c r="V135" s="14"/>
      <c r="W135" s="84"/>
      <c r="X135" s="83"/>
      <c r="Y135" s="85"/>
      <c r="Z135" s="85"/>
      <c r="AA135" s="85"/>
      <c r="AB135" s="85"/>
      <c r="AC135" s="85"/>
      <c r="AD135" s="85"/>
      <c r="AE135" s="85"/>
      <c r="AF135" s="85"/>
      <c r="AG135" s="85"/>
      <c r="AH135" s="85"/>
      <c r="AI135" s="85"/>
      <c r="AJ135" s="85"/>
      <c r="AK135" s="85"/>
      <c r="AL135" s="85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  <c r="AX135" s="85"/>
      <c r="AY135" s="85"/>
      <c r="AZ135" s="85"/>
      <c r="BA135" s="85"/>
      <c r="BB135" s="85"/>
      <c r="BC135" s="85"/>
      <c r="BD135" s="85"/>
      <c r="BE135" s="85"/>
      <c r="BF135" s="85"/>
      <c r="BG135" s="85"/>
      <c r="BH135" s="85"/>
      <c r="BI135" s="85"/>
      <c r="BJ135" s="101"/>
      <c r="BK135" s="101"/>
      <c r="BL135" s="101"/>
      <c r="BM135" s="101"/>
      <c r="BN135" s="101"/>
    </row>
    <row r="136" spans="1:66" s="87" customFormat="1" ht="28.5">
      <c r="A136" s="156" t="s">
        <v>164</v>
      </c>
      <c r="B136" s="157" t="s">
        <v>165</v>
      </c>
      <c r="C136" s="156" t="s">
        <v>16</v>
      </c>
      <c r="D136" s="156">
        <v>101</v>
      </c>
      <c r="E136" s="156">
        <v>40.619999999999997</v>
      </c>
      <c r="F136" s="156">
        <f t="shared" si="82"/>
        <v>4102.62</v>
      </c>
      <c r="G136" s="156">
        <v>0</v>
      </c>
      <c r="H136" s="155">
        <f>'MEMORIA BM 04'!L374</f>
        <v>83.57</v>
      </c>
      <c r="I136" s="156">
        <f t="shared" si="83"/>
        <v>83.57</v>
      </c>
      <c r="J136" s="156">
        <f t="shared" si="84"/>
        <v>0</v>
      </c>
      <c r="K136" s="156">
        <f t="shared" si="85"/>
        <v>3394.6133999999997</v>
      </c>
      <c r="L136" s="156">
        <f t="shared" si="86"/>
        <v>3394.6133999999997</v>
      </c>
      <c r="M136" s="188">
        <f t="shared" si="62"/>
        <v>0.82742574257425738</v>
      </c>
      <c r="N136" s="81"/>
      <c r="O136" s="7"/>
      <c r="P136" s="79"/>
      <c r="Q136" s="79"/>
      <c r="R136" s="79"/>
      <c r="S136" s="16"/>
      <c r="T136" s="82"/>
      <c r="U136" s="14"/>
      <c r="V136" s="14"/>
      <c r="W136" s="84"/>
      <c r="X136" s="83"/>
      <c r="Y136" s="85"/>
      <c r="Z136" s="85"/>
      <c r="AA136" s="85"/>
      <c r="AB136" s="85"/>
      <c r="AC136" s="85"/>
      <c r="AD136" s="85"/>
      <c r="AE136" s="85"/>
      <c r="AF136" s="85"/>
      <c r="AG136" s="85"/>
      <c r="AH136" s="85"/>
      <c r="AI136" s="85"/>
      <c r="AJ136" s="85"/>
      <c r="AK136" s="85"/>
      <c r="AL136" s="85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  <c r="AX136" s="85"/>
      <c r="AY136" s="85"/>
      <c r="AZ136" s="85"/>
      <c r="BA136" s="85"/>
      <c r="BB136" s="85"/>
      <c r="BC136" s="85"/>
      <c r="BD136" s="85"/>
      <c r="BE136" s="85"/>
      <c r="BF136" s="85"/>
      <c r="BG136" s="85"/>
      <c r="BH136" s="85"/>
      <c r="BI136" s="85"/>
      <c r="BJ136" s="101"/>
      <c r="BK136" s="101"/>
      <c r="BL136" s="101"/>
      <c r="BM136" s="101"/>
      <c r="BN136" s="101"/>
    </row>
    <row r="137" spans="1:66" s="87" customFormat="1" ht="57">
      <c r="A137" s="156" t="s">
        <v>166</v>
      </c>
      <c r="B137" s="157" t="s">
        <v>167</v>
      </c>
      <c r="C137" s="156" t="s">
        <v>7</v>
      </c>
      <c r="D137" s="156">
        <v>1</v>
      </c>
      <c r="E137" s="156">
        <v>293.38</v>
      </c>
      <c r="F137" s="156">
        <f t="shared" si="82"/>
        <v>293.38</v>
      </c>
      <c r="G137" s="156">
        <v>0</v>
      </c>
      <c r="H137" s="155"/>
      <c r="I137" s="156">
        <f t="shared" si="83"/>
        <v>0</v>
      </c>
      <c r="J137" s="156">
        <f t="shared" si="84"/>
        <v>0</v>
      </c>
      <c r="K137" s="156">
        <f t="shared" si="85"/>
        <v>0</v>
      </c>
      <c r="L137" s="156">
        <f t="shared" si="86"/>
        <v>0</v>
      </c>
      <c r="M137" s="188">
        <f t="shared" si="62"/>
        <v>0</v>
      </c>
      <c r="N137" s="81"/>
      <c r="O137" s="7"/>
      <c r="P137" s="79"/>
      <c r="Q137" s="79"/>
      <c r="R137" s="79"/>
      <c r="S137" s="16"/>
      <c r="T137" s="82"/>
      <c r="U137" s="14"/>
      <c r="V137" s="14"/>
      <c r="W137" s="84"/>
      <c r="X137" s="83"/>
      <c r="Y137" s="85"/>
      <c r="Z137" s="85"/>
      <c r="AA137" s="85"/>
      <c r="AB137" s="85"/>
      <c r="AC137" s="85"/>
      <c r="AD137" s="85"/>
      <c r="AE137" s="85"/>
      <c r="AF137" s="85"/>
      <c r="AG137" s="85"/>
      <c r="AH137" s="85"/>
      <c r="AI137" s="85"/>
      <c r="AJ137" s="85"/>
      <c r="AK137" s="85"/>
      <c r="AL137" s="85"/>
      <c r="AM137" s="85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  <c r="AX137" s="85"/>
      <c r="AY137" s="85"/>
      <c r="AZ137" s="85"/>
      <c r="BA137" s="85"/>
      <c r="BB137" s="85"/>
      <c r="BC137" s="85"/>
      <c r="BD137" s="85"/>
      <c r="BE137" s="85"/>
      <c r="BF137" s="85"/>
      <c r="BG137" s="85"/>
      <c r="BH137" s="85"/>
      <c r="BI137" s="85"/>
      <c r="BJ137" s="101"/>
      <c r="BK137" s="101"/>
      <c r="BL137" s="101"/>
      <c r="BM137" s="101"/>
      <c r="BN137" s="101"/>
    </row>
    <row r="138" spans="1:66" s="87" customFormat="1">
      <c r="A138" s="156"/>
      <c r="B138" s="154"/>
      <c r="C138" s="156"/>
      <c r="D138" s="156"/>
      <c r="E138" s="156"/>
      <c r="F138" s="156"/>
      <c r="G138" s="156"/>
      <c r="H138" s="155"/>
      <c r="I138" s="156"/>
      <c r="J138" s="156"/>
      <c r="K138" s="156"/>
      <c r="L138" s="156"/>
      <c r="M138" s="188" t="e">
        <f t="shared" si="62"/>
        <v>#DIV/0!</v>
      </c>
      <c r="N138" s="81"/>
      <c r="O138" s="7"/>
      <c r="P138" s="79"/>
      <c r="Q138" s="79"/>
      <c r="R138" s="79"/>
      <c r="S138" s="16"/>
      <c r="T138" s="82"/>
      <c r="U138" s="14"/>
      <c r="V138" s="14"/>
      <c r="W138" s="84"/>
      <c r="X138" s="83"/>
      <c r="Y138" s="85"/>
      <c r="Z138" s="85"/>
      <c r="AA138" s="85"/>
      <c r="AB138" s="85"/>
      <c r="AC138" s="85"/>
      <c r="AD138" s="85"/>
      <c r="AE138" s="85"/>
      <c r="AF138" s="85"/>
      <c r="AG138" s="85"/>
      <c r="AH138" s="85"/>
      <c r="AI138" s="85"/>
      <c r="AJ138" s="85"/>
      <c r="AK138" s="85"/>
      <c r="AL138" s="85"/>
      <c r="AM138" s="85"/>
      <c r="AN138" s="85"/>
      <c r="AO138" s="85"/>
      <c r="AP138" s="85"/>
      <c r="AQ138" s="85"/>
      <c r="AR138" s="85"/>
      <c r="AS138" s="85"/>
      <c r="AT138" s="85"/>
      <c r="AU138" s="85"/>
      <c r="AV138" s="85"/>
      <c r="AW138" s="85"/>
      <c r="AX138" s="85"/>
      <c r="AY138" s="85"/>
      <c r="AZ138" s="85"/>
      <c r="BA138" s="85"/>
      <c r="BB138" s="85"/>
      <c r="BC138" s="85"/>
      <c r="BD138" s="85"/>
      <c r="BE138" s="85"/>
      <c r="BF138" s="85"/>
      <c r="BG138" s="85"/>
      <c r="BH138" s="85"/>
      <c r="BI138" s="85"/>
      <c r="BJ138" s="101"/>
      <c r="BK138" s="101"/>
      <c r="BL138" s="101"/>
      <c r="BM138" s="101"/>
      <c r="BN138" s="101"/>
    </row>
    <row r="139" spans="1:66" s="87" customFormat="1">
      <c r="A139" s="164" t="s">
        <v>168</v>
      </c>
      <c r="B139" s="165" t="s">
        <v>169</v>
      </c>
      <c r="C139" s="166"/>
      <c r="D139" s="167"/>
      <c r="E139" s="166"/>
      <c r="F139" s="166">
        <f>SUM(F141:F167)</f>
        <v>20859.394999999993</v>
      </c>
      <c r="G139" s="166"/>
      <c r="H139" s="166"/>
      <c r="I139" s="166"/>
      <c r="J139" s="166">
        <f>SUM(J141:J167)</f>
        <v>1191.26</v>
      </c>
      <c r="K139" s="166">
        <f t="shared" ref="K139:L139" si="87">SUM(K141:K167)</f>
        <v>199.92</v>
      </c>
      <c r="L139" s="166">
        <f t="shared" si="87"/>
        <v>1391.18</v>
      </c>
      <c r="M139" s="188">
        <f t="shared" si="62"/>
        <v>6.6693209462690584E-2</v>
      </c>
      <c r="N139" s="98"/>
      <c r="O139" s="7"/>
      <c r="P139" s="97"/>
      <c r="Q139" s="97"/>
      <c r="R139" s="79"/>
      <c r="S139" s="16"/>
      <c r="T139" s="82"/>
      <c r="U139" s="14"/>
      <c r="V139" s="14"/>
      <c r="W139" s="84"/>
      <c r="X139" s="83"/>
      <c r="Y139" s="85"/>
      <c r="Z139" s="85"/>
      <c r="AA139" s="85"/>
      <c r="AB139" s="85"/>
      <c r="AC139" s="85"/>
      <c r="AD139" s="85"/>
      <c r="AE139" s="85"/>
      <c r="AF139" s="85"/>
      <c r="AG139" s="85"/>
      <c r="AH139" s="85"/>
      <c r="AI139" s="85"/>
      <c r="AJ139" s="85"/>
      <c r="AK139" s="86"/>
      <c r="AL139" s="86"/>
      <c r="AM139" s="86"/>
      <c r="AN139" s="86"/>
      <c r="AO139" s="86"/>
      <c r="AP139" s="86"/>
      <c r="AQ139" s="86"/>
      <c r="AR139" s="86"/>
      <c r="AS139" s="86"/>
      <c r="AT139" s="86"/>
      <c r="AU139" s="86"/>
      <c r="AV139" s="86"/>
      <c r="AW139" s="86"/>
      <c r="AX139" s="86"/>
      <c r="AY139" s="86"/>
      <c r="AZ139" s="86"/>
      <c r="BA139" s="86"/>
      <c r="BB139" s="86"/>
      <c r="BC139" s="86"/>
      <c r="BD139" s="86"/>
      <c r="BE139" s="86"/>
      <c r="BF139" s="86"/>
      <c r="BG139" s="86"/>
      <c r="BH139" s="86"/>
      <c r="BI139" s="86"/>
    </row>
    <row r="140" spans="1:66" ht="12" customHeight="1">
      <c r="A140" s="156"/>
      <c r="B140" s="154"/>
      <c r="C140" s="156"/>
      <c r="D140" s="156"/>
      <c r="E140" s="156"/>
      <c r="F140" s="156"/>
      <c r="G140" s="156"/>
      <c r="H140" s="156"/>
      <c r="I140" s="156"/>
      <c r="J140" s="156"/>
      <c r="K140" s="156"/>
      <c r="L140" s="156"/>
      <c r="M140" s="188" t="e">
        <f t="shared" si="62"/>
        <v>#DIV/0!</v>
      </c>
      <c r="N140" s="81"/>
      <c r="O140" s="7"/>
      <c r="P140" s="80"/>
      <c r="Q140" s="80"/>
      <c r="R140" s="91"/>
      <c r="S140" s="8"/>
      <c r="T140" s="82"/>
      <c r="W140" s="10"/>
      <c r="X140" s="9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</row>
    <row r="141" spans="1:66" s="87" customFormat="1" ht="57">
      <c r="A141" s="156" t="s">
        <v>170</v>
      </c>
      <c r="B141" s="157" t="s">
        <v>167</v>
      </c>
      <c r="C141" s="156" t="s">
        <v>7</v>
      </c>
      <c r="D141" s="155">
        <v>3</v>
      </c>
      <c r="E141" s="156">
        <v>339.22</v>
      </c>
      <c r="F141" s="156">
        <f t="shared" ref="F141:F164" si="88">D141*E141</f>
        <v>1017.6600000000001</v>
      </c>
      <c r="G141" s="156">
        <v>0</v>
      </c>
      <c r="H141" s="156"/>
      <c r="I141" s="156">
        <f t="shared" ref="I141:I164" si="89">G141+H141</f>
        <v>0</v>
      </c>
      <c r="J141" s="156">
        <f t="shared" ref="J141:J164" si="90">E141*G141</f>
        <v>0</v>
      </c>
      <c r="K141" s="156">
        <f t="shared" ref="K141:K164" si="91">H141*E141</f>
        <v>0</v>
      </c>
      <c r="L141" s="156">
        <f t="shared" ref="L141:L164" si="92">J141+K141</f>
        <v>0</v>
      </c>
      <c r="M141" s="188">
        <f t="shared" si="62"/>
        <v>0</v>
      </c>
      <c r="N141" s="81"/>
      <c r="O141" s="7"/>
      <c r="P141" s="79"/>
      <c r="Q141" s="79"/>
      <c r="R141" s="79"/>
      <c r="S141" s="16"/>
      <c r="T141" s="82"/>
      <c r="U141" s="14"/>
      <c r="V141" s="14"/>
      <c r="W141" s="84"/>
      <c r="X141" s="83"/>
      <c r="Y141" s="85"/>
      <c r="Z141" s="85"/>
      <c r="AA141" s="85"/>
      <c r="AB141" s="85"/>
      <c r="AC141" s="85"/>
      <c r="AD141" s="85"/>
      <c r="AE141" s="85"/>
      <c r="AF141" s="85"/>
      <c r="AG141" s="85"/>
      <c r="AH141" s="86"/>
      <c r="AI141" s="86"/>
      <c r="AJ141" s="86"/>
      <c r="AK141" s="86"/>
      <c r="AL141" s="86"/>
      <c r="AM141" s="86"/>
      <c r="AN141" s="86"/>
      <c r="AO141" s="86"/>
      <c r="AP141" s="86"/>
      <c r="AQ141" s="86"/>
      <c r="AR141" s="86"/>
      <c r="AS141" s="86"/>
      <c r="AT141" s="86"/>
      <c r="AU141" s="86"/>
      <c r="AV141" s="86"/>
      <c r="AW141" s="86"/>
      <c r="AX141" s="86"/>
      <c r="AY141" s="86"/>
      <c r="AZ141" s="86"/>
      <c r="BA141" s="86"/>
      <c r="BB141" s="86"/>
      <c r="BC141" s="86"/>
      <c r="BD141" s="86"/>
      <c r="BE141" s="86"/>
      <c r="BF141" s="86"/>
      <c r="BG141" s="86"/>
      <c r="BH141" s="86"/>
      <c r="BI141" s="86"/>
    </row>
    <row r="142" spans="1:66" s="87" customFormat="1" ht="42.75">
      <c r="A142" s="156" t="s">
        <v>171</v>
      </c>
      <c r="B142" s="157" t="s">
        <v>172</v>
      </c>
      <c r="C142" s="156" t="s">
        <v>7</v>
      </c>
      <c r="D142" s="155">
        <v>2</v>
      </c>
      <c r="E142" s="156">
        <v>595.92999999999995</v>
      </c>
      <c r="F142" s="156">
        <f t="shared" si="88"/>
        <v>1191.8599999999999</v>
      </c>
      <c r="G142" s="156">
        <v>0</v>
      </c>
      <c r="H142" s="156"/>
      <c r="I142" s="156">
        <f t="shared" si="89"/>
        <v>0</v>
      </c>
      <c r="J142" s="156">
        <f t="shared" si="90"/>
        <v>0</v>
      </c>
      <c r="K142" s="156">
        <f t="shared" si="91"/>
        <v>0</v>
      </c>
      <c r="L142" s="156">
        <f t="shared" si="92"/>
        <v>0</v>
      </c>
      <c r="M142" s="188">
        <f t="shared" si="62"/>
        <v>0</v>
      </c>
      <c r="N142" s="81"/>
      <c r="O142" s="7"/>
      <c r="P142" s="79"/>
      <c r="Q142" s="79"/>
      <c r="R142" s="79"/>
      <c r="S142" s="16"/>
      <c r="T142" s="82"/>
      <c r="U142" s="14"/>
      <c r="V142" s="14"/>
      <c r="W142" s="84"/>
      <c r="X142" s="83"/>
      <c r="Y142" s="85"/>
      <c r="Z142" s="85"/>
      <c r="AA142" s="85"/>
      <c r="AB142" s="85"/>
      <c r="AC142" s="85"/>
      <c r="AD142" s="85"/>
      <c r="AE142" s="85"/>
      <c r="AF142" s="85"/>
      <c r="AG142" s="85"/>
      <c r="AH142" s="86"/>
      <c r="AI142" s="86"/>
      <c r="AJ142" s="86"/>
      <c r="AK142" s="86"/>
      <c r="AL142" s="86"/>
      <c r="AM142" s="86"/>
      <c r="AN142" s="86"/>
      <c r="AO142" s="86"/>
      <c r="AP142" s="86"/>
      <c r="AQ142" s="86"/>
      <c r="AR142" s="86"/>
      <c r="AS142" s="86"/>
      <c r="AT142" s="86"/>
      <c r="AU142" s="86"/>
      <c r="AV142" s="86"/>
      <c r="AW142" s="86"/>
      <c r="AX142" s="86"/>
      <c r="AY142" s="86"/>
      <c r="AZ142" s="86"/>
      <c r="BA142" s="86"/>
      <c r="BB142" s="86"/>
      <c r="BC142" s="86"/>
      <c r="BD142" s="86"/>
      <c r="BE142" s="86"/>
      <c r="BF142" s="86"/>
      <c r="BG142" s="86"/>
      <c r="BH142" s="86"/>
      <c r="BI142" s="86"/>
    </row>
    <row r="143" spans="1:66" s="87" customFormat="1" ht="28.5">
      <c r="A143" s="156" t="s">
        <v>173</v>
      </c>
      <c r="B143" s="157" t="s">
        <v>174</v>
      </c>
      <c r="C143" s="156" t="s">
        <v>7</v>
      </c>
      <c r="D143" s="155">
        <v>5</v>
      </c>
      <c r="E143" s="156">
        <v>347.61</v>
      </c>
      <c r="F143" s="156">
        <f t="shared" si="88"/>
        <v>1738.0500000000002</v>
      </c>
      <c r="G143" s="156">
        <v>0</v>
      </c>
      <c r="H143" s="156"/>
      <c r="I143" s="156">
        <f t="shared" si="89"/>
        <v>0</v>
      </c>
      <c r="J143" s="156">
        <f t="shared" si="90"/>
        <v>0</v>
      </c>
      <c r="K143" s="156">
        <f t="shared" si="91"/>
        <v>0</v>
      </c>
      <c r="L143" s="156">
        <f t="shared" si="92"/>
        <v>0</v>
      </c>
      <c r="M143" s="188">
        <f t="shared" si="62"/>
        <v>0</v>
      </c>
      <c r="N143" s="81"/>
      <c r="O143" s="7"/>
      <c r="P143" s="79"/>
      <c r="Q143" s="79"/>
      <c r="R143" s="79"/>
      <c r="S143" s="16"/>
      <c r="T143" s="82"/>
      <c r="U143" s="14"/>
      <c r="V143" s="14"/>
      <c r="W143" s="84"/>
      <c r="X143" s="83"/>
      <c r="Y143" s="85"/>
      <c r="Z143" s="85"/>
      <c r="AA143" s="85"/>
      <c r="AB143" s="85"/>
      <c r="AC143" s="85"/>
      <c r="AD143" s="85"/>
      <c r="AE143" s="85"/>
      <c r="AF143" s="85"/>
      <c r="AG143" s="85"/>
      <c r="AH143" s="86"/>
      <c r="AI143" s="86"/>
      <c r="AJ143" s="86"/>
      <c r="AK143" s="86"/>
      <c r="AL143" s="86"/>
      <c r="AM143" s="86"/>
      <c r="AN143" s="86"/>
      <c r="AO143" s="86"/>
      <c r="AP143" s="86"/>
      <c r="AQ143" s="86"/>
      <c r="AR143" s="86"/>
      <c r="AS143" s="86"/>
      <c r="AT143" s="86"/>
      <c r="AU143" s="86"/>
      <c r="AV143" s="86"/>
      <c r="AW143" s="86"/>
      <c r="AX143" s="86"/>
      <c r="AY143" s="86"/>
      <c r="AZ143" s="86"/>
      <c r="BA143" s="86"/>
      <c r="BB143" s="86"/>
      <c r="BC143" s="86"/>
      <c r="BD143" s="86"/>
      <c r="BE143" s="86"/>
      <c r="BF143" s="86"/>
      <c r="BG143" s="86"/>
      <c r="BH143" s="86"/>
      <c r="BI143" s="86"/>
    </row>
    <row r="144" spans="1:66" s="87" customFormat="1" ht="28.5">
      <c r="A144" s="156" t="s">
        <v>175</v>
      </c>
      <c r="B144" s="157" t="s">
        <v>176</v>
      </c>
      <c r="C144" s="156" t="s">
        <v>7</v>
      </c>
      <c r="D144" s="155">
        <v>1</v>
      </c>
      <c r="E144" s="156">
        <v>166.76</v>
      </c>
      <c r="F144" s="156">
        <f t="shared" si="88"/>
        <v>166.76</v>
      </c>
      <c r="G144" s="156">
        <v>0</v>
      </c>
      <c r="H144" s="156"/>
      <c r="I144" s="156">
        <f t="shared" si="89"/>
        <v>0</v>
      </c>
      <c r="J144" s="156">
        <f t="shared" si="90"/>
        <v>0</v>
      </c>
      <c r="K144" s="156">
        <f t="shared" si="91"/>
        <v>0</v>
      </c>
      <c r="L144" s="156">
        <f t="shared" si="92"/>
        <v>0</v>
      </c>
      <c r="M144" s="188">
        <f t="shared" si="62"/>
        <v>0</v>
      </c>
      <c r="N144" s="81"/>
      <c r="O144" s="7"/>
      <c r="P144" s="79"/>
      <c r="Q144" s="79"/>
      <c r="R144" s="79"/>
      <c r="S144" s="16"/>
      <c r="T144" s="82"/>
      <c r="U144" s="14"/>
      <c r="V144" s="14"/>
      <c r="W144" s="84"/>
      <c r="X144" s="83"/>
      <c r="Y144" s="85"/>
      <c r="Z144" s="85"/>
      <c r="AA144" s="85"/>
      <c r="AB144" s="85"/>
      <c r="AC144" s="85"/>
      <c r="AD144" s="85"/>
      <c r="AE144" s="85"/>
      <c r="AF144" s="85"/>
      <c r="AG144" s="85"/>
      <c r="AH144" s="86"/>
      <c r="AI144" s="86"/>
      <c r="AJ144" s="86"/>
      <c r="AK144" s="86"/>
      <c r="AL144" s="86"/>
      <c r="AM144" s="86"/>
      <c r="AN144" s="86"/>
      <c r="AO144" s="86"/>
      <c r="AP144" s="86"/>
      <c r="AQ144" s="86"/>
      <c r="AR144" s="86"/>
      <c r="AS144" s="86"/>
      <c r="AT144" s="86"/>
      <c r="AU144" s="86"/>
      <c r="AV144" s="86"/>
      <c r="AW144" s="86"/>
      <c r="AX144" s="86"/>
      <c r="AY144" s="86"/>
      <c r="AZ144" s="86"/>
      <c r="BA144" s="86"/>
      <c r="BB144" s="86"/>
      <c r="BC144" s="86"/>
      <c r="BD144" s="86"/>
      <c r="BE144" s="86"/>
      <c r="BF144" s="86"/>
      <c r="BG144" s="86"/>
      <c r="BH144" s="86"/>
      <c r="BI144" s="86"/>
    </row>
    <row r="145" spans="1:61" s="87" customFormat="1" ht="57">
      <c r="A145" s="156" t="s">
        <v>177</v>
      </c>
      <c r="B145" s="157" t="s">
        <v>178</v>
      </c>
      <c r="C145" s="156" t="s">
        <v>7</v>
      </c>
      <c r="D145" s="155">
        <v>7</v>
      </c>
      <c r="E145" s="156">
        <v>130.03</v>
      </c>
      <c r="F145" s="156">
        <f t="shared" si="88"/>
        <v>910.21</v>
      </c>
      <c r="G145" s="156">
        <v>0</v>
      </c>
      <c r="H145" s="156"/>
      <c r="I145" s="156">
        <f t="shared" si="89"/>
        <v>0</v>
      </c>
      <c r="J145" s="156">
        <f t="shared" si="90"/>
        <v>0</v>
      </c>
      <c r="K145" s="156">
        <f t="shared" si="91"/>
        <v>0</v>
      </c>
      <c r="L145" s="156">
        <f t="shared" si="92"/>
        <v>0</v>
      </c>
      <c r="M145" s="188">
        <f t="shared" si="62"/>
        <v>0</v>
      </c>
      <c r="N145" s="81"/>
      <c r="O145" s="7"/>
      <c r="P145" s="79"/>
      <c r="Q145" s="79"/>
      <c r="R145" s="79"/>
      <c r="S145" s="16"/>
      <c r="T145" s="82"/>
      <c r="U145" s="14"/>
      <c r="V145" s="14"/>
      <c r="W145" s="84"/>
      <c r="X145" s="83"/>
      <c r="Y145" s="85"/>
      <c r="Z145" s="85"/>
      <c r="AA145" s="85"/>
      <c r="AB145" s="85"/>
      <c r="AC145" s="85"/>
      <c r="AD145" s="85"/>
      <c r="AE145" s="85"/>
      <c r="AF145" s="85"/>
      <c r="AG145" s="85"/>
      <c r="AH145" s="86"/>
      <c r="AI145" s="86"/>
      <c r="AJ145" s="86"/>
      <c r="AK145" s="86"/>
      <c r="AL145" s="86"/>
      <c r="AM145" s="86"/>
      <c r="AN145" s="86"/>
      <c r="AO145" s="86"/>
      <c r="AP145" s="86"/>
      <c r="AQ145" s="86"/>
      <c r="AR145" s="86"/>
      <c r="AS145" s="86"/>
      <c r="AT145" s="86"/>
      <c r="AU145" s="86"/>
      <c r="AV145" s="86"/>
      <c r="AW145" s="86"/>
      <c r="AX145" s="86"/>
      <c r="AY145" s="86"/>
      <c r="AZ145" s="86"/>
      <c r="BA145" s="86"/>
      <c r="BB145" s="86"/>
      <c r="BC145" s="86"/>
      <c r="BD145" s="86"/>
      <c r="BE145" s="86"/>
      <c r="BF145" s="86"/>
      <c r="BG145" s="86"/>
      <c r="BH145" s="86"/>
      <c r="BI145" s="86"/>
    </row>
    <row r="146" spans="1:61" s="87" customFormat="1" ht="28.5">
      <c r="A146" s="156" t="s">
        <v>179</v>
      </c>
      <c r="B146" s="157" t="s">
        <v>180</v>
      </c>
      <c r="C146" s="156" t="s">
        <v>7</v>
      </c>
      <c r="D146" s="155">
        <v>5</v>
      </c>
      <c r="E146" s="156">
        <v>64.959999999999994</v>
      </c>
      <c r="F146" s="156">
        <f t="shared" si="88"/>
        <v>324.79999999999995</v>
      </c>
      <c r="G146" s="156">
        <v>0</v>
      </c>
      <c r="H146" s="156"/>
      <c r="I146" s="156">
        <f t="shared" si="89"/>
        <v>0</v>
      </c>
      <c r="J146" s="156">
        <f t="shared" si="90"/>
        <v>0</v>
      </c>
      <c r="K146" s="156">
        <f t="shared" si="91"/>
        <v>0</v>
      </c>
      <c r="L146" s="156">
        <f t="shared" si="92"/>
        <v>0</v>
      </c>
      <c r="M146" s="188">
        <f t="shared" si="62"/>
        <v>0</v>
      </c>
      <c r="N146" s="81"/>
      <c r="O146" s="7"/>
      <c r="P146" s="79"/>
      <c r="Q146" s="79"/>
      <c r="R146" s="79"/>
      <c r="S146" s="16"/>
      <c r="T146" s="82"/>
      <c r="U146" s="14"/>
      <c r="V146" s="14"/>
      <c r="W146" s="84"/>
      <c r="X146" s="83"/>
      <c r="Y146" s="85"/>
      <c r="Z146" s="85"/>
      <c r="AA146" s="85"/>
      <c r="AB146" s="85"/>
      <c r="AC146" s="85"/>
      <c r="AD146" s="85"/>
      <c r="AE146" s="85"/>
      <c r="AF146" s="85"/>
      <c r="AG146" s="85"/>
      <c r="AH146" s="86"/>
      <c r="AI146" s="86"/>
      <c r="AJ146" s="86"/>
      <c r="AK146" s="86"/>
      <c r="AL146" s="86"/>
      <c r="AM146" s="86"/>
      <c r="AN146" s="86"/>
      <c r="AO146" s="86"/>
      <c r="AP146" s="86"/>
      <c r="AQ146" s="86"/>
      <c r="AR146" s="86"/>
      <c r="AS146" s="86"/>
      <c r="AT146" s="86"/>
      <c r="AU146" s="86"/>
      <c r="AV146" s="86"/>
      <c r="AW146" s="86"/>
      <c r="AX146" s="86"/>
      <c r="AY146" s="86"/>
      <c r="AZ146" s="86"/>
      <c r="BA146" s="86"/>
      <c r="BB146" s="86"/>
      <c r="BC146" s="86"/>
      <c r="BD146" s="86"/>
      <c r="BE146" s="86"/>
      <c r="BF146" s="86"/>
      <c r="BG146" s="86"/>
      <c r="BH146" s="86"/>
      <c r="BI146" s="86"/>
    </row>
    <row r="147" spans="1:61" s="87" customFormat="1" ht="28.5">
      <c r="A147" s="156" t="s">
        <v>181</v>
      </c>
      <c r="B147" s="157" t="s">
        <v>182</v>
      </c>
      <c r="C147" s="156" t="s">
        <v>7</v>
      </c>
      <c r="D147" s="155">
        <v>2</v>
      </c>
      <c r="E147" s="156">
        <v>93.12</v>
      </c>
      <c r="F147" s="156">
        <f t="shared" si="88"/>
        <v>186.24</v>
      </c>
      <c r="G147" s="156">
        <v>0</v>
      </c>
      <c r="H147" s="156"/>
      <c r="I147" s="156">
        <f t="shared" si="89"/>
        <v>0</v>
      </c>
      <c r="J147" s="156">
        <f t="shared" si="90"/>
        <v>0</v>
      </c>
      <c r="K147" s="156">
        <f t="shared" si="91"/>
        <v>0</v>
      </c>
      <c r="L147" s="156">
        <f t="shared" si="92"/>
        <v>0</v>
      </c>
      <c r="M147" s="188">
        <f t="shared" si="62"/>
        <v>0</v>
      </c>
      <c r="N147" s="81"/>
      <c r="O147" s="7"/>
      <c r="P147" s="79"/>
      <c r="Q147" s="79"/>
      <c r="R147" s="79"/>
      <c r="S147" s="16"/>
      <c r="T147" s="82"/>
      <c r="U147" s="14"/>
      <c r="V147" s="14"/>
      <c r="W147" s="84"/>
      <c r="X147" s="83"/>
      <c r="Y147" s="85"/>
      <c r="Z147" s="85"/>
      <c r="AA147" s="85"/>
      <c r="AB147" s="85"/>
      <c r="AC147" s="85"/>
      <c r="AD147" s="85"/>
      <c r="AE147" s="85"/>
      <c r="AF147" s="85"/>
      <c r="AG147" s="85"/>
      <c r="AH147" s="86"/>
      <c r="AI147" s="86"/>
      <c r="AJ147" s="86"/>
      <c r="AK147" s="86"/>
      <c r="AL147" s="86"/>
      <c r="AM147" s="86"/>
      <c r="AN147" s="86"/>
      <c r="AO147" s="86"/>
      <c r="AP147" s="86"/>
      <c r="AQ147" s="86"/>
      <c r="AR147" s="86"/>
      <c r="AS147" s="86"/>
      <c r="AT147" s="86"/>
      <c r="AU147" s="86"/>
      <c r="AV147" s="86"/>
      <c r="AW147" s="86"/>
      <c r="AX147" s="86"/>
      <c r="AY147" s="86"/>
      <c r="AZ147" s="86"/>
      <c r="BA147" s="86"/>
      <c r="BB147" s="86"/>
      <c r="BC147" s="86"/>
      <c r="BD147" s="86"/>
      <c r="BE147" s="86"/>
      <c r="BF147" s="86"/>
      <c r="BG147" s="86"/>
      <c r="BH147" s="86"/>
      <c r="BI147" s="86"/>
    </row>
    <row r="148" spans="1:61" s="87" customFormat="1" ht="28.5">
      <c r="A148" s="156" t="s">
        <v>183</v>
      </c>
      <c r="B148" s="157" t="s">
        <v>184</v>
      </c>
      <c r="C148" s="156" t="s">
        <v>7</v>
      </c>
      <c r="D148" s="155">
        <v>5</v>
      </c>
      <c r="E148" s="156">
        <v>83.07</v>
      </c>
      <c r="F148" s="156">
        <f t="shared" si="88"/>
        <v>415.34999999999997</v>
      </c>
      <c r="G148" s="156">
        <v>0</v>
      </c>
      <c r="H148" s="156"/>
      <c r="I148" s="156">
        <f t="shared" si="89"/>
        <v>0</v>
      </c>
      <c r="J148" s="156">
        <f t="shared" si="90"/>
        <v>0</v>
      </c>
      <c r="K148" s="156">
        <f t="shared" si="91"/>
        <v>0</v>
      </c>
      <c r="L148" s="156">
        <f t="shared" si="92"/>
        <v>0</v>
      </c>
      <c r="M148" s="188">
        <f t="shared" si="62"/>
        <v>0</v>
      </c>
      <c r="N148" s="81"/>
      <c r="O148" s="7"/>
      <c r="P148" s="79"/>
      <c r="Q148" s="79"/>
      <c r="R148" s="79"/>
      <c r="S148" s="16"/>
      <c r="T148" s="82"/>
      <c r="U148" s="14"/>
      <c r="V148" s="14"/>
      <c r="W148" s="84"/>
      <c r="X148" s="83"/>
      <c r="Y148" s="85"/>
      <c r="Z148" s="85"/>
      <c r="AA148" s="85"/>
      <c r="AB148" s="85"/>
      <c r="AC148" s="85"/>
      <c r="AD148" s="85"/>
      <c r="AE148" s="85"/>
      <c r="AF148" s="85"/>
      <c r="AG148" s="85"/>
      <c r="AH148" s="86"/>
      <c r="AI148" s="86"/>
      <c r="AJ148" s="86"/>
      <c r="AK148" s="86"/>
      <c r="AL148" s="86"/>
      <c r="AM148" s="86"/>
      <c r="AN148" s="86"/>
      <c r="AO148" s="86"/>
      <c r="AP148" s="86"/>
      <c r="AQ148" s="86"/>
      <c r="AR148" s="86"/>
      <c r="AS148" s="86"/>
      <c r="AT148" s="86"/>
      <c r="AU148" s="86"/>
      <c r="AV148" s="86"/>
      <c r="AW148" s="86"/>
      <c r="AX148" s="86"/>
      <c r="AY148" s="86"/>
      <c r="AZ148" s="86"/>
      <c r="BA148" s="86"/>
      <c r="BB148" s="86"/>
      <c r="BC148" s="86"/>
      <c r="BD148" s="86"/>
      <c r="BE148" s="86"/>
      <c r="BF148" s="86"/>
      <c r="BG148" s="86"/>
      <c r="BH148" s="86"/>
      <c r="BI148" s="86"/>
    </row>
    <row r="149" spans="1:61" s="87" customFormat="1" ht="28.5">
      <c r="A149" s="156" t="s">
        <v>185</v>
      </c>
      <c r="B149" s="157" t="s">
        <v>186</v>
      </c>
      <c r="C149" s="156" t="s">
        <v>7</v>
      </c>
      <c r="D149" s="155">
        <v>2</v>
      </c>
      <c r="E149" s="156">
        <v>37.409999999999997</v>
      </c>
      <c r="F149" s="156">
        <f t="shared" si="88"/>
        <v>74.819999999999993</v>
      </c>
      <c r="G149" s="156">
        <v>0</v>
      </c>
      <c r="H149" s="156"/>
      <c r="I149" s="156">
        <f t="shared" si="89"/>
        <v>0</v>
      </c>
      <c r="J149" s="156">
        <f t="shared" si="90"/>
        <v>0</v>
      </c>
      <c r="K149" s="156">
        <f t="shared" si="91"/>
        <v>0</v>
      </c>
      <c r="L149" s="156">
        <f t="shared" si="92"/>
        <v>0</v>
      </c>
      <c r="M149" s="188">
        <f t="shared" si="62"/>
        <v>0</v>
      </c>
      <c r="N149" s="81"/>
      <c r="O149" s="7"/>
      <c r="P149" s="79"/>
      <c r="Q149" s="79"/>
      <c r="R149" s="79"/>
      <c r="S149" s="16"/>
      <c r="T149" s="82"/>
      <c r="U149" s="14"/>
      <c r="V149" s="14"/>
      <c r="W149" s="84"/>
      <c r="X149" s="83"/>
      <c r="Y149" s="85"/>
      <c r="Z149" s="85"/>
      <c r="AA149" s="85"/>
      <c r="AB149" s="85"/>
      <c r="AC149" s="85"/>
      <c r="AD149" s="85"/>
      <c r="AE149" s="85"/>
      <c r="AF149" s="85"/>
      <c r="AG149" s="85"/>
      <c r="AH149" s="86"/>
      <c r="AI149" s="86"/>
      <c r="AJ149" s="86"/>
      <c r="AK149" s="86"/>
      <c r="AL149" s="86"/>
      <c r="AM149" s="86"/>
      <c r="AN149" s="86"/>
      <c r="AO149" s="86"/>
      <c r="AP149" s="86"/>
      <c r="AQ149" s="86"/>
      <c r="AR149" s="86"/>
      <c r="AS149" s="86"/>
      <c r="AT149" s="86"/>
      <c r="AU149" s="86"/>
      <c r="AV149" s="86"/>
      <c r="AW149" s="86"/>
      <c r="AX149" s="86"/>
      <c r="AY149" s="86"/>
      <c r="AZ149" s="86"/>
      <c r="BA149" s="86"/>
      <c r="BB149" s="86"/>
      <c r="BC149" s="86"/>
      <c r="BD149" s="86"/>
      <c r="BE149" s="86"/>
      <c r="BF149" s="86"/>
      <c r="BG149" s="86"/>
      <c r="BH149" s="86"/>
      <c r="BI149" s="86"/>
    </row>
    <row r="150" spans="1:61" s="87" customFormat="1">
      <c r="A150" s="156" t="s">
        <v>187</v>
      </c>
      <c r="B150" s="158" t="s">
        <v>188</v>
      </c>
      <c r="C150" s="156" t="s">
        <v>7</v>
      </c>
      <c r="D150" s="155">
        <v>3</v>
      </c>
      <c r="E150" s="156">
        <v>25.29</v>
      </c>
      <c r="F150" s="156">
        <f t="shared" si="88"/>
        <v>75.87</v>
      </c>
      <c r="G150" s="156">
        <v>0</v>
      </c>
      <c r="H150" s="156"/>
      <c r="I150" s="156">
        <f t="shared" si="89"/>
        <v>0</v>
      </c>
      <c r="J150" s="156">
        <f t="shared" si="90"/>
        <v>0</v>
      </c>
      <c r="K150" s="156">
        <f t="shared" si="91"/>
        <v>0</v>
      </c>
      <c r="L150" s="156">
        <f t="shared" si="92"/>
        <v>0</v>
      </c>
      <c r="M150" s="188">
        <f t="shared" si="62"/>
        <v>0</v>
      </c>
      <c r="N150" s="81"/>
      <c r="O150" s="7"/>
      <c r="P150" s="79"/>
      <c r="Q150" s="79"/>
      <c r="R150" s="79"/>
      <c r="S150" s="16"/>
      <c r="T150" s="82"/>
      <c r="U150" s="14"/>
      <c r="V150" s="14"/>
      <c r="W150" s="84"/>
      <c r="X150" s="83"/>
      <c r="Y150" s="85"/>
      <c r="Z150" s="85"/>
      <c r="AA150" s="85"/>
      <c r="AB150" s="85"/>
      <c r="AC150" s="85"/>
      <c r="AD150" s="85"/>
      <c r="AE150" s="85"/>
      <c r="AF150" s="85"/>
      <c r="AG150" s="85"/>
      <c r="AH150" s="86"/>
      <c r="AI150" s="86"/>
      <c r="AJ150" s="86"/>
      <c r="AK150" s="86"/>
      <c r="AL150" s="86"/>
      <c r="AM150" s="86"/>
      <c r="AN150" s="86"/>
      <c r="AO150" s="86"/>
      <c r="AP150" s="86"/>
      <c r="AQ150" s="86"/>
      <c r="AR150" s="86"/>
      <c r="AS150" s="86"/>
      <c r="AT150" s="86"/>
      <c r="AU150" s="86"/>
      <c r="AV150" s="86"/>
      <c r="AW150" s="86"/>
      <c r="AX150" s="86"/>
      <c r="AY150" s="86"/>
      <c r="AZ150" s="86"/>
      <c r="BA150" s="86"/>
      <c r="BB150" s="86"/>
      <c r="BC150" s="86"/>
      <c r="BD150" s="86"/>
      <c r="BE150" s="86"/>
      <c r="BF150" s="86"/>
      <c r="BG150" s="86"/>
      <c r="BH150" s="86"/>
      <c r="BI150" s="86"/>
    </row>
    <row r="151" spans="1:61" s="87" customFormat="1">
      <c r="A151" s="156" t="s">
        <v>189</v>
      </c>
      <c r="B151" s="158" t="s">
        <v>190</v>
      </c>
      <c r="C151" s="156" t="s">
        <v>7</v>
      </c>
      <c r="D151" s="155">
        <v>1</v>
      </c>
      <c r="E151" s="156">
        <v>16.079999999999998</v>
      </c>
      <c r="F151" s="156">
        <f t="shared" si="88"/>
        <v>16.079999999999998</v>
      </c>
      <c r="G151" s="156">
        <v>0</v>
      </c>
      <c r="H151" s="156"/>
      <c r="I151" s="156">
        <f t="shared" si="89"/>
        <v>0</v>
      </c>
      <c r="J151" s="156">
        <f t="shared" si="90"/>
        <v>0</v>
      </c>
      <c r="K151" s="156">
        <f t="shared" si="91"/>
        <v>0</v>
      </c>
      <c r="L151" s="156">
        <f t="shared" si="92"/>
        <v>0</v>
      </c>
      <c r="M151" s="188">
        <f t="shared" si="62"/>
        <v>0</v>
      </c>
      <c r="N151" s="81"/>
      <c r="O151" s="7"/>
      <c r="P151" s="79"/>
      <c r="Q151" s="79"/>
      <c r="R151" s="79"/>
      <c r="S151" s="16"/>
      <c r="T151" s="82"/>
      <c r="U151" s="14"/>
      <c r="V151" s="14"/>
      <c r="W151" s="84"/>
      <c r="X151" s="83"/>
      <c r="Y151" s="85"/>
      <c r="Z151" s="85"/>
      <c r="AA151" s="85"/>
      <c r="AB151" s="85"/>
      <c r="AC151" s="85"/>
      <c r="AD151" s="85"/>
      <c r="AE151" s="85"/>
      <c r="AF151" s="85"/>
      <c r="AG151" s="85"/>
      <c r="AH151" s="86"/>
      <c r="AI151" s="86"/>
      <c r="AJ151" s="86"/>
      <c r="AK151" s="86"/>
      <c r="AL151" s="86"/>
      <c r="AM151" s="86"/>
      <c r="AN151" s="86"/>
      <c r="AO151" s="86"/>
      <c r="AP151" s="86"/>
      <c r="AQ151" s="86"/>
      <c r="AR151" s="86"/>
      <c r="AS151" s="86"/>
      <c r="AT151" s="86"/>
      <c r="AU151" s="86"/>
      <c r="AV151" s="86"/>
      <c r="AW151" s="86"/>
      <c r="AX151" s="86"/>
      <c r="AY151" s="86"/>
      <c r="AZ151" s="86"/>
      <c r="BA151" s="86"/>
      <c r="BB151" s="86"/>
      <c r="BC151" s="86"/>
      <c r="BD151" s="86"/>
      <c r="BE151" s="86"/>
      <c r="BF151" s="86"/>
      <c r="BG151" s="86"/>
      <c r="BH151" s="86"/>
      <c r="BI151" s="86"/>
    </row>
    <row r="152" spans="1:61" s="87" customFormat="1" ht="28.5">
      <c r="A152" s="156" t="s">
        <v>191</v>
      </c>
      <c r="B152" s="157" t="s">
        <v>192</v>
      </c>
      <c r="C152" s="156" t="s">
        <v>7</v>
      </c>
      <c r="D152" s="155">
        <v>5</v>
      </c>
      <c r="E152" s="156">
        <v>62.9</v>
      </c>
      <c r="F152" s="156">
        <f t="shared" si="88"/>
        <v>314.5</v>
      </c>
      <c r="G152" s="156">
        <v>0</v>
      </c>
      <c r="H152" s="156"/>
      <c r="I152" s="156">
        <f t="shared" si="89"/>
        <v>0</v>
      </c>
      <c r="J152" s="156">
        <f t="shared" si="90"/>
        <v>0</v>
      </c>
      <c r="K152" s="156">
        <f t="shared" si="91"/>
        <v>0</v>
      </c>
      <c r="L152" s="156">
        <f t="shared" si="92"/>
        <v>0</v>
      </c>
      <c r="M152" s="188">
        <f t="shared" si="62"/>
        <v>0</v>
      </c>
      <c r="N152" s="81"/>
      <c r="O152" s="7"/>
      <c r="P152" s="79"/>
      <c r="Q152" s="79"/>
      <c r="R152" s="79"/>
      <c r="S152" s="16"/>
      <c r="T152" s="82"/>
      <c r="U152" s="14"/>
      <c r="V152" s="14"/>
      <c r="W152" s="84"/>
      <c r="X152" s="83"/>
      <c r="Y152" s="85"/>
      <c r="Z152" s="85"/>
      <c r="AA152" s="85"/>
      <c r="AB152" s="85"/>
      <c r="AC152" s="85"/>
      <c r="AD152" s="85"/>
      <c r="AE152" s="85"/>
      <c r="AF152" s="85"/>
      <c r="AG152" s="85"/>
      <c r="AH152" s="86"/>
      <c r="AI152" s="86"/>
      <c r="AJ152" s="86"/>
      <c r="AK152" s="86"/>
      <c r="AL152" s="86"/>
      <c r="AM152" s="86"/>
      <c r="AN152" s="86"/>
      <c r="AO152" s="86"/>
      <c r="AP152" s="86"/>
      <c r="AQ152" s="86"/>
      <c r="AR152" s="86"/>
      <c r="AS152" s="86"/>
      <c r="AT152" s="86"/>
      <c r="AU152" s="86"/>
      <c r="AV152" s="86"/>
      <c r="AW152" s="86"/>
      <c r="AX152" s="86"/>
      <c r="AY152" s="86"/>
      <c r="AZ152" s="86"/>
      <c r="BA152" s="86"/>
      <c r="BB152" s="86"/>
      <c r="BC152" s="86"/>
      <c r="BD152" s="86"/>
      <c r="BE152" s="86"/>
      <c r="BF152" s="86"/>
      <c r="BG152" s="86"/>
      <c r="BH152" s="86"/>
      <c r="BI152" s="86"/>
    </row>
    <row r="153" spans="1:61" s="87" customFormat="1">
      <c r="A153" s="156" t="s">
        <v>193</v>
      </c>
      <c r="B153" s="158" t="s">
        <v>194</v>
      </c>
      <c r="C153" s="156" t="s">
        <v>7</v>
      </c>
      <c r="D153" s="155">
        <v>5</v>
      </c>
      <c r="E153" s="156">
        <v>40.880000000000003</v>
      </c>
      <c r="F153" s="156">
        <f t="shared" si="88"/>
        <v>204.4</v>
      </c>
      <c r="G153" s="156">
        <v>0</v>
      </c>
      <c r="H153" s="156"/>
      <c r="I153" s="156">
        <f t="shared" si="89"/>
        <v>0</v>
      </c>
      <c r="J153" s="156">
        <f t="shared" si="90"/>
        <v>0</v>
      </c>
      <c r="K153" s="156">
        <f t="shared" si="91"/>
        <v>0</v>
      </c>
      <c r="L153" s="156">
        <f t="shared" si="92"/>
        <v>0</v>
      </c>
      <c r="M153" s="188">
        <f t="shared" si="62"/>
        <v>0</v>
      </c>
      <c r="N153" s="81"/>
      <c r="O153" s="7"/>
      <c r="P153" s="79"/>
      <c r="Q153" s="79"/>
      <c r="R153" s="79"/>
      <c r="S153" s="16"/>
      <c r="T153" s="82"/>
      <c r="U153" s="14"/>
      <c r="V153" s="14"/>
      <c r="W153" s="84"/>
      <c r="X153" s="83"/>
      <c r="Y153" s="85"/>
      <c r="Z153" s="85"/>
      <c r="AA153" s="85"/>
      <c r="AB153" s="85"/>
      <c r="AC153" s="85"/>
      <c r="AD153" s="85"/>
      <c r="AE153" s="85"/>
      <c r="AF153" s="85"/>
      <c r="AG153" s="85"/>
      <c r="AH153" s="86"/>
      <c r="AI153" s="86"/>
      <c r="AJ153" s="86"/>
      <c r="AK153" s="86"/>
      <c r="AL153" s="86"/>
      <c r="AM153" s="86"/>
      <c r="AN153" s="86"/>
      <c r="AO153" s="86"/>
      <c r="AP153" s="86"/>
      <c r="AQ153" s="86"/>
      <c r="AR153" s="86"/>
      <c r="AS153" s="86"/>
      <c r="AT153" s="86"/>
      <c r="AU153" s="86"/>
      <c r="AV153" s="86"/>
      <c r="AW153" s="86"/>
      <c r="AX153" s="86"/>
      <c r="AY153" s="86"/>
      <c r="AZ153" s="86"/>
      <c r="BA153" s="86"/>
      <c r="BB153" s="86"/>
      <c r="BC153" s="86"/>
      <c r="BD153" s="86"/>
      <c r="BE153" s="86"/>
      <c r="BF153" s="86"/>
      <c r="BG153" s="86"/>
      <c r="BH153" s="86"/>
      <c r="BI153" s="86"/>
    </row>
    <row r="154" spans="1:61" s="87" customFormat="1">
      <c r="A154" s="156" t="s">
        <v>195</v>
      </c>
      <c r="B154" s="158" t="s">
        <v>196</v>
      </c>
      <c r="C154" s="156" t="s">
        <v>7</v>
      </c>
      <c r="D154" s="155">
        <v>5</v>
      </c>
      <c r="E154" s="156">
        <v>52.81</v>
      </c>
      <c r="F154" s="156">
        <f t="shared" si="88"/>
        <v>264.05</v>
      </c>
      <c r="G154" s="156">
        <v>0</v>
      </c>
      <c r="H154" s="156"/>
      <c r="I154" s="156">
        <f t="shared" si="89"/>
        <v>0</v>
      </c>
      <c r="J154" s="156">
        <f t="shared" si="90"/>
        <v>0</v>
      </c>
      <c r="K154" s="156">
        <f t="shared" si="91"/>
        <v>0</v>
      </c>
      <c r="L154" s="156">
        <f t="shared" si="92"/>
        <v>0</v>
      </c>
      <c r="M154" s="188">
        <f t="shared" si="62"/>
        <v>0</v>
      </c>
      <c r="N154" s="81"/>
      <c r="O154" s="7"/>
      <c r="P154" s="79"/>
      <c r="Q154" s="79"/>
      <c r="R154" s="79"/>
      <c r="S154" s="16"/>
      <c r="T154" s="82"/>
      <c r="U154" s="14"/>
      <c r="V154" s="14"/>
      <c r="W154" s="84"/>
      <c r="X154" s="83"/>
      <c r="Y154" s="85"/>
      <c r="Z154" s="85"/>
      <c r="AA154" s="85"/>
      <c r="AB154" s="85"/>
      <c r="AC154" s="85"/>
      <c r="AD154" s="85"/>
      <c r="AE154" s="85"/>
      <c r="AF154" s="85"/>
      <c r="AG154" s="85"/>
      <c r="AH154" s="86"/>
      <c r="AI154" s="86"/>
      <c r="AJ154" s="86"/>
      <c r="AK154" s="86"/>
      <c r="AL154" s="86"/>
      <c r="AM154" s="86"/>
      <c r="AN154" s="86"/>
      <c r="AO154" s="86"/>
      <c r="AP154" s="86"/>
      <c r="AQ154" s="86"/>
      <c r="AR154" s="86"/>
      <c r="AS154" s="86"/>
      <c r="AT154" s="86"/>
      <c r="AU154" s="86"/>
      <c r="AV154" s="86"/>
      <c r="AW154" s="86"/>
      <c r="AX154" s="86"/>
      <c r="AY154" s="86"/>
      <c r="AZ154" s="86"/>
      <c r="BA154" s="86"/>
      <c r="BB154" s="86"/>
      <c r="BC154" s="86"/>
      <c r="BD154" s="86"/>
      <c r="BE154" s="86"/>
      <c r="BF154" s="86"/>
      <c r="BG154" s="86"/>
      <c r="BH154" s="86"/>
      <c r="BI154" s="86"/>
    </row>
    <row r="155" spans="1:61" s="87" customFormat="1" ht="42.75">
      <c r="A155" s="156" t="s">
        <v>197</v>
      </c>
      <c r="B155" s="157" t="s">
        <v>198</v>
      </c>
      <c r="C155" s="156" t="s">
        <v>7</v>
      </c>
      <c r="D155" s="155">
        <v>7</v>
      </c>
      <c r="E155" s="156">
        <v>7</v>
      </c>
      <c r="F155" s="156">
        <f t="shared" si="88"/>
        <v>49</v>
      </c>
      <c r="G155" s="156">
        <v>0</v>
      </c>
      <c r="H155" s="156"/>
      <c r="I155" s="156">
        <f t="shared" si="89"/>
        <v>0</v>
      </c>
      <c r="J155" s="156">
        <f t="shared" si="90"/>
        <v>0</v>
      </c>
      <c r="K155" s="156">
        <f t="shared" si="91"/>
        <v>0</v>
      </c>
      <c r="L155" s="156">
        <f t="shared" si="92"/>
        <v>0</v>
      </c>
      <c r="M155" s="188">
        <f t="shared" si="62"/>
        <v>0</v>
      </c>
      <c r="N155" s="81"/>
      <c r="O155" s="7"/>
      <c r="P155" s="79"/>
      <c r="Q155" s="79"/>
      <c r="R155" s="79"/>
      <c r="S155" s="16"/>
      <c r="T155" s="82"/>
      <c r="U155" s="14"/>
      <c r="V155" s="14"/>
      <c r="W155" s="84"/>
      <c r="X155" s="83"/>
      <c r="Y155" s="85"/>
      <c r="Z155" s="85"/>
      <c r="AA155" s="85"/>
      <c r="AB155" s="85"/>
      <c r="AC155" s="85"/>
      <c r="AD155" s="85"/>
      <c r="AE155" s="85"/>
      <c r="AF155" s="85"/>
      <c r="AG155" s="85"/>
      <c r="AH155" s="86"/>
      <c r="AI155" s="86"/>
      <c r="AJ155" s="86"/>
      <c r="AK155" s="86"/>
      <c r="AL155" s="86"/>
      <c r="AM155" s="86"/>
      <c r="AN155" s="86"/>
      <c r="AO155" s="86"/>
      <c r="AP155" s="86"/>
      <c r="AQ155" s="86"/>
      <c r="AR155" s="86"/>
      <c r="AS155" s="86"/>
      <c r="AT155" s="86"/>
      <c r="AU155" s="86"/>
      <c r="AV155" s="86"/>
      <c r="AW155" s="86"/>
      <c r="AX155" s="86"/>
      <c r="AY155" s="86"/>
      <c r="AZ155" s="86"/>
      <c r="BA155" s="86"/>
      <c r="BB155" s="86"/>
      <c r="BC155" s="86"/>
      <c r="BD155" s="86"/>
      <c r="BE155" s="86"/>
      <c r="BF155" s="86"/>
      <c r="BG155" s="86"/>
      <c r="BH155" s="86"/>
      <c r="BI155" s="86"/>
    </row>
    <row r="156" spans="1:61" s="87" customFormat="1" ht="28.5">
      <c r="A156" s="156" t="s">
        <v>199</v>
      </c>
      <c r="B156" s="157" t="s">
        <v>200</v>
      </c>
      <c r="C156" s="156" t="s">
        <v>7</v>
      </c>
      <c r="D156" s="155">
        <v>2</v>
      </c>
      <c r="E156" s="156">
        <v>144.46</v>
      </c>
      <c r="F156" s="156">
        <f t="shared" si="88"/>
        <v>288.92</v>
      </c>
      <c r="G156" s="156">
        <v>0</v>
      </c>
      <c r="H156" s="156"/>
      <c r="I156" s="156">
        <f t="shared" si="89"/>
        <v>0</v>
      </c>
      <c r="J156" s="156">
        <f t="shared" si="90"/>
        <v>0</v>
      </c>
      <c r="K156" s="156">
        <f t="shared" si="91"/>
        <v>0</v>
      </c>
      <c r="L156" s="156">
        <f t="shared" si="92"/>
        <v>0</v>
      </c>
      <c r="M156" s="188">
        <f t="shared" si="62"/>
        <v>0</v>
      </c>
      <c r="N156" s="81"/>
      <c r="O156" s="7"/>
      <c r="P156" s="79"/>
      <c r="Q156" s="79"/>
      <c r="R156" s="79"/>
      <c r="S156" s="16"/>
      <c r="T156" s="82"/>
      <c r="U156" s="14"/>
      <c r="V156" s="14"/>
      <c r="W156" s="84"/>
      <c r="X156" s="83"/>
      <c r="Y156" s="85"/>
      <c r="Z156" s="85"/>
      <c r="AA156" s="85"/>
      <c r="AB156" s="85"/>
      <c r="AC156" s="85"/>
      <c r="AD156" s="85"/>
      <c r="AE156" s="85"/>
      <c r="AF156" s="85"/>
      <c r="AG156" s="85"/>
      <c r="AH156" s="86"/>
      <c r="AI156" s="86"/>
      <c r="AJ156" s="86"/>
      <c r="AK156" s="86"/>
      <c r="AL156" s="86"/>
      <c r="AM156" s="86"/>
      <c r="AN156" s="86"/>
      <c r="AO156" s="86"/>
      <c r="AP156" s="86"/>
      <c r="AQ156" s="86"/>
      <c r="AR156" s="86"/>
      <c r="AS156" s="86"/>
      <c r="AT156" s="86"/>
      <c r="AU156" s="86"/>
      <c r="AV156" s="86"/>
      <c r="AW156" s="86"/>
      <c r="AX156" s="86"/>
      <c r="AY156" s="86"/>
      <c r="AZ156" s="86"/>
      <c r="BA156" s="86"/>
      <c r="BB156" s="86"/>
      <c r="BC156" s="86"/>
      <c r="BD156" s="86"/>
      <c r="BE156" s="86"/>
      <c r="BF156" s="86"/>
      <c r="BG156" s="86"/>
      <c r="BH156" s="86"/>
      <c r="BI156" s="86"/>
    </row>
    <row r="157" spans="1:61" s="87" customFormat="1" ht="28.5">
      <c r="A157" s="156" t="s">
        <v>201</v>
      </c>
      <c r="B157" s="157" t="s">
        <v>202</v>
      </c>
      <c r="C157" s="156" t="s">
        <v>7</v>
      </c>
      <c r="D157" s="155">
        <v>1</v>
      </c>
      <c r="E157" s="156">
        <v>159.54</v>
      </c>
      <c r="F157" s="156">
        <f t="shared" si="88"/>
        <v>159.54</v>
      </c>
      <c r="G157" s="156">
        <v>0</v>
      </c>
      <c r="H157" s="156"/>
      <c r="I157" s="156">
        <f t="shared" si="89"/>
        <v>0</v>
      </c>
      <c r="J157" s="156">
        <f t="shared" si="90"/>
        <v>0</v>
      </c>
      <c r="K157" s="156">
        <f t="shared" si="91"/>
        <v>0</v>
      </c>
      <c r="L157" s="156">
        <f t="shared" si="92"/>
        <v>0</v>
      </c>
      <c r="M157" s="188">
        <f t="shared" si="62"/>
        <v>0</v>
      </c>
      <c r="N157" s="81"/>
      <c r="O157" s="7"/>
      <c r="P157" s="79"/>
      <c r="Q157" s="79"/>
      <c r="R157" s="79"/>
      <c r="S157" s="16"/>
      <c r="T157" s="82"/>
      <c r="U157" s="14"/>
      <c r="V157" s="14"/>
      <c r="W157" s="84"/>
      <c r="X157" s="83"/>
      <c r="Y157" s="85"/>
      <c r="Z157" s="85"/>
      <c r="AA157" s="85"/>
      <c r="AB157" s="85"/>
      <c r="AC157" s="85"/>
      <c r="AD157" s="85"/>
      <c r="AE157" s="85"/>
      <c r="AF157" s="85"/>
      <c r="AG157" s="85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6"/>
      <c r="AU157" s="86"/>
      <c r="AV157" s="86"/>
      <c r="AW157" s="86"/>
      <c r="AX157" s="86"/>
      <c r="AY157" s="86"/>
      <c r="AZ157" s="86"/>
      <c r="BA157" s="86"/>
      <c r="BB157" s="86"/>
      <c r="BC157" s="86"/>
      <c r="BD157" s="86"/>
      <c r="BE157" s="86"/>
      <c r="BF157" s="86"/>
      <c r="BG157" s="86"/>
      <c r="BH157" s="86"/>
      <c r="BI157" s="86"/>
    </row>
    <row r="158" spans="1:61" s="87" customFormat="1">
      <c r="A158" s="156" t="s">
        <v>203</v>
      </c>
      <c r="B158" s="158" t="s">
        <v>204</v>
      </c>
      <c r="C158" s="156" t="s">
        <v>16</v>
      </c>
      <c r="D158" s="155">
        <v>3.2</v>
      </c>
      <c r="E158" s="156">
        <v>350.43</v>
      </c>
      <c r="F158" s="156">
        <f t="shared" si="88"/>
        <v>1121.376</v>
      </c>
      <c r="G158" s="156">
        <v>0</v>
      </c>
      <c r="H158" s="156"/>
      <c r="I158" s="156">
        <f t="shared" si="89"/>
        <v>0</v>
      </c>
      <c r="J158" s="156">
        <f t="shared" si="90"/>
        <v>0</v>
      </c>
      <c r="K158" s="156">
        <f t="shared" si="91"/>
        <v>0</v>
      </c>
      <c r="L158" s="156">
        <f t="shared" si="92"/>
        <v>0</v>
      </c>
      <c r="M158" s="188">
        <f t="shared" si="62"/>
        <v>0</v>
      </c>
      <c r="N158" s="81"/>
      <c r="O158" s="7"/>
      <c r="P158" s="79"/>
      <c r="Q158" s="79"/>
      <c r="R158" s="79"/>
      <c r="S158" s="16"/>
      <c r="T158" s="82"/>
      <c r="U158" s="14"/>
      <c r="V158" s="14"/>
      <c r="W158" s="84"/>
      <c r="X158" s="83"/>
      <c r="Y158" s="85"/>
      <c r="Z158" s="85"/>
      <c r="AA158" s="85"/>
      <c r="AB158" s="85"/>
      <c r="AC158" s="85"/>
      <c r="AD158" s="85"/>
      <c r="AE158" s="85"/>
      <c r="AF158" s="85"/>
      <c r="AG158" s="85"/>
      <c r="AH158" s="86"/>
      <c r="AI158" s="86"/>
      <c r="AJ158" s="86"/>
      <c r="AK158" s="86"/>
      <c r="AL158" s="86"/>
      <c r="AM158" s="86"/>
      <c r="AN158" s="86"/>
      <c r="AO158" s="86"/>
      <c r="AP158" s="86"/>
      <c r="AQ158" s="86"/>
      <c r="AR158" s="86"/>
      <c r="AS158" s="86"/>
      <c r="AT158" s="86"/>
      <c r="AU158" s="86"/>
      <c r="AV158" s="86"/>
      <c r="AW158" s="86"/>
      <c r="AX158" s="86"/>
      <c r="AY158" s="86"/>
      <c r="AZ158" s="86"/>
      <c r="BA158" s="86"/>
      <c r="BB158" s="86"/>
      <c r="BC158" s="86"/>
      <c r="BD158" s="86"/>
      <c r="BE158" s="86"/>
      <c r="BF158" s="86"/>
      <c r="BG158" s="86"/>
      <c r="BH158" s="86"/>
      <c r="BI158" s="86"/>
    </row>
    <row r="159" spans="1:61" s="87" customFormat="1" ht="28.5">
      <c r="A159" s="156" t="s">
        <v>205</v>
      </c>
      <c r="B159" s="157" t="s">
        <v>206</v>
      </c>
      <c r="C159" s="156" t="s">
        <v>7</v>
      </c>
      <c r="D159" s="155">
        <v>2</v>
      </c>
      <c r="E159" s="156">
        <v>707.44</v>
      </c>
      <c r="F159" s="156">
        <f t="shared" si="88"/>
        <v>1414.88</v>
      </c>
      <c r="G159" s="156">
        <v>0</v>
      </c>
      <c r="H159" s="156"/>
      <c r="I159" s="156">
        <f t="shared" si="89"/>
        <v>0</v>
      </c>
      <c r="J159" s="156">
        <f t="shared" si="90"/>
        <v>0</v>
      </c>
      <c r="K159" s="156">
        <f t="shared" si="91"/>
        <v>0</v>
      </c>
      <c r="L159" s="156">
        <f t="shared" si="92"/>
        <v>0</v>
      </c>
      <c r="M159" s="188">
        <f t="shared" si="62"/>
        <v>0</v>
      </c>
      <c r="N159" s="81"/>
      <c r="O159" s="7"/>
      <c r="P159" s="79"/>
      <c r="Q159" s="79"/>
      <c r="R159" s="79"/>
      <c r="S159" s="16"/>
      <c r="T159" s="82"/>
      <c r="U159" s="14"/>
      <c r="V159" s="14"/>
      <c r="W159" s="84"/>
      <c r="X159" s="83"/>
      <c r="Y159" s="85"/>
      <c r="Z159" s="85"/>
      <c r="AA159" s="85"/>
      <c r="AB159" s="85"/>
      <c r="AC159" s="85"/>
      <c r="AD159" s="85"/>
      <c r="AE159" s="85"/>
      <c r="AF159" s="85"/>
      <c r="AG159" s="85"/>
      <c r="AH159" s="86"/>
      <c r="AI159" s="86"/>
      <c r="AJ159" s="86"/>
      <c r="AK159" s="86"/>
      <c r="AL159" s="86"/>
      <c r="AM159" s="86"/>
      <c r="AN159" s="86"/>
      <c r="AO159" s="86"/>
      <c r="AP159" s="86"/>
      <c r="AQ159" s="86"/>
      <c r="AR159" s="86"/>
      <c r="AS159" s="86"/>
      <c r="AT159" s="86"/>
      <c r="AU159" s="86"/>
      <c r="AV159" s="86"/>
      <c r="AW159" s="86"/>
      <c r="AX159" s="86"/>
      <c r="AY159" s="86"/>
      <c r="AZ159" s="86"/>
      <c r="BA159" s="86"/>
      <c r="BB159" s="86"/>
      <c r="BC159" s="86"/>
      <c r="BD159" s="86"/>
      <c r="BE159" s="86"/>
      <c r="BF159" s="86"/>
      <c r="BG159" s="86"/>
      <c r="BH159" s="86"/>
      <c r="BI159" s="86"/>
    </row>
    <row r="160" spans="1:61" s="87" customFormat="1">
      <c r="A160" s="156" t="s">
        <v>207</v>
      </c>
      <c r="B160" s="158" t="s">
        <v>23</v>
      </c>
      <c r="C160" s="156" t="s">
        <v>16</v>
      </c>
      <c r="D160" s="155">
        <v>8.31</v>
      </c>
      <c r="E160" s="156">
        <v>250.9</v>
      </c>
      <c r="F160" s="156">
        <f t="shared" si="88"/>
        <v>2084.9790000000003</v>
      </c>
      <c r="G160" s="156">
        <v>0</v>
      </c>
      <c r="H160" s="156"/>
      <c r="I160" s="156">
        <f t="shared" si="89"/>
        <v>0</v>
      </c>
      <c r="J160" s="156">
        <f t="shared" si="90"/>
        <v>0</v>
      </c>
      <c r="K160" s="156">
        <f t="shared" si="91"/>
        <v>0</v>
      </c>
      <c r="L160" s="156">
        <f t="shared" si="92"/>
        <v>0</v>
      </c>
      <c r="M160" s="188">
        <f t="shared" ref="M160:M223" si="93">L160/F160</f>
        <v>0</v>
      </c>
      <c r="N160" s="81"/>
      <c r="O160" s="7"/>
      <c r="P160" s="79"/>
      <c r="Q160" s="79"/>
      <c r="R160" s="79"/>
      <c r="S160" s="16"/>
      <c r="T160" s="82"/>
      <c r="U160" s="14"/>
      <c r="V160" s="14"/>
      <c r="W160" s="84"/>
      <c r="X160" s="83"/>
      <c r="Y160" s="85"/>
      <c r="Z160" s="85"/>
      <c r="AA160" s="85"/>
      <c r="AB160" s="85"/>
      <c r="AC160" s="85"/>
      <c r="AD160" s="85"/>
      <c r="AE160" s="85"/>
      <c r="AF160" s="85"/>
      <c r="AG160" s="85"/>
      <c r="AH160" s="86"/>
      <c r="AI160" s="86"/>
      <c r="AJ160" s="86"/>
      <c r="AK160" s="86"/>
      <c r="AL160" s="86"/>
      <c r="AM160" s="86"/>
      <c r="AN160" s="86"/>
      <c r="AO160" s="86"/>
      <c r="AP160" s="86"/>
      <c r="AQ160" s="86"/>
      <c r="AR160" s="86"/>
      <c r="AS160" s="86"/>
      <c r="AT160" s="86"/>
      <c r="AU160" s="86"/>
      <c r="AV160" s="86"/>
      <c r="AW160" s="86"/>
      <c r="AX160" s="86"/>
      <c r="AY160" s="86"/>
      <c r="AZ160" s="86"/>
      <c r="BA160" s="86"/>
      <c r="BB160" s="86"/>
      <c r="BC160" s="86"/>
      <c r="BD160" s="86"/>
      <c r="BE160" s="86"/>
      <c r="BF160" s="86"/>
      <c r="BG160" s="86"/>
      <c r="BH160" s="86"/>
      <c r="BI160" s="86"/>
    </row>
    <row r="161" spans="1:66" s="87" customFormat="1" ht="45.75" customHeight="1">
      <c r="A161" s="156" t="s">
        <v>208</v>
      </c>
      <c r="B161" s="157" t="s">
        <v>209</v>
      </c>
      <c r="C161" s="156" t="s">
        <v>7</v>
      </c>
      <c r="D161" s="155">
        <v>14</v>
      </c>
      <c r="E161" s="156">
        <v>85.09</v>
      </c>
      <c r="F161" s="156">
        <f t="shared" si="88"/>
        <v>1191.26</v>
      </c>
      <c r="G161" s="156">
        <v>14</v>
      </c>
      <c r="H161" s="156"/>
      <c r="I161" s="156">
        <f t="shared" si="89"/>
        <v>14</v>
      </c>
      <c r="J161" s="156">
        <f t="shared" si="90"/>
        <v>1191.26</v>
      </c>
      <c r="K161" s="156">
        <f t="shared" si="91"/>
        <v>0</v>
      </c>
      <c r="L161" s="156">
        <f t="shared" si="92"/>
        <v>1191.26</v>
      </c>
      <c r="M161" s="188">
        <f t="shared" si="93"/>
        <v>1</v>
      </c>
      <c r="N161" s="81"/>
      <c r="O161" s="7"/>
      <c r="P161" s="79"/>
      <c r="Q161" s="79"/>
      <c r="R161" s="79"/>
      <c r="S161" s="16"/>
      <c r="T161" s="82"/>
      <c r="U161" s="14"/>
      <c r="V161" s="14"/>
      <c r="W161" s="84"/>
      <c r="X161" s="83"/>
      <c r="Y161" s="85"/>
      <c r="Z161" s="85"/>
      <c r="AA161" s="85"/>
      <c r="AB161" s="85"/>
      <c r="AC161" s="85"/>
      <c r="AD161" s="85"/>
      <c r="AE161" s="85"/>
      <c r="AF161" s="85"/>
      <c r="AG161" s="85"/>
      <c r="AH161" s="86"/>
      <c r="AI161" s="86"/>
      <c r="AJ161" s="86"/>
      <c r="AK161" s="86"/>
      <c r="AL161" s="86"/>
      <c r="AM161" s="86"/>
      <c r="AN161" s="86"/>
      <c r="AO161" s="86"/>
      <c r="AP161" s="86"/>
      <c r="AQ161" s="86"/>
      <c r="AR161" s="86"/>
      <c r="AS161" s="86"/>
      <c r="AT161" s="86"/>
      <c r="AU161" s="86"/>
      <c r="AV161" s="86"/>
      <c r="AW161" s="86"/>
      <c r="AX161" s="86"/>
      <c r="AY161" s="86"/>
      <c r="AZ161" s="86"/>
      <c r="BA161" s="86"/>
      <c r="BB161" s="86"/>
      <c r="BC161" s="86"/>
      <c r="BD161" s="86"/>
      <c r="BE161" s="86"/>
      <c r="BF161" s="86"/>
      <c r="BG161" s="86"/>
      <c r="BH161" s="86"/>
      <c r="BI161" s="86"/>
    </row>
    <row r="162" spans="1:66" s="87" customFormat="1" ht="42.75">
      <c r="A162" s="156" t="s">
        <v>210</v>
      </c>
      <c r="B162" s="157" t="s">
        <v>211</v>
      </c>
      <c r="C162" s="156" t="s">
        <v>7</v>
      </c>
      <c r="D162" s="155">
        <v>3</v>
      </c>
      <c r="E162" s="156">
        <v>205.43</v>
      </c>
      <c r="F162" s="156">
        <f t="shared" si="88"/>
        <v>616.29</v>
      </c>
      <c r="G162" s="156">
        <v>0</v>
      </c>
      <c r="H162" s="156"/>
      <c r="I162" s="156">
        <f t="shared" si="89"/>
        <v>0</v>
      </c>
      <c r="J162" s="156">
        <f t="shared" si="90"/>
        <v>0</v>
      </c>
      <c r="K162" s="156">
        <f t="shared" si="91"/>
        <v>0</v>
      </c>
      <c r="L162" s="156">
        <f t="shared" si="92"/>
        <v>0</v>
      </c>
      <c r="M162" s="188">
        <f t="shared" si="93"/>
        <v>0</v>
      </c>
      <c r="N162" s="81"/>
      <c r="O162" s="7"/>
      <c r="P162" s="79"/>
      <c r="Q162" s="79"/>
      <c r="R162" s="79"/>
      <c r="S162" s="16"/>
      <c r="T162" s="82"/>
      <c r="U162" s="14"/>
      <c r="V162" s="14"/>
      <c r="W162" s="84"/>
      <c r="X162" s="83"/>
      <c r="Y162" s="85"/>
      <c r="Z162" s="85"/>
      <c r="AA162" s="85"/>
      <c r="AB162" s="85"/>
      <c r="AC162" s="85"/>
      <c r="AD162" s="85"/>
      <c r="AE162" s="85"/>
      <c r="AF162" s="85"/>
      <c r="AG162" s="85"/>
      <c r="AH162" s="86"/>
      <c r="AI162" s="86"/>
      <c r="AJ162" s="86"/>
      <c r="AK162" s="86"/>
      <c r="AL162" s="86"/>
      <c r="AM162" s="86"/>
      <c r="AN162" s="86"/>
      <c r="AO162" s="86"/>
      <c r="AP162" s="86"/>
      <c r="AQ162" s="86"/>
      <c r="AR162" s="86"/>
      <c r="AS162" s="86"/>
      <c r="AT162" s="86"/>
      <c r="AU162" s="86"/>
      <c r="AV162" s="86"/>
      <c r="AW162" s="86"/>
      <c r="AX162" s="86"/>
      <c r="AY162" s="86"/>
      <c r="AZ162" s="86"/>
      <c r="BA162" s="86"/>
      <c r="BB162" s="86"/>
      <c r="BC162" s="86"/>
      <c r="BD162" s="86"/>
      <c r="BE162" s="86"/>
      <c r="BF162" s="86"/>
      <c r="BG162" s="86"/>
      <c r="BH162" s="86"/>
      <c r="BI162" s="86"/>
    </row>
    <row r="163" spans="1:66" s="87" customFormat="1" ht="99.75">
      <c r="A163" s="156" t="s">
        <v>212</v>
      </c>
      <c r="B163" s="157" t="s">
        <v>213</v>
      </c>
      <c r="C163" s="156" t="s">
        <v>7</v>
      </c>
      <c r="D163" s="155">
        <v>1</v>
      </c>
      <c r="E163" s="156">
        <v>2718.67</v>
      </c>
      <c r="F163" s="156">
        <f t="shared" si="88"/>
        <v>2718.67</v>
      </c>
      <c r="G163" s="156">
        <v>0</v>
      </c>
      <c r="H163" s="156"/>
      <c r="I163" s="156">
        <f t="shared" si="89"/>
        <v>0</v>
      </c>
      <c r="J163" s="156">
        <f t="shared" si="90"/>
        <v>0</v>
      </c>
      <c r="K163" s="156">
        <f t="shared" si="91"/>
        <v>0</v>
      </c>
      <c r="L163" s="156">
        <f t="shared" si="92"/>
        <v>0</v>
      </c>
      <c r="M163" s="188">
        <f t="shared" si="93"/>
        <v>0</v>
      </c>
      <c r="N163" s="81"/>
      <c r="O163" s="7"/>
      <c r="P163" s="79"/>
      <c r="Q163" s="79"/>
      <c r="R163" s="79"/>
      <c r="S163" s="16"/>
      <c r="T163" s="82"/>
      <c r="U163" s="14"/>
      <c r="V163" s="14"/>
      <c r="W163" s="84"/>
      <c r="X163" s="83"/>
      <c r="Y163" s="85"/>
      <c r="Z163" s="85"/>
      <c r="AA163" s="85"/>
      <c r="AB163" s="85"/>
      <c r="AC163" s="85"/>
      <c r="AD163" s="85"/>
      <c r="AE163" s="85"/>
      <c r="AF163" s="85"/>
      <c r="AG163" s="85"/>
      <c r="AH163" s="86"/>
      <c r="AI163" s="86"/>
      <c r="AJ163" s="86"/>
      <c r="AK163" s="86"/>
      <c r="AL163" s="86"/>
      <c r="AM163" s="86"/>
      <c r="AN163" s="86"/>
      <c r="AO163" s="86"/>
      <c r="AP163" s="86"/>
      <c r="AQ163" s="86"/>
      <c r="AR163" s="86"/>
      <c r="AS163" s="86"/>
      <c r="AT163" s="86"/>
      <c r="AU163" s="86"/>
      <c r="AV163" s="86"/>
      <c r="AW163" s="86"/>
      <c r="AX163" s="86"/>
      <c r="AY163" s="86"/>
      <c r="AZ163" s="86"/>
      <c r="BA163" s="86"/>
      <c r="BB163" s="86"/>
      <c r="BC163" s="86"/>
      <c r="BD163" s="86"/>
      <c r="BE163" s="86"/>
      <c r="BF163" s="86"/>
      <c r="BG163" s="86"/>
      <c r="BH163" s="86"/>
      <c r="BI163" s="86"/>
    </row>
    <row r="164" spans="1:66" s="87" customFormat="1">
      <c r="A164" s="156" t="s">
        <v>214</v>
      </c>
      <c r="B164" s="157" t="s">
        <v>215</v>
      </c>
      <c r="C164" s="156" t="s">
        <v>7</v>
      </c>
      <c r="D164" s="155">
        <v>1</v>
      </c>
      <c r="E164" s="156">
        <v>3978.99</v>
      </c>
      <c r="F164" s="156">
        <f t="shared" si="88"/>
        <v>3978.99</v>
      </c>
      <c r="G164" s="156">
        <v>0</v>
      </c>
      <c r="H164" s="156"/>
      <c r="I164" s="156">
        <f t="shared" si="89"/>
        <v>0</v>
      </c>
      <c r="J164" s="156">
        <f t="shared" si="90"/>
        <v>0</v>
      </c>
      <c r="K164" s="156">
        <f t="shared" si="91"/>
        <v>0</v>
      </c>
      <c r="L164" s="156">
        <f t="shared" si="92"/>
        <v>0</v>
      </c>
      <c r="M164" s="188">
        <f t="shared" si="93"/>
        <v>0</v>
      </c>
      <c r="N164" s="81"/>
      <c r="O164" s="7"/>
      <c r="P164" s="79"/>
      <c r="Q164" s="79"/>
      <c r="R164" s="79"/>
      <c r="S164" s="16"/>
      <c r="T164" s="82"/>
      <c r="U164" s="14"/>
      <c r="V164" s="14"/>
      <c r="W164" s="84"/>
      <c r="X164" s="83"/>
      <c r="Y164" s="85"/>
      <c r="Z164" s="85"/>
      <c r="AA164" s="85"/>
      <c r="AB164" s="85"/>
      <c r="AC164" s="85"/>
      <c r="AD164" s="85"/>
      <c r="AE164" s="85"/>
      <c r="AF164" s="85"/>
      <c r="AG164" s="85"/>
      <c r="AH164" s="86"/>
      <c r="AI164" s="86"/>
      <c r="AJ164" s="86"/>
      <c r="AK164" s="86"/>
      <c r="AL164" s="86"/>
      <c r="AM164" s="86"/>
      <c r="AN164" s="86"/>
      <c r="AO164" s="86"/>
      <c r="AP164" s="86"/>
      <c r="AQ164" s="86"/>
      <c r="AR164" s="86"/>
      <c r="AS164" s="86"/>
      <c r="AT164" s="86"/>
      <c r="AU164" s="86"/>
      <c r="AV164" s="86"/>
      <c r="AW164" s="86"/>
      <c r="AX164" s="86"/>
      <c r="AY164" s="86"/>
      <c r="AZ164" s="86"/>
      <c r="BA164" s="86"/>
      <c r="BB164" s="86"/>
      <c r="BC164" s="86"/>
      <c r="BD164" s="86"/>
      <c r="BE164" s="86"/>
      <c r="BF164" s="86"/>
      <c r="BG164" s="86"/>
      <c r="BH164" s="86"/>
      <c r="BI164" s="86"/>
    </row>
    <row r="165" spans="1:66" s="87" customFormat="1" ht="28.5">
      <c r="A165" s="156" t="s">
        <v>615</v>
      </c>
      <c r="B165" s="157" t="s">
        <v>616</v>
      </c>
      <c r="C165" s="156" t="s">
        <v>602</v>
      </c>
      <c r="D165" s="155">
        <v>1</v>
      </c>
      <c r="E165" s="156">
        <v>134.91999999999999</v>
      </c>
      <c r="F165" s="156">
        <f t="shared" ref="F165:F167" si="94">D165*E165</f>
        <v>134.91999999999999</v>
      </c>
      <c r="G165" s="156">
        <v>0</v>
      </c>
      <c r="H165" s="156"/>
      <c r="I165" s="156">
        <f t="shared" ref="I165:I167" si="95">G165+H165</f>
        <v>0</v>
      </c>
      <c r="J165" s="156">
        <f t="shared" ref="J165:J167" si="96">E165*G165</f>
        <v>0</v>
      </c>
      <c r="K165" s="156">
        <f t="shared" ref="K165:K167" si="97">H165*E165</f>
        <v>0</v>
      </c>
      <c r="L165" s="156">
        <f t="shared" ref="L165:L167" si="98">J165+K165</f>
        <v>0</v>
      </c>
      <c r="M165" s="188">
        <f t="shared" si="93"/>
        <v>0</v>
      </c>
      <c r="N165" s="81"/>
      <c r="O165" s="7"/>
      <c r="P165" s="79"/>
      <c r="Q165" s="79"/>
      <c r="R165" s="79"/>
      <c r="S165" s="16"/>
      <c r="T165" s="82"/>
      <c r="U165" s="14"/>
      <c r="V165" s="14"/>
      <c r="W165" s="84"/>
      <c r="X165" s="83"/>
      <c r="Y165" s="85"/>
      <c r="Z165" s="85"/>
      <c r="AA165" s="85"/>
      <c r="AB165" s="85"/>
      <c r="AC165" s="85"/>
      <c r="AD165" s="85"/>
      <c r="AE165" s="85"/>
      <c r="AF165" s="85"/>
      <c r="AG165" s="85"/>
      <c r="AH165" s="86"/>
      <c r="AI165" s="86"/>
      <c r="AJ165" s="86"/>
      <c r="AK165" s="86"/>
      <c r="AL165" s="86"/>
      <c r="AM165" s="86"/>
      <c r="AN165" s="86"/>
      <c r="AO165" s="86"/>
      <c r="AP165" s="86"/>
      <c r="AQ165" s="86"/>
      <c r="AR165" s="86"/>
      <c r="AS165" s="86"/>
      <c r="AT165" s="86"/>
      <c r="AU165" s="86"/>
      <c r="AV165" s="86"/>
      <c r="AW165" s="86"/>
      <c r="AX165" s="86"/>
      <c r="AY165" s="86"/>
      <c r="AZ165" s="86"/>
      <c r="BA165" s="86"/>
      <c r="BB165" s="86"/>
      <c r="BC165" s="86"/>
      <c r="BD165" s="86"/>
      <c r="BE165" s="86"/>
      <c r="BF165" s="86"/>
      <c r="BG165" s="86"/>
      <c r="BH165" s="86"/>
      <c r="BI165" s="86"/>
    </row>
    <row r="166" spans="1:66" s="87" customFormat="1" ht="28.5">
      <c r="A166" s="156" t="s">
        <v>617</v>
      </c>
      <c r="B166" s="157" t="s">
        <v>618</v>
      </c>
      <c r="C166" s="156" t="s">
        <v>43</v>
      </c>
      <c r="D166" s="155">
        <v>21</v>
      </c>
      <c r="E166" s="156">
        <v>8.49</v>
      </c>
      <c r="F166" s="156">
        <f t="shared" si="94"/>
        <v>178.29</v>
      </c>
      <c r="G166" s="156">
        <v>0</v>
      </c>
      <c r="H166" s="156">
        <f>'MEMORIA BM 04'!L454</f>
        <v>21</v>
      </c>
      <c r="I166" s="156">
        <f t="shared" si="95"/>
        <v>21</v>
      </c>
      <c r="J166" s="156">
        <f t="shared" si="96"/>
        <v>0</v>
      </c>
      <c r="K166" s="156">
        <f t="shared" si="97"/>
        <v>178.29</v>
      </c>
      <c r="L166" s="156">
        <f t="shared" si="98"/>
        <v>178.29</v>
      </c>
      <c r="M166" s="188">
        <f t="shared" si="93"/>
        <v>1</v>
      </c>
      <c r="N166" s="81"/>
      <c r="O166" s="7"/>
      <c r="P166" s="79"/>
      <c r="Q166" s="79"/>
      <c r="R166" s="79"/>
      <c r="S166" s="16"/>
      <c r="T166" s="82"/>
      <c r="U166" s="14"/>
      <c r="V166" s="14"/>
      <c r="W166" s="84"/>
      <c r="X166" s="83"/>
      <c r="Y166" s="85"/>
      <c r="Z166" s="85"/>
      <c r="AA166" s="85"/>
      <c r="AB166" s="85"/>
      <c r="AC166" s="85"/>
      <c r="AD166" s="85"/>
      <c r="AE166" s="85"/>
      <c r="AF166" s="85"/>
      <c r="AG166" s="85"/>
      <c r="AH166" s="86"/>
      <c r="AI166" s="86"/>
      <c r="AJ166" s="86"/>
      <c r="AK166" s="86"/>
      <c r="AL166" s="86"/>
      <c r="AM166" s="86"/>
      <c r="AN166" s="86"/>
      <c r="AO166" s="86"/>
      <c r="AP166" s="86"/>
      <c r="AQ166" s="86"/>
      <c r="AR166" s="86"/>
      <c r="AS166" s="86"/>
      <c r="AT166" s="86"/>
      <c r="AU166" s="86"/>
      <c r="AV166" s="86"/>
      <c r="AW166" s="86"/>
      <c r="AX166" s="86"/>
      <c r="AY166" s="86"/>
      <c r="AZ166" s="86"/>
      <c r="BA166" s="86"/>
      <c r="BB166" s="86"/>
      <c r="BC166" s="86"/>
      <c r="BD166" s="86"/>
      <c r="BE166" s="86"/>
      <c r="BF166" s="86"/>
      <c r="BG166" s="86"/>
      <c r="BH166" s="86"/>
      <c r="BI166" s="86"/>
    </row>
    <row r="167" spans="1:66" s="87" customFormat="1" ht="28.5">
      <c r="A167" s="156" t="s">
        <v>619</v>
      </c>
      <c r="B167" s="157" t="s">
        <v>620</v>
      </c>
      <c r="C167" s="156" t="s">
        <v>602</v>
      </c>
      <c r="D167" s="155">
        <v>7</v>
      </c>
      <c r="E167" s="156">
        <v>3.09</v>
      </c>
      <c r="F167" s="156">
        <f t="shared" si="94"/>
        <v>21.63</v>
      </c>
      <c r="G167" s="156">
        <v>0</v>
      </c>
      <c r="H167" s="156">
        <f>'MEMORIA BM 04'!L457</f>
        <v>7</v>
      </c>
      <c r="I167" s="156">
        <f t="shared" si="95"/>
        <v>7</v>
      </c>
      <c r="J167" s="156">
        <f t="shared" si="96"/>
        <v>0</v>
      </c>
      <c r="K167" s="156">
        <f t="shared" si="97"/>
        <v>21.63</v>
      </c>
      <c r="L167" s="156">
        <f t="shared" si="98"/>
        <v>21.63</v>
      </c>
      <c r="M167" s="188">
        <f t="shared" si="93"/>
        <v>1</v>
      </c>
      <c r="N167" s="81"/>
      <c r="O167" s="7"/>
      <c r="P167" s="79"/>
      <c r="Q167" s="79"/>
      <c r="R167" s="79"/>
      <c r="S167" s="16"/>
      <c r="T167" s="82"/>
      <c r="U167" s="14"/>
      <c r="V167" s="14"/>
      <c r="W167" s="84"/>
      <c r="X167" s="83"/>
      <c r="Y167" s="85"/>
      <c r="Z167" s="85"/>
      <c r="AA167" s="85"/>
      <c r="AB167" s="85"/>
      <c r="AC167" s="85"/>
      <c r="AD167" s="85"/>
      <c r="AE167" s="85"/>
      <c r="AF167" s="85"/>
      <c r="AG167" s="85"/>
      <c r="AH167" s="86"/>
      <c r="AI167" s="86"/>
      <c r="AJ167" s="86"/>
      <c r="AK167" s="86"/>
      <c r="AL167" s="86"/>
      <c r="AM167" s="86"/>
      <c r="AN167" s="86"/>
      <c r="AO167" s="86"/>
      <c r="AP167" s="86"/>
      <c r="AQ167" s="86"/>
      <c r="AR167" s="86"/>
      <c r="AS167" s="86"/>
      <c r="AT167" s="86"/>
      <c r="AU167" s="86"/>
      <c r="AV167" s="86"/>
      <c r="AW167" s="86"/>
      <c r="AX167" s="86"/>
      <c r="AY167" s="86"/>
      <c r="AZ167" s="86"/>
      <c r="BA167" s="86"/>
      <c r="BB167" s="86"/>
      <c r="BC167" s="86"/>
      <c r="BD167" s="86"/>
      <c r="BE167" s="86"/>
      <c r="BF167" s="86"/>
      <c r="BG167" s="86"/>
      <c r="BH167" s="86"/>
      <c r="BI167" s="86"/>
    </row>
    <row r="168" spans="1:66" s="87" customFormat="1">
      <c r="A168" s="156"/>
      <c r="B168" s="154"/>
      <c r="C168" s="156"/>
      <c r="D168" s="156"/>
      <c r="E168" s="156"/>
      <c r="F168" s="156"/>
      <c r="G168" s="156"/>
      <c r="H168" s="156"/>
      <c r="I168" s="156"/>
      <c r="J168" s="156"/>
      <c r="K168" s="156"/>
      <c r="L168" s="156"/>
      <c r="M168" s="188" t="e">
        <f t="shared" si="93"/>
        <v>#DIV/0!</v>
      </c>
      <c r="N168" s="81"/>
      <c r="O168" s="7"/>
      <c r="P168" s="79"/>
      <c r="Q168" s="79"/>
      <c r="R168" s="79"/>
      <c r="S168" s="16"/>
      <c r="T168" s="82"/>
      <c r="U168" s="14"/>
      <c r="V168" s="14"/>
      <c r="W168" s="84"/>
      <c r="X168" s="83"/>
      <c r="Y168" s="85"/>
      <c r="Z168" s="85"/>
      <c r="AA168" s="85"/>
      <c r="AB168" s="85"/>
      <c r="AC168" s="85"/>
      <c r="AD168" s="85"/>
      <c r="AE168" s="85"/>
      <c r="AF168" s="85"/>
      <c r="AG168" s="85"/>
      <c r="AH168" s="85"/>
      <c r="AI168" s="85"/>
      <c r="AJ168" s="85"/>
      <c r="AK168" s="85"/>
      <c r="AL168" s="85"/>
      <c r="AM168" s="85"/>
      <c r="AN168" s="85"/>
      <c r="AO168" s="85"/>
      <c r="AP168" s="85"/>
      <c r="AQ168" s="85"/>
      <c r="AR168" s="85"/>
      <c r="AS168" s="85"/>
      <c r="AT168" s="85"/>
      <c r="AU168" s="85"/>
      <c r="AV168" s="85"/>
      <c r="AW168" s="85"/>
      <c r="AX168" s="85"/>
      <c r="AY168" s="85"/>
      <c r="AZ168" s="85"/>
      <c r="BA168" s="85"/>
      <c r="BB168" s="85"/>
      <c r="BC168" s="85"/>
      <c r="BD168" s="85"/>
      <c r="BE168" s="85"/>
      <c r="BF168" s="85"/>
      <c r="BG168" s="85"/>
      <c r="BH168" s="85"/>
      <c r="BI168" s="85"/>
      <c r="BJ168" s="101"/>
      <c r="BK168" s="101"/>
      <c r="BL168" s="101"/>
      <c r="BM168" s="101"/>
      <c r="BN168" s="101"/>
    </row>
    <row r="169" spans="1:66" s="87" customFormat="1">
      <c r="A169" s="164" t="s">
        <v>216</v>
      </c>
      <c r="B169" s="165" t="s">
        <v>217</v>
      </c>
      <c r="C169" s="166"/>
      <c r="D169" s="167"/>
      <c r="E169" s="166"/>
      <c r="F169" s="166">
        <f>SUM(F171:F181)</f>
        <v>23125.97</v>
      </c>
      <c r="G169" s="166"/>
      <c r="H169" s="166"/>
      <c r="I169" s="166"/>
      <c r="J169" s="166">
        <f>SUM(J171:J181)</f>
        <v>4873.579999999999</v>
      </c>
      <c r="K169" s="166">
        <f t="shared" ref="K169:L169" si="99">SUM(K171:K181)</f>
        <v>14413.17</v>
      </c>
      <c r="L169" s="166">
        <f t="shared" si="99"/>
        <v>19286.75</v>
      </c>
      <c r="M169" s="188">
        <f t="shared" si="93"/>
        <v>0.83398663926313144</v>
      </c>
      <c r="N169" s="98"/>
      <c r="O169" s="7"/>
      <c r="P169" s="97"/>
      <c r="Q169" s="97"/>
      <c r="R169" s="79"/>
      <c r="S169" s="16"/>
      <c r="T169" s="82"/>
      <c r="U169" s="14"/>
      <c r="V169" s="14"/>
      <c r="W169" s="84"/>
      <c r="X169" s="83"/>
      <c r="Y169" s="85"/>
      <c r="Z169" s="85"/>
      <c r="AA169" s="85"/>
      <c r="AB169" s="85"/>
      <c r="AC169" s="85"/>
      <c r="AD169" s="85"/>
      <c r="AE169" s="85"/>
      <c r="AF169" s="85"/>
      <c r="AG169" s="85"/>
      <c r="AH169" s="85"/>
      <c r="AI169" s="85"/>
      <c r="AJ169" s="85"/>
      <c r="AK169" s="86"/>
      <c r="AL169" s="86"/>
      <c r="AM169" s="86"/>
      <c r="AN169" s="86"/>
      <c r="AO169" s="86"/>
      <c r="AP169" s="86"/>
      <c r="AQ169" s="86"/>
      <c r="AR169" s="86"/>
      <c r="AS169" s="86"/>
      <c r="AT169" s="86"/>
      <c r="AU169" s="86"/>
      <c r="AV169" s="86"/>
      <c r="AW169" s="86"/>
      <c r="AX169" s="86"/>
      <c r="AY169" s="86"/>
      <c r="AZ169" s="86"/>
      <c r="BA169" s="86"/>
      <c r="BB169" s="86"/>
      <c r="BC169" s="86"/>
      <c r="BD169" s="86"/>
      <c r="BE169" s="86"/>
      <c r="BF169" s="86"/>
      <c r="BG169" s="86"/>
      <c r="BH169" s="86"/>
      <c r="BI169" s="86"/>
    </row>
    <row r="170" spans="1:66" s="87" customFormat="1">
      <c r="A170" s="156"/>
      <c r="B170" s="154"/>
      <c r="C170" s="156"/>
      <c r="D170" s="156"/>
      <c r="E170" s="156"/>
      <c r="F170" s="156"/>
      <c r="G170" s="156"/>
      <c r="H170" s="156"/>
      <c r="I170" s="156"/>
      <c r="J170" s="156"/>
      <c r="K170" s="156"/>
      <c r="L170" s="156"/>
      <c r="M170" s="188" t="e">
        <f t="shared" si="93"/>
        <v>#DIV/0!</v>
      </c>
      <c r="N170" s="81"/>
      <c r="O170" s="7"/>
      <c r="P170" s="79"/>
      <c r="Q170" s="79"/>
      <c r="R170" s="79"/>
      <c r="S170" s="16"/>
      <c r="T170" s="82"/>
      <c r="U170" s="14"/>
      <c r="V170" s="14"/>
      <c r="W170" s="84"/>
      <c r="X170" s="83"/>
      <c r="Y170" s="85"/>
      <c r="Z170" s="85"/>
      <c r="AA170" s="85"/>
      <c r="AB170" s="85"/>
      <c r="AC170" s="85"/>
      <c r="AD170" s="85"/>
      <c r="AE170" s="85"/>
      <c r="AF170" s="85"/>
      <c r="AG170" s="85"/>
      <c r="AH170" s="85"/>
      <c r="AI170" s="85"/>
      <c r="AJ170" s="85"/>
      <c r="AK170" s="85"/>
      <c r="AL170" s="85"/>
      <c r="AM170" s="85"/>
      <c r="AN170" s="85"/>
      <c r="AO170" s="85"/>
      <c r="AP170" s="85"/>
      <c r="AQ170" s="85"/>
      <c r="AR170" s="85"/>
      <c r="AS170" s="85"/>
      <c r="AT170" s="85"/>
      <c r="AU170" s="85"/>
      <c r="AV170" s="85"/>
      <c r="AW170" s="85"/>
      <c r="AX170" s="85"/>
      <c r="AY170" s="85"/>
      <c r="AZ170" s="85"/>
      <c r="BA170" s="85"/>
      <c r="BB170" s="85"/>
      <c r="BC170" s="85"/>
      <c r="BD170" s="85"/>
      <c r="BE170" s="85"/>
      <c r="BF170" s="85"/>
      <c r="BG170" s="85"/>
      <c r="BH170" s="85"/>
      <c r="BI170" s="85"/>
      <c r="BJ170" s="101"/>
      <c r="BK170" s="101"/>
      <c r="BL170" s="101"/>
      <c r="BM170" s="101"/>
      <c r="BN170" s="101"/>
    </row>
    <row r="171" spans="1:66" s="87" customFormat="1" ht="42.75">
      <c r="A171" s="156" t="s">
        <v>218</v>
      </c>
      <c r="B171" s="157" t="s">
        <v>198</v>
      </c>
      <c r="C171" s="156" t="s">
        <v>7</v>
      </c>
      <c r="D171" s="156">
        <v>7</v>
      </c>
      <c r="E171" s="156">
        <v>7</v>
      </c>
      <c r="F171" s="156">
        <f t="shared" ref="F171:F181" si="100">D171*E171</f>
        <v>49</v>
      </c>
      <c r="G171" s="156">
        <v>0</v>
      </c>
      <c r="H171" s="156">
        <v>7</v>
      </c>
      <c r="I171" s="156">
        <f t="shared" ref="I171:I178" si="101">G171+H171</f>
        <v>7</v>
      </c>
      <c r="J171" s="156">
        <f t="shared" ref="J171:J178" si="102">E171*G171</f>
        <v>0</v>
      </c>
      <c r="K171" s="156">
        <f t="shared" ref="K171:K178" si="103">H171*E171</f>
        <v>49</v>
      </c>
      <c r="L171" s="156">
        <f t="shared" ref="L171:L178" si="104">J171+K171</f>
        <v>49</v>
      </c>
      <c r="M171" s="188">
        <f t="shared" si="93"/>
        <v>1</v>
      </c>
      <c r="N171" s="81"/>
      <c r="O171" s="7"/>
      <c r="P171" s="79"/>
      <c r="Q171" s="79"/>
      <c r="R171" s="79"/>
      <c r="S171" s="16"/>
      <c r="T171" s="82"/>
      <c r="U171" s="14"/>
      <c r="V171" s="14"/>
      <c r="W171" s="84"/>
      <c r="X171" s="83"/>
      <c r="Y171" s="85"/>
      <c r="Z171" s="85"/>
      <c r="AA171" s="85"/>
      <c r="AB171" s="85"/>
      <c r="AC171" s="85"/>
      <c r="AD171" s="85"/>
      <c r="AE171" s="85"/>
      <c r="AF171" s="85"/>
      <c r="AG171" s="85"/>
      <c r="AH171" s="85"/>
      <c r="AI171" s="85"/>
      <c r="AJ171" s="85"/>
      <c r="AK171" s="85"/>
      <c r="AL171" s="85"/>
      <c r="AM171" s="85"/>
      <c r="AN171" s="85"/>
      <c r="AO171" s="85"/>
      <c r="AP171" s="85"/>
      <c r="AQ171" s="85"/>
      <c r="AR171" s="85"/>
      <c r="AS171" s="85"/>
      <c r="AT171" s="85"/>
      <c r="AU171" s="85"/>
      <c r="AV171" s="85"/>
      <c r="AW171" s="85"/>
      <c r="AX171" s="85"/>
      <c r="AY171" s="85"/>
      <c r="AZ171" s="85"/>
      <c r="BA171" s="85"/>
      <c r="BB171" s="85"/>
      <c r="BC171" s="85"/>
      <c r="BD171" s="85"/>
      <c r="BE171" s="85"/>
      <c r="BF171" s="85"/>
      <c r="BG171" s="85"/>
      <c r="BH171" s="85"/>
      <c r="BI171" s="85"/>
      <c r="BJ171" s="101"/>
      <c r="BK171" s="101"/>
      <c r="BL171" s="101"/>
      <c r="BM171" s="101"/>
      <c r="BN171" s="101"/>
    </row>
    <row r="172" spans="1:66" s="87" customFormat="1" ht="57">
      <c r="A172" s="156" t="s">
        <v>219</v>
      </c>
      <c r="B172" s="157" t="s">
        <v>220</v>
      </c>
      <c r="C172" s="156" t="s">
        <v>5</v>
      </c>
      <c r="D172" s="156">
        <v>40</v>
      </c>
      <c r="E172" s="156">
        <v>45.13</v>
      </c>
      <c r="F172" s="156">
        <f t="shared" si="100"/>
        <v>1805.2</v>
      </c>
      <c r="G172" s="156">
        <v>40</v>
      </c>
      <c r="H172" s="156"/>
      <c r="I172" s="156">
        <f t="shared" si="101"/>
        <v>40</v>
      </c>
      <c r="J172" s="156">
        <f t="shared" si="102"/>
        <v>1805.2</v>
      </c>
      <c r="K172" s="156">
        <f t="shared" si="103"/>
        <v>0</v>
      </c>
      <c r="L172" s="156">
        <f t="shared" si="104"/>
        <v>1805.2</v>
      </c>
      <c r="M172" s="188">
        <f t="shared" si="93"/>
        <v>1</v>
      </c>
      <c r="N172" s="81"/>
      <c r="O172" s="7"/>
      <c r="P172" s="80"/>
      <c r="Q172" s="80"/>
      <c r="R172" s="91"/>
      <c r="S172" s="8"/>
      <c r="T172" s="82"/>
      <c r="U172" s="9"/>
      <c r="V172" s="9"/>
      <c r="W172" s="10"/>
      <c r="X172" s="9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2"/>
      <c r="BK172" s="12"/>
      <c r="BL172" s="12"/>
      <c r="BM172" s="12"/>
      <c r="BN172" s="12"/>
    </row>
    <row r="173" spans="1:66">
      <c r="A173" s="156" t="s">
        <v>221</v>
      </c>
      <c r="B173" s="158" t="s">
        <v>222</v>
      </c>
      <c r="C173" s="156" t="s">
        <v>7</v>
      </c>
      <c r="D173" s="156">
        <v>2</v>
      </c>
      <c r="E173" s="156">
        <v>443.39</v>
      </c>
      <c r="F173" s="156">
        <f t="shared" si="100"/>
        <v>886.78</v>
      </c>
      <c r="G173" s="156">
        <v>2</v>
      </c>
      <c r="H173" s="156"/>
      <c r="I173" s="156">
        <f t="shared" si="101"/>
        <v>2</v>
      </c>
      <c r="J173" s="156">
        <f t="shared" si="102"/>
        <v>886.78</v>
      </c>
      <c r="K173" s="156">
        <f t="shared" si="103"/>
        <v>0</v>
      </c>
      <c r="L173" s="156">
        <f t="shared" si="104"/>
        <v>886.78</v>
      </c>
      <c r="M173" s="188">
        <f t="shared" si="93"/>
        <v>1</v>
      </c>
      <c r="N173" s="81"/>
      <c r="O173" s="7"/>
      <c r="P173" s="80"/>
      <c r="Q173" s="80"/>
      <c r="R173" s="91"/>
      <c r="S173" s="8"/>
      <c r="T173" s="82"/>
      <c r="W173" s="10"/>
      <c r="X173" s="9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</row>
    <row r="174" spans="1:66">
      <c r="A174" s="156" t="s">
        <v>223</v>
      </c>
      <c r="B174" s="158" t="s">
        <v>224</v>
      </c>
      <c r="C174" s="156" t="s">
        <v>7</v>
      </c>
      <c r="D174" s="156">
        <v>1</v>
      </c>
      <c r="E174" s="156">
        <v>107.54</v>
      </c>
      <c r="F174" s="156">
        <f t="shared" si="100"/>
        <v>107.54</v>
      </c>
      <c r="G174" s="156">
        <v>1</v>
      </c>
      <c r="H174" s="156"/>
      <c r="I174" s="156">
        <f t="shared" si="101"/>
        <v>1</v>
      </c>
      <c r="J174" s="156">
        <f t="shared" si="102"/>
        <v>107.54</v>
      </c>
      <c r="K174" s="156">
        <f t="shared" si="103"/>
        <v>0</v>
      </c>
      <c r="L174" s="156">
        <f t="shared" si="104"/>
        <v>107.54</v>
      </c>
      <c r="M174" s="188">
        <f t="shared" si="93"/>
        <v>1</v>
      </c>
      <c r="N174" s="81"/>
      <c r="O174" s="7"/>
      <c r="P174" s="80"/>
      <c r="Q174" s="80"/>
      <c r="R174" s="91"/>
      <c r="S174" s="8"/>
      <c r="T174" s="82"/>
      <c r="W174" s="10"/>
      <c r="X174" s="9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</row>
    <row r="175" spans="1:66" ht="28.5">
      <c r="A175" s="156" t="s">
        <v>225</v>
      </c>
      <c r="B175" s="157" t="s">
        <v>226</v>
      </c>
      <c r="C175" s="156" t="s">
        <v>7</v>
      </c>
      <c r="D175" s="156">
        <v>4</v>
      </c>
      <c r="E175" s="156">
        <v>223.9</v>
      </c>
      <c r="F175" s="156">
        <f t="shared" si="100"/>
        <v>895.6</v>
      </c>
      <c r="G175" s="156">
        <v>4</v>
      </c>
      <c r="H175" s="156"/>
      <c r="I175" s="156">
        <f t="shared" si="101"/>
        <v>4</v>
      </c>
      <c r="J175" s="156">
        <f t="shared" si="102"/>
        <v>895.6</v>
      </c>
      <c r="K175" s="156">
        <f t="shared" si="103"/>
        <v>0</v>
      </c>
      <c r="L175" s="156">
        <f t="shared" si="104"/>
        <v>895.6</v>
      </c>
      <c r="M175" s="188">
        <f t="shared" si="93"/>
        <v>1</v>
      </c>
      <c r="N175" s="81"/>
      <c r="O175" s="7"/>
      <c r="P175" s="80"/>
      <c r="Q175" s="80"/>
      <c r="R175" s="91"/>
      <c r="S175" s="8"/>
      <c r="T175" s="82"/>
      <c r="W175" s="10"/>
      <c r="X175" s="9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</row>
    <row r="176" spans="1:66" ht="28.5">
      <c r="A176" s="156" t="s">
        <v>227</v>
      </c>
      <c r="B176" s="157" t="s">
        <v>228</v>
      </c>
      <c r="C176" s="156" t="s">
        <v>7</v>
      </c>
      <c r="D176" s="156">
        <v>10</v>
      </c>
      <c r="E176" s="156">
        <v>56.74</v>
      </c>
      <c r="F176" s="156">
        <f t="shared" si="100"/>
        <v>567.4</v>
      </c>
      <c r="G176" s="156">
        <v>10</v>
      </c>
      <c r="H176" s="156"/>
      <c r="I176" s="156">
        <f t="shared" si="101"/>
        <v>10</v>
      </c>
      <c r="J176" s="156">
        <f t="shared" si="102"/>
        <v>567.4</v>
      </c>
      <c r="K176" s="156">
        <f t="shared" si="103"/>
        <v>0</v>
      </c>
      <c r="L176" s="156">
        <f t="shared" si="104"/>
        <v>567.4</v>
      </c>
      <c r="M176" s="188">
        <f t="shared" si="93"/>
        <v>1</v>
      </c>
      <c r="N176" s="81"/>
      <c r="O176" s="7"/>
      <c r="P176" s="80"/>
      <c r="Q176" s="80"/>
      <c r="R176" s="91"/>
      <c r="S176" s="8"/>
      <c r="T176" s="82"/>
      <c r="W176" s="10"/>
      <c r="X176" s="9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</row>
    <row r="177" spans="1:66" ht="28.5">
      <c r="A177" s="156" t="s">
        <v>229</v>
      </c>
      <c r="B177" s="157" t="s">
        <v>230</v>
      </c>
      <c r="C177" s="156" t="s">
        <v>7</v>
      </c>
      <c r="D177" s="156">
        <v>2</v>
      </c>
      <c r="E177" s="156">
        <v>85.83</v>
      </c>
      <c r="F177" s="156">
        <f t="shared" si="100"/>
        <v>171.66</v>
      </c>
      <c r="G177" s="156">
        <v>2</v>
      </c>
      <c r="H177" s="156"/>
      <c r="I177" s="156">
        <f t="shared" si="101"/>
        <v>2</v>
      </c>
      <c r="J177" s="156">
        <f t="shared" si="102"/>
        <v>171.66</v>
      </c>
      <c r="K177" s="156">
        <f t="shared" si="103"/>
        <v>0</v>
      </c>
      <c r="L177" s="156">
        <f t="shared" si="104"/>
        <v>171.66</v>
      </c>
      <c r="M177" s="188">
        <f t="shared" si="93"/>
        <v>1</v>
      </c>
      <c r="N177" s="81"/>
      <c r="O177" s="7"/>
      <c r="P177" s="80"/>
      <c r="Q177" s="80"/>
      <c r="R177" s="91"/>
      <c r="S177" s="8"/>
      <c r="T177" s="82"/>
      <c r="W177" s="10"/>
      <c r="X177" s="9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</row>
    <row r="178" spans="1:66">
      <c r="A178" s="156" t="s">
        <v>233</v>
      </c>
      <c r="B178" s="157" t="s">
        <v>231</v>
      </c>
      <c r="C178" s="156" t="s">
        <v>232</v>
      </c>
      <c r="D178" s="156">
        <v>5</v>
      </c>
      <c r="E178" s="156">
        <v>87.88</v>
      </c>
      <c r="F178" s="156">
        <f t="shared" si="100"/>
        <v>439.4</v>
      </c>
      <c r="G178" s="156">
        <v>5</v>
      </c>
      <c r="H178" s="156"/>
      <c r="I178" s="156">
        <f t="shared" si="101"/>
        <v>5</v>
      </c>
      <c r="J178" s="156">
        <f t="shared" si="102"/>
        <v>439.4</v>
      </c>
      <c r="K178" s="156">
        <f t="shared" si="103"/>
        <v>0</v>
      </c>
      <c r="L178" s="156">
        <f t="shared" si="104"/>
        <v>439.4</v>
      </c>
      <c r="M178" s="188">
        <f t="shared" si="93"/>
        <v>1</v>
      </c>
      <c r="N178" s="81"/>
      <c r="O178" s="7"/>
      <c r="P178" s="80"/>
      <c r="Q178" s="80"/>
      <c r="R178" s="91"/>
      <c r="S178" s="8"/>
      <c r="T178" s="82"/>
      <c r="W178" s="10"/>
      <c r="X178" s="9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</row>
    <row r="179" spans="1:66" ht="28.5">
      <c r="A179" s="156" t="s">
        <v>621</v>
      </c>
      <c r="B179" s="157" t="s">
        <v>622</v>
      </c>
      <c r="C179" s="156" t="s">
        <v>602</v>
      </c>
      <c r="D179" s="156">
        <v>1</v>
      </c>
      <c r="E179" s="156">
        <v>7103.93</v>
      </c>
      <c r="F179" s="156">
        <f t="shared" si="100"/>
        <v>7103.93</v>
      </c>
      <c r="G179" s="156">
        <v>0</v>
      </c>
      <c r="H179" s="156">
        <f>'MEMORIA BM 04'!L486</f>
        <v>1</v>
      </c>
      <c r="I179" s="156">
        <f t="shared" ref="I179:I181" si="105">G179+H179</f>
        <v>1</v>
      </c>
      <c r="J179" s="156">
        <f t="shared" ref="J179:J181" si="106">E179*G179</f>
        <v>0</v>
      </c>
      <c r="K179" s="156">
        <f t="shared" ref="K179:K181" si="107">H179*E179</f>
        <v>7103.93</v>
      </c>
      <c r="L179" s="156">
        <f t="shared" ref="L179:L181" si="108">J179+K179</f>
        <v>7103.93</v>
      </c>
      <c r="M179" s="188">
        <f t="shared" si="93"/>
        <v>1</v>
      </c>
      <c r="N179" s="81"/>
      <c r="O179" s="7"/>
      <c r="P179" s="80"/>
      <c r="Q179" s="80"/>
      <c r="R179" s="91"/>
      <c r="S179" s="8"/>
      <c r="T179" s="82"/>
      <c r="W179" s="10"/>
      <c r="X179" s="9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</row>
    <row r="180" spans="1:66" ht="28.5">
      <c r="A180" s="156" t="s">
        <v>623</v>
      </c>
      <c r="B180" s="157" t="s">
        <v>624</v>
      </c>
      <c r="C180" s="156" t="s">
        <v>602</v>
      </c>
      <c r="D180" s="156">
        <v>1</v>
      </c>
      <c r="E180" s="156">
        <v>7260.24</v>
      </c>
      <c r="F180" s="156">
        <f t="shared" si="100"/>
        <v>7260.24</v>
      </c>
      <c r="G180" s="156">
        <v>0</v>
      </c>
      <c r="H180" s="156">
        <f>'MEMORIA BM 04'!L489</f>
        <v>1</v>
      </c>
      <c r="I180" s="156">
        <f t="shared" si="105"/>
        <v>1</v>
      </c>
      <c r="J180" s="156">
        <f t="shared" si="106"/>
        <v>0</v>
      </c>
      <c r="K180" s="156">
        <f t="shared" si="107"/>
        <v>7260.24</v>
      </c>
      <c r="L180" s="156">
        <f t="shared" si="108"/>
        <v>7260.24</v>
      </c>
      <c r="M180" s="188">
        <f t="shared" si="93"/>
        <v>1</v>
      </c>
      <c r="N180" s="81"/>
      <c r="O180" s="7"/>
      <c r="P180" s="80"/>
      <c r="Q180" s="80"/>
      <c r="R180" s="91"/>
      <c r="S180" s="8"/>
      <c r="T180" s="82"/>
      <c r="W180" s="10"/>
      <c r="X180" s="9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</row>
    <row r="181" spans="1:66" ht="28.5">
      <c r="A181" s="156" t="s">
        <v>625</v>
      </c>
      <c r="B181" s="157" t="s">
        <v>626</v>
      </c>
      <c r="C181" s="156" t="s">
        <v>5</v>
      </c>
      <c r="D181" s="156">
        <v>18</v>
      </c>
      <c r="E181" s="156">
        <v>213.29</v>
      </c>
      <c r="F181" s="156">
        <f t="shared" si="100"/>
        <v>3839.22</v>
      </c>
      <c r="G181" s="156">
        <v>0</v>
      </c>
      <c r="H181" s="156"/>
      <c r="I181" s="156">
        <f t="shared" si="105"/>
        <v>0</v>
      </c>
      <c r="J181" s="156">
        <f t="shared" si="106"/>
        <v>0</v>
      </c>
      <c r="K181" s="156">
        <f t="shared" si="107"/>
        <v>0</v>
      </c>
      <c r="L181" s="156">
        <f t="shared" si="108"/>
        <v>0</v>
      </c>
      <c r="M181" s="188">
        <f t="shared" si="93"/>
        <v>0</v>
      </c>
      <c r="N181" s="81"/>
      <c r="O181" s="7"/>
      <c r="P181" s="80"/>
      <c r="Q181" s="80"/>
      <c r="R181" s="91"/>
      <c r="S181" s="8"/>
      <c r="T181" s="82"/>
      <c r="W181" s="10"/>
      <c r="X181" s="9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</row>
    <row r="182" spans="1:66">
      <c r="A182" s="156"/>
      <c r="B182" s="154"/>
      <c r="C182" s="156"/>
      <c r="D182" s="156"/>
      <c r="E182" s="156"/>
      <c r="F182" s="156"/>
      <c r="G182" s="156"/>
      <c r="H182" s="156"/>
      <c r="I182" s="156"/>
      <c r="J182" s="156"/>
      <c r="K182" s="156"/>
      <c r="L182" s="156"/>
      <c r="M182" s="188" t="e">
        <f t="shared" si="93"/>
        <v>#DIV/0!</v>
      </c>
      <c r="N182" s="81"/>
      <c r="O182" s="7"/>
      <c r="P182" s="79"/>
      <c r="Q182" s="79"/>
      <c r="R182" s="79"/>
      <c r="S182" s="16"/>
      <c r="T182" s="82"/>
      <c r="U182" s="14"/>
      <c r="V182" s="14"/>
      <c r="W182" s="84"/>
      <c r="X182" s="83"/>
      <c r="Y182" s="85"/>
      <c r="Z182" s="85"/>
      <c r="AA182" s="85"/>
      <c r="AB182" s="85"/>
      <c r="AC182" s="85"/>
      <c r="AD182" s="85"/>
      <c r="AE182" s="85"/>
      <c r="AF182" s="85"/>
      <c r="AG182" s="85"/>
      <c r="AH182" s="85"/>
      <c r="AI182" s="85"/>
      <c r="AJ182" s="85"/>
      <c r="AK182" s="85"/>
      <c r="AL182" s="85"/>
      <c r="AM182" s="85"/>
      <c r="AN182" s="85"/>
      <c r="AO182" s="85"/>
      <c r="AP182" s="85"/>
      <c r="AQ182" s="85"/>
      <c r="AR182" s="85"/>
      <c r="AS182" s="85"/>
      <c r="AT182" s="85"/>
      <c r="AU182" s="85"/>
      <c r="AV182" s="85"/>
      <c r="AW182" s="85"/>
      <c r="AX182" s="85"/>
      <c r="AY182" s="85"/>
      <c r="AZ182" s="85"/>
      <c r="BA182" s="85"/>
      <c r="BB182" s="85"/>
      <c r="BC182" s="85"/>
      <c r="BD182" s="85"/>
      <c r="BE182" s="85"/>
      <c r="BF182" s="85"/>
      <c r="BG182" s="85"/>
      <c r="BH182" s="85"/>
      <c r="BI182" s="85"/>
      <c r="BJ182" s="101"/>
      <c r="BK182" s="101"/>
      <c r="BL182" s="101"/>
      <c r="BM182" s="101"/>
      <c r="BN182" s="101"/>
    </row>
    <row r="183" spans="1:66" s="87" customFormat="1">
      <c r="A183" s="164" t="s">
        <v>234</v>
      </c>
      <c r="B183" s="165" t="s">
        <v>235</v>
      </c>
      <c r="C183" s="166"/>
      <c r="D183" s="167"/>
      <c r="E183" s="166"/>
      <c r="F183" s="166">
        <f>SUM(F185:F209)</f>
        <v>27838.5</v>
      </c>
      <c r="G183" s="166"/>
      <c r="H183" s="166"/>
      <c r="I183" s="166"/>
      <c r="J183" s="166">
        <f>SUM(J185:J209)</f>
        <v>1197.9000000000001</v>
      </c>
      <c r="K183" s="166">
        <f t="shared" ref="K183:L183" si="109">SUM(K185:K209)</f>
        <v>440.08</v>
      </c>
      <c r="L183" s="166">
        <f t="shared" si="109"/>
        <v>1637.98</v>
      </c>
      <c r="M183" s="188">
        <f t="shared" si="93"/>
        <v>5.8838658692099075E-2</v>
      </c>
      <c r="N183" s="98"/>
      <c r="O183" s="7"/>
      <c r="P183" s="97"/>
      <c r="Q183" s="97"/>
      <c r="R183" s="79"/>
      <c r="S183" s="16"/>
      <c r="T183" s="82"/>
      <c r="U183" s="14"/>
      <c r="V183" s="14"/>
      <c r="W183" s="84"/>
      <c r="X183" s="83"/>
      <c r="Y183" s="85"/>
      <c r="Z183" s="85"/>
      <c r="AA183" s="85"/>
      <c r="AB183" s="85"/>
      <c r="AC183" s="85"/>
      <c r="AD183" s="85"/>
      <c r="AE183" s="85"/>
      <c r="AF183" s="85"/>
      <c r="AG183" s="85"/>
      <c r="AH183" s="85"/>
      <c r="AI183" s="85"/>
      <c r="AJ183" s="85"/>
      <c r="AK183" s="86"/>
      <c r="AL183" s="86"/>
      <c r="AM183" s="86"/>
      <c r="AN183" s="86"/>
      <c r="AO183" s="86"/>
      <c r="AP183" s="86"/>
      <c r="AQ183" s="86"/>
      <c r="AR183" s="86"/>
      <c r="AS183" s="86"/>
      <c r="AT183" s="86"/>
      <c r="AU183" s="86"/>
      <c r="AV183" s="86"/>
      <c r="AW183" s="86"/>
      <c r="AX183" s="86"/>
      <c r="AY183" s="86"/>
      <c r="AZ183" s="86"/>
      <c r="BA183" s="86"/>
      <c r="BB183" s="86"/>
      <c r="BC183" s="86"/>
      <c r="BD183" s="86"/>
      <c r="BE183" s="86"/>
      <c r="BF183" s="86"/>
      <c r="BG183" s="86"/>
      <c r="BH183" s="86"/>
      <c r="BI183" s="86"/>
    </row>
    <row r="184" spans="1:66">
      <c r="A184" s="156"/>
      <c r="B184" s="154"/>
      <c r="C184" s="156"/>
      <c r="D184" s="156"/>
      <c r="E184" s="156"/>
      <c r="F184" s="156"/>
      <c r="G184" s="156"/>
      <c r="H184" s="156"/>
      <c r="I184" s="156"/>
      <c r="J184" s="156"/>
      <c r="K184" s="156"/>
      <c r="L184" s="156"/>
      <c r="M184" s="188" t="e">
        <f t="shared" si="93"/>
        <v>#DIV/0!</v>
      </c>
      <c r="N184" s="81"/>
      <c r="O184" s="7"/>
      <c r="P184" s="80"/>
      <c r="Q184" s="80"/>
      <c r="R184" s="91"/>
      <c r="S184" s="8"/>
      <c r="T184" s="82"/>
      <c r="W184" s="10"/>
      <c r="X184" s="9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</row>
    <row r="185" spans="1:66" ht="28.5">
      <c r="A185" s="156" t="s">
        <v>236</v>
      </c>
      <c r="B185" s="157" t="s">
        <v>226</v>
      </c>
      <c r="C185" s="156" t="s">
        <v>7</v>
      </c>
      <c r="D185" s="156">
        <v>4</v>
      </c>
      <c r="E185" s="156">
        <v>220.04</v>
      </c>
      <c r="F185" s="156">
        <f t="shared" ref="F185:F209" si="110">D185*E185</f>
        <v>880.16</v>
      </c>
      <c r="G185" s="156">
        <v>0</v>
      </c>
      <c r="H185" s="156">
        <f>'MEMORIA BM 04'!L497</f>
        <v>2</v>
      </c>
      <c r="I185" s="156">
        <f t="shared" ref="I185:I208" si="111">G185+H185</f>
        <v>2</v>
      </c>
      <c r="J185" s="156">
        <f t="shared" ref="J185:J208" si="112">E185*G185</f>
        <v>0</v>
      </c>
      <c r="K185" s="156">
        <f t="shared" ref="K185:K208" si="113">H185*E185</f>
        <v>440.08</v>
      </c>
      <c r="L185" s="156">
        <f t="shared" ref="L185:L208" si="114">J185+K185</f>
        <v>440.08</v>
      </c>
      <c r="M185" s="188">
        <f t="shared" si="93"/>
        <v>0.5</v>
      </c>
      <c r="N185" s="81"/>
      <c r="O185" s="7"/>
      <c r="P185" s="80"/>
      <c r="Q185" s="80"/>
      <c r="R185" s="91"/>
      <c r="S185" s="8"/>
      <c r="T185" s="82"/>
      <c r="W185" s="10"/>
      <c r="X185" s="9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</row>
    <row r="186" spans="1:66" ht="28.5">
      <c r="A186" s="156" t="s">
        <v>237</v>
      </c>
      <c r="B186" s="157" t="s">
        <v>238</v>
      </c>
      <c r="C186" s="156" t="s">
        <v>7</v>
      </c>
      <c r="D186" s="156">
        <v>1</v>
      </c>
      <c r="E186" s="156">
        <v>302.55</v>
      </c>
      <c r="F186" s="156">
        <f t="shared" si="110"/>
        <v>302.55</v>
      </c>
      <c r="G186" s="156">
        <v>0</v>
      </c>
      <c r="H186" s="156"/>
      <c r="I186" s="156">
        <f t="shared" si="111"/>
        <v>0</v>
      </c>
      <c r="J186" s="156">
        <f t="shared" si="112"/>
        <v>0</v>
      </c>
      <c r="K186" s="156">
        <f t="shared" si="113"/>
        <v>0</v>
      </c>
      <c r="L186" s="156">
        <f t="shared" si="114"/>
        <v>0</v>
      </c>
      <c r="M186" s="188">
        <f t="shared" si="93"/>
        <v>0</v>
      </c>
      <c r="N186" s="81"/>
      <c r="O186" s="7"/>
      <c r="P186" s="80"/>
      <c r="Q186" s="80"/>
      <c r="R186" s="91"/>
      <c r="S186" s="8"/>
      <c r="T186" s="82"/>
      <c r="W186" s="10"/>
      <c r="X186" s="9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</row>
    <row r="187" spans="1:66" ht="28.5">
      <c r="A187" s="156" t="s">
        <v>239</v>
      </c>
      <c r="B187" s="157" t="s">
        <v>240</v>
      </c>
      <c r="C187" s="156" t="s">
        <v>7</v>
      </c>
      <c r="D187" s="156">
        <v>7</v>
      </c>
      <c r="E187" s="156">
        <v>41.88</v>
      </c>
      <c r="F187" s="156">
        <f t="shared" si="110"/>
        <v>293.16000000000003</v>
      </c>
      <c r="G187" s="156">
        <v>0</v>
      </c>
      <c r="H187" s="156"/>
      <c r="I187" s="156">
        <f t="shared" si="111"/>
        <v>0</v>
      </c>
      <c r="J187" s="156">
        <f t="shared" si="112"/>
        <v>0</v>
      </c>
      <c r="K187" s="156">
        <f t="shared" si="113"/>
        <v>0</v>
      </c>
      <c r="L187" s="156">
        <f t="shared" si="114"/>
        <v>0</v>
      </c>
      <c r="M187" s="188">
        <f t="shared" si="93"/>
        <v>0</v>
      </c>
      <c r="N187" s="81"/>
      <c r="O187" s="7"/>
      <c r="P187" s="80"/>
      <c r="Q187" s="80"/>
      <c r="R187" s="91"/>
      <c r="S187" s="8"/>
      <c r="T187" s="82"/>
      <c r="W187" s="10"/>
      <c r="X187" s="9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</row>
    <row r="188" spans="1:66" ht="28.5">
      <c r="A188" s="156" t="s">
        <v>241</v>
      </c>
      <c r="B188" s="157" t="s">
        <v>242</v>
      </c>
      <c r="C188" s="156" t="s">
        <v>7</v>
      </c>
      <c r="D188" s="156">
        <v>10</v>
      </c>
      <c r="E188" s="156">
        <v>45.02</v>
      </c>
      <c r="F188" s="156">
        <f t="shared" si="110"/>
        <v>450.20000000000005</v>
      </c>
      <c r="G188" s="156">
        <v>0</v>
      </c>
      <c r="H188" s="156"/>
      <c r="I188" s="156">
        <f t="shared" si="111"/>
        <v>0</v>
      </c>
      <c r="J188" s="156">
        <f t="shared" si="112"/>
        <v>0</v>
      </c>
      <c r="K188" s="156">
        <f t="shared" si="113"/>
        <v>0</v>
      </c>
      <c r="L188" s="156">
        <f t="shared" si="114"/>
        <v>0</v>
      </c>
      <c r="M188" s="188">
        <f t="shared" si="93"/>
        <v>0</v>
      </c>
      <c r="N188" s="81"/>
      <c r="O188" s="7"/>
      <c r="P188" s="80"/>
      <c r="Q188" s="80"/>
      <c r="R188" s="91"/>
      <c r="S188" s="8"/>
      <c r="T188" s="82"/>
      <c r="W188" s="10"/>
      <c r="X188" s="9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</row>
    <row r="189" spans="1:66" ht="28.5">
      <c r="A189" s="156" t="s">
        <v>243</v>
      </c>
      <c r="B189" s="157" t="s">
        <v>244</v>
      </c>
      <c r="C189" s="156" t="s">
        <v>7</v>
      </c>
      <c r="D189" s="156">
        <v>3</v>
      </c>
      <c r="E189" s="156">
        <v>39.47</v>
      </c>
      <c r="F189" s="156">
        <f t="shared" si="110"/>
        <v>118.41</v>
      </c>
      <c r="G189" s="156">
        <v>0</v>
      </c>
      <c r="H189" s="156"/>
      <c r="I189" s="156">
        <f t="shared" si="111"/>
        <v>0</v>
      </c>
      <c r="J189" s="156">
        <f t="shared" si="112"/>
        <v>0</v>
      </c>
      <c r="K189" s="156">
        <f t="shared" si="113"/>
        <v>0</v>
      </c>
      <c r="L189" s="156">
        <f t="shared" si="114"/>
        <v>0</v>
      </c>
      <c r="M189" s="188">
        <f t="shared" si="93"/>
        <v>0</v>
      </c>
      <c r="N189" s="81"/>
      <c r="O189" s="7"/>
      <c r="P189" s="80"/>
      <c r="Q189" s="80"/>
      <c r="R189" s="91"/>
      <c r="S189" s="8"/>
      <c r="T189" s="82"/>
      <c r="W189" s="10"/>
      <c r="X189" s="9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</row>
    <row r="190" spans="1:66" ht="28.5">
      <c r="A190" s="156" t="s">
        <v>245</v>
      </c>
      <c r="B190" s="157" t="s">
        <v>246</v>
      </c>
      <c r="C190" s="156" t="s">
        <v>7</v>
      </c>
      <c r="D190" s="156">
        <v>1</v>
      </c>
      <c r="E190" s="156">
        <v>42.9</v>
      </c>
      <c r="F190" s="156">
        <f t="shared" si="110"/>
        <v>42.9</v>
      </c>
      <c r="G190" s="156">
        <v>0</v>
      </c>
      <c r="H190" s="156"/>
      <c r="I190" s="156">
        <f t="shared" si="111"/>
        <v>0</v>
      </c>
      <c r="J190" s="156">
        <f t="shared" si="112"/>
        <v>0</v>
      </c>
      <c r="K190" s="156">
        <f t="shared" si="113"/>
        <v>0</v>
      </c>
      <c r="L190" s="156">
        <f t="shared" si="114"/>
        <v>0</v>
      </c>
      <c r="M190" s="188">
        <f t="shared" si="93"/>
        <v>0</v>
      </c>
      <c r="N190" s="81"/>
      <c r="O190" s="7"/>
      <c r="P190" s="80"/>
      <c r="Q190" s="80"/>
      <c r="R190" s="91"/>
      <c r="S190" s="8"/>
      <c r="T190" s="82"/>
      <c r="W190" s="10"/>
      <c r="X190" s="9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</row>
    <row r="191" spans="1:66" ht="28.5">
      <c r="A191" s="156" t="s">
        <v>247</v>
      </c>
      <c r="B191" s="157" t="s">
        <v>248</v>
      </c>
      <c r="C191" s="156" t="s">
        <v>7</v>
      </c>
      <c r="D191" s="156">
        <v>3</v>
      </c>
      <c r="E191" s="156">
        <v>53.64</v>
      </c>
      <c r="F191" s="156">
        <f t="shared" si="110"/>
        <v>160.92000000000002</v>
      </c>
      <c r="G191" s="156">
        <v>0</v>
      </c>
      <c r="H191" s="156"/>
      <c r="I191" s="156">
        <f t="shared" si="111"/>
        <v>0</v>
      </c>
      <c r="J191" s="156">
        <f t="shared" si="112"/>
        <v>0</v>
      </c>
      <c r="K191" s="156">
        <f t="shared" si="113"/>
        <v>0</v>
      </c>
      <c r="L191" s="156">
        <f t="shared" si="114"/>
        <v>0</v>
      </c>
      <c r="M191" s="188">
        <f t="shared" si="93"/>
        <v>0</v>
      </c>
      <c r="N191" s="81"/>
      <c r="O191" s="7"/>
      <c r="P191" s="80"/>
      <c r="Q191" s="80"/>
      <c r="R191" s="91"/>
      <c r="S191" s="8"/>
      <c r="T191" s="82"/>
      <c r="W191" s="10"/>
      <c r="X191" s="9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</row>
    <row r="192" spans="1:66" ht="28.5">
      <c r="A192" s="156" t="s">
        <v>249</v>
      </c>
      <c r="B192" s="157" t="s">
        <v>250</v>
      </c>
      <c r="C192" s="156" t="s">
        <v>7</v>
      </c>
      <c r="D192" s="156">
        <v>17</v>
      </c>
      <c r="E192" s="156">
        <v>15.83</v>
      </c>
      <c r="F192" s="156">
        <f t="shared" si="110"/>
        <v>269.11</v>
      </c>
      <c r="G192" s="156">
        <v>0</v>
      </c>
      <c r="H192" s="156"/>
      <c r="I192" s="156">
        <f t="shared" si="111"/>
        <v>0</v>
      </c>
      <c r="J192" s="156">
        <f t="shared" si="112"/>
        <v>0</v>
      </c>
      <c r="K192" s="156">
        <f t="shared" si="113"/>
        <v>0</v>
      </c>
      <c r="L192" s="156">
        <f t="shared" si="114"/>
        <v>0</v>
      </c>
      <c r="M192" s="188">
        <f t="shared" si="93"/>
        <v>0</v>
      </c>
      <c r="N192" s="81"/>
      <c r="O192" s="7"/>
      <c r="P192" s="80"/>
      <c r="Q192" s="80"/>
      <c r="R192" s="91"/>
      <c r="S192" s="8"/>
      <c r="T192" s="82"/>
      <c r="W192" s="10"/>
      <c r="X192" s="9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</row>
    <row r="193" spans="1:61" ht="28.5">
      <c r="A193" s="156" t="s">
        <v>251</v>
      </c>
      <c r="B193" s="157" t="s">
        <v>252</v>
      </c>
      <c r="C193" s="156" t="s">
        <v>7</v>
      </c>
      <c r="D193" s="156">
        <v>6</v>
      </c>
      <c r="E193" s="156">
        <v>25.08</v>
      </c>
      <c r="F193" s="156">
        <f t="shared" si="110"/>
        <v>150.47999999999999</v>
      </c>
      <c r="G193" s="156">
        <v>0</v>
      </c>
      <c r="H193" s="156"/>
      <c r="I193" s="156">
        <f t="shared" si="111"/>
        <v>0</v>
      </c>
      <c r="J193" s="156">
        <f t="shared" si="112"/>
        <v>0</v>
      </c>
      <c r="K193" s="156">
        <f t="shared" si="113"/>
        <v>0</v>
      </c>
      <c r="L193" s="156">
        <f t="shared" si="114"/>
        <v>0</v>
      </c>
      <c r="M193" s="188">
        <f t="shared" si="93"/>
        <v>0</v>
      </c>
      <c r="N193" s="81"/>
      <c r="O193" s="7"/>
      <c r="P193" s="80"/>
      <c r="Q193" s="80"/>
      <c r="R193" s="91"/>
      <c r="S193" s="8"/>
      <c r="T193" s="82"/>
      <c r="W193" s="10"/>
      <c r="X193" s="9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</row>
    <row r="194" spans="1:61" ht="42.75">
      <c r="A194" s="156" t="s">
        <v>253</v>
      </c>
      <c r="B194" s="157" t="s">
        <v>254</v>
      </c>
      <c r="C194" s="156" t="s">
        <v>7</v>
      </c>
      <c r="D194" s="156">
        <v>24</v>
      </c>
      <c r="E194" s="156">
        <v>62.36</v>
      </c>
      <c r="F194" s="156">
        <f t="shared" si="110"/>
        <v>1496.6399999999999</v>
      </c>
      <c r="G194" s="156">
        <v>0</v>
      </c>
      <c r="H194" s="156"/>
      <c r="I194" s="156">
        <f t="shared" si="111"/>
        <v>0</v>
      </c>
      <c r="J194" s="156">
        <f t="shared" si="112"/>
        <v>0</v>
      </c>
      <c r="K194" s="156">
        <f t="shared" si="113"/>
        <v>0</v>
      </c>
      <c r="L194" s="156">
        <f t="shared" si="114"/>
        <v>0</v>
      </c>
      <c r="M194" s="188">
        <f t="shared" si="93"/>
        <v>0</v>
      </c>
      <c r="N194" s="81"/>
      <c r="O194" s="7"/>
      <c r="P194" s="80"/>
      <c r="Q194" s="80"/>
      <c r="R194" s="91"/>
      <c r="S194" s="8"/>
      <c r="T194" s="82"/>
      <c r="W194" s="10"/>
      <c r="X194" s="9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</row>
    <row r="195" spans="1:61" ht="42.75">
      <c r="A195" s="156" t="s">
        <v>255</v>
      </c>
      <c r="B195" s="157" t="s">
        <v>256</v>
      </c>
      <c r="C195" s="156" t="s">
        <v>7</v>
      </c>
      <c r="D195" s="156">
        <v>53</v>
      </c>
      <c r="E195" s="156">
        <v>84.66</v>
      </c>
      <c r="F195" s="156">
        <f t="shared" si="110"/>
        <v>4486.9799999999996</v>
      </c>
      <c r="G195" s="156">
        <v>0</v>
      </c>
      <c r="H195" s="156"/>
      <c r="I195" s="156">
        <f t="shared" si="111"/>
        <v>0</v>
      </c>
      <c r="J195" s="156">
        <f t="shared" si="112"/>
        <v>0</v>
      </c>
      <c r="K195" s="156">
        <f t="shared" si="113"/>
        <v>0</v>
      </c>
      <c r="L195" s="156">
        <f t="shared" si="114"/>
        <v>0</v>
      </c>
      <c r="M195" s="188">
        <f t="shared" si="93"/>
        <v>0</v>
      </c>
      <c r="N195" s="81"/>
      <c r="O195" s="7"/>
      <c r="P195" s="80"/>
      <c r="Q195" s="80"/>
      <c r="R195" s="91"/>
      <c r="S195" s="8"/>
      <c r="T195" s="82"/>
      <c r="W195" s="10"/>
      <c r="X195" s="9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</row>
    <row r="196" spans="1:61" ht="28.5">
      <c r="A196" s="156" t="s">
        <v>257</v>
      </c>
      <c r="B196" s="157" t="s">
        <v>258</v>
      </c>
      <c r="C196" s="156" t="s">
        <v>7</v>
      </c>
      <c r="D196" s="156">
        <v>8</v>
      </c>
      <c r="E196" s="156">
        <v>23.26</v>
      </c>
      <c r="F196" s="156">
        <f t="shared" si="110"/>
        <v>186.08</v>
      </c>
      <c r="G196" s="156">
        <v>0</v>
      </c>
      <c r="H196" s="156"/>
      <c r="I196" s="156">
        <f t="shared" si="111"/>
        <v>0</v>
      </c>
      <c r="J196" s="156">
        <f t="shared" si="112"/>
        <v>0</v>
      </c>
      <c r="K196" s="156">
        <f t="shared" si="113"/>
        <v>0</v>
      </c>
      <c r="L196" s="156">
        <f t="shared" si="114"/>
        <v>0</v>
      </c>
      <c r="M196" s="188">
        <f t="shared" si="93"/>
        <v>0</v>
      </c>
      <c r="N196" s="81"/>
      <c r="O196" s="7"/>
      <c r="P196" s="80"/>
      <c r="Q196" s="80"/>
      <c r="R196" s="91"/>
      <c r="S196" s="8"/>
      <c r="T196" s="82"/>
      <c r="W196" s="10"/>
      <c r="X196" s="9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</row>
    <row r="197" spans="1:61" ht="42.75">
      <c r="A197" s="156" t="s">
        <v>259</v>
      </c>
      <c r="B197" s="157" t="s">
        <v>260</v>
      </c>
      <c r="C197" s="156" t="s">
        <v>7</v>
      </c>
      <c r="D197" s="156">
        <v>91</v>
      </c>
      <c r="E197" s="156">
        <v>90.03</v>
      </c>
      <c r="F197" s="156">
        <f t="shared" si="110"/>
        <v>8192.73</v>
      </c>
      <c r="G197" s="156">
        <v>0</v>
      </c>
      <c r="H197" s="156"/>
      <c r="I197" s="156">
        <f t="shared" si="111"/>
        <v>0</v>
      </c>
      <c r="J197" s="156">
        <f t="shared" si="112"/>
        <v>0</v>
      </c>
      <c r="K197" s="156">
        <f t="shared" si="113"/>
        <v>0</v>
      </c>
      <c r="L197" s="156">
        <f t="shared" si="114"/>
        <v>0</v>
      </c>
      <c r="M197" s="188">
        <f t="shared" si="93"/>
        <v>0</v>
      </c>
      <c r="N197" s="81"/>
      <c r="O197" s="7"/>
      <c r="P197" s="80"/>
      <c r="Q197" s="80"/>
      <c r="R197" s="91"/>
      <c r="S197" s="8"/>
      <c r="T197" s="82"/>
      <c r="W197" s="10"/>
      <c r="X197" s="9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</row>
    <row r="198" spans="1:61" ht="28.5">
      <c r="A198" s="156" t="s">
        <v>261</v>
      </c>
      <c r="B198" s="157" t="s">
        <v>262</v>
      </c>
      <c r="C198" s="156" t="s">
        <v>7</v>
      </c>
      <c r="D198" s="156">
        <v>18</v>
      </c>
      <c r="E198" s="156">
        <v>110.51</v>
      </c>
      <c r="F198" s="156">
        <f t="shared" si="110"/>
        <v>1989.18</v>
      </c>
      <c r="G198" s="156">
        <v>0</v>
      </c>
      <c r="H198" s="156"/>
      <c r="I198" s="156">
        <f t="shared" si="111"/>
        <v>0</v>
      </c>
      <c r="J198" s="156">
        <f t="shared" si="112"/>
        <v>0</v>
      </c>
      <c r="K198" s="156">
        <f t="shared" si="113"/>
        <v>0</v>
      </c>
      <c r="L198" s="156">
        <f t="shared" si="114"/>
        <v>0</v>
      </c>
      <c r="M198" s="188">
        <f t="shared" si="93"/>
        <v>0</v>
      </c>
      <c r="N198" s="81"/>
      <c r="O198" s="7"/>
      <c r="P198" s="80"/>
      <c r="Q198" s="80"/>
      <c r="R198" s="91"/>
      <c r="S198" s="8"/>
      <c r="T198" s="82"/>
      <c r="W198" s="10"/>
      <c r="X198" s="9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</row>
    <row r="199" spans="1:61" ht="28.5">
      <c r="A199" s="156" t="s">
        <v>263</v>
      </c>
      <c r="B199" s="157" t="s">
        <v>264</v>
      </c>
      <c r="C199" s="156" t="s">
        <v>7</v>
      </c>
      <c r="D199" s="156">
        <v>12</v>
      </c>
      <c r="E199" s="156">
        <v>117.49</v>
      </c>
      <c r="F199" s="156">
        <f t="shared" si="110"/>
        <v>1409.8799999999999</v>
      </c>
      <c r="G199" s="156">
        <v>0</v>
      </c>
      <c r="H199" s="156"/>
      <c r="I199" s="156">
        <f t="shared" si="111"/>
        <v>0</v>
      </c>
      <c r="J199" s="156">
        <f t="shared" si="112"/>
        <v>0</v>
      </c>
      <c r="K199" s="156">
        <f t="shared" si="113"/>
        <v>0</v>
      </c>
      <c r="L199" s="156">
        <f t="shared" si="114"/>
        <v>0</v>
      </c>
      <c r="M199" s="188">
        <f t="shared" si="93"/>
        <v>0</v>
      </c>
      <c r="N199" s="81"/>
      <c r="O199" s="7"/>
      <c r="P199" s="80"/>
      <c r="Q199" s="80"/>
      <c r="R199" s="91"/>
      <c r="S199" s="8"/>
      <c r="T199" s="82"/>
      <c r="W199" s="10"/>
      <c r="X199" s="9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</row>
    <row r="200" spans="1:61" ht="42.75">
      <c r="A200" s="156" t="s">
        <v>265</v>
      </c>
      <c r="B200" s="157" t="s">
        <v>266</v>
      </c>
      <c r="C200" s="156" t="s">
        <v>7</v>
      </c>
      <c r="D200" s="156">
        <v>7</v>
      </c>
      <c r="E200" s="156">
        <v>167.48</v>
      </c>
      <c r="F200" s="156">
        <f t="shared" si="110"/>
        <v>1172.3599999999999</v>
      </c>
      <c r="G200" s="156">
        <v>0</v>
      </c>
      <c r="H200" s="156"/>
      <c r="I200" s="156">
        <f t="shared" si="111"/>
        <v>0</v>
      </c>
      <c r="J200" s="156">
        <f t="shared" si="112"/>
        <v>0</v>
      </c>
      <c r="K200" s="156">
        <f t="shared" si="113"/>
        <v>0</v>
      </c>
      <c r="L200" s="156">
        <f t="shared" si="114"/>
        <v>0</v>
      </c>
      <c r="M200" s="188">
        <f t="shared" si="93"/>
        <v>0</v>
      </c>
      <c r="N200" s="81"/>
      <c r="O200" s="7"/>
      <c r="P200" s="80"/>
      <c r="Q200" s="80"/>
      <c r="R200" s="91"/>
      <c r="S200" s="8"/>
      <c r="T200" s="82"/>
      <c r="W200" s="10"/>
      <c r="X200" s="9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</row>
    <row r="201" spans="1:61" ht="42.75">
      <c r="A201" s="156" t="s">
        <v>267</v>
      </c>
      <c r="B201" s="157" t="s">
        <v>266</v>
      </c>
      <c r="C201" s="156" t="s">
        <v>7</v>
      </c>
      <c r="D201" s="156">
        <v>11</v>
      </c>
      <c r="E201" s="156">
        <v>167.48</v>
      </c>
      <c r="F201" s="156">
        <f t="shared" si="110"/>
        <v>1842.28</v>
      </c>
      <c r="G201" s="156">
        <v>0</v>
      </c>
      <c r="H201" s="156"/>
      <c r="I201" s="156">
        <f t="shared" si="111"/>
        <v>0</v>
      </c>
      <c r="J201" s="156">
        <f t="shared" si="112"/>
        <v>0</v>
      </c>
      <c r="K201" s="156">
        <f t="shared" si="113"/>
        <v>0</v>
      </c>
      <c r="L201" s="156">
        <f t="shared" si="114"/>
        <v>0</v>
      </c>
      <c r="M201" s="188">
        <f t="shared" si="93"/>
        <v>0</v>
      </c>
      <c r="N201" s="81"/>
      <c r="O201" s="7"/>
      <c r="P201" s="80"/>
      <c r="Q201" s="80"/>
      <c r="R201" s="91"/>
      <c r="S201" s="8"/>
      <c r="T201" s="82"/>
      <c r="W201" s="10"/>
      <c r="X201" s="9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</row>
    <row r="202" spans="1:61" ht="42.75">
      <c r="A202" s="156" t="s">
        <v>268</v>
      </c>
      <c r="B202" s="157" t="s">
        <v>269</v>
      </c>
      <c r="C202" s="156" t="s">
        <v>7</v>
      </c>
      <c r="D202" s="156">
        <v>1</v>
      </c>
      <c r="E202" s="156">
        <v>424.3</v>
      </c>
      <c r="F202" s="156">
        <f t="shared" si="110"/>
        <v>424.3</v>
      </c>
      <c r="G202" s="156">
        <v>0</v>
      </c>
      <c r="H202" s="156"/>
      <c r="I202" s="156">
        <f t="shared" si="111"/>
        <v>0</v>
      </c>
      <c r="J202" s="156">
        <f t="shared" si="112"/>
        <v>0</v>
      </c>
      <c r="K202" s="156">
        <f t="shared" si="113"/>
        <v>0</v>
      </c>
      <c r="L202" s="156">
        <f t="shared" si="114"/>
        <v>0</v>
      </c>
      <c r="M202" s="188">
        <f t="shared" si="93"/>
        <v>0</v>
      </c>
      <c r="N202" s="81"/>
      <c r="O202" s="7"/>
      <c r="P202" s="80"/>
      <c r="Q202" s="80"/>
      <c r="R202" s="91"/>
      <c r="S202" s="8"/>
      <c r="T202" s="82"/>
      <c r="W202" s="10"/>
      <c r="X202" s="9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</row>
    <row r="203" spans="1:61" ht="42.75">
      <c r="A203" s="156" t="s">
        <v>270</v>
      </c>
      <c r="B203" s="157" t="s">
        <v>271</v>
      </c>
      <c r="C203" s="156" t="s">
        <v>7</v>
      </c>
      <c r="D203" s="156">
        <v>1</v>
      </c>
      <c r="E203" s="156">
        <v>292.16000000000003</v>
      </c>
      <c r="F203" s="156">
        <f t="shared" si="110"/>
        <v>292.16000000000003</v>
      </c>
      <c r="G203" s="156">
        <v>0</v>
      </c>
      <c r="H203" s="156"/>
      <c r="I203" s="156">
        <f t="shared" si="111"/>
        <v>0</v>
      </c>
      <c r="J203" s="156">
        <f t="shared" si="112"/>
        <v>0</v>
      </c>
      <c r="K203" s="156">
        <f t="shared" si="113"/>
        <v>0</v>
      </c>
      <c r="L203" s="156">
        <f t="shared" si="114"/>
        <v>0</v>
      </c>
      <c r="M203" s="188">
        <f t="shared" si="93"/>
        <v>0</v>
      </c>
      <c r="N203" s="81"/>
      <c r="O203" s="7"/>
      <c r="P203" s="80"/>
      <c r="Q203" s="80"/>
      <c r="R203" s="91"/>
      <c r="S203" s="8"/>
      <c r="T203" s="82"/>
      <c r="W203" s="10"/>
      <c r="X203" s="9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</row>
    <row r="204" spans="1:61" ht="18" customHeight="1">
      <c r="A204" s="156" t="s">
        <v>272</v>
      </c>
      <c r="B204" s="157" t="s">
        <v>273</v>
      </c>
      <c r="C204" s="156" t="s">
        <v>7</v>
      </c>
      <c r="D204" s="156">
        <v>3</v>
      </c>
      <c r="E204" s="156">
        <v>120.03</v>
      </c>
      <c r="F204" s="156">
        <f t="shared" si="110"/>
        <v>360.09000000000003</v>
      </c>
      <c r="G204" s="156">
        <v>0</v>
      </c>
      <c r="H204" s="156"/>
      <c r="I204" s="156">
        <f t="shared" si="111"/>
        <v>0</v>
      </c>
      <c r="J204" s="156">
        <f t="shared" si="112"/>
        <v>0</v>
      </c>
      <c r="K204" s="156">
        <f t="shared" si="113"/>
        <v>0</v>
      </c>
      <c r="L204" s="156">
        <f t="shared" si="114"/>
        <v>0</v>
      </c>
      <c r="M204" s="188">
        <f t="shared" si="93"/>
        <v>0</v>
      </c>
      <c r="N204" s="81"/>
      <c r="O204" s="7"/>
      <c r="P204" s="80"/>
      <c r="Q204" s="80"/>
      <c r="R204" s="91"/>
      <c r="S204" s="8"/>
      <c r="T204" s="82"/>
      <c r="W204" s="10"/>
      <c r="X204" s="9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</row>
    <row r="205" spans="1:61" ht="28.5">
      <c r="A205" s="156" t="s">
        <v>274</v>
      </c>
      <c r="B205" s="157" t="s">
        <v>275</v>
      </c>
      <c r="C205" s="156" t="s">
        <v>232</v>
      </c>
      <c r="D205" s="156">
        <v>1</v>
      </c>
      <c r="E205" s="156">
        <v>239.87</v>
      </c>
      <c r="F205" s="156">
        <f t="shared" si="110"/>
        <v>239.87</v>
      </c>
      <c r="G205" s="156">
        <v>0</v>
      </c>
      <c r="H205" s="156"/>
      <c r="I205" s="156">
        <f t="shared" si="111"/>
        <v>0</v>
      </c>
      <c r="J205" s="156">
        <f t="shared" si="112"/>
        <v>0</v>
      </c>
      <c r="K205" s="156">
        <f t="shared" si="113"/>
        <v>0</v>
      </c>
      <c r="L205" s="156">
        <f t="shared" si="114"/>
        <v>0</v>
      </c>
      <c r="M205" s="188">
        <f t="shared" si="93"/>
        <v>0</v>
      </c>
      <c r="N205" s="81"/>
      <c r="O205" s="7"/>
      <c r="P205" s="80"/>
      <c r="Q205" s="80"/>
      <c r="R205" s="91"/>
      <c r="S205" s="8"/>
      <c r="T205" s="82"/>
      <c r="W205" s="10"/>
      <c r="X205" s="9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</row>
    <row r="206" spans="1:61" ht="42.75">
      <c r="A206" s="156" t="s">
        <v>276</v>
      </c>
      <c r="B206" s="157" t="s">
        <v>277</v>
      </c>
      <c r="C206" s="156" t="s">
        <v>7</v>
      </c>
      <c r="D206" s="156">
        <v>1</v>
      </c>
      <c r="E206" s="156">
        <v>1383.09</v>
      </c>
      <c r="F206" s="156">
        <f t="shared" si="110"/>
        <v>1383.09</v>
      </c>
      <c r="G206" s="156">
        <v>0</v>
      </c>
      <c r="H206" s="156"/>
      <c r="I206" s="156">
        <f t="shared" si="111"/>
        <v>0</v>
      </c>
      <c r="J206" s="156">
        <f t="shared" si="112"/>
        <v>0</v>
      </c>
      <c r="K206" s="156">
        <f t="shared" si="113"/>
        <v>0</v>
      </c>
      <c r="L206" s="156">
        <f t="shared" si="114"/>
        <v>0</v>
      </c>
      <c r="M206" s="188">
        <f t="shared" si="93"/>
        <v>0</v>
      </c>
      <c r="N206" s="81"/>
      <c r="O206" s="7"/>
      <c r="P206" s="80"/>
      <c r="Q206" s="80"/>
      <c r="R206" s="91"/>
      <c r="S206" s="8"/>
      <c r="T206" s="82"/>
      <c r="W206" s="10"/>
      <c r="X206" s="9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</row>
    <row r="207" spans="1:61" ht="28.5">
      <c r="A207" s="156" t="s">
        <v>278</v>
      </c>
      <c r="B207" s="157" t="s">
        <v>279</v>
      </c>
      <c r="C207" s="156" t="s">
        <v>7</v>
      </c>
      <c r="D207" s="156">
        <v>1</v>
      </c>
      <c r="E207" s="156">
        <v>15.07</v>
      </c>
      <c r="F207" s="156">
        <f t="shared" si="110"/>
        <v>15.07</v>
      </c>
      <c r="G207" s="156">
        <v>0</v>
      </c>
      <c r="H207" s="156"/>
      <c r="I207" s="156">
        <f t="shared" si="111"/>
        <v>0</v>
      </c>
      <c r="J207" s="156">
        <f t="shared" si="112"/>
        <v>0</v>
      </c>
      <c r="K207" s="156">
        <f t="shared" si="113"/>
        <v>0</v>
      </c>
      <c r="L207" s="156">
        <f t="shared" si="114"/>
        <v>0</v>
      </c>
      <c r="M207" s="188">
        <f t="shared" si="93"/>
        <v>0</v>
      </c>
      <c r="N207" s="81"/>
      <c r="O207" s="7"/>
      <c r="P207" s="80"/>
      <c r="Q207" s="80"/>
      <c r="R207" s="91"/>
      <c r="S207" s="8"/>
      <c r="T207" s="82"/>
      <c r="W207" s="10"/>
      <c r="X207" s="9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</row>
    <row r="208" spans="1:61" ht="42.75">
      <c r="A208" s="156" t="s">
        <v>280</v>
      </c>
      <c r="B208" s="157" t="s">
        <v>281</v>
      </c>
      <c r="C208" s="156" t="s">
        <v>7</v>
      </c>
      <c r="D208" s="156">
        <v>1</v>
      </c>
      <c r="E208" s="156">
        <v>1197.9000000000001</v>
      </c>
      <c r="F208" s="156">
        <f t="shared" si="110"/>
        <v>1197.9000000000001</v>
      </c>
      <c r="G208" s="156">
        <v>1</v>
      </c>
      <c r="H208" s="156"/>
      <c r="I208" s="156">
        <f t="shared" si="111"/>
        <v>1</v>
      </c>
      <c r="J208" s="156">
        <f t="shared" si="112"/>
        <v>1197.9000000000001</v>
      </c>
      <c r="K208" s="156">
        <f t="shared" si="113"/>
        <v>0</v>
      </c>
      <c r="L208" s="156">
        <f t="shared" si="114"/>
        <v>1197.9000000000001</v>
      </c>
      <c r="M208" s="188">
        <f t="shared" si="93"/>
        <v>1</v>
      </c>
      <c r="N208" s="81"/>
      <c r="O208" s="7"/>
      <c r="P208" s="80"/>
      <c r="Q208" s="80"/>
      <c r="R208" s="91"/>
      <c r="S208" s="8"/>
      <c r="T208" s="82"/>
      <c r="W208" s="10"/>
      <c r="X208" s="9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</row>
    <row r="209" spans="1:61" ht="28.5">
      <c r="A209" s="156" t="s">
        <v>627</v>
      </c>
      <c r="B209" s="157" t="s">
        <v>628</v>
      </c>
      <c r="C209" s="156" t="s">
        <v>27</v>
      </c>
      <c r="D209" s="156">
        <v>10</v>
      </c>
      <c r="E209" s="156">
        <v>48.2</v>
      </c>
      <c r="F209" s="156">
        <f t="shared" si="110"/>
        <v>482</v>
      </c>
      <c r="G209" s="156">
        <v>0</v>
      </c>
      <c r="H209" s="156"/>
      <c r="I209" s="156">
        <f t="shared" ref="I209" si="115">G209+H209</f>
        <v>0</v>
      </c>
      <c r="J209" s="156">
        <f t="shared" ref="J209" si="116">E209*G209</f>
        <v>0</v>
      </c>
      <c r="K209" s="156">
        <f t="shared" ref="K209" si="117">H209*E209</f>
        <v>0</v>
      </c>
      <c r="L209" s="156">
        <f t="shared" ref="L209" si="118">J209+K209</f>
        <v>0</v>
      </c>
      <c r="M209" s="188">
        <f t="shared" si="93"/>
        <v>0</v>
      </c>
      <c r="N209" s="81"/>
      <c r="O209" s="7"/>
      <c r="P209" s="80"/>
      <c r="Q209" s="80"/>
      <c r="R209" s="91"/>
      <c r="S209" s="8"/>
      <c r="T209" s="82"/>
      <c r="W209" s="10"/>
      <c r="X209" s="9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</row>
    <row r="210" spans="1:61">
      <c r="A210" s="156"/>
      <c r="B210" s="154"/>
      <c r="C210" s="156"/>
      <c r="D210" s="156"/>
      <c r="E210" s="156"/>
      <c r="F210" s="156"/>
      <c r="G210" s="156"/>
      <c r="H210" s="156"/>
      <c r="I210" s="156"/>
      <c r="J210" s="156"/>
      <c r="K210" s="156"/>
      <c r="L210" s="156"/>
      <c r="M210" s="188" t="e">
        <f t="shared" si="93"/>
        <v>#DIV/0!</v>
      </c>
      <c r="N210" s="81"/>
      <c r="O210" s="7"/>
      <c r="P210" s="80"/>
      <c r="Q210" s="80"/>
      <c r="R210" s="91"/>
      <c r="S210" s="8"/>
      <c r="T210" s="82"/>
      <c r="W210" s="10"/>
      <c r="X210" s="9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</row>
    <row r="211" spans="1:61" s="87" customFormat="1">
      <c r="A211" s="164" t="s">
        <v>282</v>
      </c>
      <c r="B211" s="165" t="s">
        <v>283</v>
      </c>
      <c r="C211" s="166"/>
      <c r="D211" s="167"/>
      <c r="E211" s="166"/>
      <c r="F211" s="166">
        <f>SUM(F213:F219)</f>
        <v>7637.2927999999993</v>
      </c>
      <c r="G211" s="166"/>
      <c r="H211" s="166"/>
      <c r="I211" s="166"/>
      <c r="J211" s="166">
        <f>SUM(J213:J219)</f>
        <v>0</v>
      </c>
      <c r="K211" s="166">
        <f>SUM(K213:K219)</f>
        <v>0</v>
      </c>
      <c r="L211" s="166">
        <f>SUM(L213:L219)</f>
        <v>0</v>
      </c>
      <c r="M211" s="188">
        <f t="shared" si="93"/>
        <v>0</v>
      </c>
      <c r="N211" s="98"/>
      <c r="O211" s="7"/>
      <c r="P211" s="97"/>
      <c r="Q211" s="97"/>
      <c r="R211" s="79"/>
      <c r="S211" s="16"/>
      <c r="T211" s="82"/>
      <c r="U211" s="14"/>
      <c r="V211" s="14"/>
      <c r="W211" s="84"/>
      <c r="X211" s="83"/>
      <c r="Y211" s="85"/>
      <c r="Z211" s="85"/>
      <c r="AA211" s="85"/>
      <c r="AB211" s="85"/>
      <c r="AC211" s="85"/>
      <c r="AD211" s="85"/>
      <c r="AE211" s="85"/>
      <c r="AF211" s="85"/>
      <c r="AG211" s="85"/>
      <c r="AH211" s="85"/>
      <c r="AI211" s="85"/>
      <c r="AJ211" s="85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</row>
    <row r="212" spans="1:61">
      <c r="A212" s="156"/>
      <c r="B212" s="154"/>
      <c r="C212" s="156"/>
      <c r="D212" s="156"/>
      <c r="E212" s="156"/>
      <c r="F212" s="156"/>
      <c r="G212" s="156"/>
      <c r="H212" s="156"/>
      <c r="I212" s="156"/>
      <c r="J212" s="156"/>
      <c r="K212" s="156"/>
      <c r="L212" s="156"/>
      <c r="M212" s="188" t="e">
        <f t="shared" si="93"/>
        <v>#DIV/0!</v>
      </c>
      <c r="N212" s="81"/>
      <c r="O212" s="7"/>
      <c r="P212" s="80"/>
      <c r="Q212" s="80"/>
      <c r="R212" s="91"/>
      <c r="S212" s="8"/>
      <c r="T212" s="82"/>
      <c r="W212" s="10"/>
      <c r="X212" s="9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</row>
    <row r="213" spans="1:61" ht="42.75">
      <c r="A213" s="156" t="s">
        <v>284</v>
      </c>
      <c r="B213" s="157" t="s">
        <v>285</v>
      </c>
      <c r="C213" s="156" t="s">
        <v>7</v>
      </c>
      <c r="D213" s="156">
        <v>30</v>
      </c>
      <c r="E213" s="156">
        <v>12.84</v>
      </c>
      <c r="F213" s="156">
        <f t="shared" ref="F213:F219" si="119">D213*E213</f>
        <v>385.2</v>
      </c>
      <c r="G213" s="156">
        <v>0</v>
      </c>
      <c r="H213" s="156"/>
      <c r="I213" s="156">
        <f t="shared" ref="I213:I219" si="120">G213+H213</f>
        <v>0</v>
      </c>
      <c r="J213" s="156">
        <f t="shared" ref="J213:J219" si="121">E213*G213</f>
        <v>0</v>
      </c>
      <c r="K213" s="156">
        <f t="shared" ref="K213:K219" si="122">H213*E213</f>
        <v>0</v>
      </c>
      <c r="L213" s="156">
        <f t="shared" ref="L213:L219" si="123">J213+K213</f>
        <v>0</v>
      </c>
      <c r="M213" s="188">
        <f t="shared" si="93"/>
        <v>0</v>
      </c>
      <c r="N213" s="81"/>
      <c r="O213" s="7"/>
      <c r="P213" s="80"/>
      <c r="Q213" s="80"/>
      <c r="R213" s="91"/>
      <c r="S213" s="8"/>
      <c r="T213" s="82"/>
      <c r="W213" s="10"/>
      <c r="X213" s="9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</row>
    <row r="214" spans="1:61">
      <c r="A214" s="156" t="s">
        <v>286</v>
      </c>
      <c r="B214" s="157" t="s">
        <v>287</v>
      </c>
      <c r="C214" s="156" t="s">
        <v>7</v>
      </c>
      <c r="D214" s="156">
        <v>1</v>
      </c>
      <c r="E214" s="156">
        <v>1146.02</v>
      </c>
      <c r="F214" s="156">
        <f t="shared" si="119"/>
        <v>1146.02</v>
      </c>
      <c r="G214" s="156">
        <v>0</v>
      </c>
      <c r="H214" s="156"/>
      <c r="I214" s="156">
        <f t="shared" si="120"/>
        <v>0</v>
      </c>
      <c r="J214" s="156">
        <f t="shared" si="121"/>
        <v>0</v>
      </c>
      <c r="K214" s="156">
        <f t="shared" si="122"/>
        <v>0</v>
      </c>
      <c r="L214" s="156">
        <f t="shared" si="123"/>
        <v>0</v>
      </c>
      <c r="M214" s="188">
        <f t="shared" si="93"/>
        <v>0</v>
      </c>
      <c r="N214" s="81"/>
      <c r="O214" s="7"/>
      <c r="P214" s="80"/>
      <c r="Q214" s="80"/>
      <c r="R214" s="91"/>
      <c r="S214" s="8"/>
      <c r="T214" s="82"/>
      <c r="W214" s="10"/>
      <c r="X214" s="9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</row>
    <row r="215" spans="1:61">
      <c r="A215" s="156" t="s">
        <v>288</v>
      </c>
      <c r="B215" s="157" t="s">
        <v>289</v>
      </c>
      <c r="C215" s="156" t="s">
        <v>7</v>
      </c>
      <c r="D215" s="156">
        <v>2</v>
      </c>
      <c r="E215" s="156">
        <v>410.9</v>
      </c>
      <c r="F215" s="156">
        <f t="shared" si="119"/>
        <v>821.8</v>
      </c>
      <c r="G215" s="156">
        <v>0</v>
      </c>
      <c r="H215" s="156"/>
      <c r="I215" s="156">
        <f t="shared" si="120"/>
        <v>0</v>
      </c>
      <c r="J215" s="156">
        <f t="shared" si="121"/>
        <v>0</v>
      </c>
      <c r="K215" s="156">
        <f t="shared" si="122"/>
        <v>0</v>
      </c>
      <c r="L215" s="156">
        <f t="shared" si="123"/>
        <v>0</v>
      </c>
      <c r="M215" s="188">
        <f t="shared" si="93"/>
        <v>0</v>
      </c>
      <c r="N215" s="81"/>
      <c r="O215" s="7"/>
      <c r="P215" s="80"/>
      <c r="Q215" s="80"/>
      <c r="R215" s="91"/>
      <c r="S215" s="8"/>
      <c r="T215" s="82"/>
      <c r="W215" s="10"/>
      <c r="X215" s="9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</row>
    <row r="216" spans="1:61">
      <c r="A216" s="156" t="s">
        <v>290</v>
      </c>
      <c r="B216" s="157" t="s">
        <v>289</v>
      </c>
      <c r="C216" s="156" t="s">
        <v>7</v>
      </c>
      <c r="D216" s="156">
        <v>1</v>
      </c>
      <c r="E216" s="156">
        <v>410.9</v>
      </c>
      <c r="F216" s="156">
        <f t="shared" si="119"/>
        <v>410.9</v>
      </c>
      <c r="G216" s="156">
        <v>0</v>
      </c>
      <c r="H216" s="156"/>
      <c r="I216" s="156">
        <f t="shared" si="120"/>
        <v>0</v>
      </c>
      <c r="J216" s="156">
        <f t="shared" si="121"/>
        <v>0</v>
      </c>
      <c r="K216" s="156">
        <f t="shared" si="122"/>
        <v>0</v>
      </c>
      <c r="L216" s="156">
        <f t="shared" si="123"/>
        <v>0</v>
      </c>
      <c r="M216" s="188">
        <f t="shared" si="93"/>
        <v>0</v>
      </c>
      <c r="N216" s="81"/>
      <c r="O216" s="7"/>
      <c r="P216" s="80"/>
      <c r="Q216" s="80"/>
      <c r="R216" s="91"/>
      <c r="S216" s="8"/>
      <c r="T216" s="82"/>
      <c r="W216" s="10"/>
      <c r="X216" s="9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</row>
    <row r="217" spans="1:61">
      <c r="A217" s="156" t="s">
        <v>291</v>
      </c>
      <c r="B217" s="158" t="s">
        <v>292</v>
      </c>
      <c r="C217" s="156" t="s">
        <v>16</v>
      </c>
      <c r="D217" s="156">
        <v>15.36</v>
      </c>
      <c r="E217" s="156">
        <v>284.23</v>
      </c>
      <c r="F217" s="156">
        <f t="shared" si="119"/>
        <v>4365.7727999999997</v>
      </c>
      <c r="G217" s="156">
        <v>0</v>
      </c>
      <c r="H217" s="156"/>
      <c r="I217" s="156">
        <f t="shared" si="120"/>
        <v>0</v>
      </c>
      <c r="J217" s="156">
        <f t="shared" si="121"/>
        <v>0</v>
      </c>
      <c r="K217" s="156">
        <f t="shared" si="122"/>
        <v>0</v>
      </c>
      <c r="L217" s="156">
        <f t="shared" si="123"/>
        <v>0</v>
      </c>
      <c r="M217" s="188">
        <f t="shared" si="93"/>
        <v>0</v>
      </c>
      <c r="N217" s="81"/>
      <c r="O217" s="7"/>
      <c r="P217" s="80"/>
      <c r="Q217" s="80"/>
      <c r="R217" s="91"/>
      <c r="S217" s="8"/>
      <c r="T217" s="82"/>
      <c r="W217" s="10"/>
      <c r="X217" s="9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</row>
    <row r="218" spans="1:61" ht="28.5">
      <c r="A218" s="156" t="s">
        <v>293</v>
      </c>
      <c r="B218" s="157" t="s">
        <v>294</v>
      </c>
      <c r="C218" s="156" t="s">
        <v>7</v>
      </c>
      <c r="D218" s="156">
        <v>1</v>
      </c>
      <c r="E218" s="156">
        <v>171.9</v>
      </c>
      <c r="F218" s="156">
        <f t="shared" si="119"/>
        <v>171.9</v>
      </c>
      <c r="G218" s="156">
        <v>0</v>
      </c>
      <c r="H218" s="156"/>
      <c r="I218" s="156">
        <f t="shared" si="120"/>
        <v>0</v>
      </c>
      <c r="J218" s="156">
        <f t="shared" si="121"/>
        <v>0</v>
      </c>
      <c r="K218" s="156">
        <f t="shared" si="122"/>
        <v>0</v>
      </c>
      <c r="L218" s="156">
        <f t="shared" si="123"/>
        <v>0</v>
      </c>
      <c r="M218" s="188">
        <f t="shared" si="93"/>
        <v>0</v>
      </c>
      <c r="N218" s="81"/>
      <c r="O218" s="7"/>
      <c r="P218" s="80"/>
      <c r="Q218" s="80"/>
      <c r="R218" s="91"/>
      <c r="S218" s="8"/>
      <c r="T218" s="82"/>
      <c r="W218" s="10"/>
      <c r="X218" s="9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</row>
    <row r="219" spans="1:61" ht="28.5">
      <c r="A219" s="156" t="s">
        <v>295</v>
      </c>
      <c r="B219" s="157" t="s">
        <v>296</v>
      </c>
      <c r="C219" s="156" t="s">
        <v>7</v>
      </c>
      <c r="D219" s="156">
        <v>2</v>
      </c>
      <c r="E219" s="156">
        <v>167.85</v>
      </c>
      <c r="F219" s="156">
        <f t="shared" si="119"/>
        <v>335.7</v>
      </c>
      <c r="G219" s="156">
        <v>0</v>
      </c>
      <c r="H219" s="156"/>
      <c r="I219" s="156">
        <f t="shared" si="120"/>
        <v>0</v>
      </c>
      <c r="J219" s="156">
        <f t="shared" si="121"/>
        <v>0</v>
      </c>
      <c r="K219" s="156">
        <f t="shared" si="122"/>
        <v>0</v>
      </c>
      <c r="L219" s="156">
        <f t="shared" si="123"/>
        <v>0</v>
      </c>
      <c r="M219" s="188">
        <f t="shared" si="93"/>
        <v>0</v>
      </c>
      <c r="N219" s="81"/>
      <c r="O219" s="7"/>
      <c r="P219" s="80"/>
      <c r="Q219" s="80"/>
      <c r="R219" s="91"/>
      <c r="S219" s="8"/>
      <c r="T219" s="82"/>
      <c r="W219" s="10"/>
      <c r="X219" s="9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</row>
    <row r="220" spans="1:61">
      <c r="A220" s="156"/>
      <c r="B220" s="154"/>
      <c r="C220" s="156"/>
      <c r="D220" s="156"/>
      <c r="E220" s="156"/>
      <c r="F220" s="156"/>
      <c r="G220" s="156"/>
      <c r="H220" s="156"/>
      <c r="I220" s="156"/>
      <c r="J220" s="156"/>
      <c r="K220" s="156"/>
      <c r="L220" s="156"/>
      <c r="M220" s="188" t="e">
        <f t="shared" si="93"/>
        <v>#DIV/0!</v>
      </c>
      <c r="N220" s="81"/>
      <c r="O220" s="7"/>
      <c r="P220" s="80"/>
      <c r="Q220" s="80"/>
      <c r="R220" s="91"/>
      <c r="S220" s="8"/>
      <c r="T220" s="82"/>
      <c r="W220" s="10"/>
      <c r="X220" s="9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</row>
    <row r="221" spans="1:61" s="87" customFormat="1">
      <c r="A221" s="164" t="s">
        <v>297</v>
      </c>
      <c r="B221" s="165" t="s">
        <v>298</v>
      </c>
      <c r="C221" s="166"/>
      <c r="D221" s="167"/>
      <c r="E221" s="166"/>
      <c r="F221" s="166">
        <f>SUM(F223:F224)</f>
        <v>2055.0042000000003</v>
      </c>
      <c r="G221" s="166"/>
      <c r="H221" s="166"/>
      <c r="I221" s="166"/>
      <c r="J221" s="166">
        <f>SUM(J223:J224)</f>
        <v>0</v>
      </c>
      <c r="K221" s="166">
        <f>SUM(K223:K224)</f>
        <v>0</v>
      </c>
      <c r="L221" s="166">
        <f>SUM(L223:L224)</f>
        <v>0</v>
      </c>
      <c r="M221" s="188">
        <f t="shared" si="93"/>
        <v>0</v>
      </c>
      <c r="N221" s="98"/>
      <c r="O221" s="7"/>
      <c r="P221" s="97"/>
      <c r="Q221" s="97"/>
      <c r="R221" s="79"/>
      <c r="S221" s="16"/>
      <c r="T221" s="82"/>
      <c r="U221" s="14"/>
      <c r="V221" s="14"/>
      <c r="W221" s="84"/>
      <c r="X221" s="83"/>
      <c r="Y221" s="85"/>
      <c r="Z221" s="85"/>
      <c r="AA221" s="85"/>
      <c r="AB221" s="85"/>
      <c r="AC221" s="85"/>
      <c r="AD221" s="85"/>
      <c r="AE221" s="85"/>
      <c r="AF221" s="85"/>
      <c r="AG221" s="85"/>
      <c r="AH221" s="85"/>
      <c r="AI221" s="85"/>
      <c r="AJ221" s="85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</row>
    <row r="222" spans="1:61">
      <c r="A222" s="156"/>
      <c r="B222" s="154"/>
      <c r="C222" s="156"/>
      <c r="D222" s="156"/>
      <c r="E222" s="156"/>
      <c r="F222" s="156"/>
      <c r="G222" s="156"/>
      <c r="H222" s="156"/>
      <c r="I222" s="156"/>
      <c r="J222" s="156"/>
      <c r="K222" s="156"/>
      <c r="L222" s="156"/>
      <c r="M222" s="188" t="e">
        <f t="shared" si="93"/>
        <v>#DIV/0!</v>
      </c>
      <c r="N222" s="81"/>
      <c r="O222" s="7"/>
      <c r="P222" s="80"/>
      <c r="Q222" s="80"/>
      <c r="R222" s="91"/>
      <c r="S222" s="8"/>
      <c r="T222" s="82"/>
      <c r="W222" s="10"/>
      <c r="X222" s="9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</row>
    <row r="223" spans="1:61">
      <c r="A223" s="156" t="s">
        <v>299</v>
      </c>
      <c r="B223" s="158" t="s">
        <v>300</v>
      </c>
      <c r="C223" s="156" t="s">
        <v>16</v>
      </c>
      <c r="D223" s="156">
        <v>604</v>
      </c>
      <c r="E223" s="156">
        <v>1.73</v>
      </c>
      <c r="F223" s="156">
        <f t="shared" ref="F223:F224" si="124">D223*E223</f>
        <v>1044.92</v>
      </c>
      <c r="G223" s="156">
        <v>0</v>
      </c>
      <c r="H223" s="156"/>
      <c r="I223" s="156">
        <f t="shared" ref="I223:I224" si="125">G223+H223</f>
        <v>0</v>
      </c>
      <c r="J223" s="156">
        <f t="shared" ref="J223:J224" si="126">E223*G223</f>
        <v>0</v>
      </c>
      <c r="K223" s="156">
        <f t="shared" ref="K223:K224" si="127">H223*E223</f>
        <v>0</v>
      </c>
      <c r="L223" s="156">
        <f t="shared" ref="L223:L224" si="128">J223+K223</f>
        <v>0</v>
      </c>
      <c r="M223" s="188">
        <f t="shared" si="93"/>
        <v>0</v>
      </c>
      <c r="N223" s="81"/>
      <c r="O223" s="7"/>
      <c r="P223" s="80"/>
      <c r="Q223" s="80"/>
      <c r="R223" s="91"/>
      <c r="S223" s="8"/>
      <c r="T223" s="82"/>
      <c r="W223" s="10"/>
      <c r="X223" s="9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</row>
    <row r="224" spans="1:61" ht="28.5">
      <c r="A224" s="156" t="s">
        <v>301</v>
      </c>
      <c r="B224" s="157" t="s">
        <v>302</v>
      </c>
      <c r="C224" s="156" t="s">
        <v>17</v>
      </c>
      <c r="D224" s="156">
        <v>81.59</v>
      </c>
      <c r="E224" s="156">
        <v>12.38</v>
      </c>
      <c r="F224" s="156">
        <f t="shared" si="124"/>
        <v>1010.0842000000001</v>
      </c>
      <c r="G224" s="156">
        <v>0</v>
      </c>
      <c r="H224" s="156"/>
      <c r="I224" s="156">
        <f t="shared" si="125"/>
        <v>0</v>
      </c>
      <c r="J224" s="156">
        <f t="shared" si="126"/>
        <v>0</v>
      </c>
      <c r="K224" s="156">
        <f t="shared" si="127"/>
        <v>0</v>
      </c>
      <c r="L224" s="156">
        <f t="shared" si="128"/>
        <v>0</v>
      </c>
      <c r="M224" s="188">
        <f t="shared" ref="M224:M287" si="129">L224/F224</f>
        <v>0</v>
      </c>
      <c r="N224" s="81"/>
      <c r="O224" s="7"/>
      <c r="P224" s="80"/>
      <c r="Q224" s="80"/>
      <c r="R224" s="91"/>
      <c r="S224" s="8"/>
      <c r="T224" s="82"/>
      <c r="W224" s="10"/>
      <c r="X224" s="9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</row>
    <row r="225" spans="1:61" ht="14.25" customHeight="1">
      <c r="A225" s="156"/>
      <c r="B225" s="154"/>
      <c r="C225" s="156"/>
      <c r="D225" s="156"/>
      <c r="E225" s="156"/>
      <c r="F225" s="156"/>
      <c r="G225" s="156"/>
      <c r="H225" s="156"/>
      <c r="I225" s="156"/>
      <c r="J225" s="156"/>
      <c r="K225" s="156"/>
      <c r="L225" s="156"/>
      <c r="M225" s="188" t="e">
        <f t="shared" si="129"/>
        <v>#DIV/0!</v>
      </c>
      <c r="N225" s="81"/>
      <c r="O225" s="7"/>
      <c r="P225" s="80"/>
      <c r="Q225" s="80"/>
      <c r="R225" s="91"/>
      <c r="S225" s="8"/>
      <c r="T225" s="82"/>
      <c r="W225" s="10"/>
      <c r="X225" s="9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</row>
    <row r="226" spans="1:61" ht="14.25" customHeight="1">
      <c r="A226" s="262" t="s">
        <v>303</v>
      </c>
      <c r="B226" s="262"/>
      <c r="C226" s="262"/>
      <c r="D226" s="262"/>
      <c r="E226" s="262"/>
      <c r="F226" s="262"/>
      <c r="G226" s="262"/>
      <c r="H226" s="262"/>
      <c r="I226" s="262"/>
      <c r="J226" s="262"/>
      <c r="K226" s="262"/>
      <c r="L226" s="262"/>
      <c r="M226" s="188" t="e">
        <f t="shared" si="129"/>
        <v>#DIV/0!</v>
      </c>
      <c r="N226" s="81"/>
      <c r="O226" s="7"/>
      <c r="P226" s="80"/>
      <c r="Q226" s="80"/>
      <c r="R226" s="91"/>
      <c r="S226" s="8"/>
      <c r="T226" s="82"/>
      <c r="W226" s="10"/>
      <c r="X226" s="9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</row>
    <row r="227" spans="1:61" ht="14.25" customHeight="1">
      <c r="A227" s="262"/>
      <c r="B227" s="262"/>
      <c r="C227" s="262"/>
      <c r="D227" s="262"/>
      <c r="E227" s="262"/>
      <c r="F227" s="262"/>
      <c r="G227" s="262"/>
      <c r="H227" s="262"/>
      <c r="I227" s="262"/>
      <c r="J227" s="262"/>
      <c r="K227" s="262"/>
      <c r="L227" s="262"/>
      <c r="M227" s="188" t="e">
        <f t="shared" si="129"/>
        <v>#DIV/0!</v>
      </c>
      <c r="N227" s="81"/>
      <c r="O227" s="7"/>
      <c r="P227" s="80"/>
      <c r="Q227" s="80"/>
      <c r="R227" s="91"/>
      <c r="S227" s="8"/>
      <c r="T227" s="82"/>
      <c r="W227" s="10"/>
      <c r="X227" s="9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</row>
    <row r="228" spans="1:61" s="87" customFormat="1">
      <c r="A228" s="164" t="s">
        <v>11</v>
      </c>
      <c r="B228" s="165" t="s">
        <v>0</v>
      </c>
      <c r="C228" s="166"/>
      <c r="D228" s="167"/>
      <c r="E228" s="166"/>
      <c r="F228" s="166">
        <f>F230</f>
        <v>1165.1199999999999</v>
      </c>
      <c r="G228" s="166"/>
      <c r="H228" s="166"/>
      <c r="I228" s="166"/>
      <c r="J228" s="166">
        <f>J230</f>
        <v>1165.1199999999999</v>
      </c>
      <c r="K228" s="166">
        <f>K230</f>
        <v>0</v>
      </c>
      <c r="L228" s="166">
        <f>L230</f>
        <v>1165.1199999999999</v>
      </c>
      <c r="M228" s="188">
        <f t="shared" si="129"/>
        <v>1</v>
      </c>
      <c r="N228" s="98"/>
      <c r="O228" s="7"/>
      <c r="P228" s="97"/>
      <c r="Q228" s="97"/>
      <c r="R228" s="79"/>
      <c r="S228" s="16"/>
      <c r="T228" s="82"/>
      <c r="U228" s="14"/>
      <c r="V228" s="14"/>
      <c r="W228" s="84"/>
      <c r="X228" s="83"/>
      <c r="Y228" s="85"/>
      <c r="Z228" s="85"/>
      <c r="AA228" s="85"/>
      <c r="AB228" s="85"/>
      <c r="AC228" s="85"/>
      <c r="AD228" s="85"/>
      <c r="AE228" s="85"/>
      <c r="AF228" s="85"/>
      <c r="AG228" s="85"/>
      <c r="AH228" s="85"/>
      <c r="AI228" s="85"/>
      <c r="AJ228" s="85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</row>
    <row r="229" spans="1:61" ht="14.25" customHeight="1">
      <c r="A229" s="156"/>
      <c r="B229" s="154"/>
      <c r="C229" s="156"/>
      <c r="D229" s="156"/>
      <c r="E229" s="156"/>
      <c r="F229" s="156"/>
      <c r="G229" s="156"/>
      <c r="H229" s="156"/>
      <c r="I229" s="156"/>
      <c r="J229" s="156"/>
      <c r="K229" s="156"/>
      <c r="L229" s="156"/>
      <c r="M229" s="188" t="e">
        <f t="shared" si="129"/>
        <v>#DIV/0!</v>
      </c>
      <c r="N229" s="81"/>
      <c r="O229" s="7"/>
      <c r="P229" s="80"/>
      <c r="Q229" s="80"/>
      <c r="R229" s="91"/>
      <c r="S229" s="8"/>
      <c r="T229" s="82"/>
      <c r="W229" s="10"/>
      <c r="X229" s="9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</row>
    <row r="230" spans="1:61" ht="28.5">
      <c r="A230" s="156" t="s">
        <v>304</v>
      </c>
      <c r="B230" s="157" t="s">
        <v>305</v>
      </c>
      <c r="C230" s="156" t="s">
        <v>5</v>
      </c>
      <c r="D230" s="156">
        <v>32</v>
      </c>
      <c r="E230" s="156">
        <v>36.409999999999997</v>
      </c>
      <c r="F230" s="156">
        <f t="shared" ref="F230" si="130">D230*E230</f>
        <v>1165.1199999999999</v>
      </c>
      <c r="G230" s="156">
        <v>32</v>
      </c>
      <c r="H230" s="156"/>
      <c r="I230" s="156">
        <f t="shared" ref="I230" si="131">G230+H230</f>
        <v>32</v>
      </c>
      <c r="J230" s="156">
        <f t="shared" ref="J230" si="132">E230*G230</f>
        <v>1165.1199999999999</v>
      </c>
      <c r="K230" s="156">
        <f t="shared" ref="K230" si="133">H230*E230</f>
        <v>0</v>
      </c>
      <c r="L230" s="156">
        <f t="shared" ref="L230" si="134">J230+K230</f>
        <v>1165.1199999999999</v>
      </c>
      <c r="M230" s="188">
        <f t="shared" si="129"/>
        <v>1</v>
      </c>
      <c r="N230" s="81"/>
      <c r="O230" s="7"/>
      <c r="P230" s="80"/>
      <c r="Q230" s="80"/>
      <c r="R230" s="91"/>
      <c r="S230" s="8"/>
      <c r="T230" s="82"/>
      <c r="W230" s="10"/>
      <c r="X230" s="9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</row>
    <row r="231" spans="1:61" ht="14.25" customHeight="1">
      <c r="A231" s="156"/>
      <c r="B231" s="154"/>
      <c r="C231" s="156"/>
      <c r="D231" s="156"/>
      <c r="E231" s="156"/>
      <c r="F231" s="156"/>
      <c r="G231" s="156"/>
      <c r="H231" s="156"/>
      <c r="I231" s="156"/>
      <c r="J231" s="156"/>
      <c r="K231" s="156"/>
      <c r="L231" s="156"/>
      <c r="M231" s="188" t="e">
        <f t="shared" si="129"/>
        <v>#DIV/0!</v>
      </c>
      <c r="N231" s="81"/>
      <c r="O231" s="7"/>
      <c r="P231" s="80"/>
      <c r="Q231" s="80"/>
      <c r="R231" s="91"/>
      <c r="S231" s="8"/>
      <c r="T231" s="82"/>
      <c r="W231" s="10"/>
      <c r="X231" s="9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</row>
    <row r="232" spans="1:61" ht="14.25" customHeight="1">
      <c r="A232" s="164" t="s">
        <v>13</v>
      </c>
      <c r="B232" s="165" t="s">
        <v>12</v>
      </c>
      <c r="C232" s="166"/>
      <c r="D232" s="167"/>
      <c r="E232" s="166"/>
      <c r="F232" s="166">
        <f>SUM(F234:F235)</f>
        <v>1010.024</v>
      </c>
      <c r="G232" s="166"/>
      <c r="H232" s="166"/>
      <c r="I232" s="166"/>
      <c r="J232" s="166">
        <f>SUM(J234:J235)</f>
        <v>1010.024</v>
      </c>
      <c r="K232" s="166">
        <f>SUM(K234:K235)</f>
        <v>0</v>
      </c>
      <c r="L232" s="166">
        <f>SUM(L234:L235)</f>
        <v>1010.024</v>
      </c>
      <c r="M232" s="188">
        <f t="shared" si="129"/>
        <v>1</v>
      </c>
      <c r="N232" s="81"/>
      <c r="O232" s="7"/>
      <c r="P232" s="80"/>
      <c r="Q232" s="80"/>
      <c r="R232" s="91"/>
      <c r="S232" s="8"/>
      <c r="T232" s="82"/>
      <c r="W232" s="10"/>
      <c r="X232" s="9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</row>
    <row r="233" spans="1:61" ht="14.25" customHeight="1">
      <c r="A233" s="156"/>
      <c r="B233" s="154"/>
      <c r="C233" s="156"/>
      <c r="D233" s="156"/>
      <c r="E233" s="156"/>
      <c r="F233" s="156"/>
      <c r="G233" s="156"/>
      <c r="H233" s="156"/>
      <c r="I233" s="156"/>
      <c r="J233" s="156"/>
      <c r="K233" s="156"/>
      <c r="L233" s="156"/>
      <c r="M233" s="188" t="e">
        <f t="shared" si="129"/>
        <v>#DIV/0!</v>
      </c>
      <c r="N233" s="81"/>
      <c r="O233" s="7"/>
      <c r="P233" s="80"/>
      <c r="Q233" s="80"/>
      <c r="R233" s="91"/>
      <c r="S233" s="8"/>
      <c r="T233" s="82"/>
      <c r="W233" s="10"/>
      <c r="X233" s="9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</row>
    <row r="234" spans="1:61" ht="28.5">
      <c r="A234" s="156" t="s">
        <v>306</v>
      </c>
      <c r="B234" s="157" t="s">
        <v>52</v>
      </c>
      <c r="C234" s="156" t="s">
        <v>17</v>
      </c>
      <c r="D234" s="156">
        <v>18.2</v>
      </c>
      <c r="E234" s="156">
        <v>8.32</v>
      </c>
      <c r="F234" s="156">
        <f t="shared" ref="F234:F235" si="135">D234*E234</f>
        <v>151.42400000000001</v>
      </c>
      <c r="G234" s="156">
        <v>18.2</v>
      </c>
      <c r="H234" s="156"/>
      <c r="I234" s="156">
        <f t="shared" ref="I234:I235" si="136">G234+H234</f>
        <v>18.2</v>
      </c>
      <c r="J234" s="156">
        <f t="shared" ref="J234:J235" si="137">E234*G234</f>
        <v>151.42400000000001</v>
      </c>
      <c r="K234" s="156">
        <f t="shared" ref="K234:K235" si="138">H234*E234</f>
        <v>0</v>
      </c>
      <c r="L234" s="156">
        <f t="shared" ref="L234:L235" si="139">J234+K234</f>
        <v>151.42400000000001</v>
      </c>
      <c r="M234" s="188">
        <f t="shared" si="129"/>
        <v>1</v>
      </c>
      <c r="N234" s="81"/>
      <c r="O234" s="7"/>
      <c r="P234" s="80"/>
      <c r="Q234" s="80"/>
      <c r="R234" s="91"/>
      <c r="S234" s="8"/>
      <c r="T234" s="82"/>
      <c r="W234" s="10"/>
      <c r="X234" s="9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</row>
    <row r="235" spans="1:61" ht="28.5">
      <c r="A235" s="156" t="s">
        <v>307</v>
      </c>
      <c r="B235" s="157" t="s">
        <v>59</v>
      </c>
      <c r="C235" s="156" t="s">
        <v>17</v>
      </c>
      <c r="D235" s="156">
        <v>2.5</v>
      </c>
      <c r="E235" s="156">
        <v>343.44</v>
      </c>
      <c r="F235" s="156">
        <f t="shared" si="135"/>
        <v>858.6</v>
      </c>
      <c r="G235" s="156">
        <v>2.5</v>
      </c>
      <c r="H235" s="156"/>
      <c r="I235" s="156">
        <f t="shared" si="136"/>
        <v>2.5</v>
      </c>
      <c r="J235" s="156">
        <f t="shared" si="137"/>
        <v>858.6</v>
      </c>
      <c r="K235" s="156">
        <f t="shared" si="138"/>
        <v>0</v>
      </c>
      <c r="L235" s="156">
        <f t="shared" si="139"/>
        <v>858.6</v>
      </c>
      <c r="M235" s="188">
        <f t="shared" si="129"/>
        <v>1</v>
      </c>
      <c r="N235" s="81"/>
      <c r="O235" s="7"/>
      <c r="P235" s="80"/>
      <c r="Q235" s="80"/>
      <c r="R235" s="91"/>
      <c r="S235" s="8"/>
      <c r="T235" s="82"/>
      <c r="W235" s="10"/>
      <c r="X235" s="9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</row>
    <row r="236" spans="1:61">
      <c r="A236" s="156"/>
      <c r="B236" s="157"/>
      <c r="C236" s="156"/>
      <c r="D236" s="156"/>
      <c r="E236" s="156"/>
      <c r="F236" s="156"/>
      <c r="G236" s="156"/>
      <c r="H236" s="156"/>
      <c r="I236" s="156"/>
      <c r="J236" s="156"/>
      <c r="K236" s="156"/>
      <c r="L236" s="156"/>
      <c r="M236" s="188" t="e">
        <f t="shared" si="129"/>
        <v>#DIV/0!</v>
      </c>
      <c r="N236" s="81"/>
      <c r="O236" s="7"/>
      <c r="P236" s="80"/>
      <c r="Q236" s="80"/>
      <c r="R236" s="91"/>
      <c r="S236" s="8"/>
      <c r="T236" s="82"/>
      <c r="W236" s="10"/>
      <c r="X236" s="9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</row>
    <row r="237" spans="1:61" ht="14.25" customHeight="1">
      <c r="A237" s="164" t="s">
        <v>24</v>
      </c>
      <c r="B237" s="165" t="s">
        <v>18</v>
      </c>
      <c r="C237" s="166"/>
      <c r="D237" s="167"/>
      <c r="E237" s="166"/>
      <c r="F237" s="166">
        <f>SUM(F238:F242)</f>
        <v>8414.0084000000006</v>
      </c>
      <c r="G237" s="166"/>
      <c r="H237" s="166"/>
      <c r="I237" s="166"/>
      <c r="J237" s="166">
        <f>SUM(J238:J242)</f>
        <v>3841.8999999999996</v>
      </c>
      <c r="K237" s="166">
        <f t="shared" ref="K237:L237" si="140">SUM(K238:K242)</f>
        <v>4572.1083999999992</v>
      </c>
      <c r="L237" s="166">
        <f t="shared" si="140"/>
        <v>8414.0083999999988</v>
      </c>
      <c r="M237" s="188">
        <f t="shared" si="129"/>
        <v>0.99999999999999978</v>
      </c>
      <c r="N237" s="81"/>
      <c r="O237" s="7"/>
      <c r="P237" s="80"/>
      <c r="Q237" s="80"/>
      <c r="R237" s="91"/>
      <c r="S237" s="8"/>
      <c r="T237" s="82"/>
      <c r="W237" s="10"/>
      <c r="X237" s="9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</row>
    <row r="238" spans="1:61">
      <c r="A238" s="156"/>
      <c r="B238" s="157"/>
      <c r="C238" s="156"/>
      <c r="D238" s="156"/>
      <c r="E238" s="156"/>
      <c r="F238" s="156"/>
      <c r="G238" s="156"/>
      <c r="H238" s="156"/>
      <c r="I238" s="156"/>
      <c r="J238" s="156"/>
      <c r="K238" s="156"/>
      <c r="L238" s="156"/>
      <c r="M238" s="188" t="e">
        <f t="shared" si="129"/>
        <v>#DIV/0!</v>
      </c>
      <c r="N238" s="81"/>
      <c r="O238" s="7"/>
      <c r="P238" s="80"/>
      <c r="Q238" s="80"/>
      <c r="R238" s="91"/>
      <c r="S238" s="8"/>
      <c r="T238" s="82"/>
      <c r="W238" s="10"/>
      <c r="X238" s="9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</row>
    <row r="239" spans="1:61">
      <c r="A239" s="156" t="s">
        <v>309</v>
      </c>
      <c r="B239" s="158" t="s">
        <v>63</v>
      </c>
      <c r="C239" s="156" t="s">
        <v>17</v>
      </c>
      <c r="D239" s="156">
        <v>0.7</v>
      </c>
      <c r="E239" s="156">
        <v>402.72</v>
      </c>
      <c r="F239" s="156">
        <f t="shared" ref="F239:F242" si="141">D239*E239</f>
        <v>281.904</v>
      </c>
      <c r="G239" s="156">
        <v>0.7</v>
      </c>
      <c r="H239" s="156"/>
      <c r="I239" s="156">
        <f t="shared" ref="I239:I241" si="142">G239+H239</f>
        <v>0.7</v>
      </c>
      <c r="J239" s="156">
        <f t="shared" ref="J239:J241" si="143">E239*G239</f>
        <v>281.904</v>
      </c>
      <c r="K239" s="156">
        <f t="shared" ref="K239:K241" si="144">H239*E239</f>
        <v>0</v>
      </c>
      <c r="L239" s="156">
        <f t="shared" ref="L239:L241" si="145">J239+K239</f>
        <v>281.904</v>
      </c>
      <c r="M239" s="188">
        <f t="shared" si="129"/>
        <v>1</v>
      </c>
      <c r="N239" s="81"/>
      <c r="O239" s="7"/>
      <c r="P239" s="80"/>
      <c r="Q239" s="80"/>
      <c r="R239" s="91"/>
      <c r="S239" s="8"/>
      <c r="T239" s="82"/>
      <c r="W239" s="10"/>
      <c r="X239" s="9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</row>
    <row r="240" spans="1:61" ht="28.5">
      <c r="A240" s="156" t="s">
        <v>310</v>
      </c>
      <c r="B240" s="157" t="s">
        <v>308</v>
      </c>
      <c r="C240" s="156" t="s">
        <v>17</v>
      </c>
      <c r="D240" s="156">
        <v>1.5</v>
      </c>
      <c r="E240" s="156">
        <v>1618.18</v>
      </c>
      <c r="F240" s="156">
        <f t="shared" si="141"/>
        <v>2427.27</v>
      </c>
      <c r="G240" s="156">
        <v>1.5</v>
      </c>
      <c r="H240" s="156"/>
      <c r="I240" s="156">
        <f t="shared" si="142"/>
        <v>1.5</v>
      </c>
      <c r="J240" s="156">
        <f t="shared" si="143"/>
        <v>2427.27</v>
      </c>
      <c r="K240" s="156">
        <f t="shared" si="144"/>
        <v>0</v>
      </c>
      <c r="L240" s="156">
        <f t="shared" si="145"/>
        <v>2427.27</v>
      </c>
      <c r="M240" s="188">
        <f t="shared" si="129"/>
        <v>1</v>
      </c>
      <c r="N240" s="81"/>
      <c r="O240" s="7"/>
      <c r="P240" s="80"/>
      <c r="Q240" s="80"/>
      <c r="R240" s="91"/>
      <c r="S240" s="8"/>
      <c r="T240" s="82"/>
      <c r="W240" s="10"/>
      <c r="X240" s="9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</row>
    <row r="241" spans="1:61" ht="42.75">
      <c r="A241" s="156" t="s">
        <v>311</v>
      </c>
      <c r="B241" s="157" t="s">
        <v>312</v>
      </c>
      <c r="C241" s="156" t="s">
        <v>17</v>
      </c>
      <c r="D241" s="156">
        <v>1.4</v>
      </c>
      <c r="E241" s="156">
        <v>1618.18</v>
      </c>
      <c r="F241" s="156">
        <f t="shared" si="141"/>
        <v>2265.4519999999998</v>
      </c>
      <c r="G241" s="156">
        <v>0.7</v>
      </c>
      <c r="H241" s="156">
        <f>'MEMORIA BM 04'!L626</f>
        <v>0.7</v>
      </c>
      <c r="I241" s="156">
        <f t="shared" si="142"/>
        <v>1.4</v>
      </c>
      <c r="J241" s="156">
        <f t="shared" si="143"/>
        <v>1132.7259999999999</v>
      </c>
      <c r="K241" s="156">
        <f t="shared" si="144"/>
        <v>1132.7259999999999</v>
      </c>
      <c r="L241" s="156">
        <f t="shared" si="145"/>
        <v>2265.4519999999998</v>
      </c>
      <c r="M241" s="188">
        <f t="shared" si="129"/>
        <v>1</v>
      </c>
      <c r="N241" s="92"/>
      <c r="O241" s="7"/>
      <c r="P241" s="80"/>
      <c r="Q241" s="80"/>
      <c r="R241" s="91"/>
      <c r="S241" s="8"/>
      <c r="T241" s="82"/>
      <c r="W241" s="10"/>
      <c r="X241" s="9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</row>
    <row r="242" spans="1:61" ht="57">
      <c r="A242" s="156" t="s">
        <v>629</v>
      </c>
      <c r="B242" s="157" t="s">
        <v>630</v>
      </c>
      <c r="C242" s="156" t="s">
        <v>81</v>
      </c>
      <c r="D242" s="156">
        <v>62.24</v>
      </c>
      <c r="E242" s="156">
        <v>55.26</v>
      </c>
      <c r="F242" s="156">
        <f t="shared" si="141"/>
        <v>3439.3824</v>
      </c>
      <c r="G242" s="156">
        <v>0</v>
      </c>
      <c r="H242" s="156">
        <f>'MEMORIA BM 04'!L630</f>
        <v>62.239999999999995</v>
      </c>
      <c r="I242" s="156">
        <f t="shared" ref="I242" si="146">G242+H242</f>
        <v>62.239999999999995</v>
      </c>
      <c r="J242" s="156">
        <f t="shared" ref="J242" si="147">E242*G242</f>
        <v>0</v>
      </c>
      <c r="K242" s="156">
        <f t="shared" ref="K242" si="148">H242*E242</f>
        <v>3439.3823999999995</v>
      </c>
      <c r="L242" s="156">
        <f t="shared" ref="L242" si="149">J242+K242</f>
        <v>3439.3823999999995</v>
      </c>
      <c r="M242" s="188">
        <f t="shared" si="129"/>
        <v>0.99999999999999989</v>
      </c>
      <c r="N242" s="92"/>
      <c r="O242" s="7"/>
      <c r="P242" s="80"/>
      <c r="Q242" s="80"/>
      <c r="R242" s="91"/>
      <c r="S242" s="8"/>
      <c r="T242" s="82"/>
      <c r="W242" s="10"/>
      <c r="X242" s="9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</row>
    <row r="243" spans="1:61">
      <c r="A243" s="156"/>
      <c r="B243" s="157"/>
      <c r="C243" s="156"/>
      <c r="D243" s="156"/>
      <c r="E243" s="156"/>
      <c r="F243" s="156"/>
      <c r="G243" s="156"/>
      <c r="H243" s="156"/>
      <c r="I243" s="156"/>
      <c r="J243" s="156"/>
      <c r="K243" s="156"/>
      <c r="L243" s="156"/>
      <c r="M243" s="188" t="e">
        <f t="shared" si="129"/>
        <v>#DIV/0!</v>
      </c>
      <c r="N243" s="81"/>
      <c r="O243" s="7"/>
      <c r="P243" s="80"/>
      <c r="Q243" s="80"/>
      <c r="R243" s="91"/>
      <c r="S243" s="8"/>
      <c r="T243" s="82"/>
      <c r="W243" s="10"/>
      <c r="X243" s="9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</row>
    <row r="244" spans="1:61" ht="14.25" customHeight="1">
      <c r="A244" s="164" t="s">
        <v>313</v>
      </c>
      <c r="B244" s="165" t="s">
        <v>2</v>
      </c>
      <c r="C244" s="166"/>
      <c r="D244" s="167"/>
      <c r="E244" s="166"/>
      <c r="F244" s="166">
        <f>SUM(F245:F246)</f>
        <v>2081.4347999999995</v>
      </c>
      <c r="G244" s="166"/>
      <c r="H244" s="166"/>
      <c r="I244" s="166"/>
      <c r="J244" s="166">
        <f>SUM(J245:J246)</f>
        <v>1278.0739999999998</v>
      </c>
      <c r="K244" s="166">
        <f>SUM(K245:K246)</f>
        <v>803.36079999999993</v>
      </c>
      <c r="L244" s="166">
        <f>SUM(L245:L246)</f>
        <v>2081.4348</v>
      </c>
      <c r="M244" s="188">
        <f t="shared" si="129"/>
        <v>1.0000000000000002</v>
      </c>
      <c r="N244" s="81"/>
      <c r="O244" s="7"/>
      <c r="P244" s="80"/>
      <c r="Q244" s="80"/>
      <c r="R244" s="91"/>
      <c r="S244" s="8"/>
      <c r="T244" s="82"/>
      <c r="W244" s="10"/>
      <c r="X244" s="9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</row>
    <row r="245" spans="1:61">
      <c r="A245" s="156"/>
      <c r="B245" s="157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88" t="e">
        <f t="shared" si="129"/>
        <v>#DIV/0!</v>
      </c>
      <c r="N245" s="81"/>
      <c r="O245" s="7"/>
      <c r="P245" s="80"/>
      <c r="Q245" s="80"/>
      <c r="R245" s="91"/>
      <c r="S245" s="8"/>
      <c r="T245" s="82"/>
      <c r="W245" s="10"/>
      <c r="X245" s="9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</row>
    <row r="246" spans="1:61" ht="42.75">
      <c r="A246" s="156" t="s">
        <v>314</v>
      </c>
      <c r="B246" s="157" t="s">
        <v>315</v>
      </c>
      <c r="C246" s="156" t="s">
        <v>17</v>
      </c>
      <c r="D246" s="156">
        <v>1.1399999999999999</v>
      </c>
      <c r="E246" s="156">
        <v>1825.82</v>
      </c>
      <c r="F246" s="156">
        <f t="shared" ref="F246" si="150">D246*E246</f>
        <v>2081.4347999999995</v>
      </c>
      <c r="G246" s="156">
        <v>0.7</v>
      </c>
      <c r="H246" s="156">
        <f>'MEMORIA BM 04'!L638</f>
        <v>0.43999999999999995</v>
      </c>
      <c r="I246" s="156">
        <f t="shared" ref="I246" si="151">G246+H246</f>
        <v>1.1399999999999999</v>
      </c>
      <c r="J246" s="156">
        <f t="shared" ref="J246" si="152">E246*G246</f>
        <v>1278.0739999999998</v>
      </c>
      <c r="K246" s="156">
        <f t="shared" ref="K246" si="153">H246*E246</f>
        <v>803.36079999999993</v>
      </c>
      <c r="L246" s="156">
        <f t="shared" ref="L246" si="154">J246+K246</f>
        <v>2081.4348</v>
      </c>
      <c r="M246" s="188">
        <f t="shared" si="129"/>
        <v>1.0000000000000002</v>
      </c>
      <c r="N246" s="92"/>
      <c r="O246" s="7"/>
      <c r="P246" s="80"/>
      <c r="Q246" s="80"/>
      <c r="R246" s="91"/>
      <c r="S246" s="8"/>
      <c r="T246" s="82"/>
      <c r="W246" s="10"/>
      <c r="X246" s="9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</row>
    <row r="247" spans="1:61">
      <c r="A247" s="156"/>
      <c r="B247" s="157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88" t="e">
        <f t="shared" si="129"/>
        <v>#DIV/0!</v>
      </c>
      <c r="N247" s="81"/>
      <c r="O247" s="7"/>
      <c r="P247" s="80"/>
      <c r="Q247" s="80"/>
      <c r="R247" s="91"/>
      <c r="S247" s="8"/>
      <c r="T247" s="82"/>
      <c r="W247" s="10"/>
      <c r="X247" s="9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</row>
    <row r="248" spans="1:61" ht="14.25" customHeight="1">
      <c r="A248" s="164" t="s">
        <v>316</v>
      </c>
      <c r="B248" s="165" t="s">
        <v>317</v>
      </c>
      <c r="C248" s="166"/>
      <c r="D248" s="167"/>
      <c r="E248" s="166"/>
      <c r="F248" s="166">
        <f>SUM(F249:F250)</f>
        <v>948.97280000000001</v>
      </c>
      <c r="G248" s="166"/>
      <c r="H248" s="166"/>
      <c r="I248" s="166"/>
      <c r="J248" s="166">
        <f>SUM(J249:J250)</f>
        <v>0</v>
      </c>
      <c r="K248" s="166">
        <f>SUM(K249:K250)</f>
        <v>948.97280000000001</v>
      </c>
      <c r="L248" s="166">
        <f>SUM(L249:L250)</f>
        <v>948.97280000000001</v>
      </c>
      <c r="M248" s="188">
        <f t="shared" si="129"/>
        <v>1</v>
      </c>
      <c r="N248" s="81"/>
      <c r="O248" s="7"/>
      <c r="P248" s="80"/>
      <c r="Q248" s="80"/>
      <c r="R248" s="91"/>
      <c r="S248" s="8"/>
      <c r="T248" s="82"/>
      <c r="W248" s="10"/>
      <c r="X248" s="9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</row>
    <row r="249" spans="1:61">
      <c r="A249" s="156"/>
      <c r="B249" s="157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M249" s="188" t="e">
        <f t="shared" si="129"/>
        <v>#DIV/0!</v>
      </c>
      <c r="N249" s="81"/>
      <c r="O249" s="7"/>
      <c r="P249" s="80"/>
      <c r="Q249" s="80"/>
      <c r="R249" s="91"/>
      <c r="S249" s="8"/>
      <c r="T249" s="82"/>
      <c r="W249" s="10"/>
      <c r="X249" s="9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</row>
    <row r="250" spans="1:61" ht="57">
      <c r="A250" s="156" t="s">
        <v>318</v>
      </c>
      <c r="B250" s="157" t="s">
        <v>80</v>
      </c>
      <c r="C250" s="156" t="s">
        <v>16</v>
      </c>
      <c r="D250" s="156">
        <v>18.559999999999999</v>
      </c>
      <c r="E250" s="156">
        <v>51.13</v>
      </c>
      <c r="F250" s="156">
        <f t="shared" ref="F250" si="155">D250*E250</f>
        <v>948.97280000000001</v>
      </c>
      <c r="G250" s="156">
        <v>0</v>
      </c>
      <c r="H250" s="156">
        <f>'MEMORIA BM 04'!L644</f>
        <v>18.559999999999999</v>
      </c>
      <c r="I250" s="156">
        <f t="shared" ref="I250" si="156">G250+H250</f>
        <v>18.559999999999999</v>
      </c>
      <c r="J250" s="156">
        <f t="shared" ref="J250" si="157">E250*G250</f>
        <v>0</v>
      </c>
      <c r="K250" s="156">
        <f t="shared" ref="K250" si="158">H250*E250</f>
        <v>948.97280000000001</v>
      </c>
      <c r="L250" s="156">
        <f t="shared" ref="L250" si="159">J250+K250</f>
        <v>948.97280000000001</v>
      </c>
      <c r="M250" s="188">
        <f t="shared" si="129"/>
        <v>1</v>
      </c>
      <c r="N250" s="92"/>
      <c r="O250" s="7"/>
      <c r="P250" s="80"/>
      <c r="Q250" s="80"/>
      <c r="R250" s="91"/>
      <c r="S250" s="8"/>
      <c r="T250" s="82"/>
      <c r="W250" s="10"/>
      <c r="X250" s="9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</row>
    <row r="251" spans="1:61">
      <c r="A251" s="156"/>
      <c r="B251" s="157"/>
      <c r="C251" s="156"/>
      <c r="D251" s="156"/>
      <c r="E251" s="156"/>
      <c r="F251" s="156"/>
      <c r="G251" s="156"/>
      <c r="H251" s="156"/>
      <c r="I251" s="156"/>
      <c r="J251" s="156"/>
      <c r="K251" s="156"/>
      <c r="L251" s="156"/>
      <c r="M251" s="188" t="e">
        <f t="shared" si="129"/>
        <v>#DIV/0!</v>
      </c>
      <c r="N251" s="81"/>
      <c r="O251" s="7"/>
      <c r="P251" s="80"/>
      <c r="Q251" s="80"/>
      <c r="R251" s="91"/>
      <c r="S251" s="8"/>
      <c r="T251" s="82"/>
      <c r="W251" s="10"/>
      <c r="X251" s="9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</row>
    <row r="252" spans="1:61" ht="14.25" customHeight="1">
      <c r="A252" s="164" t="s">
        <v>319</v>
      </c>
      <c r="B252" s="165" t="s">
        <v>320</v>
      </c>
      <c r="C252" s="166"/>
      <c r="D252" s="167"/>
      <c r="E252" s="166"/>
      <c r="F252" s="166">
        <f>SUM(F253:F259)</f>
        <v>9832.2376000000004</v>
      </c>
      <c r="G252" s="166"/>
      <c r="H252" s="166"/>
      <c r="I252" s="166"/>
      <c r="J252" s="166">
        <f>SUM(J253:J259)</f>
        <v>0</v>
      </c>
      <c r="K252" s="166">
        <f t="shared" ref="K252:L252" si="160">SUM(K253:K259)</f>
        <v>9832.2376000000004</v>
      </c>
      <c r="L252" s="166">
        <f t="shared" si="160"/>
        <v>9832.2376000000004</v>
      </c>
      <c r="M252" s="188">
        <f t="shared" si="129"/>
        <v>1</v>
      </c>
      <c r="N252" s="81"/>
      <c r="O252" s="7"/>
      <c r="P252" s="80"/>
      <c r="Q252" s="80"/>
      <c r="R252" s="91"/>
      <c r="S252" s="8"/>
      <c r="T252" s="82"/>
      <c r="W252" s="10"/>
      <c r="X252" s="9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</row>
    <row r="253" spans="1:61">
      <c r="A253" s="156"/>
      <c r="B253" s="157"/>
      <c r="C253" s="156"/>
      <c r="D253" s="156"/>
      <c r="E253" s="156"/>
      <c r="F253" s="156"/>
      <c r="G253" s="156"/>
      <c r="H253" s="156"/>
      <c r="I253" s="156"/>
      <c r="J253" s="156"/>
      <c r="K253" s="156"/>
      <c r="L253" s="156"/>
      <c r="M253" s="188" t="e">
        <f t="shared" si="129"/>
        <v>#DIV/0!</v>
      </c>
      <c r="N253" s="81"/>
      <c r="O253" s="7"/>
      <c r="P253" s="80"/>
      <c r="Q253" s="80"/>
      <c r="R253" s="91"/>
      <c r="S253" s="8"/>
      <c r="T253" s="82"/>
      <c r="W253" s="10"/>
      <c r="X253" s="9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</row>
    <row r="254" spans="1:61" ht="42.75">
      <c r="A254" s="156" t="s">
        <v>321</v>
      </c>
      <c r="B254" s="157" t="s">
        <v>110</v>
      </c>
      <c r="C254" s="156" t="s">
        <v>16</v>
      </c>
      <c r="D254" s="156">
        <v>0</v>
      </c>
      <c r="E254" s="156">
        <v>22.8</v>
      </c>
      <c r="F254" s="156">
        <f t="shared" ref="F254:F259" si="161">D254*E254</f>
        <v>0</v>
      </c>
      <c r="G254" s="156">
        <v>0</v>
      </c>
      <c r="H254" s="156"/>
      <c r="I254" s="156">
        <f t="shared" ref="I254:I259" si="162">G254+H254</f>
        <v>0</v>
      </c>
      <c r="J254" s="156">
        <f t="shared" ref="J254:J259" si="163">E254*G254</f>
        <v>0</v>
      </c>
      <c r="K254" s="156">
        <f t="shared" ref="K254:K257" si="164">H254*E254</f>
        <v>0</v>
      </c>
      <c r="L254" s="156">
        <f t="shared" ref="L254:L257" si="165">J254+K254</f>
        <v>0</v>
      </c>
      <c r="M254" s="188" t="e">
        <f t="shared" si="129"/>
        <v>#DIV/0!</v>
      </c>
      <c r="N254" s="81"/>
      <c r="O254" s="7"/>
      <c r="P254" s="80"/>
      <c r="Q254" s="80"/>
      <c r="R254" s="91"/>
      <c r="S254" s="8"/>
      <c r="T254" s="82"/>
      <c r="W254" s="10"/>
      <c r="X254" s="9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</row>
    <row r="255" spans="1:61" ht="42.75">
      <c r="A255" s="156" t="s">
        <v>322</v>
      </c>
      <c r="B255" s="157" t="s">
        <v>323</v>
      </c>
      <c r="C255" s="156" t="s">
        <v>7</v>
      </c>
      <c r="D255" s="156">
        <v>0</v>
      </c>
      <c r="E255" s="156">
        <v>319.25</v>
      </c>
      <c r="F255" s="156">
        <f t="shared" si="161"/>
        <v>0</v>
      </c>
      <c r="G255" s="156">
        <v>0</v>
      </c>
      <c r="H255" s="156"/>
      <c r="I255" s="156">
        <f t="shared" si="162"/>
        <v>0</v>
      </c>
      <c r="J255" s="156">
        <f t="shared" si="163"/>
        <v>0</v>
      </c>
      <c r="K255" s="156">
        <f t="shared" si="164"/>
        <v>0</v>
      </c>
      <c r="L255" s="156">
        <f t="shared" si="165"/>
        <v>0</v>
      </c>
      <c r="M255" s="188" t="e">
        <f t="shared" si="129"/>
        <v>#DIV/0!</v>
      </c>
      <c r="N255" s="81"/>
      <c r="O255" s="7"/>
      <c r="P255" s="80"/>
      <c r="Q255" s="80"/>
      <c r="R255" s="91"/>
      <c r="S255" s="8"/>
      <c r="T255" s="82"/>
      <c r="W255" s="10"/>
      <c r="X255" s="9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</row>
    <row r="256" spans="1:61" ht="28.5">
      <c r="A256" s="156" t="s">
        <v>324</v>
      </c>
      <c r="B256" s="157" t="s">
        <v>114</v>
      </c>
      <c r="C256" s="156" t="s">
        <v>16</v>
      </c>
      <c r="D256" s="156">
        <v>83.16</v>
      </c>
      <c r="E256" s="156">
        <v>25.93</v>
      </c>
      <c r="F256" s="156">
        <f t="shared" si="161"/>
        <v>2156.3388</v>
      </c>
      <c r="G256" s="156">
        <v>0</v>
      </c>
      <c r="H256" s="156">
        <f>'MEMORIA BM 04'!L655</f>
        <v>83.16</v>
      </c>
      <c r="I256" s="156">
        <f t="shared" si="162"/>
        <v>83.16</v>
      </c>
      <c r="J256" s="156">
        <f t="shared" si="163"/>
        <v>0</v>
      </c>
      <c r="K256" s="156">
        <f t="shared" si="164"/>
        <v>2156.3388</v>
      </c>
      <c r="L256" s="156">
        <f t="shared" si="165"/>
        <v>2156.3388</v>
      </c>
      <c r="M256" s="188">
        <f t="shared" si="129"/>
        <v>1</v>
      </c>
      <c r="N256" s="81"/>
      <c r="O256" s="7"/>
      <c r="P256" s="80"/>
      <c r="Q256" s="80"/>
      <c r="R256" s="91"/>
      <c r="S256" s="8"/>
      <c r="T256" s="82"/>
      <c r="W256" s="10"/>
      <c r="X256" s="9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</row>
    <row r="257" spans="1:61" ht="43.5" customHeight="1">
      <c r="A257" s="156" t="s">
        <v>325</v>
      </c>
      <c r="B257" s="157" t="s">
        <v>116</v>
      </c>
      <c r="C257" s="156" t="s">
        <v>6</v>
      </c>
      <c r="D257" s="156">
        <v>12.6</v>
      </c>
      <c r="E257" s="156">
        <v>10.52</v>
      </c>
      <c r="F257" s="156">
        <f t="shared" si="161"/>
        <v>132.55199999999999</v>
      </c>
      <c r="G257" s="156">
        <v>0</v>
      </c>
      <c r="H257" s="156">
        <f>'MEMORIA BM 04'!L658</f>
        <v>12.6</v>
      </c>
      <c r="I257" s="156">
        <f t="shared" si="162"/>
        <v>12.6</v>
      </c>
      <c r="J257" s="156">
        <f t="shared" si="163"/>
        <v>0</v>
      </c>
      <c r="K257" s="156">
        <f t="shared" si="164"/>
        <v>132.55199999999999</v>
      </c>
      <c r="L257" s="156">
        <f t="shared" si="165"/>
        <v>132.55199999999999</v>
      </c>
      <c r="M257" s="188">
        <f t="shared" si="129"/>
        <v>1</v>
      </c>
      <c r="N257" s="81"/>
      <c r="O257" s="7"/>
      <c r="P257" s="80"/>
      <c r="Q257" s="80"/>
      <c r="R257" s="91"/>
      <c r="S257" s="8"/>
      <c r="T257" s="82"/>
      <c r="W257" s="10"/>
      <c r="X257" s="9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</row>
    <row r="258" spans="1:61" ht="42.75">
      <c r="A258" s="156" t="s">
        <v>631</v>
      </c>
      <c r="B258" s="157" t="s">
        <v>632</v>
      </c>
      <c r="C258" s="156" t="s">
        <v>602</v>
      </c>
      <c r="D258" s="156">
        <v>4</v>
      </c>
      <c r="E258" s="156">
        <v>872.74</v>
      </c>
      <c r="F258" s="156">
        <f t="shared" si="161"/>
        <v>3490.96</v>
      </c>
      <c r="G258" s="156">
        <v>0</v>
      </c>
      <c r="H258" s="156">
        <f>'MEMORIA BM 04'!L661</f>
        <v>4</v>
      </c>
      <c r="I258" s="156">
        <f t="shared" si="162"/>
        <v>4</v>
      </c>
      <c r="J258" s="156">
        <f t="shared" si="163"/>
        <v>0</v>
      </c>
      <c r="K258" s="156">
        <f t="shared" ref="K258:K259" si="166">H258*E258</f>
        <v>3490.96</v>
      </c>
      <c r="L258" s="156">
        <f t="shared" ref="L258:L259" si="167">J258+K258</f>
        <v>3490.96</v>
      </c>
      <c r="M258" s="188">
        <f t="shared" si="129"/>
        <v>1</v>
      </c>
      <c r="N258" s="81"/>
      <c r="O258" s="7"/>
      <c r="P258" s="80"/>
      <c r="Q258" s="80"/>
      <c r="R258" s="91"/>
      <c r="S258" s="8"/>
      <c r="T258" s="82"/>
      <c r="W258" s="10"/>
      <c r="X258" s="9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</row>
    <row r="259" spans="1:61" ht="42.75">
      <c r="A259" s="156" t="s">
        <v>633</v>
      </c>
      <c r="B259" s="157" t="s">
        <v>634</v>
      </c>
      <c r="C259" s="156" t="s">
        <v>81</v>
      </c>
      <c r="D259" s="156">
        <v>83.16</v>
      </c>
      <c r="E259" s="156">
        <v>48.73</v>
      </c>
      <c r="F259" s="156">
        <f t="shared" si="161"/>
        <v>4052.3867999999998</v>
      </c>
      <c r="G259" s="156">
        <v>0</v>
      </c>
      <c r="H259" s="156">
        <f>'MEMORIA BM 04'!L664</f>
        <v>83.16</v>
      </c>
      <c r="I259" s="156">
        <f t="shared" si="162"/>
        <v>83.16</v>
      </c>
      <c r="J259" s="156">
        <f t="shared" si="163"/>
        <v>0</v>
      </c>
      <c r="K259" s="156">
        <f t="shared" si="166"/>
        <v>4052.3867999999998</v>
      </c>
      <c r="L259" s="156">
        <f t="shared" si="167"/>
        <v>4052.3867999999998</v>
      </c>
      <c r="M259" s="188">
        <f t="shared" si="129"/>
        <v>1</v>
      </c>
      <c r="N259" s="81"/>
      <c r="O259" s="7"/>
      <c r="P259" s="80"/>
      <c r="Q259" s="80"/>
      <c r="R259" s="91"/>
      <c r="S259" s="8"/>
      <c r="T259" s="82"/>
      <c r="W259" s="10"/>
      <c r="X259" s="9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</row>
    <row r="260" spans="1:61">
      <c r="A260" s="156"/>
      <c r="B260" s="157"/>
      <c r="C260" s="156"/>
      <c r="D260" s="156"/>
      <c r="E260" s="156"/>
      <c r="F260" s="156"/>
      <c r="G260" s="156"/>
      <c r="H260" s="156"/>
      <c r="I260" s="156"/>
      <c r="J260" s="156"/>
      <c r="K260" s="156"/>
      <c r="L260" s="156"/>
      <c r="M260" s="188" t="e">
        <f t="shared" si="129"/>
        <v>#DIV/0!</v>
      </c>
      <c r="N260" s="81"/>
      <c r="O260" s="7"/>
      <c r="P260" s="80"/>
      <c r="Q260" s="80"/>
      <c r="R260" s="91"/>
      <c r="S260" s="8"/>
      <c r="T260" s="82"/>
      <c r="W260" s="10"/>
      <c r="X260" s="9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</row>
    <row r="261" spans="1:61" ht="14.25" customHeight="1">
      <c r="A261" s="164" t="s">
        <v>326</v>
      </c>
      <c r="B261" s="165" t="s">
        <v>327</v>
      </c>
      <c r="C261" s="166"/>
      <c r="D261" s="167"/>
      <c r="E261" s="166"/>
      <c r="F261" s="166">
        <f>SUM(F262:F266)</f>
        <v>2578.8735999999999</v>
      </c>
      <c r="G261" s="166"/>
      <c r="H261" s="166"/>
      <c r="I261" s="166"/>
      <c r="J261" s="166">
        <f>SUM(J262:J266)</f>
        <v>0</v>
      </c>
      <c r="K261" s="166">
        <f t="shared" ref="K261:L261" si="168">SUM(K262:K266)</f>
        <v>1627.4880000000001</v>
      </c>
      <c r="L261" s="166">
        <f t="shared" si="168"/>
        <v>1627.4880000000001</v>
      </c>
      <c r="M261" s="188">
        <f t="shared" si="129"/>
        <v>0.631084827112116</v>
      </c>
      <c r="N261" s="81"/>
      <c r="O261" s="7"/>
      <c r="P261" s="80"/>
      <c r="Q261" s="80"/>
      <c r="R261" s="91"/>
      <c r="S261" s="8"/>
      <c r="T261" s="82"/>
      <c r="W261" s="10"/>
      <c r="X261" s="9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</row>
    <row r="262" spans="1:61">
      <c r="A262" s="156"/>
      <c r="B262" s="157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88" t="e">
        <f t="shared" si="129"/>
        <v>#DIV/0!</v>
      </c>
      <c r="N262" s="81"/>
      <c r="O262" s="7"/>
      <c r="P262" s="80"/>
      <c r="Q262" s="80"/>
      <c r="R262" s="91"/>
      <c r="S262" s="8"/>
      <c r="T262" s="82"/>
      <c r="W262" s="10"/>
      <c r="X262" s="9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</row>
    <row r="263" spans="1:61" ht="42.75">
      <c r="A263" s="156" t="s">
        <v>328</v>
      </c>
      <c r="B263" s="157" t="s">
        <v>128</v>
      </c>
      <c r="C263" s="156" t="s">
        <v>16</v>
      </c>
      <c r="D263" s="156">
        <v>66.88</v>
      </c>
      <c r="E263" s="156">
        <v>2.92</v>
      </c>
      <c r="F263" s="156">
        <f t="shared" ref="F263:F266" si="169">D263*E263</f>
        <v>195.28959999999998</v>
      </c>
      <c r="G263" s="156">
        <v>0</v>
      </c>
      <c r="H263" s="156">
        <f>'MEMORIA BM 04'!L669</f>
        <v>66.88</v>
      </c>
      <c r="I263" s="156">
        <f t="shared" ref="I263:I265" si="170">G263+H263</f>
        <v>66.88</v>
      </c>
      <c r="J263" s="156">
        <f t="shared" ref="J263:J265" si="171">E263*G263</f>
        <v>0</v>
      </c>
      <c r="K263" s="156">
        <f t="shared" ref="K263:K265" si="172">H263*E263</f>
        <v>195.28959999999998</v>
      </c>
      <c r="L263" s="156">
        <f t="shared" ref="L263:L265" si="173">J263+K263</f>
        <v>195.28959999999998</v>
      </c>
      <c r="M263" s="188">
        <f t="shared" si="129"/>
        <v>1</v>
      </c>
      <c r="N263" s="81"/>
      <c r="O263" s="7"/>
      <c r="P263" s="80"/>
      <c r="Q263" s="80"/>
      <c r="R263" s="91"/>
      <c r="S263" s="8"/>
      <c r="T263" s="82"/>
      <c r="W263" s="10"/>
      <c r="X263" s="9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</row>
    <row r="264" spans="1:61" ht="60" customHeight="1">
      <c r="A264" s="156" t="s">
        <v>329</v>
      </c>
      <c r="B264" s="157" t="s">
        <v>130</v>
      </c>
      <c r="C264" s="156" t="s">
        <v>16</v>
      </c>
      <c r="D264" s="156">
        <v>48.32</v>
      </c>
      <c r="E264" s="156">
        <v>21.42</v>
      </c>
      <c r="F264" s="156">
        <f t="shared" si="169"/>
        <v>1035.0144</v>
      </c>
      <c r="G264" s="156">
        <v>0</v>
      </c>
      <c r="H264" s="156">
        <f>'MEMORIA BM 04'!L674</f>
        <v>48.319999999999993</v>
      </c>
      <c r="I264" s="156">
        <f t="shared" si="170"/>
        <v>48.319999999999993</v>
      </c>
      <c r="J264" s="156">
        <f t="shared" si="171"/>
        <v>0</v>
      </c>
      <c r="K264" s="156">
        <f t="shared" si="172"/>
        <v>1035.0144</v>
      </c>
      <c r="L264" s="156">
        <f t="shared" si="173"/>
        <v>1035.0144</v>
      </c>
      <c r="M264" s="188">
        <f t="shared" si="129"/>
        <v>1</v>
      </c>
      <c r="N264" s="81"/>
      <c r="O264" s="7"/>
      <c r="P264" s="80"/>
      <c r="Q264" s="80"/>
      <c r="R264" s="91"/>
      <c r="S264" s="8"/>
      <c r="T264" s="82"/>
      <c r="W264" s="10"/>
      <c r="X264" s="9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</row>
    <row r="265" spans="1:61" ht="42.75">
      <c r="A265" s="156" t="s">
        <v>330</v>
      </c>
      <c r="B265" s="157" t="s">
        <v>134</v>
      </c>
      <c r="C265" s="156" t="s">
        <v>16</v>
      </c>
      <c r="D265" s="156">
        <v>18.559999999999999</v>
      </c>
      <c r="E265" s="156">
        <v>51.26</v>
      </c>
      <c r="F265" s="156">
        <f t="shared" si="169"/>
        <v>951.38559999999995</v>
      </c>
      <c r="G265" s="156">
        <v>0</v>
      </c>
      <c r="H265" s="156"/>
      <c r="I265" s="156">
        <f t="shared" si="170"/>
        <v>0</v>
      </c>
      <c r="J265" s="156">
        <f t="shared" si="171"/>
        <v>0</v>
      </c>
      <c r="K265" s="156">
        <f t="shared" si="172"/>
        <v>0</v>
      </c>
      <c r="L265" s="156">
        <f t="shared" si="173"/>
        <v>0</v>
      </c>
      <c r="M265" s="188">
        <f t="shared" si="129"/>
        <v>0</v>
      </c>
      <c r="N265" s="81"/>
      <c r="O265" s="7"/>
      <c r="P265" s="80"/>
      <c r="Q265" s="80"/>
      <c r="R265" s="91"/>
      <c r="S265" s="8"/>
      <c r="T265" s="82"/>
      <c r="W265" s="10"/>
      <c r="X265" s="9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</row>
    <row r="266" spans="1:61" ht="42.75">
      <c r="A266" s="156" t="s">
        <v>635</v>
      </c>
      <c r="B266" s="157" t="s">
        <v>636</v>
      </c>
      <c r="C266" s="156" t="s">
        <v>81</v>
      </c>
      <c r="D266" s="156">
        <v>18.559999999999999</v>
      </c>
      <c r="E266" s="156">
        <v>21.4</v>
      </c>
      <c r="F266" s="156">
        <f t="shared" si="169"/>
        <v>397.18399999999997</v>
      </c>
      <c r="G266" s="156">
        <v>0</v>
      </c>
      <c r="H266" s="156">
        <f>'MEMORIA BM 04'!L680</f>
        <v>18.559999999999999</v>
      </c>
      <c r="I266" s="156">
        <f t="shared" ref="I266" si="174">G266+H266</f>
        <v>18.559999999999999</v>
      </c>
      <c r="J266" s="156">
        <f t="shared" ref="J266" si="175">E266*G266</f>
        <v>0</v>
      </c>
      <c r="K266" s="156">
        <f t="shared" ref="K266" si="176">H266*E266</f>
        <v>397.18399999999997</v>
      </c>
      <c r="L266" s="156">
        <f t="shared" ref="L266" si="177">J266+K266</f>
        <v>397.18399999999997</v>
      </c>
      <c r="M266" s="188">
        <f t="shared" si="129"/>
        <v>1</v>
      </c>
      <c r="N266" s="81"/>
      <c r="O266" s="7"/>
      <c r="P266" s="80"/>
      <c r="Q266" s="80"/>
      <c r="R266" s="91"/>
      <c r="S266" s="8"/>
      <c r="T266" s="82"/>
      <c r="W266" s="10"/>
      <c r="X266" s="9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</row>
    <row r="267" spans="1:61">
      <c r="A267" s="156"/>
      <c r="B267" s="157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88" t="e">
        <f t="shared" si="129"/>
        <v>#DIV/0!</v>
      </c>
      <c r="N267" s="81"/>
      <c r="O267" s="7"/>
      <c r="P267" s="80"/>
      <c r="Q267" s="80"/>
      <c r="R267" s="91"/>
      <c r="S267" s="8"/>
      <c r="T267" s="82"/>
      <c r="W267" s="10"/>
      <c r="X267" s="9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</row>
    <row r="268" spans="1:61" ht="14.25" customHeight="1">
      <c r="A268" s="164" t="s">
        <v>331</v>
      </c>
      <c r="B268" s="165" t="s">
        <v>332</v>
      </c>
      <c r="C268" s="166"/>
      <c r="D268" s="167"/>
      <c r="E268" s="166"/>
      <c r="F268" s="166">
        <f>SUM(F269:F273)</f>
        <v>6167.6136000000006</v>
      </c>
      <c r="G268" s="166"/>
      <c r="H268" s="166"/>
      <c r="I268" s="166"/>
      <c r="J268" s="166">
        <f>SUM(J269:J273)</f>
        <v>1819.6309999999999</v>
      </c>
      <c r="K268" s="166">
        <f t="shared" ref="K268:L268" si="178">SUM(K269:K273)</f>
        <v>0</v>
      </c>
      <c r="L268" s="166">
        <f t="shared" si="178"/>
        <v>1819.6309999999999</v>
      </c>
      <c r="M268" s="188">
        <f t="shared" si="129"/>
        <v>0.29502999344835734</v>
      </c>
      <c r="N268" s="81"/>
      <c r="O268" s="7"/>
      <c r="P268" s="80"/>
      <c r="Q268" s="80"/>
      <c r="R268" s="91"/>
      <c r="S268" s="8"/>
      <c r="T268" s="82"/>
      <c r="W268" s="10"/>
      <c r="X268" s="9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</row>
    <row r="269" spans="1:61">
      <c r="A269" s="156"/>
      <c r="B269" s="157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88" t="e">
        <f t="shared" si="129"/>
        <v>#DIV/0!</v>
      </c>
      <c r="N269" s="81"/>
      <c r="O269" s="7"/>
      <c r="P269" s="80"/>
      <c r="Q269" s="80"/>
      <c r="R269" s="91"/>
      <c r="S269" s="8"/>
      <c r="T269" s="82"/>
      <c r="W269" s="10"/>
      <c r="X269" s="9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</row>
    <row r="270" spans="1:61" ht="28.5">
      <c r="A270" s="156" t="s">
        <v>333</v>
      </c>
      <c r="B270" s="157" t="s">
        <v>154</v>
      </c>
      <c r="C270" s="156" t="s">
        <v>16</v>
      </c>
      <c r="D270" s="156">
        <v>72</v>
      </c>
      <c r="E270" s="156">
        <v>19.77</v>
      </c>
      <c r="F270" s="156">
        <f t="shared" ref="F270:F272" si="179">D270*E270</f>
        <v>1423.44</v>
      </c>
      <c r="G270" s="156">
        <v>47.3</v>
      </c>
      <c r="H270" s="156"/>
      <c r="I270" s="156">
        <f t="shared" ref="I270:I272" si="180">G270+H270</f>
        <v>47.3</v>
      </c>
      <c r="J270" s="156">
        <f t="shared" ref="J270:J272" si="181">E270*G270</f>
        <v>935.12099999999987</v>
      </c>
      <c r="K270" s="156">
        <f t="shared" ref="K270:K272" si="182">H270*E270</f>
        <v>0</v>
      </c>
      <c r="L270" s="156">
        <f t="shared" ref="L270:L272" si="183">J270+K270</f>
        <v>935.12099999999987</v>
      </c>
      <c r="M270" s="188">
        <f t="shared" si="129"/>
        <v>0.65694444444444433</v>
      </c>
      <c r="N270" s="92"/>
      <c r="O270" s="7"/>
      <c r="P270" s="80"/>
      <c r="Q270" s="80"/>
      <c r="R270" s="91"/>
      <c r="S270" s="8"/>
      <c r="T270" s="82"/>
      <c r="W270" s="10"/>
      <c r="X270" s="9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</row>
    <row r="271" spans="1:61">
      <c r="A271" s="156" t="s">
        <v>334</v>
      </c>
      <c r="B271" s="157" t="s">
        <v>156</v>
      </c>
      <c r="C271" s="156" t="s">
        <v>16</v>
      </c>
      <c r="D271" s="156">
        <v>72</v>
      </c>
      <c r="E271" s="156">
        <v>18.7</v>
      </c>
      <c r="F271" s="156">
        <f t="shared" si="179"/>
        <v>1346.3999999999999</v>
      </c>
      <c r="G271" s="156">
        <v>47.3</v>
      </c>
      <c r="H271" s="156"/>
      <c r="I271" s="156">
        <f t="shared" si="180"/>
        <v>47.3</v>
      </c>
      <c r="J271" s="156">
        <f t="shared" si="181"/>
        <v>884.50999999999988</v>
      </c>
      <c r="K271" s="156">
        <f t="shared" si="182"/>
        <v>0</v>
      </c>
      <c r="L271" s="156">
        <f t="shared" si="183"/>
        <v>884.50999999999988</v>
      </c>
      <c r="M271" s="188">
        <f t="shared" si="129"/>
        <v>0.65694444444444444</v>
      </c>
      <c r="N271" s="92"/>
      <c r="O271" s="7"/>
      <c r="P271" s="80"/>
      <c r="Q271" s="80"/>
      <c r="R271" s="91"/>
      <c r="S271" s="8"/>
      <c r="T271" s="82"/>
      <c r="W271" s="10"/>
      <c r="X271" s="9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</row>
    <row r="272" spans="1:61" ht="28.5">
      <c r="A272" s="156" t="s">
        <v>335</v>
      </c>
      <c r="B272" s="157" t="s">
        <v>160</v>
      </c>
      <c r="C272" s="156" t="s">
        <v>16</v>
      </c>
      <c r="D272" s="156">
        <v>72</v>
      </c>
      <c r="E272" s="156">
        <v>28.83</v>
      </c>
      <c r="F272" s="156">
        <f t="shared" si="179"/>
        <v>2075.7599999999998</v>
      </c>
      <c r="G272" s="156">
        <v>0</v>
      </c>
      <c r="H272" s="156"/>
      <c r="I272" s="156">
        <f t="shared" si="180"/>
        <v>0</v>
      </c>
      <c r="J272" s="156">
        <f t="shared" si="181"/>
        <v>0</v>
      </c>
      <c r="K272" s="156">
        <f t="shared" si="182"/>
        <v>0</v>
      </c>
      <c r="L272" s="156">
        <f t="shared" si="183"/>
        <v>0</v>
      </c>
      <c r="M272" s="188">
        <f t="shared" si="129"/>
        <v>0</v>
      </c>
      <c r="N272" s="92"/>
      <c r="O272" s="7"/>
      <c r="P272" s="80"/>
      <c r="Q272" s="80"/>
      <c r="R272" s="91"/>
      <c r="S272" s="8"/>
      <c r="T272" s="82"/>
      <c r="W272" s="10"/>
      <c r="X272" s="9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</row>
    <row r="273" spans="1:61" ht="42.75">
      <c r="A273" s="156" t="s">
        <v>637</v>
      </c>
      <c r="B273" s="157" t="s">
        <v>638</v>
      </c>
      <c r="C273" s="156" t="s">
        <v>81</v>
      </c>
      <c r="D273" s="156">
        <v>22.32</v>
      </c>
      <c r="E273" s="156">
        <v>59.23</v>
      </c>
      <c r="F273" s="156">
        <f t="shared" ref="F273" si="184">D273*E273</f>
        <v>1322.0136</v>
      </c>
      <c r="G273" s="156">
        <v>0</v>
      </c>
      <c r="H273" s="156"/>
      <c r="I273" s="156">
        <f t="shared" ref="I273" si="185">G273+H273</f>
        <v>0</v>
      </c>
      <c r="J273" s="156">
        <f t="shared" ref="J273" si="186">E273*G273</f>
        <v>0</v>
      </c>
      <c r="K273" s="156">
        <f t="shared" ref="K273" si="187">H273*E273</f>
        <v>0</v>
      </c>
      <c r="L273" s="156">
        <f t="shared" ref="L273" si="188">J273+K273</f>
        <v>0</v>
      </c>
      <c r="M273" s="188">
        <f t="shared" si="129"/>
        <v>0</v>
      </c>
      <c r="N273" s="92"/>
      <c r="O273" s="7"/>
      <c r="P273" s="80"/>
      <c r="Q273" s="80"/>
      <c r="R273" s="91"/>
      <c r="S273" s="8"/>
      <c r="T273" s="82"/>
      <c r="W273" s="10"/>
      <c r="X273" s="9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</row>
    <row r="274" spans="1:61">
      <c r="A274" s="156"/>
      <c r="B274" s="157"/>
      <c r="C274" s="156"/>
      <c r="D274" s="156"/>
      <c r="E274" s="156"/>
      <c r="F274" s="156"/>
      <c r="G274" s="156"/>
      <c r="H274" s="156"/>
      <c r="I274" s="156"/>
      <c r="J274" s="156"/>
      <c r="K274" s="156"/>
      <c r="L274" s="156"/>
      <c r="M274" s="188" t="e">
        <f t="shared" si="129"/>
        <v>#DIV/0!</v>
      </c>
      <c r="N274" s="81"/>
      <c r="O274" s="7"/>
      <c r="P274" s="80"/>
      <c r="Q274" s="80"/>
      <c r="R274" s="91"/>
      <c r="S274" s="8"/>
      <c r="T274" s="82"/>
      <c r="W274" s="10"/>
      <c r="X274" s="9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</row>
    <row r="275" spans="1:61" ht="14.25" customHeight="1">
      <c r="A275" s="164" t="s">
        <v>336</v>
      </c>
      <c r="B275" s="165" t="s">
        <v>337</v>
      </c>
      <c r="C275" s="166"/>
      <c r="D275" s="167"/>
      <c r="E275" s="166"/>
      <c r="F275" s="166">
        <f>SUM(F276:F281)</f>
        <v>2430.9776000000002</v>
      </c>
      <c r="G275" s="166"/>
      <c r="H275" s="166"/>
      <c r="I275" s="166"/>
      <c r="J275" s="166">
        <f>SUM(J276:J281)</f>
        <v>0</v>
      </c>
      <c r="K275" s="166">
        <f>SUM(K276:K281)</f>
        <v>0</v>
      </c>
      <c r="L275" s="166">
        <f>SUM(L276:L281)</f>
        <v>0</v>
      </c>
      <c r="M275" s="188">
        <f t="shared" si="129"/>
        <v>0</v>
      </c>
      <c r="N275" s="81"/>
      <c r="O275" s="7"/>
      <c r="P275" s="80"/>
      <c r="Q275" s="80"/>
      <c r="R275" s="91"/>
      <c r="S275" s="8"/>
      <c r="T275" s="82"/>
      <c r="W275" s="10"/>
      <c r="X275" s="9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</row>
    <row r="276" spans="1:61">
      <c r="A276" s="156"/>
      <c r="B276" s="157"/>
      <c r="C276" s="156"/>
      <c r="D276" s="156"/>
      <c r="E276" s="156"/>
      <c r="F276" s="156"/>
      <c r="G276" s="156"/>
      <c r="H276" s="156"/>
      <c r="I276" s="156"/>
      <c r="J276" s="156"/>
      <c r="K276" s="156"/>
      <c r="L276" s="156"/>
      <c r="M276" s="188" t="e">
        <f t="shared" si="129"/>
        <v>#DIV/0!</v>
      </c>
      <c r="N276" s="81"/>
      <c r="O276" s="7"/>
      <c r="P276" s="80"/>
      <c r="Q276" s="80"/>
      <c r="R276" s="91"/>
      <c r="S276" s="8"/>
      <c r="T276" s="82"/>
      <c r="W276" s="10"/>
      <c r="X276" s="9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</row>
    <row r="277" spans="1:61" ht="28.5">
      <c r="A277" s="156" t="s">
        <v>338</v>
      </c>
      <c r="B277" s="157" t="s">
        <v>262</v>
      </c>
      <c r="C277" s="156" t="s">
        <v>7</v>
      </c>
      <c r="D277" s="156">
        <v>4</v>
      </c>
      <c r="E277" s="156">
        <v>116.16</v>
      </c>
      <c r="F277" s="156">
        <f t="shared" ref="F277:F281" si="189">D277*E277</f>
        <v>464.64</v>
      </c>
      <c r="G277" s="156">
        <v>0</v>
      </c>
      <c r="H277" s="156"/>
      <c r="I277" s="156">
        <f t="shared" ref="I277:I281" si="190">G277+H277</f>
        <v>0</v>
      </c>
      <c r="J277" s="156">
        <f t="shared" ref="J277:J281" si="191">E277*G277</f>
        <v>0</v>
      </c>
      <c r="K277" s="156">
        <f t="shared" ref="K277:K281" si="192">H277*E277</f>
        <v>0</v>
      </c>
      <c r="L277" s="156">
        <f t="shared" ref="L277:L281" si="193">J277+K277</f>
        <v>0</v>
      </c>
      <c r="M277" s="188">
        <f t="shared" si="129"/>
        <v>0</v>
      </c>
      <c r="N277" s="81"/>
      <c r="O277" s="7"/>
      <c r="P277" s="80"/>
      <c r="Q277" s="80"/>
      <c r="R277" s="91"/>
      <c r="S277" s="8"/>
      <c r="T277" s="82"/>
      <c r="W277" s="10"/>
      <c r="X277" s="9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</row>
    <row r="278" spans="1:61" ht="42.75">
      <c r="A278" s="156" t="s">
        <v>339</v>
      </c>
      <c r="B278" s="157" t="s">
        <v>260</v>
      </c>
      <c r="C278" s="156" t="s">
        <v>7</v>
      </c>
      <c r="D278" s="156">
        <v>4</v>
      </c>
      <c r="E278" s="156">
        <v>90.95</v>
      </c>
      <c r="F278" s="156">
        <f t="shared" si="189"/>
        <v>363.8</v>
      </c>
      <c r="G278" s="156">
        <v>0</v>
      </c>
      <c r="H278" s="156"/>
      <c r="I278" s="156">
        <f t="shared" si="190"/>
        <v>0</v>
      </c>
      <c r="J278" s="156">
        <f t="shared" si="191"/>
        <v>0</v>
      </c>
      <c r="K278" s="156">
        <f t="shared" si="192"/>
        <v>0</v>
      </c>
      <c r="L278" s="156">
        <f t="shared" si="193"/>
        <v>0</v>
      </c>
      <c r="M278" s="188">
        <f t="shared" si="129"/>
        <v>0</v>
      </c>
      <c r="N278" s="81"/>
      <c r="O278" s="7"/>
      <c r="P278" s="80"/>
      <c r="Q278" s="80"/>
      <c r="R278" s="91"/>
      <c r="S278" s="8"/>
      <c r="T278" s="82"/>
      <c r="W278" s="10"/>
      <c r="X278" s="9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  <c r="BH278" s="11"/>
      <c r="BI278" s="11"/>
    </row>
    <row r="279" spans="1:61" ht="28.5">
      <c r="A279" s="156" t="s">
        <v>340</v>
      </c>
      <c r="B279" s="157" t="s">
        <v>341</v>
      </c>
      <c r="C279" s="156" t="s">
        <v>7</v>
      </c>
      <c r="D279" s="156">
        <v>4</v>
      </c>
      <c r="E279" s="156">
        <v>372.59</v>
      </c>
      <c r="F279" s="156">
        <f t="shared" si="189"/>
        <v>1490.36</v>
      </c>
      <c r="G279" s="156">
        <v>0</v>
      </c>
      <c r="H279" s="156"/>
      <c r="I279" s="156">
        <f t="shared" si="190"/>
        <v>0</v>
      </c>
      <c r="J279" s="156">
        <f t="shared" si="191"/>
        <v>0</v>
      </c>
      <c r="K279" s="156">
        <f t="shared" si="192"/>
        <v>0</v>
      </c>
      <c r="L279" s="156">
        <f t="shared" si="193"/>
        <v>0</v>
      </c>
      <c r="M279" s="188">
        <f t="shared" si="129"/>
        <v>0</v>
      </c>
      <c r="N279" s="81"/>
      <c r="O279" s="7"/>
      <c r="P279" s="80"/>
      <c r="Q279" s="80"/>
      <c r="R279" s="91"/>
      <c r="S279" s="8"/>
      <c r="T279" s="82"/>
      <c r="W279" s="10"/>
      <c r="X279" s="9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</row>
    <row r="280" spans="1:61" ht="28.5">
      <c r="A280" s="156" t="s">
        <v>342</v>
      </c>
      <c r="B280" s="157" t="s">
        <v>343</v>
      </c>
      <c r="C280" s="156" t="s">
        <v>7</v>
      </c>
      <c r="D280" s="156">
        <v>2</v>
      </c>
      <c r="E280" s="156">
        <v>11.09</v>
      </c>
      <c r="F280" s="156">
        <f t="shared" si="189"/>
        <v>22.18</v>
      </c>
      <c r="G280" s="156">
        <v>0</v>
      </c>
      <c r="H280" s="156"/>
      <c r="I280" s="156">
        <f t="shared" si="190"/>
        <v>0</v>
      </c>
      <c r="J280" s="156">
        <f t="shared" si="191"/>
        <v>0</v>
      </c>
      <c r="K280" s="156">
        <f t="shared" si="192"/>
        <v>0</v>
      </c>
      <c r="L280" s="156">
        <f t="shared" si="193"/>
        <v>0</v>
      </c>
      <c r="M280" s="188">
        <f t="shared" si="129"/>
        <v>0</v>
      </c>
      <c r="N280" s="81"/>
      <c r="O280" s="7"/>
      <c r="P280" s="80"/>
      <c r="Q280" s="80"/>
      <c r="R280" s="91"/>
      <c r="S280" s="8"/>
      <c r="T280" s="82"/>
      <c r="W280" s="10"/>
      <c r="X280" s="9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</row>
    <row r="281" spans="1:61" ht="28.5">
      <c r="A281" s="156" t="s">
        <v>344</v>
      </c>
      <c r="B281" s="157" t="s">
        <v>345</v>
      </c>
      <c r="C281" s="156" t="s">
        <v>16</v>
      </c>
      <c r="D281" s="156">
        <v>19.48</v>
      </c>
      <c r="E281" s="156">
        <v>4.62</v>
      </c>
      <c r="F281" s="156">
        <f t="shared" si="189"/>
        <v>89.997600000000006</v>
      </c>
      <c r="G281" s="156">
        <v>0</v>
      </c>
      <c r="H281" s="156"/>
      <c r="I281" s="156">
        <f t="shared" si="190"/>
        <v>0</v>
      </c>
      <c r="J281" s="156">
        <f t="shared" si="191"/>
        <v>0</v>
      </c>
      <c r="K281" s="156">
        <f t="shared" si="192"/>
        <v>0</v>
      </c>
      <c r="L281" s="156">
        <f t="shared" si="193"/>
        <v>0</v>
      </c>
      <c r="M281" s="188">
        <f t="shared" si="129"/>
        <v>0</v>
      </c>
      <c r="N281" s="81"/>
      <c r="O281" s="7"/>
      <c r="P281" s="80"/>
      <c r="Q281" s="80"/>
      <c r="R281" s="91"/>
      <c r="S281" s="8"/>
      <c r="T281" s="82"/>
      <c r="W281" s="10"/>
      <c r="X281" s="9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</row>
    <row r="282" spans="1:61">
      <c r="A282" s="147"/>
      <c r="B282" s="94"/>
      <c r="C282" s="147"/>
      <c r="D282" s="147"/>
      <c r="E282" s="147"/>
      <c r="F282" s="147"/>
      <c r="G282" s="147"/>
      <c r="H282" s="147"/>
      <c r="I282" s="147"/>
      <c r="J282" s="147"/>
      <c r="K282" s="147"/>
      <c r="L282" s="147"/>
      <c r="M282" s="188" t="e">
        <f t="shared" si="129"/>
        <v>#DIV/0!</v>
      </c>
      <c r="N282" s="81"/>
      <c r="O282" s="7"/>
      <c r="P282" s="80"/>
      <c r="Q282" s="80"/>
      <c r="R282" s="91"/>
      <c r="S282" s="8"/>
      <c r="T282" s="82"/>
      <c r="W282" s="10"/>
      <c r="X282" s="9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</row>
    <row r="283" spans="1:61" ht="14.25" customHeight="1">
      <c r="A283" s="164" t="s">
        <v>639</v>
      </c>
      <c r="B283" s="165" t="s">
        <v>8</v>
      </c>
      <c r="C283" s="166"/>
      <c r="D283" s="167"/>
      <c r="E283" s="166"/>
      <c r="F283" s="166">
        <f>SUM(F284:F287)</f>
        <v>450.63679999999999</v>
      </c>
      <c r="G283" s="166"/>
      <c r="H283" s="166"/>
      <c r="I283" s="166"/>
      <c r="J283" s="166">
        <f>SUM(J284:J287)</f>
        <v>0</v>
      </c>
      <c r="K283" s="166">
        <f t="shared" ref="K283:L283" si="194">SUM(K284:K287)</f>
        <v>0</v>
      </c>
      <c r="L283" s="166">
        <f t="shared" si="194"/>
        <v>0</v>
      </c>
      <c r="M283" s="188">
        <f t="shared" si="129"/>
        <v>0</v>
      </c>
      <c r="N283" s="81"/>
      <c r="O283" s="7"/>
      <c r="P283" s="80"/>
      <c r="Q283" s="80"/>
      <c r="R283" s="91"/>
      <c r="S283" s="8"/>
      <c r="T283" s="82"/>
      <c r="W283" s="10"/>
      <c r="X283" s="9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</row>
    <row r="284" spans="1:61" ht="14.25" customHeight="1">
      <c r="A284" s="156"/>
      <c r="B284" s="154"/>
      <c r="C284" s="156"/>
      <c r="D284" s="156"/>
      <c r="E284" s="156"/>
      <c r="F284" s="156"/>
      <c r="G284" s="156"/>
      <c r="H284" s="156"/>
      <c r="I284" s="156"/>
      <c r="J284" s="156"/>
      <c r="K284" s="156"/>
      <c r="L284" s="156"/>
      <c r="M284" s="188" t="e">
        <f t="shared" si="129"/>
        <v>#DIV/0!</v>
      </c>
      <c r="N284" s="81"/>
      <c r="O284" s="7"/>
      <c r="P284" s="80"/>
      <c r="Q284" s="80"/>
      <c r="R284" s="91"/>
      <c r="S284" s="8"/>
      <c r="T284" s="82"/>
      <c r="W284" s="10"/>
      <c r="X284" s="9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</row>
    <row r="285" spans="1:61" ht="14.25" customHeight="1">
      <c r="A285" s="156" t="s">
        <v>640</v>
      </c>
      <c r="B285" s="154" t="s">
        <v>137</v>
      </c>
      <c r="C285" s="156" t="s">
        <v>81</v>
      </c>
      <c r="D285" s="156">
        <v>18.559999999999999</v>
      </c>
      <c r="E285" s="156">
        <v>1.79</v>
      </c>
      <c r="F285" s="156">
        <f t="shared" ref="F285:F287" si="195">D285*E285</f>
        <v>33.2224</v>
      </c>
      <c r="G285" s="156">
        <v>0</v>
      </c>
      <c r="H285" s="156"/>
      <c r="I285" s="156">
        <f t="shared" ref="I285:I287" si="196">G285+H285</f>
        <v>0</v>
      </c>
      <c r="J285" s="156">
        <f t="shared" ref="J285:J287" si="197">E285*G285</f>
        <v>0</v>
      </c>
      <c r="K285" s="156">
        <f t="shared" ref="K285:K287" si="198">H285*E285</f>
        <v>0</v>
      </c>
      <c r="L285" s="156">
        <f t="shared" ref="L285:L287" si="199">J285+K285</f>
        <v>0</v>
      </c>
      <c r="M285" s="188">
        <f t="shared" si="129"/>
        <v>0</v>
      </c>
      <c r="N285" s="81"/>
      <c r="O285" s="7"/>
      <c r="P285" s="80"/>
      <c r="Q285" s="80"/>
      <c r="R285" s="91"/>
      <c r="S285" s="8"/>
      <c r="T285" s="82"/>
      <c r="W285" s="10"/>
      <c r="X285" s="9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</row>
    <row r="286" spans="1:61" ht="28.5">
      <c r="A286" s="156" t="s">
        <v>641</v>
      </c>
      <c r="B286" s="157" t="s">
        <v>141</v>
      </c>
      <c r="C286" s="156" t="s">
        <v>81</v>
      </c>
      <c r="D286" s="156">
        <v>18.559999999999999</v>
      </c>
      <c r="E286" s="156">
        <v>11.88</v>
      </c>
      <c r="F286" s="156">
        <f t="shared" si="195"/>
        <v>220.49279999999999</v>
      </c>
      <c r="G286" s="156">
        <v>0</v>
      </c>
      <c r="H286" s="156"/>
      <c r="I286" s="156">
        <f t="shared" si="196"/>
        <v>0</v>
      </c>
      <c r="J286" s="156">
        <f t="shared" si="197"/>
        <v>0</v>
      </c>
      <c r="K286" s="156">
        <f t="shared" si="198"/>
        <v>0</v>
      </c>
      <c r="L286" s="156">
        <f t="shared" si="199"/>
        <v>0</v>
      </c>
      <c r="M286" s="188">
        <f t="shared" si="129"/>
        <v>0</v>
      </c>
      <c r="N286" s="81"/>
      <c r="O286" s="7"/>
      <c r="P286" s="80"/>
      <c r="Q286" s="80"/>
      <c r="R286" s="91"/>
      <c r="S286" s="8"/>
      <c r="T286" s="82"/>
      <c r="W286" s="10"/>
      <c r="X286" s="9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</row>
    <row r="287" spans="1:61" ht="28.5">
      <c r="A287" s="156" t="s">
        <v>642</v>
      </c>
      <c r="B287" s="157" t="s">
        <v>143</v>
      </c>
      <c r="C287" s="156" t="s">
        <v>81</v>
      </c>
      <c r="D287" s="156">
        <v>18.559999999999999</v>
      </c>
      <c r="E287" s="156">
        <v>10.61</v>
      </c>
      <c r="F287" s="156">
        <f t="shared" si="195"/>
        <v>196.92159999999998</v>
      </c>
      <c r="G287" s="156">
        <v>0</v>
      </c>
      <c r="H287" s="156"/>
      <c r="I287" s="156">
        <f t="shared" si="196"/>
        <v>0</v>
      </c>
      <c r="J287" s="156">
        <f t="shared" si="197"/>
        <v>0</v>
      </c>
      <c r="K287" s="156">
        <f t="shared" si="198"/>
        <v>0</v>
      </c>
      <c r="L287" s="156">
        <f t="shared" si="199"/>
        <v>0</v>
      </c>
      <c r="M287" s="188">
        <f t="shared" si="129"/>
        <v>0</v>
      </c>
      <c r="N287" s="81"/>
      <c r="O287" s="7"/>
      <c r="P287" s="80"/>
      <c r="Q287" s="80"/>
      <c r="R287" s="91"/>
      <c r="S287" s="8"/>
      <c r="T287" s="82"/>
      <c r="W287" s="10"/>
      <c r="X287" s="9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</row>
    <row r="288" spans="1:61" ht="16.5" thickBot="1">
      <c r="A288" s="156"/>
      <c r="B288" s="157"/>
      <c r="C288" s="156"/>
      <c r="D288" s="156"/>
      <c r="E288" s="156"/>
      <c r="F288" s="156"/>
      <c r="G288" s="156"/>
      <c r="H288" s="156"/>
      <c r="I288" s="156"/>
      <c r="J288" s="156"/>
      <c r="K288" s="156"/>
      <c r="L288" s="156"/>
      <c r="M288" s="188" t="e">
        <f t="shared" ref="M288:M289" si="200">L288/F288</f>
        <v>#DIV/0!</v>
      </c>
      <c r="N288" s="81"/>
      <c r="O288" s="7"/>
      <c r="P288" s="80"/>
      <c r="Q288" s="80"/>
      <c r="R288" s="91"/>
      <c r="S288" s="8"/>
      <c r="T288" s="82"/>
      <c r="W288" s="10"/>
      <c r="X288" s="9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</row>
    <row r="289" spans="1:61" ht="15.75" customHeight="1" thickBot="1">
      <c r="A289" s="257" t="s">
        <v>347</v>
      </c>
      <c r="B289" s="258"/>
      <c r="C289" s="258"/>
      <c r="D289" s="258"/>
      <c r="E289" s="259"/>
      <c r="F289" s="102">
        <f>SUM(F31+F43+F50+F59+F66+F78+F94+F107+F114+F128+F139+F169+F183+F211+F221+F228+F232+F237+F244+F248+F252+F261+F268+F275+F283)</f>
        <v>751811.60013000015</v>
      </c>
      <c r="G289" s="187"/>
      <c r="H289" s="103"/>
      <c r="I289" s="103"/>
      <c r="J289" s="102">
        <f>SUM(J31+J43+J50+J59+J66+J78+J94+J107+J114+J128+J139+J169+J183+J211+J221+J228+J232+J237+J244+J248+J252+J261+J268+J275)+0.01</f>
        <v>337613.53920000006</v>
      </c>
      <c r="K289" s="102">
        <f>SUM(K31+K43+K50+K59+K66+K78+K94+K107+K114+K128+K139+K169+K183+K211+K221+K228+K232+K237+K244+K248+K252+K261+K268+K275)</f>
        <v>225026.05600000001</v>
      </c>
      <c r="L289" s="102">
        <f>SUM(L31+L43+L50+L59+L66+L78+L94+L107+L114+L128+L139+L169+L183+L211+L221+L228+L232+L237+L244+L248+L252+L261+L268+L275)+0.01</f>
        <v>562639.5952000001</v>
      </c>
      <c r="M289" s="188">
        <f t="shared" si="200"/>
        <v>0.74837844361900085</v>
      </c>
    </row>
    <row r="290" spans="1:61">
      <c r="B290" s="94"/>
      <c r="C290" s="94"/>
      <c r="D290" s="94"/>
      <c r="E290" s="94"/>
      <c r="F290" s="94"/>
      <c r="G290" s="94"/>
      <c r="H290" s="94"/>
      <c r="I290" s="94"/>
      <c r="J290" s="94"/>
      <c r="K290" s="94"/>
      <c r="L290" s="94"/>
      <c r="M290" s="80"/>
      <c r="N290" s="81"/>
      <c r="O290" s="7"/>
      <c r="P290" s="80"/>
      <c r="Q290" s="80"/>
      <c r="R290" s="91"/>
      <c r="S290" s="8"/>
      <c r="T290" s="82"/>
      <c r="W290" s="10"/>
      <c r="X290" s="9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</row>
    <row r="291" spans="1:61">
      <c r="B291" s="292" t="s">
        <v>714</v>
      </c>
      <c r="C291" s="292"/>
      <c r="D291" s="292"/>
      <c r="E291" s="292"/>
      <c r="F291" s="292"/>
      <c r="G291" s="292"/>
      <c r="H291" s="292"/>
      <c r="I291" s="292"/>
      <c r="J291" s="292"/>
      <c r="K291" s="292"/>
      <c r="L291" s="94"/>
      <c r="M291" s="80"/>
      <c r="N291" s="81"/>
      <c r="O291" s="7"/>
      <c r="P291" s="80"/>
      <c r="Q291" s="80"/>
      <c r="R291" s="91"/>
      <c r="S291" s="8"/>
      <c r="T291" s="82"/>
      <c r="W291" s="10"/>
      <c r="X291" s="9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1"/>
    </row>
    <row r="292" spans="1:61">
      <c r="B292" s="94"/>
      <c r="C292" s="94"/>
      <c r="D292" s="94"/>
      <c r="E292" s="94"/>
      <c r="F292" s="94"/>
      <c r="G292" s="94"/>
      <c r="H292" s="94"/>
      <c r="I292" s="94"/>
      <c r="J292" s="94"/>
      <c r="K292" s="94"/>
      <c r="L292" s="94"/>
      <c r="M292" s="80"/>
      <c r="N292" s="81"/>
      <c r="O292" s="7"/>
      <c r="P292" s="80"/>
      <c r="Q292" s="80"/>
      <c r="R292" s="91"/>
      <c r="S292" s="8"/>
      <c r="T292" s="82"/>
      <c r="W292" s="10"/>
      <c r="X292" s="9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</row>
    <row r="293" spans="1:61">
      <c r="B293" s="94"/>
      <c r="E293" s="106"/>
      <c r="F293" s="106"/>
      <c r="G293" s="106"/>
      <c r="H293" s="106"/>
      <c r="I293" s="106"/>
      <c r="J293" s="106"/>
      <c r="K293" s="106"/>
      <c r="L293" s="106"/>
      <c r="M293" s="80"/>
      <c r="N293" s="81"/>
      <c r="O293" s="7"/>
      <c r="P293" s="80"/>
      <c r="Q293" s="80"/>
      <c r="R293" s="91"/>
      <c r="S293" s="8"/>
      <c r="T293" s="82"/>
      <c r="W293" s="10"/>
      <c r="X293" s="9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</row>
    <row r="294" spans="1:61">
      <c r="B294" s="94"/>
      <c r="E294" s="106"/>
      <c r="F294" s="106"/>
      <c r="G294" s="106"/>
      <c r="H294" s="106"/>
      <c r="I294" s="106"/>
      <c r="J294" s="106"/>
      <c r="K294" s="106"/>
      <c r="L294" s="106"/>
    </row>
    <row r="295" spans="1:61">
      <c r="E295" s="106"/>
      <c r="F295" s="106"/>
      <c r="G295" s="106"/>
      <c r="H295" s="106"/>
      <c r="I295" s="106"/>
      <c r="J295" s="106"/>
      <c r="K295" s="106"/>
      <c r="L295" s="106"/>
    </row>
    <row r="296" spans="1:61">
      <c r="E296" s="106"/>
      <c r="F296" s="106"/>
      <c r="G296" s="106"/>
      <c r="H296" s="106"/>
      <c r="I296" s="106"/>
      <c r="J296" s="106"/>
      <c r="K296" s="106"/>
      <c r="L296" s="106"/>
    </row>
    <row r="297" spans="1:61">
      <c r="E297" s="106"/>
      <c r="F297" s="106"/>
      <c r="G297" s="106"/>
      <c r="H297" s="106"/>
      <c r="I297" s="106"/>
      <c r="J297" s="106"/>
      <c r="K297" s="106"/>
      <c r="L297" s="106"/>
    </row>
    <row r="298" spans="1:61">
      <c r="E298" s="106"/>
      <c r="F298" s="106"/>
      <c r="G298" s="106"/>
      <c r="H298" s="106"/>
      <c r="I298" s="106"/>
      <c r="J298" s="106"/>
      <c r="K298" s="106"/>
      <c r="L298" s="106"/>
    </row>
    <row r="299" spans="1:61">
      <c r="E299" s="106"/>
      <c r="F299" s="106"/>
      <c r="G299" s="106"/>
      <c r="H299" s="106"/>
      <c r="I299" s="106"/>
      <c r="J299" s="106"/>
      <c r="K299" s="106"/>
      <c r="L299" s="106"/>
    </row>
    <row r="300" spans="1:61">
      <c r="E300" s="106"/>
      <c r="F300" s="106"/>
      <c r="G300" s="106"/>
      <c r="H300" s="106"/>
      <c r="I300" s="106"/>
      <c r="J300" s="106"/>
      <c r="K300" s="106"/>
      <c r="L300" s="106"/>
    </row>
    <row r="301" spans="1:61">
      <c r="E301" s="106"/>
      <c r="F301" s="106"/>
      <c r="G301" s="106"/>
      <c r="H301" s="106"/>
      <c r="I301" s="106"/>
      <c r="J301" s="106"/>
      <c r="K301" s="106"/>
      <c r="L301" s="106"/>
    </row>
    <row r="302" spans="1:61">
      <c r="E302" s="106"/>
      <c r="F302" s="106"/>
      <c r="G302" s="106"/>
      <c r="I302" s="106"/>
      <c r="J302" s="106"/>
      <c r="K302" s="106"/>
      <c r="L302" s="106"/>
    </row>
    <row r="303" spans="1:61">
      <c r="E303" s="106"/>
      <c r="F303" s="106"/>
      <c r="G303" s="106"/>
      <c r="I303" s="106"/>
      <c r="J303" s="106"/>
      <c r="K303" s="106"/>
      <c r="L303" s="106"/>
    </row>
    <row r="304" spans="1:61">
      <c r="E304" s="106"/>
      <c r="F304" s="106"/>
      <c r="G304" s="106"/>
      <c r="I304" s="106"/>
      <c r="J304" s="106"/>
      <c r="K304" s="106"/>
      <c r="L304" s="106"/>
    </row>
    <row r="305" spans="1:66">
      <c r="E305" s="106"/>
      <c r="F305" s="106"/>
      <c r="G305" s="106"/>
      <c r="I305" s="106"/>
      <c r="J305" s="106"/>
      <c r="K305" s="106"/>
      <c r="L305" s="106"/>
    </row>
    <row r="306" spans="1:66">
      <c r="C306" s="59"/>
      <c r="D306" s="59"/>
      <c r="E306" s="59"/>
      <c r="F306" s="59">
        <v>719635.08</v>
      </c>
      <c r="G306" s="59"/>
      <c r="H306" s="60">
        <v>0.23880000000000001</v>
      </c>
      <c r="I306" s="59"/>
      <c r="J306" s="59"/>
      <c r="K306" s="59"/>
      <c r="L306" s="59" t="s">
        <v>346</v>
      </c>
    </row>
    <row r="307" spans="1:66">
      <c r="C307" s="59"/>
      <c r="D307" s="59"/>
      <c r="E307" s="59"/>
      <c r="F307" s="59">
        <f>SUM(F306*H306+F306)</f>
        <v>891483.93710400001</v>
      </c>
      <c r="G307" s="59"/>
      <c r="H307" s="59"/>
      <c r="I307" s="59"/>
      <c r="J307" s="59"/>
      <c r="K307" s="59"/>
      <c r="L307" s="59" t="s">
        <v>25</v>
      </c>
    </row>
    <row r="308" spans="1:66" s="24" customFormat="1">
      <c r="A308" s="104"/>
      <c r="B308" s="105"/>
      <c r="C308" s="59"/>
      <c r="D308" s="59"/>
      <c r="E308" s="59"/>
      <c r="F308" s="59"/>
      <c r="G308" s="59"/>
      <c r="H308" s="59"/>
      <c r="I308" s="59"/>
      <c r="J308" s="59"/>
      <c r="K308" s="59"/>
      <c r="L308" s="59"/>
      <c r="N308" s="14"/>
      <c r="O308" s="15"/>
      <c r="P308" s="7"/>
      <c r="T308" s="8"/>
      <c r="U308" s="9"/>
      <c r="V308" s="9"/>
      <c r="W308" s="9"/>
      <c r="X308" s="10"/>
      <c r="Y308" s="9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  <c r="BN308" s="12"/>
    </row>
    <row r="309" spans="1:66" s="24" customFormat="1">
      <c r="A309" s="104"/>
      <c r="B309" s="105"/>
      <c r="C309" s="106"/>
      <c r="D309" s="106"/>
      <c r="E309" s="106"/>
      <c r="F309" s="106"/>
      <c r="G309" s="106"/>
      <c r="H309" s="107"/>
      <c r="I309" s="106"/>
      <c r="J309" s="106"/>
      <c r="K309" s="106"/>
      <c r="L309" s="106"/>
      <c r="N309" s="14"/>
      <c r="O309" s="15"/>
      <c r="P309" s="7"/>
      <c r="T309" s="8"/>
      <c r="U309" s="9"/>
      <c r="V309" s="9"/>
      <c r="W309" s="9"/>
      <c r="X309" s="10"/>
      <c r="Y309" s="9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  <c r="BN309" s="12"/>
    </row>
    <row r="310" spans="1:66" s="24" customFormat="1">
      <c r="A310" s="104"/>
      <c r="B310" s="105"/>
      <c r="C310" s="106"/>
      <c r="D310" s="106"/>
      <c r="E310" s="106"/>
      <c r="F310" s="106"/>
      <c r="G310" s="106"/>
      <c r="H310" s="107"/>
      <c r="I310" s="106"/>
      <c r="J310" s="106"/>
      <c r="K310" s="106"/>
      <c r="L310" s="106"/>
      <c r="N310" s="14"/>
      <c r="O310" s="15"/>
      <c r="P310" s="7"/>
      <c r="T310" s="8"/>
      <c r="U310" s="9"/>
      <c r="V310" s="9"/>
      <c r="W310" s="9"/>
      <c r="X310" s="10"/>
      <c r="Y310" s="9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  <c r="BN310" s="12"/>
    </row>
    <row r="311" spans="1:66" s="24" customFormat="1">
      <c r="A311" s="104"/>
      <c r="B311" s="105"/>
      <c r="C311" s="106"/>
      <c r="D311" s="106"/>
      <c r="E311" s="106"/>
      <c r="F311" s="106"/>
      <c r="G311" s="106"/>
      <c r="H311" s="107"/>
      <c r="I311" s="106"/>
      <c r="J311" s="106"/>
      <c r="K311" s="106"/>
      <c r="L311" s="106"/>
      <c r="N311" s="14"/>
      <c r="O311" s="15"/>
      <c r="P311" s="7"/>
      <c r="T311" s="8"/>
      <c r="U311" s="9"/>
      <c r="V311" s="9"/>
      <c r="W311" s="9"/>
      <c r="X311" s="10"/>
      <c r="Y311" s="9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BL311" s="12"/>
      <c r="BM311" s="12"/>
      <c r="BN311" s="12"/>
    </row>
    <row r="312" spans="1:66" s="24" customFormat="1">
      <c r="A312" s="104"/>
      <c r="B312" s="105"/>
      <c r="C312" s="106"/>
      <c r="D312" s="106"/>
      <c r="E312" s="106"/>
      <c r="F312" s="106"/>
      <c r="G312" s="106"/>
      <c r="H312" s="107"/>
      <c r="I312" s="106"/>
      <c r="J312" s="106"/>
      <c r="K312" s="106"/>
      <c r="L312" s="106"/>
      <c r="N312" s="14"/>
      <c r="O312" s="15"/>
      <c r="P312" s="7"/>
      <c r="T312" s="8"/>
      <c r="U312" s="9"/>
      <c r="V312" s="9"/>
      <c r="W312" s="9"/>
      <c r="X312" s="10"/>
      <c r="Y312" s="9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</row>
    <row r="313" spans="1:66" s="24" customFormat="1">
      <c r="A313" s="104"/>
      <c r="B313" s="105"/>
      <c r="C313" s="106"/>
      <c r="D313" s="106"/>
      <c r="E313" s="106"/>
      <c r="F313" s="106"/>
      <c r="G313" s="106"/>
      <c r="H313" s="107"/>
      <c r="I313" s="106"/>
      <c r="J313" s="106"/>
      <c r="K313" s="106"/>
      <c r="L313" s="106"/>
      <c r="N313" s="14"/>
      <c r="O313" s="15"/>
      <c r="P313" s="7"/>
      <c r="T313" s="8"/>
      <c r="U313" s="9"/>
      <c r="V313" s="9"/>
      <c r="W313" s="9"/>
      <c r="X313" s="10"/>
      <c r="Y313" s="9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BL313" s="12"/>
      <c r="BM313" s="12"/>
      <c r="BN313" s="12"/>
    </row>
    <row r="314" spans="1:66" s="24" customFormat="1">
      <c r="A314" s="104"/>
      <c r="B314" s="105"/>
      <c r="C314" s="106"/>
      <c r="D314" s="106"/>
      <c r="E314" s="106"/>
      <c r="F314" s="106"/>
      <c r="G314" s="106"/>
      <c r="H314" s="107"/>
      <c r="I314" s="106"/>
      <c r="J314" s="106"/>
      <c r="K314" s="106"/>
      <c r="L314" s="106"/>
      <c r="N314" s="14"/>
      <c r="O314" s="15"/>
      <c r="P314" s="7"/>
      <c r="T314" s="8"/>
      <c r="U314" s="9"/>
      <c r="V314" s="9"/>
      <c r="W314" s="9"/>
      <c r="X314" s="10"/>
      <c r="Y314" s="9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BL314" s="12"/>
      <c r="BM314" s="12"/>
      <c r="BN314" s="12"/>
    </row>
    <row r="315" spans="1:66" s="24" customFormat="1">
      <c r="A315" s="104"/>
      <c r="B315" s="105"/>
      <c r="C315" s="106"/>
      <c r="D315" s="106"/>
      <c r="E315" s="106"/>
      <c r="F315" s="106"/>
      <c r="G315" s="106"/>
      <c r="H315" s="107"/>
      <c r="I315" s="106"/>
      <c r="J315" s="106"/>
      <c r="K315" s="106"/>
      <c r="L315" s="106"/>
      <c r="N315" s="14"/>
      <c r="O315" s="15"/>
      <c r="P315" s="7"/>
      <c r="T315" s="8"/>
      <c r="U315" s="9"/>
      <c r="V315" s="9"/>
      <c r="W315" s="9"/>
      <c r="X315" s="10"/>
      <c r="Y315" s="9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</row>
    <row r="316" spans="1:66" s="24" customFormat="1">
      <c r="A316" s="104"/>
      <c r="B316" s="105"/>
      <c r="C316" s="106"/>
      <c r="D316" s="106"/>
      <c r="E316" s="106"/>
      <c r="F316" s="106"/>
      <c r="G316" s="106"/>
      <c r="H316" s="107"/>
      <c r="I316" s="106"/>
      <c r="J316" s="106"/>
      <c r="K316" s="106"/>
      <c r="L316" s="106"/>
      <c r="N316" s="14"/>
      <c r="O316" s="15"/>
      <c r="P316" s="7"/>
      <c r="T316" s="8"/>
      <c r="U316" s="9"/>
      <c r="V316" s="9"/>
      <c r="W316" s="9"/>
      <c r="X316" s="10"/>
      <c r="Y316" s="9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</row>
    <row r="317" spans="1:66" s="24" customFormat="1">
      <c r="A317" s="104"/>
      <c r="B317" s="105"/>
      <c r="C317" s="106"/>
      <c r="D317" s="106"/>
      <c r="E317" s="106"/>
      <c r="F317" s="106"/>
      <c r="G317" s="106"/>
      <c r="H317" s="107"/>
      <c r="I317" s="106"/>
      <c r="J317" s="106"/>
      <c r="K317" s="106"/>
      <c r="L317" s="106"/>
      <c r="N317" s="14"/>
      <c r="O317" s="15"/>
      <c r="P317" s="7"/>
      <c r="T317" s="8"/>
      <c r="U317" s="9"/>
      <c r="V317" s="9"/>
      <c r="W317" s="9"/>
      <c r="X317" s="10"/>
      <c r="Y317" s="9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</row>
    <row r="318" spans="1:66" s="24" customFormat="1">
      <c r="A318" s="104"/>
      <c r="B318" s="105"/>
      <c r="C318" s="106"/>
      <c r="D318" s="106"/>
      <c r="E318" s="106"/>
      <c r="F318" s="106"/>
      <c r="G318" s="106"/>
      <c r="H318" s="107"/>
      <c r="I318" s="106"/>
      <c r="J318" s="106"/>
      <c r="K318" s="106"/>
      <c r="L318" s="106"/>
      <c r="N318" s="14"/>
      <c r="O318" s="15"/>
      <c r="P318" s="7"/>
      <c r="T318" s="8"/>
      <c r="U318" s="9"/>
      <c r="V318" s="9"/>
      <c r="W318" s="9"/>
      <c r="X318" s="10"/>
      <c r="Y318" s="9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</row>
    <row r="319" spans="1:66" s="24" customFormat="1">
      <c r="A319" s="104"/>
      <c r="B319" s="105"/>
      <c r="C319" s="106"/>
      <c r="D319" s="106"/>
      <c r="E319" s="106"/>
      <c r="F319" s="106"/>
      <c r="G319" s="106"/>
      <c r="H319" s="107"/>
      <c r="I319" s="106"/>
      <c r="J319" s="106"/>
      <c r="K319" s="106"/>
      <c r="L319" s="106"/>
      <c r="N319" s="14"/>
      <c r="O319" s="15"/>
      <c r="P319" s="7"/>
      <c r="T319" s="8"/>
      <c r="U319" s="9"/>
      <c r="V319" s="9"/>
      <c r="W319" s="9"/>
      <c r="X319" s="10"/>
      <c r="Y319" s="9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</row>
    <row r="320" spans="1:66" s="24" customFormat="1">
      <c r="A320" s="104"/>
      <c r="B320" s="105"/>
      <c r="C320" s="106"/>
      <c r="D320" s="106"/>
      <c r="E320" s="106"/>
      <c r="F320" s="106"/>
      <c r="G320" s="106"/>
      <c r="H320" s="107"/>
      <c r="I320" s="106"/>
      <c r="J320" s="106"/>
      <c r="K320" s="106"/>
      <c r="L320" s="106"/>
      <c r="N320" s="14"/>
      <c r="O320" s="15"/>
      <c r="P320" s="7"/>
      <c r="T320" s="8"/>
      <c r="U320" s="9"/>
      <c r="V320" s="9"/>
      <c r="W320" s="9"/>
      <c r="X320" s="10"/>
      <c r="Y320" s="9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</row>
    <row r="321" spans="1:66" s="24" customFormat="1">
      <c r="A321" s="104"/>
      <c r="B321" s="105"/>
      <c r="C321" s="106"/>
      <c r="D321" s="106"/>
      <c r="E321" s="106"/>
      <c r="F321" s="106"/>
      <c r="G321" s="106"/>
      <c r="H321" s="107"/>
      <c r="I321" s="106"/>
      <c r="J321" s="106"/>
      <c r="K321" s="106"/>
      <c r="L321" s="106"/>
      <c r="N321" s="14"/>
      <c r="O321" s="15"/>
      <c r="P321" s="7"/>
      <c r="T321" s="8"/>
      <c r="U321" s="9"/>
      <c r="V321" s="9"/>
      <c r="W321" s="9"/>
      <c r="X321" s="10"/>
      <c r="Y321" s="9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</row>
    <row r="322" spans="1:66" s="24" customFormat="1">
      <c r="A322" s="104"/>
      <c r="B322" s="105"/>
      <c r="C322" s="106"/>
      <c r="D322" s="106"/>
      <c r="E322" s="106"/>
      <c r="F322" s="106"/>
      <c r="G322" s="106"/>
      <c r="H322" s="107"/>
      <c r="I322" s="106"/>
      <c r="J322" s="106"/>
      <c r="K322" s="106"/>
      <c r="L322" s="106"/>
      <c r="N322" s="14"/>
      <c r="O322" s="15"/>
      <c r="P322" s="7"/>
      <c r="T322" s="8"/>
      <c r="U322" s="9"/>
      <c r="V322" s="9"/>
      <c r="W322" s="9"/>
      <c r="X322" s="10"/>
      <c r="Y322" s="9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</row>
    <row r="323" spans="1:66" s="24" customFormat="1">
      <c r="A323" s="104"/>
      <c r="B323" s="105"/>
      <c r="C323" s="106"/>
      <c r="D323" s="106"/>
      <c r="E323" s="106"/>
      <c r="F323" s="106"/>
      <c r="G323" s="106"/>
      <c r="H323" s="107"/>
      <c r="I323" s="106"/>
      <c r="J323" s="106"/>
      <c r="K323" s="106"/>
      <c r="L323" s="106"/>
      <c r="N323" s="14"/>
      <c r="O323" s="15"/>
      <c r="P323" s="7"/>
      <c r="T323" s="8"/>
      <c r="U323" s="9"/>
      <c r="V323" s="9"/>
      <c r="W323" s="9"/>
      <c r="X323" s="10"/>
      <c r="Y323" s="9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</row>
    <row r="324" spans="1:66" s="24" customFormat="1">
      <c r="A324" s="104"/>
      <c r="B324" s="105"/>
      <c r="C324" s="106"/>
      <c r="D324" s="106"/>
      <c r="E324" s="106"/>
      <c r="F324" s="106"/>
      <c r="G324" s="106"/>
      <c r="H324" s="107"/>
      <c r="I324" s="106"/>
      <c r="J324" s="106"/>
      <c r="K324" s="106"/>
      <c r="L324" s="106"/>
      <c r="N324" s="14"/>
      <c r="O324" s="15"/>
      <c r="P324" s="7"/>
      <c r="T324" s="8"/>
      <c r="U324" s="9"/>
      <c r="V324" s="9"/>
      <c r="W324" s="9"/>
      <c r="X324" s="10"/>
      <c r="Y324" s="9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</row>
    <row r="325" spans="1:66" s="24" customFormat="1">
      <c r="A325" s="104"/>
      <c r="B325" s="105"/>
      <c r="C325" s="106"/>
      <c r="D325" s="106"/>
      <c r="E325" s="106"/>
      <c r="F325" s="106"/>
      <c r="G325" s="106"/>
      <c r="H325" s="107"/>
      <c r="I325" s="106"/>
      <c r="J325" s="106"/>
      <c r="K325" s="106"/>
      <c r="L325" s="106"/>
      <c r="N325" s="14"/>
      <c r="O325" s="15"/>
      <c r="P325" s="7"/>
      <c r="T325" s="8"/>
      <c r="U325" s="9"/>
      <c r="V325" s="9"/>
      <c r="W325" s="9"/>
      <c r="X325" s="10"/>
      <c r="Y325" s="9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</row>
    <row r="326" spans="1:66" s="24" customFormat="1">
      <c r="A326" s="104"/>
      <c r="B326" s="105"/>
      <c r="C326" s="106"/>
      <c r="D326" s="106"/>
      <c r="E326" s="106"/>
      <c r="F326" s="106"/>
      <c r="G326" s="106"/>
      <c r="H326" s="107"/>
      <c r="I326" s="106"/>
      <c r="J326" s="106"/>
      <c r="K326" s="106"/>
      <c r="L326" s="106"/>
      <c r="N326" s="14"/>
      <c r="O326" s="15"/>
      <c r="P326" s="7"/>
      <c r="T326" s="8"/>
      <c r="U326" s="9"/>
      <c r="V326" s="9"/>
      <c r="W326" s="9"/>
      <c r="X326" s="10"/>
      <c r="Y326" s="9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</row>
    <row r="327" spans="1:66" s="24" customFormat="1">
      <c r="A327" s="104"/>
      <c r="B327" s="105"/>
      <c r="C327" s="106"/>
      <c r="D327" s="106"/>
      <c r="E327" s="106"/>
      <c r="F327" s="106"/>
      <c r="G327" s="106"/>
      <c r="H327" s="107"/>
      <c r="I327" s="106"/>
      <c r="J327" s="106"/>
      <c r="K327" s="106"/>
      <c r="L327" s="106"/>
      <c r="N327" s="14"/>
      <c r="O327" s="15"/>
      <c r="P327" s="7"/>
      <c r="T327" s="8"/>
      <c r="U327" s="9"/>
      <c r="V327" s="9"/>
      <c r="W327" s="9"/>
      <c r="X327" s="10"/>
      <c r="Y327" s="9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</row>
    <row r="328" spans="1:66" s="24" customFormat="1">
      <c r="A328" s="104"/>
      <c r="B328" s="105"/>
      <c r="C328" s="106"/>
      <c r="D328" s="106"/>
      <c r="E328" s="106"/>
      <c r="F328" s="106"/>
      <c r="G328" s="106"/>
      <c r="H328" s="107"/>
      <c r="I328" s="106"/>
      <c r="J328" s="106"/>
      <c r="K328" s="106"/>
      <c r="L328" s="106"/>
      <c r="N328" s="14"/>
      <c r="O328" s="15"/>
      <c r="P328" s="7"/>
      <c r="T328" s="8"/>
      <c r="U328" s="9"/>
      <c r="V328" s="9"/>
      <c r="W328" s="9"/>
      <c r="X328" s="10"/>
      <c r="Y328" s="9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</row>
    <row r="329" spans="1:66" s="24" customFormat="1">
      <c r="A329" s="104"/>
      <c r="B329" s="105"/>
      <c r="C329" s="106"/>
      <c r="D329" s="106"/>
      <c r="E329" s="106"/>
      <c r="F329" s="106"/>
      <c r="G329" s="106"/>
      <c r="H329" s="107"/>
      <c r="I329" s="106"/>
      <c r="J329" s="106"/>
      <c r="K329" s="106"/>
      <c r="L329" s="106"/>
      <c r="N329" s="14"/>
      <c r="O329" s="15"/>
      <c r="P329" s="7"/>
      <c r="T329" s="8"/>
      <c r="U329" s="9"/>
      <c r="V329" s="9"/>
      <c r="W329" s="9"/>
      <c r="X329" s="10"/>
      <c r="Y329" s="9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</row>
    <row r="330" spans="1:66" s="24" customFormat="1">
      <c r="A330" s="104"/>
      <c r="B330" s="105"/>
      <c r="C330" s="106"/>
      <c r="D330" s="106"/>
      <c r="E330" s="106"/>
      <c r="F330" s="106"/>
      <c r="G330" s="106"/>
      <c r="H330" s="107"/>
      <c r="I330" s="106"/>
      <c r="J330" s="106"/>
      <c r="K330" s="106"/>
      <c r="L330" s="106"/>
      <c r="N330" s="14"/>
      <c r="O330" s="15"/>
      <c r="P330" s="7"/>
      <c r="T330" s="8"/>
      <c r="U330" s="9"/>
      <c r="V330" s="9"/>
      <c r="W330" s="9"/>
      <c r="X330" s="10"/>
      <c r="Y330" s="9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</row>
    <row r="331" spans="1:66" s="24" customFormat="1">
      <c r="A331" s="104"/>
      <c r="B331" s="105"/>
      <c r="C331" s="106"/>
      <c r="D331" s="106"/>
      <c r="E331" s="106"/>
      <c r="F331" s="106"/>
      <c r="G331" s="106"/>
      <c r="H331" s="107"/>
      <c r="I331" s="106"/>
      <c r="J331" s="106"/>
      <c r="K331" s="106"/>
      <c r="L331" s="106"/>
      <c r="N331" s="14"/>
      <c r="O331" s="15"/>
      <c r="P331" s="7"/>
      <c r="T331" s="8"/>
      <c r="U331" s="9"/>
      <c r="V331" s="9"/>
      <c r="W331" s="9"/>
      <c r="X331" s="10"/>
      <c r="Y331" s="9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</row>
  </sheetData>
  <mergeCells count="24">
    <mergeCell ref="B291:K291"/>
    <mergeCell ref="A28:A29"/>
    <mergeCell ref="B28:B29"/>
    <mergeCell ref="C28:C29"/>
    <mergeCell ref="D28:D29"/>
    <mergeCell ref="E28:E29"/>
    <mergeCell ref="F28:F29"/>
    <mergeCell ref="G28:I28"/>
    <mergeCell ref="J28:L28"/>
    <mergeCell ref="A30:L30"/>
    <mergeCell ref="A226:L227"/>
    <mergeCell ref="A289:E289"/>
    <mergeCell ref="A25:B25"/>
    <mergeCell ref="A1:L1"/>
    <mergeCell ref="A2:L2"/>
    <mergeCell ref="A3:L3"/>
    <mergeCell ref="E8:L8"/>
    <mergeCell ref="E9:I9"/>
    <mergeCell ref="K9:L9"/>
    <mergeCell ref="A15:L15"/>
    <mergeCell ref="A16:L16"/>
    <mergeCell ref="I19:L19"/>
    <mergeCell ref="A20:H20"/>
    <mergeCell ref="A24:B24"/>
  </mergeCells>
  <phoneticPr fontId="30" type="noConversion"/>
  <printOptions horizontalCentered="1"/>
  <pageMargins left="0.31496062992125984" right="0.31496062992125984" top="0.70866141732283472" bottom="0.51181102362204722" header="0.31496062992125984" footer="0.31496062992125984"/>
  <pageSetup paperSize="9" scale="49" fitToHeight="0" orientation="landscape" r:id="rId1"/>
  <rowBreaks count="1" manualBreakCount="1">
    <brk id="54" max="11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719"/>
  <sheetViews>
    <sheetView view="pageBreakPreview" topLeftCell="A184" zoomScaleNormal="100" zoomScaleSheetLayoutView="100" workbookViewId="0">
      <selection activeCell="C1" sqref="C1:M1"/>
    </sheetView>
  </sheetViews>
  <sheetFormatPr defaultColWidth="2.28515625" defaultRowHeight="12.6" customHeight="1"/>
  <cols>
    <col min="1" max="1" width="8.5703125" style="108" customWidth="1"/>
    <col min="2" max="2" width="16" style="108" customWidth="1"/>
    <col min="3" max="3" width="9.28515625" style="108" customWidth="1"/>
    <col min="4" max="4" width="9.42578125" style="108" bestFit="1" customWidth="1"/>
    <col min="5" max="5" width="9.5703125" style="108" customWidth="1"/>
    <col min="6" max="6" width="9" style="108" customWidth="1"/>
    <col min="7" max="7" width="11.28515625" style="108" customWidth="1"/>
    <col min="8" max="8" width="10.7109375" style="108" customWidth="1"/>
    <col min="9" max="9" width="10.28515625" style="108" customWidth="1"/>
    <col min="10" max="10" width="11.5703125" style="108" customWidth="1"/>
    <col min="11" max="11" width="10.140625" style="108" bestFit="1" customWidth="1"/>
    <col min="12" max="12" width="10.85546875" style="108" bestFit="1" customWidth="1"/>
    <col min="13" max="13" width="6.140625" style="108" bestFit="1" customWidth="1"/>
    <col min="14" max="14" width="16.5703125" style="108" bestFit="1" customWidth="1"/>
    <col min="15" max="15" width="19.42578125" style="108" customWidth="1"/>
    <col min="16" max="16" width="11.28515625" style="108" customWidth="1"/>
    <col min="17" max="16384" width="2.28515625" style="108"/>
  </cols>
  <sheetData>
    <row r="1" spans="1:14" ht="16.5" thickBot="1">
      <c r="A1" s="217"/>
      <c r="B1" s="218"/>
      <c r="C1" s="223" t="s">
        <v>715</v>
      </c>
      <c r="D1" s="224"/>
      <c r="E1" s="224"/>
      <c r="F1" s="224"/>
      <c r="G1" s="224"/>
      <c r="H1" s="224"/>
      <c r="I1" s="224"/>
      <c r="J1" s="224"/>
      <c r="K1" s="224"/>
      <c r="L1" s="224"/>
      <c r="M1" s="225"/>
    </row>
    <row r="2" spans="1:14" ht="12.75">
      <c r="A2" s="219"/>
      <c r="B2" s="220"/>
      <c r="C2" s="226" t="s">
        <v>348</v>
      </c>
      <c r="D2" s="227"/>
      <c r="E2" s="227"/>
      <c r="F2" s="227"/>
      <c r="G2" s="228"/>
      <c r="H2" s="226" t="s">
        <v>349</v>
      </c>
      <c r="I2" s="227"/>
      <c r="J2" s="227"/>
      <c r="K2" s="227"/>
      <c r="L2" s="227"/>
      <c r="M2" s="228"/>
    </row>
    <row r="3" spans="1:14" ht="30.75" customHeight="1" thickBot="1">
      <c r="A3" s="219"/>
      <c r="B3" s="220"/>
      <c r="C3" s="229" t="s">
        <v>434</v>
      </c>
      <c r="D3" s="230"/>
      <c r="E3" s="230"/>
      <c r="F3" s="230"/>
      <c r="G3" s="231"/>
      <c r="H3" s="232" t="s">
        <v>435</v>
      </c>
      <c r="I3" s="230"/>
      <c r="J3" s="230"/>
      <c r="K3" s="230"/>
      <c r="L3" s="230"/>
      <c r="M3" s="231"/>
    </row>
    <row r="4" spans="1:14" ht="12.75">
      <c r="A4" s="219"/>
      <c r="B4" s="220"/>
      <c r="C4" s="226" t="s">
        <v>350</v>
      </c>
      <c r="D4" s="227"/>
      <c r="E4" s="227"/>
      <c r="F4" s="227"/>
      <c r="G4" s="228"/>
      <c r="H4" s="233" t="s">
        <v>351</v>
      </c>
      <c r="I4" s="234"/>
      <c r="J4" s="234"/>
      <c r="K4" s="235"/>
      <c r="L4" s="109"/>
      <c r="M4" s="110"/>
    </row>
    <row r="5" spans="1:14" ht="13.5" thickBot="1">
      <c r="A5" s="221"/>
      <c r="B5" s="222"/>
      <c r="C5" s="236" t="s">
        <v>436</v>
      </c>
      <c r="D5" s="237"/>
      <c r="E5" s="237"/>
      <c r="F5" s="237"/>
      <c r="G5" s="238"/>
      <c r="H5" s="239" t="s">
        <v>352</v>
      </c>
      <c r="I5" s="240"/>
      <c r="J5" s="240"/>
      <c r="K5" s="241"/>
      <c r="L5" s="111"/>
      <c r="M5" s="112"/>
    </row>
    <row r="6" spans="1:14" ht="13.5" thickBot="1">
      <c r="A6" s="113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5"/>
    </row>
    <row r="7" spans="1:14" ht="12.75">
      <c r="A7" s="201" t="s">
        <v>10</v>
      </c>
      <c r="B7" s="203" t="s">
        <v>353</v>
      </c>
      <c r="C7" s="204"/>
      <c r="D7" s="207" t="s">
        <v>354</v>
      </c>
      <c r="E7" s="214" t="s">
        <v>355</v>
      </c>
      <c r="F7" s="215"/>
      <c r="G7" s="215"/>
      <c r="H7" s="215"/>
      <c r="I7" s="215"/>
      <c r="J7" s="216"/>
      <c r="K7" s="214" t="s">
        <v>356</v>
      </c>
      <c r="L7" s="216"/>
      <c r="M7" s="242" t="s">
        <v>357</v>
      </c>
      <c r="N7" s="116"/>
    </row>
    <row r="8" spans="1:14" ht="13.5" thickBot="1">
      <c r="A8" s="202"/>
      <c r="B8" s="205"/>
      <c r="C8" s="206"/>
      <c r="D8" s="208"/>
      <c r="E8" s="117" t="s">
        <v>358</v>
      </c>
      <c r="F8" s="117" t="s">
        <v>359</v>
      </c>
      <c r="G8" s="117" t="s">
        <v>360</v>
      </c>
      <c r="H8" s="117" t="s">
        <v>361</v>
      </c>
      <c r="I8" s="117" t="s">
        <v>362</v>
      </c>
      <c r="J8" s="117" t="s">
        <v>363</v>
      </c>
      <c r="K8" s="117" t="s">
        <v>364</v>
      </c>
      <c r="L8" s="117" t="s">
        <v>9</v>
      </c>
      <c r="M8" s="243"/>
      <c r="N8" s="116"/>
    </row>
    <row r="9" spans="1:14" ht="13.5" thickBot="1">
      <c r="A9" s="118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20"/>
    </row>
    <row r="10" spans="1:14" ht="13.9" customHeight="1" thickBot="1">
      <c r="A10" s="272" t="str">
        <f>'BM02'!A29</f>
        <v>ETAPA 01: CONSTRUÇÃO DA ESCOLA</v>
      </c>
      <c r="B10" s="273"/>
      <c r="C10" s="273"/>
      <c r="D10" s="273"/>
      <c r="E10" s="273"/>
      <c r="F10" s="273"/>
      <c r="G10" s="273"/>
      <c r="H10" s="273"/>
      <c r="I10" s="273"/>
      <c r="J10" s="273"/>
      <c r="K10" s="273"/>
      <c r="L10" s="273"/>
      <c r="M10" s="274"/>
    </row>
    <row r="11" spans="1:14" ht="13.5" thickBot="1">
      <c r="A11" s="124"/>
      <c r="B11" s="125"/>
      <c r="C11" s="125"/>
      <c r="D11" s="125"/>
      <c r="E11" s="125"/>
      <c r="F11" s="125"/>
      <c r="G11" s="125"/>
      <c r="H11" s="125"/>
      <c r="I11" s="125"/>
      <c r="J11" s="125"/>
      <c r="K11" s="126"/>
      <c r="L11" s="125"/>
      <c r="M11" s="127"/>
    </row>
    <row r="12" spans="1:14" ht="13.5" thickBot="1">
      <c r="A12" s="121" t="s">
        <v>1</v>
      </c>
      <c r="B12" s="122" t="str">
        <f>'BM01'!B30</f>
        <v>SERVIÇOS PRELIMINARES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3"/>
    </row>
    <row r="13" spans="1:14" ht="12.75">
      <c r="A13" s="124"/>
      <c r="B13" s="125"/>
      <c r="C13" s="125"/>
      <c r="D13" s="125"/>
      <c r="E13" s="125"/>
      <c r="F13" s="125"/>
      <c r="G13" s="125"/>
      <c r="H13" s="125"/>
      <c r="I13" s="125"/>
      <c r="J13" s="125"/>
      <c r="K13" s="126"/>
      <c r="L13" s="125"/>
      <c r="M13" s="127"/>
    </row>
    <row r="14" spans="1:14" s="131" customFormat="1" ht="12.75">
      <c r="A14" s="128" t="str">
        <f>'BM02'!A32</f>
        <v>1.1.1</v>
      </c>
      <c r="B14" s="211" t="str">
        <f>'BM02'!B32</f>
        <v xml:space="preserve">PLACA   DE   OBRA   EM   CHAPA   DE   ACO GALVANIZADO </v>
      </c>
      <c r="C14" s="212"/>
      <c r="D14" s="212"/>
      <c r="E14" s="212"/>
      <c r="F14" s="212"/>
      <c r="G14" s="212"/>
      <c r="H14" s="212"/>
      <c r="I14" s="212"/>
      <c r="J14" s="212"/>
      <c r="K14" s="213"/>
      <c r="L14" s="129">
        <f>L15</f>
        <v>0</v>
      </c>
      <c r="M14" s="130" t="str">
        <f>'BM02'!C32</f>
        <v>m²</v>
      </c>
    </row>
    <row r="15" spans="1:14" ht="12.75">
      <c r="A15" s="132"/>
      <c r="B15" s="209"/>
      <c r="C15" s="210"/>
      <c r="D15" s="134"/>
      <c r="E15" s="134"/>
      <c r="F15" s="134"/>
      <c r="G15" s="134"/>
      <c r="H15" s="134"/>
      <c r="I15" s="134"/>
      <c r="J15" s="135"/>
      <c r="K15" s="135"/>
      <c r="L15" s="134">
        <f>ROUND(D15*K15,2)</f>
        <v>0</v>
      </c>
      <c r="M15" s="136"/>
    </row>
    <row r="16" spans="1:14" ht="12.75">
      <c r="A16" s="124"/>
      <c r="B16" s="125"/>
      <c r="C16" s="125"/>
      <c r="D16" s="125"/>
      <c r="E16" s="125"/>
      <c r="F16" s="125"/>
      <c r="G16" s="125"/>
      <c r="H16" s="125"/>
      <c r="I16" s="125"/>
      <c r="J16" s="125"/>
      <c r="K16" s="126"/>
      <c r="L16" s="125"/>
      <c r="M16" s="127"/>
    </row>
    <row r="17" spans="1:13" s="131" customFormat="1" ht="28.9" customHeight="1">
      <c r="A17" s="128" t="str">
        <f>'BM02'!A33</f>
        <v>1.1.2</v>
      </c>
      <c r="B17" s="211" t="str">
        <f>'BM02'!B33</f>
        <v>LOCACAO CONVENCIONAL DE OBRA, UTILIZANDO GABARITO DE TÁBUAS CORRIDAS PONTALETADAS A CADA 2,00M - 2 UTILIZAÇÕES. AF_10/2018</v>
      </c>
      <c r="C17" s="212"/>
      <c r="D17" s="212"/>
      <c r="E17" s="212"/>
      <c r="F17" s="212"/>
      <c r="G17" s="212"/>
      <c r="H17" s="212"/>
      <c r="I17" s="212"/>
      <c r="J17" s="212"/>
      <c r="K17" s="213"/>
      <c r="L17" s="129">
        <f>L18</f>
        <v>0</v>
      </c>
      <c r="M17" s="130" t="str">
        <f>'BM02'!C33</f>
        <v>M</v>
      </c>
    </row>
    <row r="18" spans="1:13" ht="12.75">
      <c r="A18" s="132"/>
      <c r="B18" s="209"/>
      <c r="C18" s="210"/>
      <c r="D18" s="134"/>
      <c r="E18" s="134"/>
      <c r="F18" s="134"/>
      <c r="G18" s="134"/>
      <c r="H18" s="134"/>
      <c r="I18" s="134"/>
      <c r="J18" s="135"/>
      <c r="K18" s="135"/>
      <c r="L18" s="134">
        <f>ROUND(D18*K18,2)</f>
        <v>0</v>
      </c>
      <c r="M18" s="136"/>
    </row>
    <row r="19" spans="1:13" ht="12.75">
      <c r="A19" s="124"/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7"/>
    </row>
    <row r="20" spans="1:13" s="131" customFormat="1" ht="28.9" customHeight="1">
      <c r="A20" s="128" t="str">
        <f>'BM02'!A34</f>
        <v>1.1.3</v>
      </c>
      <c r="B20" s="211" t="str">
        <f>'BM02'!B34</f>
        <v>LIMPEZA MECANIZADA DE CAMADA VEGETAL, VEGETAÇÃO E PEQUENAS ÁRVORES DIÂMETRO DE TRONCO MENOR QUE 0,20 M), COM TRATOR DE ESTEIRAS.AF_05/2018</v>
      </c>
      <c r="C20" s="212"/>
      <c r="D20" s="212"/>
      <c r="E20" s="212"/>
      <c r="F20" s="212"/>
      <c r="G20" s="212"/>
      <c r="H20" s="212"/>
      <c r="I20" s="212"/>
      <c r="J20" s="212"/>
      <c r="K20" s="213"/>
      <c r="L20" s="129">
        <f>L21</f>
        <v>0</v>
      </c>
      <c r="M20" s="130" t="str">
        <f>'BM02'!C34</f>
        <v>m²</v>
      </c>
    </row>
    <row r="21" spans="1:13" ht="12.75">
      <c r="A21" s="132"/>
      <c r="B21" s="209"/>
      <c r="C21" s="210"/>
      <c r="D21" s="134"/>
      <c r="E21" s="134"/>
      <c r="F21" s="134"/>
      <c r="G21" s="134"/>
      <c r="H21" s="134"/>
      <c r="I21" s="134"/>
      <c r="J21" s="135"/>
      <c r="K21" s="135"/>
      <c r="L21" s="134">
        <f>ROUND(D21*K21,2)</f>
        <v>0</v>
      </c>
      <c r="M21" s="136"/>
    </row>
    <row r="22" spans="1:13" ht="12.75">
      <c r="A22" s="124"/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7"/>
    </row>
    <row r="23" spans="1:13" s="131" customFormat="1" ht="28.9" customHeight="1">
      <c r="A23" s="128" t="str">
        <f>'BM02'!A35</f>
        <v>1.1.4</v>
      </c>
      <c r="B23" s="211" t="str">
        <f>'BM02'!B35</f>
        <v>LIGAÇÃO PREDIAL DE ÁGUA EM MURETA DE CONCRETO, PROVISÓRIA OU DEFINITIVA, COM FORNECIMENTO DE MATERIAL, INCLUSIVE MURETA E HIDRÔMETRO, REDE DN 50MM</v>
      </c>
      <c r="C23" s="212"/>
      <c r="D23" s="212"/>
      <c r="E23" s="212"/>
      <c r="F23" s="212"/>
      <c r="G23" s="212"/>
      <c r="H23" s="212"/>
      <c r="I23" s="212"/>
      <c r="J23" s="212"/>
      <c r="K23" s="213"/>
      <c r="L23" s="129">
        <f>L24</f>
        <v>0</v>
      </c>
      <c r="M23" s="130" t="str">
        <f>'BM02'!C35</f>
        <v>un</v>
      </c>
    </row>
    <row r="24" spans="1:13" ht="12.75">
      <c r="A24" s="132"/>
      <c r="B24" s="209"/>
      <c r="C24" s="210"/>
      <c r="D24" s="134"/>
      <c r="E24" s="134"/>
      <c r="F24" s="134"/>
      <c r="G24" s="134"/>
      <c r="H24" s="134"/>
      <c r="I24" s="134"/>
      <c r="J24" s="135"/>
      <c r="K24" s="135"/>
      <c r="L24" s="134">
        <f>ROUND(D24*K24,2)</f>
        <v>0</v>
      </c>
      <c r="M24" s="136"/>
    </row>
    <row r="25" spans="1:13" ht="12.75">
      <c r="A25" s="124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7"/>
    </row>
    <row r="26" spans="1:13" s="131" customFormat="1" ht="28.9" customHeight="1">
      <c r="A26" s="128" t="str">
        <f>'BM02'!A36</f>
        <v>1.1.5</v>
      </c>
      <c r="B26" s="211" t="str">
        <f>'BM02'!B36</f>
        <v>ENTRADA    DE    ENERGIA    ELETRICA MONOFASICA  COM  POSTE  DE  CONCRETO, INCLUSIVE   CABEAMENTO,   CAIXA   DE PROTECAO     PARA     MEDIDOR</v>
      </c>
      <c r="C26" s="212"/>
      <c r="D26" s="212"/>
      <c r="E26" s="212"/>
      <c r="F26" s="212"/>
      <c r="G26" s="212"/>
      <c r="H26" s="212"/>
      <c r="I26" s="212"/>
      <c r="J26" s="212"/>
      <c r="K26" s="213"/>
      <c r="L26" s="129">
        <f>L27</f>
        <v>0</v>
      </c>
      <c r="M26" s="130" t="str">
        <f>'BM02'!C36</f>
        <v>un</v>
      </c>
    </row>
    <row r="27" spans="1:13" ht="12.75">
      <c r="A27" s="132"/>
      <c r="B27" s="209"/>
      <c r="C27" s="210"/>
      <c r="D27" s="134"/>
      <c r="E27" s="134"/>
      <c r="F27" s="134"/>
      <c r="G27" s="134"/>
      <c r="H27" s="134"/>
      <c r="I27" s="134"/>
      <c r="J27" s="135"/>
      <c r="K27" s="135"/>
      <c r="L27" s="134">
        <f>ROUND(D27*K27,2)</f>
        <v>0</v>
      </c>
      <c r="M27" s="136"/>
    </row>
    <row r="28" spans="1:13" ht="12.75">
      <c r="A28" s="139"/>
      <c r="B28" s="140"/>
      <c r="C28" s="141"/>
      <c r="D28" s="142"/>
      <c r="E28" s="143"/>
      <c r="F28" s="142"/>
      <c r="G28" s="142"/>
      <c r="H28" s="143"/>
      <c r="I28" s="143"/>
      <c r="J28" s="144"/>
      <c r="K28" s="144"/>
      <c r="L28" s="142"/>
      <c r="M28" s="145"/>
    </row>
    <row r="29" spans="1:13" s="131" customFormat="1" ht="43.15" customHeight="1">
      <c r="A29" s="128" t="str">
        <f>'BM02'!A37</f>
        <v>1.1.6</v>
      </c>
      <c r="B29" s="211" t="str">
        <f>'BM02'!B37</f>
        <v>LIGACAO DOMICILIAR DE ESGOTO DN 100MM, DA  CASA  ATE  A  CAIXA,  COMPOSTO  POR 10,0M  TUBO  DE  PVC  ESGOTO  PREDIAL  DN
100MM E CAIXA DE ALVENARIA COM TAMPA DE   CONCRETO   -   FORNECIMENTO</v>
      </c>
      <c r="C29" s="212"/>
      <c r="D29" s="212"/>
      <c r="E29" s="212"/>
      <c r="F29" s="212"/>
      <c r="G29" s="212"/>
      <c r="H29" s="212"/>
      <c r="I29" s="212"/>
      <c r="J29" s="212"/>
      <c r="K29" s="213"/>
      <c r="L29" s="129">
        <f>SUM(L30)</f>
        <v>0</v>
      </c>
      <c r="M29" s="130" t="str">
        <f>'BM02'!C37</f>
        <v>un</v>
      </c>
    </row>
    <row r="30" spans="1:13" ht="12.75">
      <c r="A30" s="132"/>
      <c r="B30" s="209"/>
      <c r="C30" s="210"/>
      <c r="D30" s="134"/>
      <c r="E30" s="134"/>
      <c r="F30" s="134"/>
      <c r="G30" s="134"/>
      <c r="H30" s="134"/>
      <c r="I30" s="134"/>
      <c r="J30" s="135"/>
      <c r="K30" s="135"/>
      <c r="L30" s="134">
        <f>ROUND(D30*K30,2)</f>
        <v>0</v>
      </c>
      <c r="M30" s="136"/>
    </row>
    <row r="31" spans="1:13" ht="12.75">
      <c r="A31" s="146"/>
      <c r="B31" s="140"/>
      <c r="C31" s="143"/>
      <c r="D31" s="142"/>
      <c r="E31" s="142"/>
      <c r="F31" s="142"/>
      <c r="G31" s="142"/>
      <c r="H31" s="142"/>
      <c r="I31" s="142"/>
      <c r="J31" s="144"/>
      <c r="K31" s="144"/>
      <c r="L31" s="142"/>
      <c r="M31" s="145"/>
    </row>
    <row r="32" spans="1:13" s="131" customFormat="1" ht="12.75">
      <c r="A32" s="128" t="str">
        <f>'BM02'!A38</f>
        <v>1.1.7</v>
      </c>
      <c r="B32" s="211" t="str">
        <f>'BM02'!B38</f>
        <v>LOCAÇÃO DE CONTAINER - ALMOXARIFADO COM BANHEIRO - 6,00 X 2,30M</v>
      </c>
      <c r="C32" s="212"/>
      <c r="D32" s="212"/>
      <c r="E32" s="212"/>
      <c r="F32" s="212"/>
      <c r="G32" s="212"/>
      <c r="H32" s="212"/>
      <c r="I32" s="212"/>
      <c r="J32" s="212"/>
      <c r="K32" s="213"/>
      <c r="L32" s="129">
        <f>L33</f>
        <v>0</v>
      </c>
      <c r="M32" s="130" t="str">
        <f>'BM02'!C38</f>
        <v>mês</v>
      </c>
    </row>
    <row r="33" spans="1:13" ht="12.75">
      <c r="A33" s="132"/>
      <c r="B33" s="209"/>
      <c r="C33" s="210"/>
      <c r="D33" s="134"/>
      <c r="E33" s="134"/>
      <c r="F33" s="134"/>
      <c r="G33" s="134"/>
      <c r="H33" s="134"/>
      <c r="I33" s="134"/>
      <c r="J33" s="135"/>
      <c r="K33" s="135"/>
      <c r="L33" s="134">
        <f>ROUND(D33*K33,2)</f>
        <v>0</v>
      </c>
      <c r="M33" s="136"/>
    </row>
    <row r="34" spans="1:13" ht="12.75">
      <c r="A34" s="146"/>
      <c r="B34" s="140"/>
      <c r="C34" s="143"/>
      <c r="D34" s="142"/>
      <c r="E34" s="142"/>
      <c r="F34" s="142"/>
      <c r="G34" s="142"/>
      <c r="H34" s="142"/>
      <c r="I34" s="142"/>
      <c r="J34" s="144"/>
      <c r="K34" s="144"/>
      <c r="L34" s="142"/>
      <c r="M34" s="145"/>
    </row>
    <row r="35" spans="1:13" s="131" customFormat="1" ht="12.75">
      <c r="A35" s="128" t="str">
        <f>'BM02'!A39</f>
        <v>1.1.8</v>
      </c>
      <c r="B35" s="211" t="str">
        <f>'BM02'!B39</f>
        <v xml:space="preserve"> LOCAÇÃO DE CONTAINER - ESCRITÓRIO COM BANHEIRO - 6,20 X 2,20M</v>
      </c>
      <c r="C35" s="212"/>
      <c r="D35" s="212"/>
      <c r="E35" s="212"/>
      <c r="F35" s="212"/>
      <c r="G35" s="212"/>
      <c r="H35" s="212"/>
      <c r="I35" s="212"/>
      <c r="J35" s="212"/>
      <c r="K35" s="213"/>
      <c r="L35" s="129">
        <f>L36</f>
        <v>0</v>
      </c>
      <c r="M35" s="130" t="str">
        <f>'BM02'!C39</f>
        <v>mês</v>
      </c>
    </row>
    <row r="36" spans="1:13" ht="12.75">
      <c r="A36" s="132"/>
      <c r="B36" s="209"/>
      <c r="C36" s="210"/>
      <c r="D36" s="134"/>
      <c r="E36" s="134"/>
      <c r="F36" s="134"/>
      <c r="G36" s="134"/>
      <c r="H36" s="134"/>
      <c r="I36" s="134"/>
      <c r="J36" s="135"/>
      <c r="K36" s="135"/>
      <c r="L36" s="134">
        <f>ROUND(D36*K36,2)</f>
        <v>0</v>
      </c>
      <c r="M36" s="136"/>
    </row>
    <row r="37" spans="1:13" ht="12.75">
      <c r="A37" s="146"/>
      <c r="B37" s="140"/>
      <c r="C37" s="143"/>
      <c r="D37" s="142"/>
      <c r="E37" s="142"/>
      <c r="F37" s="142"/>
      <c r="G37" s="142"/>
      <c r="H37" s="142"/>
      <c r="I37" s="142"/>
      <c r="J37" s="144"/>
      <c r="K37" s="144"/>
      <c r="L37" s="142"/>
      <c r="M37" s="145"/>
    </row>
    <row r="38" spans="1:13" s="131" customFormat="1" ht="12.75">
      <c r="A38" s="128" t="str">
        <f>'BM04'!A41</f>
        <v>1.1.9</v>
      </c>
      <c r="B38" s="211" t="str">
        <f>'BM04'!B41</f>
        <v>EXECUÇÃO DE DEPÓSITO EM CANTEIRO DE OBRA EM ALVENARIA</v>
      </c>
      <c r="C38" s="212"/>
      <c r="D38" s="212"/>
      <c r="E38" s="212"/>
      <c r="F38" s="212"/>
      <c r="G38" s="212"/>
      <c r="H38" s="212"/>
      <c r="I38" s="212"/>
      <c r="J38" s="212"/>
      <c r="K38" s="213"/>
      <c r="L38" s="129">
        <f>L39</f>
        <v>0</v>
      </c>
      <c r="M38" s="130" t="str">
        <f>'BM04'!C41</f>
        <v>M²</v>
      </c>
    </row>
    <row r="39" spans="1:13" ht="12.75">
      <c r="A39" s="132"/>
      <c r="B39" s="209"/>
      <c r="C39" s="210"/>
      <c r="D39" s="134"/>
      <c r="E39" s="134"/>
      <c r="F39" s="134"/>
      <c r="G39" s="134"/>
      <c r="H39" s="134"/>
      <c r="I39" s="134"/>
      <c r="J39" s="135"/>
      <c r="K39" s="135"/>
      <c r="L39" s="134">
        <f>ROUND(D39*K39,2)</f>
        <v>0</v>
      </c>
      <c r="M39" s="136"/>
    </row>
    <row r="40" spans="1:13" ht="13.5" thickBot="1">
      <c r="A40" s="146"/>
      <c r="B40" s="140"/>
      <c r="C40" s="143"/>
      <c r="D40" s="142"/>
      <c r="E40" s="142"/>
      <c r="F40" s="142"/>
      <c r="G40" s="142"/>
      <c r="H40" s="142"/>
      <c r="I40" s="142"/>
      <c r="J40" s="144"/>
      <c r="K40" s="144"/>
      <c r="L40" s="142"/>
      <c r="M40" s="145"/>
    </row>
    <row r="41" spans="1:13" s="131" customFormat="1" ht="13.5" thickBot="1">
      <c r="A41" s="121" t="str">
        <f>'BM02'!A41</f>
        <v>1.2</v>
      </c>
      <c r="B41" s="122" t="str">
        <f>'BM02'!B41</f>
        <v>MOVIMENTO DE TERRA</v>
      </c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3"/>
    </row>
    <row r="42" spans="1:13" ht="12.75">
      <c r="A42" s="146"/>
      <c r="B42" s="140"/>
      <c r="C42" s="143"/>
      <c r="D42" s="142"/>
      <c r="E42" s="142"/>
      <c r="F42" s="142"/>
      <c r="G42" s="142"/>
      <c r="H42" s="142"/>
      <c r="I42" s="142"/>
      <c r="J42" s="144"/>
      <c r="K42" s="144"/>
      <c r="L42" s="142"/>
      <c r="M42" s="145"/>
    </row>
    <row r="43" spans="1:13" s="131" customFormat="1" ht="28.9" customHeight="1">
      <c r="A43" s="128" t="str">
        <f>'BM02'!A43</f>
        <v>1.2.1</v>
      </c>
      <c r="B43" s="211" t="str">
        <f>'BM02'!B43</f>
        <v>ESCAVACAO MECANICA DE VALA EM MATERIAL DE 2A. CATEGORIA ATE 2 M DE PROFUNDIDADE COM UTILIZACAO DE ESCAVADEIRA HIDRAULICA</v>
      </c>
      <c r="C43" s="212"/>
      <c r="D43" s="212"/>
      <c r="E43" s="212"/>
      <c r="F43" s="212"/>
      <c r="G43" s="212"/>
      <c r="H43" s="212"/>
      <c r="I43" s="212"/>
      <c r="J43" s="212"/>
      <c r="K43" s="213"/>
      <c r="L43" s="129">
        <f>SUM(L44:L44)</f>
        <v>0</v>
      </c>
      <c r="M43" s="130" t="str">
        <f>'BM02'!C43</f>
        <v>m³</v>
      </c>
    </row>
    <row r="44" spans="1:13" ht="12.75">
      <c r="A44" s="132"/>
      <c r="B44" s="209"/>
      <c r="C44" s="210"/>
      <c r="D44" s="134"/>
      <c r="E44" s="134"/>
      <c r="F44" s="134"/>
      <c r="G44" s="134"/>
      <c r="H44" s="134"/>
      <c r="I44" s="134"/>
      <c r="J44" s="135"/>
      <c r="K44" s="135"/>
      <c r="L44" s="134">
        <f>ROUND(D44*K44,2)</f>
        <v>0</v>
      </c>
      <c r="M44" s="136"/>
    </row>
    <row r="45" spans="1:13" ht="12.75">
      <c r="A45" s="146"/>
      <c r="B45" s="140"/>
      <c r="C45" s="143"/>
      <c r="D45" s="142"/>
      <c r="E45" s="142"/>
      <c r="F45" s="142"/>
      <c r="G45" s="142"/>
      <c r="H45" s="142"/>
      <c r="I45" s="142"/>
      <c r="J45" s="144"/>
      <c r="K45" s="144"/>
      <c r="L45" s="142"/>
      <c r="M45" s="145"/>
    </row>
    <row r="46" spans="1:13" s="131" customFormat="1" ht="12.75">
      <c r="A46" s="128" t="str">
        <f>'BM02'!A44</f>
        <v>1.2.2</v>
      </c>
      <c r="B46" s="211" t="str">
        <f>'BM02'!B44</f>
        <v>REATERRO MANUAL DE VALAS COM COMPACTAÇÃO MECANIZADA. AF_04/2016</v>
      </c>
      <c r="C46" s="212"/>
      <c r="D46" s="212"/>
      <c r="E46" s="212"/>
      <c r="F46" s="212"/>
      <c r="G46" s="212"/>
      <c r="H46" s="212"/>
      <c r="I46" s="212"/>
      <c r="J46" s="212"/>
      <c r="K46" s="213"/>
      <c r="L46" s="129">
        <f>SUM(L47:L47)</f>
        <v>0</v>
      </c>
      <c r="M46" s="130" t="str">
        <f>'BM02'!C44</f>
        <v>m³</v>
      </c>
    </row>
    <row r="47" spans="1:13" ht="12.75">
      <c r="A47" s="132"/>
      <c r="B47" s="209"/>
      <c r="C47" s="210"/>
      <c r="D47" s="134"/>
      <c r="E47" s="134"/>
      <c r="F47" s="134"/>
      <c r="G47" s="134"/>
      <c r="H47" s="134"/>
      <c r="I47" s="134"/>
      <c r="J47" s="135"/>
      <c r="K47" s="135"/>
      <c r="L47" s="134">
        <f>ROUND(D47*K47,2)</f>
        <v>0</v>
      </c>
      <c r="M47" s="136"/>
    </row>
    <row r="48" spans="1:13" ht="12.75">
      <c r="A48" s="146"/>
      <c r="B48" s="140"/>
      <c r="C48" s="143"/>
      <c r="D48" s="142"/>
      <c r="E48" s="142"/>
      <c r="F48" s="142"/>
      <c r="G48" s="142"/>
      <c r="H48" s="142"/>
      <c r="I48" s="142"/>
      <c r="J48" s="144"/>
      <c r="K48" s="144"/>
      <c r="L48" s="142"/>
      <c r="M48" s="145"/>
    </row>
    <row r="49" spans="1:13" s="131" customFormat="1" ht="12.75">
      <c r="A49" s="128" t="str">
        <f>'BM02'!A45</f>
        <v>1.2.3</v>
      </c>
      <c r="B49" s="137" t="str">
        <f>'BM02'!B45</f>
        <v>ATERRO MANUAL DE VALAS COM SOLO ARGILO-ARENOSO E COMPACTAÇÃO MECANIZADA. AF_05/2016</v>
      </c>
      <c r="C49" s="138"/>
      <c r="D49" s="138"/>
      <c r="E49" s="138"/>
      <c r="F49" s="138"/>
      <c r="G49" s="138"/>
      <c r="H49" s="138"/>
      <c r="I49" s="138"/>
      <c r="J49" s="138"/>
      <c r="K49" s="138"/>
      <c r="L49" s="129">
        <f>ROUND(SUM(L50:L50),2)</f>
        <v>0</v>
      </c>
      <c r="M49" s="130" t="str">
        <f>'BM02'!C45</f>
        <v>m³</v>
      </c>
    </row>
    <row r="50" spans="1:13" ht="28.9" customHeight="1">
      <c r="A50" s="132"/>
      <c r="B50" s="209"/>
      <c r="C50" s="210"/>
      <c r="D50" s="134"/>
      <c r="E50" s="134"/>
      <c r="F50" s="134"/>
      <c r="G50" s="134"/>
      <c r="H50" s="134"/>
      <c r="I50" s="134"/>
      <c r="J50" s="135"/>
      <c r="K50" s="135"/>
      <c r="L50" s="134">
        <f>-ROUND(D50*K50,2)</f>
        <v>0</v>
      </c>
      <c r="M50" s="136"/>
    </row>
    <row r="51" spans="1:13" ht="12.75">
      <c r="A51" s="146"/>
      <c r="B51" s="140"/>
      <c r="C51" s="143"/>
      <c r="D51" s="142"/>
      <c r="E51" s="142"/>
      <c r="F51" s="142"/>
      <c r="G51" s="142"/>
      <c r="H51" s="142"/>
      <c r="I51" s="142"/>
      <c r="J51" s="144"/>
      <c r="K51" s="144"/>
      <c r="L51" s="142"/>
      <c r="M51" s="145"/>
    </row>
    <row r="52" spans="1:13" s="131" customFormat="1" ht="12.75">
      <c r="A52" s="128" t="str">
        <f>'BM04'!A48</f>
        <v>1.2.4</v>
      </c>
      <c r="B52" s="137" t="str">
        <f>'BM04'!B48</f>
        <v>Transporte de material, por peso, com caminhão basculante, com ciclo definido e dmt 2001 a 3000m. Rev 01</v>
      </c>
      <c r="C52" s="138"/>
      <c r="D52" s="138"/>
      <c r="E52" s="138"/>
      <c r="F52" s="138"/>
      <c r="G52" s="138"/>
      <c r="H52" s="138"/>
      <c r="I52" s="138"/>
      <c r="J52" s="138"/>
      <c r="K52" s="138"/>
      <c r="L52" s="129">
        <f>ROUND(SUM(L53:L53),2)</f>
        <v>0</v>
      </c>
      <c r="M52" s="130" t="str">
        <f>'BM04'!C48</f>
        <v>t</v>
      </c>
    </row>
    <row r="53" spans="1:13" ht="12.75">
      <c r="A53" s="132"/>
      <c r="B53" s="209"/>
      <c r="C53" s="210"/>
      <c r="D53" s="134"/>
      <c r="E53" s="134"/>
      <c r="F53" s="134"/>
      <c r="G53" s="134"/>
      <c r="H53" s="134"/>
      <c r="I53" s="134"/>
      <c r="J53" s="135"/>
      <c r="K53" s="135"/>
      <c r="L53" s="134">
        <f>K53</f>
        <v>0</v>
      </c>
      <c r="M53" s="136"/>
    </row>
    <row r="54" spans="1:13" ht="13.5" thickBot="1">
      <c r="A54" s="146"/>
      <c r="B54" s="140"/>
      <c r="C54" s="143"/>
      <c r="D54" s="142"/>
      <c r="E54" s="142"/>
      <c r="F54" s="142"/>
      <c r="G54" s="142"/>
      <c r="H54" s="142"/>
      <c r="I54" s="142"/>
      <c r="J54" s="144"/>
      <c r="K54" s="144"/>
      <c r="L54" s="142"/>
      <c r="M54" s="145"/>
    </row>
    <row r="55" spans="1:13" s="131" customFormat="1" ht="13.5" thickBot="1">
      <c r="A55" s="121" t="str">
        <f>'BM02'!A47</f>
        <v>1.3</v>
      </c>
      <c r="B55" s="122" t="str">
        <f>'BM02'!B47</f>
        <v>INFRAESTRUTURA</v>
      </c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3"/>
    </row>
    <row r="56" spans="1:13" ht="12.75">
      <c r="A56" s="146"/>
      <c r="B56" s="140"/>
      <c r="C56" s="143"/>
      <c r="D56" s="142"/>
      <c r="E56" s="142"/>
      <c r="F56" s="142"/>
      <c r="G56" s="142"/>
      <c r="H56" s="142"/>
      <c r="I56" s="142"/>
      <c r="J56" s="144"/>
      <c r="K56" s="144"/>
      <c r="L56" s="142"/>
      <c r="M56" s="145"/>
    </row>
    <row r="57" spans="1:13" s="131" customFormat="1" ht="12.75">
      <c r="A57" s="128" t="str">
        <f>'BM02'!A49</f>
        <v>1.3.1</v>
      </c>
      <c r="B57" s="211" t="str">
        <f>'BM02'!B49</f>
        <v>EMBASAMENTO C/PEDRA ARGAMASSADA UTILIZADO ARG.CIM/AREIA 1:4 (ADAPTADO SINAPI 95467)</v>
      </c>
      <c r="C57" s="212"/>
      <c r="D57" s="212"/>
      <c r="E57" s="212"/>
      <c r="F57" s="212"/>
      <c r="G57" s="212"/>
      <c r="H57" s="212"/>
      <c r="I57" s="212"/>
      <c r="J57" s="212"/>
      <c r="K57" s="213"/>
      <c r="L57" s="129">
        <f>SUM(L58:L58)</f>
        <v>0</v>
      </c>
      <c r="M57" s="130" t="str">
        <f>'BM02'!C49</f>
        <v>m³</v>
      </c>
    </row>
    <row r="58" spans="1:13" s="131" customFormat="1" ht="12.75">
      <c r="A58" s="132"/>
      <c r="B58" s="178"/>
      <c r="C58" s="179"/>
      <c r="D58" s="134"/>
      <c r="E58" s="134"/>
      <c r="F58" s="134"/>
      <c r="G58" s="134"/>
      <c r="H58" s="134"/>
      <c r="I58" s="134"/>
      <c r="J58" s="135"/>
      <c r="K58" s="135"/>
      <c r="L58" s="134">
        <f t="shared" ref="L58" si="0">ROUND(D58*K58,2)</f>
        <v>0</v>
      </c>
      <c r="M58" s="180"/>
    </row>
    <row r="59" spans="1:13" ht="12.75">
      <c r="A59" s="146"/>
      <c r="B59" s="140"/>
      <c r="C59" s="143"/>
      <c r="D59" s="142"/>
      <c r="E59" s="142"/>
      <c r="F59" s="142"/>
      <c r="G59" s="142"/>
      <c r="H59" s="142"/>
      <c r="I59" s="142"/>
      <c r="J59" s="144"/>
      <c r="K59" s="144"/>
      <c r="L59" s="142"/>
      <c r="M59" s="145"/>
    </row>
    <row r="60" spans="1:13" s="131" customFormat="1" ht="43.15" customHeight="1">
      <c r="A60" s="128" t="str">
        <f>'BM01'!A50</f>
        <v>1.3.2</v>
      </c>
      <c r="B60" s="211" t="str">
        <f>'BM02'!B50</f>
        <v>ALVENARIA DE VEDAÇÃO DE BLOCOS CERÂMICOS FURADOS NA HORIZONTAL DE 9X19X19CM (ESPESSURA 9CM) DE PAREDES COM ÁREA LÍQUIDA MAIOR OU IGUAL A 6M² COM VÃOS E ARGAMASSA DE ASSENTAMENTO COM PREPARO MANUAL. AF_06/2014</v>
      </c>
      <c r="C60" s="212"/>
      <c r="D60" s="212"/>
      <c r="E60" s="212"/>
      <c r="F60" s="212"/>
      <c r="G60" s="212"/>
      <c r="H60" s="212"/>
      <c r="I60" s="212"/>
      <c r="J60" s="212"/>
      <c r="K60" s="213"/>
      <c r="L60" s="129">
        <f>ROUND(SUM(L61:L61),2)</f>
        <v>0</v>
      </c>
      <c r="M60" s="130" t="str">
        <f>'BM02'!C50</f>
        <v>m²</v>
      </c>
    </row>
    <row r="61" spans="1:13" s="131" customFormat="1" ht="12.75">
      <c r="A61" s="132"/>
      <c r="B61" s="209"/>
      <c r="C61" s="210"/>
      <c r="D61" s="134"/>
      <c r="E61" s="134"/>
      <c r="F61" s="134"/>
      <c r="G61" s="134"/>
      <c r="H61" s="134"/>
      <c r="I61" s="134"/>
      <c r="J61" s="135"/>
      <c r="K61" s="135"/>
      <c r="L61" s="134">
        <f>-K61</f>
        <v>0</v>
      </c>
      <c r="M61" s="180"/>
    </row>
    <row r="62" spans="1:13" ht="12.75">
      <c r="A62" s="146"/>
      <c r="B62" s="140"/>
      <c r="C62" s="143"/>
      <c r="D62" s="142"/>
      <c r="E62" s="142"/>
      <c r="F62" s="142"/>
      <c r="G62" s="142"/>
      <c r="H62" s="142"/>
      <c r="I62" s="142"/>
      <c r="J62" s="144"/>
      <c r="K62" s="144"/>
      <c r="L62" s="142"/>
      <c r="M62" s="145"/>
    </row>
    <row r="63" spans="1:13" s="131" customFormat="1" ht="13.5" thickBot="1">
      <c r="A63" s="128" t="str">
        <f>'BM01'!A51</f>
        <v>1.3.3</v>
      </c>
      <c r="B63" s="211" t="str">
        <f>'BM02'!B51</f>
        <v>LASTRO DE CONCRETO MAGRO, APLICADO EM BLOCOS DE COROAMENTO OU SAPATAS. AF_08/2017</v>
      </c>
      <c r="C63" s="212"/>
      <c r="D63" s="212"/>
      <c r="E63" s="212"/>
      <c r="F63" s="212"/>
      <c r="G63" s="212"/>
      <c r="H63" s="212"/>
      <c r="I63" s="212"/>
      <c r="J63" s="212"/>
      <c r="K63" s="213"/>
      <c r="L63" s="129">
        <f>SUM(L64:L64)</f>
        <v>0</v>
      </c>
      <c r="M63" s="130" t="str">
        <f>'BM02'!C51</f>
        <v>m³</v>
      </c>
    </row>
    <row r="64" spans="1:13" s="131" customFormat="1" ht="12.75">
      <c r="A64" s="132"/>
      <c r="B64" s="178"/>
      <c r="C64" s="179"/>
      <c r="D64" s="134"/>
      <c r="E64" s="134"/>
      <c r="F64" s="134"/>
      <c r="G64" s="134"/>
      <c r="H64" s="134"/>
      <c r="I64" s="134"/>
      <c r="J64" s="135"/>
      <c r="K64" s="135"/>
      <c r="L64" s="134">
        <f t="shared" ref="L64" si="1">ROUND(D64*K64,2)</f>
        <v>0</v>
      </c>
      <c r="M64" s="180"/>
    </row>
    <row r="65" spans="1:13" ht="12.75">
      <c r="A65" s="146"/>
      <c r="B65" s="140"/>
      <c r="C65" s="143"/>
      <c r="D65" s="142"/>
      <c r="E65" s="142"/>
      <c r="F65" s="142"/>
      <c r="G65" s="142"/>
      <c r="H65" s="142"/>
      <c r="I65" s="142"/>
      <c r="J65" s="144"/>
      <c r="K65" s="144"/>
      <c r="L65" s="142"/>
      <c r="M65" s="145"/>
    </row>
    <row r="66" spans="1:13" s="131" customFormat="1" ht="28.9" customHeight="1">
      <c r="A66" s="128" t="str">
        <f>'BM01'!A52</f>
        <v>1.3.4</v>
      </c>
      <c r="B66" s="211" t="str">
        <f>'BM02'!B52</f>
        <v>CONCRETO ARMADO (PREPARO E LANÇAMENTO) PARA SAPATAS COM FCK=25MPA COM FORMA DE TABUA COM APROVEITAMENTO DE 2 VEZES COM BETONEIRA</v>
      </c>
      <c r="C66" s="212"/>
      <c r="D66" s="212"/>
      <c r="E66" s="212"/>
      <c r="F66" s="212"/>
      <c r="G66" s="212"/>
      <c r="H66" s="212"/>
      <c r="I66" s="212"/>
      <c r="J66" s="212"/>
      <c r="K66" s="213"/>
      <c r="L66" s="129">
        <f>SUM(L67:L67)</f>
        <v>0</v>
      </c>
      <c r="M66" s="130" t="str">
        <f>'BM02'!C52</f>
        <v>m³</v>
      </c>
    </row>
    <row r="67" spans="1:13" s="131" customFormat="1" ht="12.75">
      <c r="A67" s="132"/>
      <c r="B67" s="178"/>
      <c r="C67" s="179"/>
      <c r="D67" s="134"/>
      <c r="E67" s="134"/>
      <c r="F67" s="134"/>
      <c r="G67" s="134"/>
      <c r="H67" s="134"/>
      <c r="I67" s="134"/>
      <c r="J67" s="135"/>
      <c r="K67" s="135"/>
      <c r="L67" s="134">
        <f t="shared" ref="L67" si="2">ROUND(D67*K67,2)</f>
        <v>0</v>
      </c>
      <c r="M67" s="180"/>
    </row>
    <row r="68" spans="1:13" ht="12.75">
      <c r="A68" s="146"/>
      <c r="B68" s="140"/>
      <c r="C68" s="143"/>
      <c r="D68" s="142"/>
      <c r="E68" s="142"/>
      <c r="F68" s="142"/>
      <c r="G68" s="142"/>
      <c r="H68" s="142"/>
      <c r="I68" s="142"/>
      <c r="J68" s="144"/>
      <c r="K68" s="144"/>
      <c r="L68" s="142"/>
      <c r="M68" s="145"/>
    </row>
    <row r="69" spans="1:13" s="131" customFormat="1" ht="28.9" customHeight="1">
      <c r="A69" s="128" t="str">
        <f>'BM01'!A53</f>
        <v>1.3.5</v>
      </c>
      <c r="B69" s="211" t="str">
        <f>'BM02'!B53</f>
        <v>CONCRETO ARMADO (PREPARO E LANÇAMENTO) PARA RADIER COM FCK=25MPA COM TABUA DE MADEIRA COM APROVEITAMENTO DE 3 VEZES COM BETONEIRA</v>
      </c>
      <c r="C69" s="212"/>
      <c r="D69" s="212"/>
      <c r="E69" s="212"/>
      <c r="F69" s="212"/>
      <c r="G69" s="212"/>
      <c r="H69" s="212"/>
      <c r="I69" s="212"/>
      <c r="J69" s="212"/>
      <c r="K69" s="213"/>
      <c r="L69" s="129">
        <f>SUM(L70:L70)</f>
        <v>0</v>
      </c>
      <c r="M69" s="130" t="str">
        <f>'BM02'!C53</f>
        <v>m³</v>
      </c>
    </row>
    <row r="70" spans="1:13" ht="12.75">
      <c r="A70" s="132"/>
      <c r="B70" s="209"/>
      <c r="C70" s="210"/>
      <c r="D70" s="134"/>
      <c r="E70" s="134"/>
      <c r="F70" s="134"/>
      <c r="G70" s="134"/>
      <c r="H70" s="134"/>
      <c r="I70" s="134"/>
      <c r="J70" s="135"/>
      <c r="K70" s="135"/>
      <c r="L70" s="134">
        <f>-K70</f>
        <v>0</v>
      </c>
      <c r="M70" s="136"/>
    </row>
    <row r="71" spans="1:13" ht="12.75">
      <c r="A71" s="146"/>
      <c r="B71" s="181"/>
      <c r="C71" s="181"/>
      <c r="D71" s="142"/>
      <c r="E71" s="142"/>
      <c r="F71" s="142"/>
      <c r="G71" s="142"/>
      <c r="H71" s="142"/>
      <c r="I71" s="142"/>
      <c r="J71" s="144"/>
      <c r="K71" s="144"/>
      <c r="L71" s="142"/>
      <c r="M71" s="145"/>
    </row>
    <row r="72" spans="1:13" s="131" customFormat="1" ht="13.5" thickBot="1">
      <c r="A72" s="128" t="str">
        <f>'BM04'!A57</f>
        <v>1.3.6</v>
      </c>
      <c r="B72" s="211" t="str">
        <f>'BM04'!B57</f>
        <v>IMPERMEABILIZAÇÃO DE SUPERFÍCIE COM EMULSÃO ASFÁLTICA, 2 DEMÃOS AF_06/2018</v>
      </c>
      <c r="C72" s="212"/>
      <c r="D72" s="212"/>
      <c r="E72" s="212"/>
      <c r="F72" s="212"/>
      <c r="G72" s="212"/>
      <c r="H72" s="212"/>
      <c r="I72" s="212"/>
      <c r="J72" s="212"/>
      <c r="K72" s="213"/>
      <c r="L72" s="129">
        <f>SUM(L73:L73)</f>
        <v>0</v>
      </c>
      <c r="M72" s="130" t="str">
        <f>'BM04'!C57</f>
        <v>M²</v>
      </c>
    </row>
    <row r="73" spans="1:13" ht="12.75">
      <c r="A73" s="132"/>
      <c r="B73" s="209"/>
      <c r="C73" s="210"/>
      <c r="D73" s="134"/>
      <c r="E73" s="134"/>
      <c r="F73" s="134"/>
      <c r="G73" s="134"/>
      <c r="H73" s="134"/>
      <c r="I73" s="134"/>
      <c r="J73" s="135"/>
      <c r="K73" s="135"/>
      <c r="L73" s="134">
        <f t="shared" ref="L73" si="3">ROUND(D73*K73,2)</f>
        <v>0</v>
      </c>
      <c r="M73" s="136"/>
    </row>
    <row r="74" spans="1:13" ht="13.5" thickBot="1">
      <c r="A74" s="146"/>
      <c r="B74" s="181"/>
      <c r="C74" s="181"/>
      <c r="D74" s="142"/>
      <c r="E74" s="142"/>
      <c r="F74" s="142"/>
      <c r="G74" s="142"/>
      <c r="H74" s="142"/>
      <c r="I74" s="142"/>
      <c r="J74" s="144"/>
      <c r="K74" s="144"/>
      <c r="L74" s="142"/>
      <c r="M74" s="145"/>
    </row>
    <row r="75" spans="1:13" ht="13.5" thickBot="1">
      <c r="A75" s="121" t="str">
        <f>'BM02'!A55</f>
        <v>1.4</v>
      </c>
      <c r="B75" s="122" t="str">
        <f>'BM02'!B55</f>
        <v>SUPERESTRUTURA</v>
      </c>
      <c r="C75" s="122"/>
      <c r="D75" s="122"/>
      <c r="E75" s="122"/>
      <c r="F75" s="122"/>
      <c r="G75" s="122"/>
      <c r="H75" s="122"/>
      <c r="I75" s="122"/>
      <c r="J75" s="122"/>
      <c r="K75" s="122"/>
      <c r="L75" s="122"/>
      <c r="M75" s="123"/>
    </row>
    <row r="76" spans="1:13" ht="12.75">
      <c r="A76" s="124"/>
      <c r="B76" s="125"/>
      <c r="C76" s="125"/>
      <c r="D76" s="125"/>
      <c r="E76" s="125"/>
      <c r="F76" s="125"/>
      <c r="G76" s="125"/>
      <c r="H76" s="125"/>
      <c r="I76" s="125"/>
      <c r="J76" s="125"/>
      <c r="K76" s="126"/>
      <c r="L76" s="125"/>
      <c r="M76" s="127"/>
    </row>
    <row r="77" spans="1:13" s="131" customFormat="1" ht="28.9" customHeight="1">
      <c r="A77" s="128" t="str">
        <f>'BM02'!A57</f>
        <v>1.4.1</v>
      </c>
      <c r="B77" s="211" t="str">
        <f>'BM02'!B57</f>
        <v>CONCRETO ARMADO (PREPARO E LANÇAMENTO) PARA VIGA COM FCK=25MPA, COM FORMA EM CHAPA DE MADEIRA COMPENSADA RESINADA, COM APROVEITAMENTO DE 3 VEZES COM BETONEIRA</v>
      </c>
      <c r="C77" s="212"/>
      <c r="D77" s="212"/>
      <c r="E77" s="212"/>
      <c r="F77" s="212"/>
      <c r="G77" s="212"/>
      <c r="H77" s="212"/>
      <c r="I77" s="212"/>
      <c r="J77" s="212"/>
      <c r="K77" s="213"/>
      <c r="L77" s="129">
        <f>SUM(L78:L78)</f>
        <v>0</v>
      </c>
      <c r="M77" s="130" t="str">
        <f>'BM02'!C57</f>
        <v>m²</v>
      </c>
    </row>
    <row r="78" spans="1:13" ht="12.75">
      <c r="A78" s="132"/>
      <c r="B78" s="209"/>
      <c r="C78" s="210"/>
      <c r="D78" s="134"/>
      <c r="E78" s="134"/>
      <c r="F78" s="134"/>
      <c r="G78" s="134"/>
      <c r="H78" s="134"/>
      <c r="I78" s="134"/>
      <c r="J78" s="135"/>
      <c r="K78" s="135"/>
      <c r="L78" s="134">
        <f>D78</f>
        <v>0</v>
      </c>
      <c r="M78" s="136"/>
    </row>
    <row r="79" spans="1:13" ht="12.75">
      <c r="A79" s="124"/>
      <c r="B79" s="125"/>
      <c r="C79" s="125"/>
      <c r="D79" s="125"/>
      <c r="E79" s="125"/>
      <c r="F79" s="125"/>
      <c r="G79" s="125"/>
      <c r="H79" s="125"/>
      <c r="I79" s="125"/>
      <c r="J79" s="125"/>
      <c r="K79" s="125"/>
      <c r="L79" s="125"/>
      <c r="M79" s="127"/>
    </row>
    <row r="80" spans="1:13" s="131" customFormat="1" ht="28.9" customHeight="1">
      <c r="A80" s="128" t="str">
        <f>'BM02'!A58</f>
        <v>1.4.2</v>
      </c>
      <c r="B80" s="211" t="str">
        <f>'BM02'!B58</f>
        <v>CONCRETO ARMADO (PREPARO E LANÇAMENTO) PARA PILARES COM FCK=25MPA, COM FORMA EM CHAPA DE MADEIRA COMPENSADA RESINADA, COM APROVEITAMENTO DE 3 VEZES COM BETONEIRA</v>
      </c>
      <c r="C80" s="212"/>
      <c r="D80" s="212"/>
      <c r="E80" s="212"/>
      <c r="F80" s="212"/>
      <c r="G80" s="212"/>
      <c r="H80" s="212"/>
      <c r="I80" s="212"/>
      <c r="J80" s="212"/>
      <c r="K80" s="213"/>
      <c r="L80" s="129">
        <f>ROUND(SUM(L81:L81),2)</f>
        <v>0</v>
      </c>
      <c r="M80" s="130" t="str">
        <f>'BM02'!C58</f>
        <v>m³</v>
      </c>
    </row>
    <row r="81" spans="1:13" ht="12.75">
      <c r="A81" s="132"/>
      <c r="B81" s="209"/>
      <c r="C81" s="210"/>
      <c r="D81" s="134"/>
      <c r="E81" s="134"/>
      <c r="F81" s="134"/>
      <c r="G81" s="134"/>
      <c r="H81" s="134"/>
      <c r="I81" s="134"/>
      <c r="J81" s="135"/>
      <c r="K81" s="135"/>
      <c r="L81" s="134">
        <f>D81*K81</f>
        <v>0</v>
      </c>
      <c r="M81" s="136"/>
    </row>
    <row r="82" spans="1:13" ht="12.75">
      <c r="A82" s="146"/>
      <c r="B82" s="181"/>
      <c r="C82" s="181"/>
      <c r="D82" s="142"/>
      <c r="E82" s="142"/>
      <c r="F82" s="142"/>
      <c r="G82" s="142"/>
      <c r="H82" s="142"/>
      <c r="I82" s="142"/>
      <c r="J82" s="144"/>
      <c r="K82" s="144"/>
      <c r="L82" s="142"/>
      <c r="M82" s="145"/>
    </row>
    <row r="83" spans="1:13" ht="12.75">
      <c r="A83" s="128" t="str">
        <f>'BM02'!A59</f>
        <v>1.4.3</v>
      </c>
      <c r="B83" s="137" t="str">
        <f>'BM02'!B59</f>
        <v>Prateleira em granito cinza andorinha, esp= 2cm</v>
      </c>
      <c r="C83" s="138"/>
      <c r="D83" s="138"/>
      <c r="E83" s="138"/>
      <c r="F83" s="138"/>
      <c r="G83" s="138"/>
      <c r="H83" s="138"/>
      <c r="I83" s="138"/>
      <c r="J83" s="138"/>
      <c r="K83" s="138"/>
      <c r="L83" s="129">
        <f>L84</f>
        <v>0</v>
      </c>
      <c r="M83" s="130" t="str">
        <f>'BM02'!C59</f>
        <v>m²</v>
      </c>
    </row>
    <row r="84" spans="1:13" ht="12.75">
      <c r="A84" s="132"/>
      <c r="B84" s="209"/>
      <c r="C84" s="210"/>
      <c r="D84" s="134"/>
      <c r="E84" s="134"/>
      <c r="F84" s="134"/>
      <c r="G84" s="134"/>
      <c r="H84" s="134"/>
      <c r="I84" s="134"/>
      <c r="J84" s="135"/>
      <c r="K84" s="135"/>
      <c r="L84" s="134"/>
      <c r="M84" s="136"/>
    </row>
    <row r="85" spans="1:13" ht="12.75">
      <c r="A85" s="124"/>
      <c r="B85" s="125"/>
      <c r="C85" s="125"/>
      <c r="D85" s="125"/>
      <c r="E85" s="125"/>
      <c r="F85" s="125"/>
      <c r="G85" s="125"/>
      <c r="H85" s="125"/>
      <c r="I85" s="125"/>
      <c r="J85" s="125"/>
      <c r="K85" s="125"/>
      <c r="L85" s="125"/>
      <c r="M85" s="127"/>
    </row>
    <row r="86" spans="1:13" ht="12.75">
      <c r="A86" s="128" t="str">
        <f>'BM02'!A60</f>
        <v>1.4.4</v>
      </c>
      <c r="B86" s="211" t="str">
        <f>'BM02'!B60</f>
        <v>LAJE PRÉ-MOLDADA UNIDIRECIONAL, BIAPOIADA, PARA FORRO, ENCHIMENTO EM CERÂMICA, VIGOTA CONVENCIONAL, ALTURA TOTAL DA LAJE (ENCHIMENTO+CAPA) = (8+3). AF_11/2020</v>
      </c>
      <c r="C86" s="212"/>
      <c r="D86" s="212"/>
      <c r="E86" s="212"/>
      <c r="F86" s="212"/>
      <c r="G86" s="212"/>
      <c r="H86" s="212"/>
      <c r="I86" s="212"/>
      <c r="J86" s="212"/>
      <c r="K86" s="213"/>
      <c r="L86" s="129">
        <f>SUM(L87:L87)</f>
        <v>0</v>
      </c>
      <c r="M86" s="130" t="str">
        <f>'BM02'!C60</f>
        <v>m²</v>
      </c>
    </row>
    <row r="87" spans="1:13" ht="12.75">
      <c r="A87" s="132"/>
      <c r="B87" s="209"/>
      <c r="C87" s="210"/>
      <c r="D87" s="134"/>
      <c r="E87" s="134"/>
      <c r="F87" s="134"/>
      <c r="G87" s="134"/>
      <c r="H87" s="134"/>
      <c r="I87" s="134"/>
      <c r="J87" s="135"/>
      <c r="K87" s="135"/>
      <c r="L87" s="134"/>
      <c r="M87" s="136"/>
    </row>
    <row r="88" spans="1:13" ht="13.5" thickBot="1">
      <c r="A88" s="139"/>
      <c r="B88" s="140"/>
      <c r="C88" s="141"/>
      <c r="D88" s="142"/>
      <c r="E88" s="143"/>
      <c r="F88" s="142"/>
      <c r="G88" s="142"/>
      <c r="H88" s="143"/>
      <c r="I88" s="143"/>
      <c r="J88" s="144"/>
      <c r="K88" s="144"/>
      <c r="L88" s="142"/>
      <c r="M88" s="145"/>
    </row>
    <row r="89" spans="1:13" ht="13.5" thickBot="1">
      <c r="A89" s="121" t="str">
        <f>'BM02'!A62</f>
        <v>1.5</v>
      </c>
      <c r="B89" s="122" t="str">
        <f>'BM02'!B62</f>
        <v>PAREDES E PAINEIS</v>
      </c>
      <c r="C89" s="122"/>
      <c r="D89" s="122"/>
      <c r="E89" s="122"/>
      <c r="F89" s="122"/>
      <c r="G89" s="122"/>
      <c r="H89" s="122"/>
      <c r="I89" s="122"/>
      <c r="J89" s="122"/>
      <c r="K89" s="122"/>
      <c r="L89" s="122"/>
      <c r="M89" s="123"/>
    </row>
    <row r="90" spans="1:13" ht="12.75">
      <c r="A90" s="124"/>
      <c r="B90" s="125"/>
      <c r="C90" s="125"/>
      <c r="D90" s="125"/>
      <c r="E90" s="125"/>
      <c r="F90" s="125"/>
      <c r="G90" s="125"/>
      <c r="H90" s="125"/>
      <c r="I90" s="125"/>
      <c r="J90" s="125"/>
      <c r="K90" s="126"/>
      <c r="L90" s="125"/>
      <c r="M90" s="127"/>
    </row>
    <row r="91" spans="1:13" s="131" customFormat="1" ht="43.15" customHeight="1">
      <c r="A91" s="128" t="str">
        <f>'BM02'!A64</f>
        <v>1.5.1</v>
      </c>
      <c r="B91" s="211" t="str">
        <f>'BM02'!B64</f>
        <v>ALVENARIA DE VEDAÇÃO DE BLOCOS CERÂMICOS FURADOS NA HORIZONTAL DE 9X19X19CM (ESPESSURA 9CM) DE PAREDES COM ÁREA LÍQUIDA MAIOR OU IGUAL A 6M² SEM VÃOS E ARGAMASSA DE ASSENTAMENTO COM PREPARO MANUAL. AF_06/2014</v>
      </c>
      <c r="C91" s="212"/>
      <c r="D91" s="212"/>
      <c r="E91" s="212"/>
      <c r="F91" s="212"/>
      <c r="G91" s="212"/>
      <c r="H91" s="212"/>
      <c r="I91" s="212"/>
      <c r="J91" s="212"/>
      <c r="K91" s="213"/>
      <c r="L91" s="129">
        <f>SUM(L92:L92)</f>
        <v>0</v>
      </c>
      <c r="M91" s="130" t="str">
        <f>'BM02'!C64</f>
        <v>m²</v>
      </c>
    </row>
    <row r="92" spans="1:13" s="131" customFormat="1" ht="14.45" customHeight="1">
      <c r="A92" s="132"/>
      <c r="B92" s="209"/>
      <c r="C92" s="210"/>
      <c r="D92" s="134"/>
      <c r="E92" s="134"/>
      <c r="F92" s="134"/>
      <c r="G92" s="134"/>
      <c r="H92" s="134"/>
      <c r="I92" s="134"/>
      <c r="J92" s="135"/>
      <c r="K92" s="135"/>
      <c r="L92" s="134">
        <f>ROUND(D92*K92,2)</f>
        <v>0</v>
      </c>
      <c r="M92" s="136"/>
    </row>
    <row r="93" spans="1:13" s="131" customFormat="1" ht="12.75">
      <c r="A93" s="139"/>
      <c r="B93" s="140"/>
      <c r="C93" s="141"/>
      <c r="D93" s="142"/>
      <c r="E93" s="143"/>
      <c r="F93" s="142"/>
      <c r="G93" s="142"/>
      <c r="H93" s="143"/>
      <c r="I93" s="143"/>
      <c r="J93" s="144"/>
      <c r="K93" s="144"/>
      <c r="L93" s="142"/>
      <c r="M93" s="145"/>
    </row>
    <row r="94" spans="1:13" ht="30" customHeight="1">
      <c r="A94" s="128" t="str">
        <f>'BM02'!A65</f>
        <v>1.5.2</v>
      </c>
      <c r="B94" s="211" t="str">
        <f>'BM02'!B65</f>
        <v>COBOGO DE CONCRETO (ELEMENTO VAZADO)10X29X39CM ABERTURA COM VIDRO, ASSENTADO COM ARGAMASSA TRAÇO 1:4 (CIMENTO E AREIA MEDIA NÃO PNEIRADA)</v>
      </c>
      <c r="C94" s="212"/>
      <c r="D94" s="212"/>
      <c r="E94" s="212"/>
      <c r="F94" s="212"/>
      <c r="G94" s="212"/>
      <c r="H94" s="212"/>
      <c r="I94" s="212"/>
      <c r="J94" s="212"/>
      <c r="K94" s="213"/>
      <c r="L94" s="129">
        <f>SUM(L95:L95)</f>
        <v>0</v>
      </c>
      <c r="M94" s="130" t="str">
        <f>'BM02'!C65</f>
        <v>m²</v>
      </c>
    </row>
    <row r="95" spans="1:13" s="131" customFormat="1" ht="12.75">
      <c r="A95" s="132"/>
      <c r="B95" s="209"/>
      <c r="C95" s="210"/>
      <c r="D95" s="134"/>
      <c r="E95" s="134"/>
      <c r="F95" s="134"/>
      <c r="G95" s="134"/>
      <c r="H95" s="134"/>
      <c r="I95" s="134"/>
      <c r="J95" s="135"/>
      <c r="K95" s="135"/>
      <c r="L95" s="134"/>
      <c r="M95" s="136"/>
    </row>
    <row r="96" spans="1:13" s="131" customFormat="1" ht="12.75">
      <c r="A96" s="139"/>
      <c r="B96" s="140"/>
      <c r="C96" s="141"/>
      <c r="D96" s="142"/>
      <c r="E96" s="143"/>
      <c r="F96" s="142"/>
      <c r="G96" s="142"/>
      <c r="H96" s="143"/>
      <c r="I96" s="143"/>
      <c r="J96" s="144"/>
      <c r="K96" s="144"/>
      <c r="L96" s="142"/>
      <c r="M96" s="145"/>
    </row>
    <row r="97" spans="1:13" ht="30" customHeight="1">
      <c r="A97" s="128" t="str">
        <f>'BM02'!A66</f>
        <v>1.5.3</v>
      </c>
      <c r="B97" s="211" t="str">
        <f>'BM02'!B66</f>
        <v>Muro em alvenaria bloco cerâmico, e= 0,09m, c/ alv de pedra 0,35 x 0,60m, colunas (9x20cm) e cintamento (9x15cm) superior e inferior concreto armado fck = 15,0 Mpa cada 3,00m, chapisco e reboco</v>
      </c>
      <c r="C97" s="212"/>
      <c r="D97" s="212"/>
      <c r="E97" s="212"/>
      <c r="F97" s="212"/>
      <c r="G97" s="212"/>
      <c r="H97" s="212"/>
      <c r="I97" s="212"/>
      <c r="J97" s="212"/>
      <c r="K97" s="213"/>
      <c r="L97" s="129">
        <f>ROUND(SUM(L98:L98),2)</f>
        <v>0</v>
      </c>
      <c r="M97" s="130" t="str">
        <f>'BM02'!C66</f>
        <v>m²</v>
      </c>
    </row>
    <row r="98" spans="1:13" s="131" customFormat="1" ht="12.75">
      <c r="A98" s="132"/>
      <c r="B98" s="209"/>
      <c r="C98" s="210"/>
      <c r="D98" s="134"/>
      <c r="E98" s="134"/>
      <c r="F98" s="134"/>
      <c r="G98" s="134"/>
      <c r="H98" s="134"/>
      <c r="I98" s="134"/>
      <c r="J98" s="135"/>
      <c r="K98" s="135"/>
      <c r="L98" s="134">
        <f>D98*K98</f>
        <v>0</v>
      </c>
      <c r="M98" s="136"/>
    </row>
    <row r="99" spans="1:13" s="131" customFormat="1" ht="13.5" thickBot="1">
      <c r="A99" s="139"/>
      <c r="B99" s="140"/>
      <c r="C99" s="141"/>
      <c r="D99" s="142"/>
      <c r="E99" s="143"/>
      <c r="F99" s="142"/>
      <c r="G99" s="142"/>
      <c r="H99" s="143"/>
      <c r="I99" s="143"/>
      <c r="J99" s="144"/>
      <c r="K99" s="144"/>
      <c r="L99" s="142"/>
      <c r="M99" s="145"/>
    </row>
    <row r="100" spans="1:13" ht="12.75">
      <c r="A100" s="128" t="str">
        <f>'BM04'!A71</f>
        <v>1.5.4</v>
      </c>
      <c r="B100" s="211" t="str">
        <f>'BM04'!B71</f>
        <v>VERGA MOLDADA IN LOCO EM CONCRETO PARA PORTAS COM ATÉ 1,5 M DE VÃO. AF_03/2016</v>
      </c>
      <c r="C100" s="212"/>
      <c r="D100" s="212"/>
      <c r="E100" s="212"/>
      <c r="F100" s="212"/>
      <c r="G100" s="212"/>
      <c r="H100" s="212"/>
      <c r="I100" s="212"/>
      <c r="J100" s="212"/>
      <c r="K100" s="213"/>
      <c r="L100" s="129">
        <f>ROUND(SUM(L101:L101),2)</f>
        <v>0</v>
      </c>
      <c r="M100" s="130" t="str">
        <f>'BM04'!C71</f>
        <v>M</v>
      </c>
    </row>
    <row r="101" spans="1:13" s="131" customFormat="1" ht="12.75">
      <c r="A101" s="132"/>
      <c r="B101" s="209"/>
      <c r="C101" s="210"/>
      <c r="D101" s="134"/>
      <c r="E101" s="134"/>
      <c r="F101" s="134"/>
      <c r="G101" s="134"/>
      <c r="H101" s="134"/>
      <c r="I101" s="134"/>
      <c r="J101" s="135"/>
      <c r="K101" s="135"/>
      <c r="L101" s="134">
        <f>D101</f>
        <v>0</v>
      </c>
      <c r="M101" s="136"/>
    </row>
    <row r="102" spans="1:13" s="131" customFormat="1" ht="12.75">
      <c r="A102" s="139"/>
      <c r="B102" s="140"/>
      <c r="C102" s="141"/>
      <c r="D102" s="142"/>
      <c r="E102" s="143"/>
      <c r="F102" s="142"/>
      <c r="G102" s="142"/>
      <c r="H102" s="143"/>
      <c r="I102" s="143"/>
      <c r="J102" s="144"/>
      <c r="K102" s="144"/>
      <c r="L102" s="142"/>
      <c r="M102" s="145"/>
    </row>
    <row r="103" spans="1:13" ht="12.75">
      <c r="A103" s="128" t="str">
        <f>'BM04'!A72</f>
        <v>1.5.5</v>
      </c>
      <c r="B103" s="211" t="str">
        <f>'BM04'!B72</f>
        <v>VERGA MOLDADA IN LOCO EM CONCRETO PARA PORTAS COM MAIS DE 1,5 M DE VÃO. AF_03/2016</v>
      </c>
      <c r="C103" s="212"/>
      <c r="D103" s="212"/>
      <c r="E103" s="212"/>
      <c r="F103" s="212"/>
      <c r="G103" s="212"/>
      <c r="H103" s="212"/>
      <c r="I103" s="212"/>
      <c r="J103" s="212"/>
      <c r="K103" s="213"/>
      <c r="L103" s="129">
        <f>ROUND(SUM(L104:L104),2)</f>
        <v>0</v>
      </c>
      <c r="M103" s="130" t="str">
        <f>'BM04'!C72</f>
        <v>M</v>
      </c>
    </row>
    <row r="104" spans="1:13" s="131" customFormat="1" ht="12.75">
      <c r="A104" s="132"/>
      <c r="B104" s="209"/>
      <c r="C104" s="210"/>
      <c r="D104" s="134"/>
      <c r="E104" s="134"/>
      <c r="F104" s="134"/>
      <c r="G104" s="134"/>
      <c r="H104" s="134"/>
      <c r="I104" s="134"/>
      <c r="J104" s="135"/>
      <c r="K104" s="135"/>
      <c r="L104" s="134">
        <f>D104</f>
        <v>0</v>
      </c>
      <c r="M104" s="136"/>
    </row>
    <row r="105" spans="1:13" s="131" customFormat="1" ht="12.75">
      <c r="A105" s="139"/>
      <c r="B105" s="140"/>
      <c r="C105" s="141"/>
      <c r="D105" s="142"/>
      <c r="E105" s="143"/>
      <c r="F105" s="142"/>
      <c r="G105" s="142"/>
      <c r="H105" s="143"/>
      <c r="I105" s="143"/>
      <c r="J105" s="144"/>
      <c r="K105" s="144"/>
      <c r="L105" s="142"/>
      <c r="M105" s="145"/>
    </row>
    <row r="106" spans="1:13" ht="12.75">
      <c r="A106" s="128" t="str">
        <f>'BM04'!A73</f>
        <v>1.5.6</v>
      </c>
      <c r="B106" s="211" t="str">
        <f>'BM04'!B73</f>
        <v>VERGA MOLDADA IN LOCO EM CONCRETO PARA JANELAS COM ATÉ 1,5 M DE VÃO. AF_03/2016</v>
      </c>
      <c r="C106" s="212"/>
      <c r="D106" s="212"/>
      <c r="E106" s="212"/>
      <c r="F106" s="212"/>
      <c r="G106" s="212"/>
      <c r="H106" s="212"/>
      <c r="I106" s="212"/>
      <c r="J106" s="212"/>
      <c r="K106" s="213"/>
      <c r="L106" s="129">
        <f>ROUND(SUM(L107:L107),2)</f>
        <v>0</v>
      </c>
      <c r="M106" s="130" t="str">
        <f>'BM04'!C73</f>
        <v>M</v>
      </c>
    </row>
    <row r="107" spans="1:13" s="131" customFormat="1" ht="12.75">
      <c r="A107" s="132"/>
      <c r="B107" s="209"/>
      <c r="C107" s="210"/>
      <c r="D107" s="134"/>
      <c r="E107" s="134"/>
      <c r="F107" s="134"/>
      <c r="G107" s="134"/>
      <c r="H107" s="134"/>
      <c r="I107" s="134"/>
      <c r="J107" s="135"/>
      <c r="K107" s="135"/>
      <c r="L107" s="134">
        <f>D107</f>
        <v>0</v>
      </c>
      <c r="M107" s="136"/>
    </row>
    <row r="108" spans="1:13" s="131" customFormat="1" ht="12.75">
      <c r="A108" s="139"/>
      <c r="B108" s="140"/>
      <c r="C108" s="141"/>
      <c r="D108" s="142"/>
      <c r="E108" s="143"/>
      <c r="F108" s="142"/>
      <c r="G108" s="142"/>
      <c r="H108" s="143"/>
      <c r="I108" s="143"/>
      <c r="J108" s="144"/>
      <c r="K108" s="144"/>
      <c r="L108" s="142"/>
      <c r="M108" s="145"/>
    </row>
    <row r="109" spans="1:13" ht="12.75">
      <c r="A109" s="128" t="str">
        <f>'BM04'!A74</f>
        <v>1.5.7</v>
      </c>
      <c r="B109" s="211" t="str">
        <f>'BM04'!B74</f>
        <v>VERGA MOLDADA IN LOCO EM CONCRETO PARA JANELAS COM MAIS DE 1,5 M DE VÃO. AF_03/2016</v>
      </c>
      <c r="C109" s="212"/>
      <c r="D109" s="212"/>
      <c r="E109" s="212"/>
      <c r="F109" s="212"/>
      <c r="G109" s="212"/>
      <c r="H109" s="212"/>
      <c r="I109" s="212"/>
      <c r="J109" s="212"/>
      <c r="K109" s="213"/>
      <c r="L109" s="129">
        <f>ROUND(SUM(L110:L110),2)</f>
        <v>0</v>
      </c>
      <c r="M109" s="130" t="str">
        <f>'BM04'!C74</f>
        <v>M</v>
      </c>
    </row>
    <row r="110" spans="1:13" s="131" customFormat="1" ht="12.75">
      <c r="A110" s="132"/>
      <c r="B110" s="209"/>
      <c r="C110" s="210"/>
      <c r="D110" s="134"/>
      <c r="E110" s="134"/>
      <c r="F110" s="134"/>
      <c r="G110" s="134"/>
      <c r="H110" s="134"/>
      <c r="I110" s="134"/>
      <c r="J110" s="135"/>
      <c r="K110" s="135"/>
      <c r="L110" s="134">
        <f>D110</f>
        <v>0</v>
      </c>
      <c r="M110" s="136"/>
    </row>
    <row r="111" spans="1:13" s="131" customFormat="1" ht="12.75">
      <c r="A111" s="139"/>
      <c r="B111" s="140"/>
      <c r="C111" s="141"/>
      <c r="D111" s="142"/>
      <c r="E111" s="143"/>
      <c r="F111" s="142"/>
      <c r="G111" s="142"/>
      <c r="H111" s="143"/>
      <c r="I111" s="143"/>
      <c r="J111" s="144"/>
      <c r="K111" s="144"/>
      <c r="L111" s="142"/>
      <c r="M111" s="145"/>
    </row>
    <row r="112" spans="1:13" ht="12.75">
      <c r="A112" s="128" t="str">
        <f>'BM04'!A75</f>
        <v>1.5.8</v>
      </c>
      <c r="B112" s="211" t="str">
        <f>'BM04'!B75</f>
        <v>CONTRAVERGA MOLDADA IN LOCO EM CONCRETO PARA VÃOS DE ATÉ 1,5 M DE COMPRIMENTO. AF_03/2016</v>
      </c>
      <c r="C112" s="212"/>
      <c r="D112" s="212"/>
      <c r="E112" s="212"/>
      <c r="F112" s="212"/>
      <c r="G112" s="212"/>
      <c r="H112" s="212"/>
      <c r="I112" s="212"/>
      <c r="J112" s="212"/>
      <c r="K112" s="213"/>
      <c r="L112" s="129">
        <f>ROUND(SUM(L113:L113),2)</f>
        <v>0</v>
      </c>
      <c r="M112" s="130" t="str">
        <f>'BM04'!C75</f>
        <v>M</v>
      </c>
    </row>
    <row r="113" spans="1:13" s="131" customFormat="1" ht="12.75">
      <c r="A113" s="132"/>
      <c r="B113" s="209"/>
      <c r="C113" s="210"/>
      <c r="D113" s="134"/>
      <c r="E113" s="134"/>
      <c r="F113" s="134"/>
      <c r="G113" s="134"/>
      <c r="H113" s="134"/>
      <c r="I113" s="134"/>
      <c r="J113" s="135"/>
      <c r="K113" s="135"/>
      <c r="L113" s="134">
        <f>D113</f>
        <v>0</v>
      </c>
      <c r="M113" s="136"/>
    </row>
    <row r="114" spans="1:13" s="131" customFormat="1" ht="12.75">
      <c r="A114" s="139"/>
      <c r="B114" s="140"/>
      <c r="C114" s="141"/>
      <c r="D114" s="142"/>
      <c r="E114" s="143"/>
      <c r="F114" s="142"/>
      <c r="G114" s="142"/>
      <c r="H114" s="143"/>
      <c r="I114" s="143"/>
      <c r="J114" s="144"/>
      <c r="K114" s="144"/>
      <c r="L114" s="142"/>
      <c r="M114" s="145"/>
    </row>
    <row r="115" spans="1:13" ht="12.75">
      <c r="A115" s="128" t="str">
        <f>'BM04'!A76</f>
        <v>1.5.9</v>
      </c>
      <c r="B115" s="211" t="str">
        <f>'BM04'!B76</f>
        <v>CONTRAVERGA MOLDADA IN LOCO EM CONCRETO PARA VÃOS DE MAIS DE 1,5 M DE COMPRIMENTO. AF_03/2016</v>
      </c>
      <c r="C115" s="212"/>
      <c r="D115" s="212"/>
      <c r="E115" s="212"/>
      <c r="F115" s="212"/>
      <c r="G115" s="212"/>
      <c r="H115" s="212"/>
      <c r="I115" s="212"/>
      <c r="J115" s="212"/>
      <c r="K115" s="213"/>
      <c r="L115" s="129">
        <f>ROUND(SUM(L116:L116),2)</f>
        <v>0</v>
      </c>
      <c r="M115" s="130" t="str">
        <f>'BM04'!C76</f>
        <v>M</v>
      </c>
    </row>
    <row r="116" spans="1:13" s="131" customFormat="1" ht="12.75">
      <c r="A116" s="132"/>
      <c r="B116" s="209"/>
      <c r="C116" s="210"/>
      <c r="D116" s="134"/>
      <c r="E116" s="134"/>
      <c r="F116" s="134"/>
      <c r="G116" s="134"/>
      <c r="H116" s="134"/>
      <c r="I116" s="134"/>
      <c r="J116" s="135"/>
      <c r="K116" s="135"/>
      <c r="L116" s="134">
        <f>D116</f>
        <v>0</v>
      </c>
      <c r="M116" s="136"/>
    </row>
    <row r="117" spans="1:13" s="131" customFormat="1" ht="13.5" thickBot="1">
      <c r="A117" s="139"/>
      <c r="B117" s="140"/>
      <c r="C117" s="141"/>
      <c r="D117" s="142"/>
      <c r="E117" s="143"/>
      <c r="F117" s="142"/>
      <c r="G117" s="142"/>
      <c r="H117" s="143"/>
      <c r="I117" s="143"/>
      <c r="J117" s="144"/>
      <c r="K117" s="144"/>
      <c r="L117" s="142"/>
      <c r="M117" s="145"/>
    </row>
    <row r="118" spans="1:13" ht="13.5" thickBot="1">
      <c r="A118" s="121" t="str">
        <f>'BM02'!A68</f>
        <v>1.6</v>
      </c>
      <c r="B118" s="122" t="str">
        <f>'BM02'!B68</f>
        <v>ESQUADRIAS, FERRAGENS E VIDROS</v>
      </c>
      <c r="C118" s="122"/>
      <c r="D118" s="122"/>
      <c r="E118" s="122"/>
      <c r="F118" s="122"/>
      <c r="G118" s="122"/>
      <c r="H118" s="122"/>
      <c r="I118" s="122"/>
      <c r="J118" s="122"/>
      <c r="K118" s="122"/>
      <c r="L118" s="122"/>
      <c r="M118" s="123"/>
    </row>
    <row r="119" spans="1:13" ht="12.75">
      <c r="A119" s="124"/>
      <c r="B119" s="125"/>
      <c r="C119" s="125"/>
      <c r="D119" s="125"/>
      <c r="E119" s="125"/>
      <c r="F119" s="125"/>
      <c r="G119" s="125"/>
      <c r="H119" s="125"/>
      <c r="I119" s="125"/>
      <c r="J119" s="125"/>
      <c r="K119" s="126"/>
      <c r="L119" s="125"/>
      <c r="M119" s="127"/>
    </row>
    <row r="120" spans="1:13" s="131" customFormat="1" ht="43.15" customHeight="1">
      <c r="A120" s="128" t="str">
        <f>'BM02'!A70</f>
        <v>1.6.1</v>
      </c>
      <c r="B120" s="211" t="str">
        <f>'BM02'!B70</f>
        <v>KIT DE PORTA DE MADEIRA FRISADA, SEMI-OCA (LEVE OU MÉDIA), PADRÃO POPULAR, 70X210CM, ESPESSURA DE 3CM, ITENS INCLUSOS: DOBRADIÇAS, MONTAGEM E INSTALAÇÃO DO BATENTE, SEM FECHADURA - FORNECIMENTO E INSTALAÇÃO. AF_12/2019</v>
      </c>
      <c r="C120" s="212"/>
      <c r="D120" s="212"/>
      <c r="E120" s="212"/>
      <c r="F120" s="212"/>
      <c r="G120" s="212"/>
      <c r="H120" s="212"/>
      <c r="I120" s="212"/>
      <c r="J120" s="212"/>
      <c r="K120" s="213"/>
      <c r="L120" s="129">
        <f>L121</f>
        <v>0</v>
      </c>
      <c r="M120" s="130" t="str">
        <f>'BM02'!C70</f>
        <v>un</v>
      </c>
    </row>
    <row r="121" spans="1:13" s="131" customFormat="1" ht="12.75">
      <c r="A121" s="132"/>
      <c r="B121" s="209"/>
      <c r="C121" s="210"/>
      <c r="D121" s="134"/>
      <c r="E121" s="134"/>
      <c r="F121" s="134"/>
      <c r="G121" s="134"/>
      <c r="H121" s="134"/>
      <c r="I121" s="134"/>
      <c r="J121" s="135"/>
      <c r="K121" s="135"/>
      <c r="L121" s="134">
        <f>ROUND(D121*K121,2)</f>
        <v>0</v>
      </c>
      <c r="M121" s="136"/>
    </row>
    <row r="122" spans="1:13" s="131" customFormat="1" ht="12.75">
      <c r="A122" s="139"/>
      <c r="B122" s="140"/>
      <c r="C122" s="141"/>
      <c r="D122" s="142"/>
      <c r="E122" s="143"/>
      <c r="F122" s="142"/>
      <c r="G122" s="142"/>
      <c r="H122" s="143"/>
      <c r="I122" s="143"/>
      <c r="J122" s="144"/>
      <c r="K122" s="144"/>
      <c r="L122" s="142"/>
      <c r="M122" s="145"/>
    </row>
    <row r="123" spans="1:13" s="131" customFormat="1" ht="43.15" customHeight="1">
      <c r="A123" s="128" t="str">
        <f>'BM02'!A71</f>
        <v>1.6.2</v>
      </c>
      <c r="B123" s="211" t="str">
        <f>'BM02'!B71</f>
        <v>KIT DE PORTA DE MADEIRA FRISADA, SEMI-OCA (LEVE OU MÉDIA), PADRÃO MÉDIO, 80X210CM, ESPESSURA DE 3,5CM, ITENS INCLUSOS: DOBRADIÇAS, MONTAGEM E INSTALAÇÃO DO BATENTE, SEM FECHADURA - FORNECIMENTO E INSTALAÇÃO. AF_12/2019</v>
      </c>
      <c r="C123" s="212"/>
      <c r="D123" s="212"/>
      <c r="E123" s="212"/>
      <c r="F123" s="212"/>
      <c r="G123" s="212"/>
      <c r="H123" s="212"/>
      <c r="I123" s="212"/>
      <c r="J123" s="212"/>
      <c r="K123" s="213"/>
      <c r="L123" s="129">
        <f>L124</f>
        <v>0</v>
      </c>
      <c r="M123" s="130" t="str">
        <f>'BM02'!C71</f>
        <v>un</v>
      </c>
    </row>
    <row r="124" spans="1:13" s="131" customFormat="1" ht="12.75">
      <c r="A124" s="132"/>
      <c r="B124" s="209"/>
      <c r="C124" s="210"/>
      <c r="D124" s="134"/>
      <c r="E124" s="134"/>
      <c r="F124" s="134"/>
      <c r="G124" s="134"/>
      <c r="H124" s="134"/>
      <c r="I124" s="134"/>
      <c r="J124" s="135"/>
      <c r="K124" s="135"/>
      <c r="L124" s="134">
        <f>ROUND(D124*K124,2)</f>
        <v>0</v>
      </c>
      <c r="M124" s="136"/>
    </row>
    <row r="125" spans="1:13" s="131" customFormat="1" ht="12.75">
      <c r="A125" s="139"/>
      <c r="B125" s="140"/>
      <c r="C125" s="141"/>
      <c r="D125" s="142"/>
      <c r="E125" s="143"/>
      <c r="F125" s="142"/>
      <c r="G125" s="142"/>
      <c r="H125" s="143"/>
      <c r="I125" s="143"/>
      <c r="J125" s="144"/>
      <c r="K125" s="144"/>
      <c r="L125" s="142"/>
      <c r="M125" s="145"/>
    </row>
    <row r="126" spans="1:13" s="131" customFormat="1" ht="43.15" customHeight="1">
      <c r="A126" s="128" t="str">
        <f>'BM02'!A72</f>
        <v>1.6.3</v>
      </c>
      <c r="B126" s="211" t="str">
        <f>'BM02'!B72</f>
        <v>KIT DE PORTA DE MADEIRA FRISADA, SEMI-OCA (LEVE OU MÉDIA), PADRÃO MÉDIO, 190X210CM, ESPESSURA DE 3,5CM, ITENS INCLUSOS: DOBRADIÇAS, MONTAGEM E INSTALAÇÃO DO BATENTE, SEM FECHADURA - FORNECIMENTO E INSTALAÇÃO. AF_12/2019</v>
      </c>
      <c r="C126" s="212"/>
      <c r="D126" s="212"/>
      <c r="E126" s="212"/>
      <c r="F126" s="212"/>
      <c r="G126" s="212"/>
      <c r="H126" s="212"/>
      <c r="I126" s="212"/>
      <c r="J126" s="212"/>
      <c r="K126" s="213"/>
      <c r="L126" s="129">
        <f>L127</f>
        <v>0</v>
      </c>
      <c r="M126" s="130" t="str">
        <f>'BM02'!C72</f>
        <v>un</v>
      </c>
    </row>
    <row r="127" spans="1:13" s="131" customFormat="1" ht="12.75">
      <c r="A127" s="132"/>
      <c r="B127" s="209"/>
      <c r="C127" s="210"/>
      <c r="D127" s="134"/>
      <c r="E127" s="134"/>
      <c r="F127" s="134"/>
      <c r="G127" s="134"/>
      <c r="H127" s="134"/>
      <c r="I127" s="134"/>
      <c r="J127" s="135"/>
      <c r="K127" s="135"/>
      <c r="L127" s="134">
        <f>ROUND(D127*K127,2)</f>
        <v>0</v>
      </c>
      <c r="M127" s="136"/>
    </row>
    <row r="128" spans="1:13" s="131" customFormat="1" ht="12.75">
      <c r="A128" s="139"/>
      <c r="B128" s="140"/>
      <c r="C128" s="141"/>
      <c r="D128" s="142"/>
      <c r="E128" s="143"/>
      <c r="F128" s="142"/>
      <c r="G128" s="142"/>
      <c r="H128" s="143"/>
      <c r="I128" s="143"/>
      <c r="J128" s="144"/>
      <c r="K128" s="144"/>
      <c r="L128" s="142"/>
      <c r="M128" s="145"/>
    </row>
    <row r="129" spans="1:13" ht="30" customHeight="1">
      <c r="A129" s="128" t="str">
        <f>'BM02'!A73</f>
        <v>1.6.4</v>
      </c>
      <c r="B129" s="211" t="str">
        <f>'BM02'!B73</f>
        <v>JANELA DE AÇO TIPO BASCULANTE PARA VIDROS, COM BATENTE, FERRAGENS E PINTURA ANTICORROSIVA. EXCLUSIVE VIDROS, ACABAMENTO, ALIZAR E CONTRAMARCO. FORNECIMENTO E INSTALAÇÃO. AF_12/2019</v>
      </c>
      <c r="C129" s="212"/>
      <c r="D129" s="212"/>
      <c r="E129" s="212"/>
      <c r="F129" s="212"/>
      <c r="G129" s="212"/>
      <c r="H129" s="212"/>
      <c r="I129" s="212"/>
      <c r="J129" s="212"/>
      <c r="K129" s="213"/>
      <c r="L129" s="129">
        <f>ROUND(SUM(L130:L130),2)</f>
        <v>0</v>
      </c>
      <c r="M129" s="130" t="str">
        <f>'BM02'!C73</f>
        <v>m²</v>
      </c>
    </row>
    <row r="130" spans="1:13" s="131" customFormat="1" ht="12.75">
      <c r="A130" s="132"/>
      <c r="B130" s="209"/>
      <c r="C130" s="210"/>
      <c r="D130" s="134"/>
      <c r="E130" s="134"/>
      <c r="F130" s="134"/>
      <c r="G130" s="134"/>
      <c r="H130" s="134"/>
      <c r="I130" s="134"/>
      <c r="J130" s="135"/>
      <c r="K130" s="135"/>
      <c r="L130" s="134">
        <f>ROUND(D130*K130,2)</f>
        <v>0</v>
      </c>
      <c r="M130" s="136"/>
    </row>
    <row r="131" spans="1:13" s="131" customFormat="1" ht="12.75">
      <c r="A131" s="139"/>
      <c r="B131" s="140"/>
      <c r="C131" s="141"/>
      <c r="D131" s="142"/>
      <c r="E131" s="143"/>
      <c r="F131" s="142"/>
      <c r="G131" s="142"/>
      <c r="H131" s="143"/>
      <c r="I131" s="143"/>
      <c r="J131" s="144"/>
      <c r="K131" s="144"/>
      <c r="L131" s="142"/>
      <c r="M131" s="145"/>
    </row>
    <row r="132" spans="1:13" ht="12.6" customHeight="1">
      <c r="A132" s="184" t="str">
        <f>'BM02'!A74</f>
        <v>1.6.5</v>
      </c>
      <c r="B132" s="211" t="str">
        <f>'BM02'!B74</f>
        <v>Gradil Nylofor 3D, malha 20x5cm, Ø 5mm 250x103 cm, pintura branca, Belgo ou similar, inclusive postes e acessórios</v>
      </c>
      <c r="C132" s="212"/>
      <c r="D132" s="212"/>
      <c r="E132" s="212"/>
      <c r="F132" s="212"/>
      <c r="G132" s="212"/>
      <c r="H132" s="212"/>
      <c r="I132" s="212"/>
      <c r="J132" s="212"/>
      <c r="K132" s="213"/>
      <c r="L132" s="129">
        <f>ROUND(SUM(L133:L133),2)</f>
        <v>0</v>
      </c>
      <c r="M132" s="185" t="str">
        <f>'BM02'!C74</f>
        <v>m²</v>
      </c>
    </row>
    <row r="133" spans="1:13" s="131" customFormat="1" ht="12.75">
      <c r="A133" s="132"/>
      <c r="B133" s="209"/>
      <c r="C133" s="210"/>
      <c r="D133" s="134"/>
      <c r="E133" s="134"/>
      <c r="F133" s="134"/>
      <c r="G133" s="134"/>
      <c r="H133" s="134"/>
      <c r="I133" s="134"/>
      <c r="J133" s="135"/>
      <c r="K133" s="135"/>
      <c r="L133" s="134">
        <f t="shared" ref="L133" si="4">ROUND(D133*K133,2)</f>
        <v>0</v>
      </c>
      <c r="M133" s="136"/>
    </row>
    <row r="134" spans="1:13" s="131" customFormat="1" ht="12.75">
      <c r="A134" s="139"/>
      <c r="B134" s="140"/>
      <c r="C134" s="141"/>
      <c r="D134" s="142"/>
      <c r="E134" s="143"/>
      <c r="F134" s="142"/>
      <c r="G134" s="142"/>
      <c r="H134" s="143"/>
      <c r="I134" s="143"/>
      <c r="J134" s="144"/>
      <c r="K134" s="144"/>
      <c r="L134" s="142"/>
      <c r="M134" s="145"/>
    </row>
    <row r="135" spans="1:13" ht="12.6" customHeight="1">
      <c r="A135" s="184" t="str">
        <f>'BM02'!A75</f>
        <v>1.6.6</v>
      </c>
      <c r="B135" s="211" t="str">
        <f>'BM02'!B75</f>
        <v>Portão em ferro, em gradil metálico, padrão belgo ou equivalente, de correr</v>
      </c>
      <c r="C135" s="212"/>
      <c r="D135" s="212"/>
      <c r="E135" s="212"/>
      <c r="F135" s="212"/>
      <c r="G135" s="212"/>
      <c r="H135" s="212"/>
      <c r="I135" s="212"/>
      <c r="J135" s="212"/>
      <c r="K135" s="213"/>
      <c r="L135" s="129">
        <f>L136</f>
        <v>0</v>
      </c>
      <c r="M135" s="185" t="str">
        <f>'BM02'!C75</f>
        <v>m²</v>
      </c>
    </row>
    <row r="136" spans="1:13" s="131" customFormat="1" ht="12.75">
      <c r="A136" s="132"/>
      <c r="B136" s="209"/>
      <c r="C136" s="210"/>
      <c r="D136" s="134"/>
      <c r="E136" s="134"/>
      <c r="F136" s="134"/>
      <c r="G136" s="134"/>
      <c r="H136" s="134"/>
      <c r="I136" s="134"/>
      <c r="J136" s="135"/>
      <c r="K136" s="135"/>
      <c r="L136" s="134">
        <f>ROUND(D136*K136,2)</f>
        <v>0</v>
      </c>
      <c r="M136" s="136"/>
    </row>
    <row r="137" spans="1:13" s="131" customFormat="1" ht="12.75">
      <c r="A137" s="139"/>
      <c r="B137" s="140"/>
      <c r="C137" s="141"/>
      <c r="D137" s="142"/>
      <c r="E137" s="143"/>
      <c r="F137" s="142"/>
      <c r="G137" s="142"/>
      <c r="H137" s="143"/>
      <c r="I137" s="143"/>
      <c r="J137" s="144"/>
      <c r="K137" s="144"/>
      <c r="L137" s="142"/>
      <c r="M137" s="145"/>
    </row>
    <row r="138" spans="1:13" ht="12.6" customHeight="1">
      <c r="A138" s="184" t="str">
        <f>'BM02'!A76</f>
        <v>1.6.7</v>
      </c>
      <c r="B138" s="211" t="str">
        <f>'BM02'!B76</f>
        <v>Gradil Nylofor 3D, malha 20x5cm, Ø 5mm 250x103 cm, pintura branca, Belgo ou similar, inclusive postes e acessórios</v>
      </c>
      <c r="C138" s="212"/>
      <c r="D138" s="212"/>
      <c r="E138" s="212"/>
      <c r="F138" s="212"/>
      <c r="G138" s="212"/>
      <c r="H138" s="212"/>
      <c r="I138" s="212"/>
      <c r="J138" s="212"/>
      <c r="K138" s="213"/>
      <c r="L138" s="129">
        <f>L139</f>
        <v>0</v>
      </c>
      <c r="M138" s="185" t="str">
        <f>'BM02'!C76</f>
        <v>m²</v>
      </c>
    </row>
    <row r="139" spans="1:13" s="131" customFormat="1" ht="12.75">
      <c r="A139" s="132"/>
      <c r="B139" s="209"/>
      <c r="C139" s="210"/>
      <c r="D139" s="134"/>
      <c r="E139" s="134"/>
      <c r="F139" s="134"/>
      <c r="G139" s="134"/>
      <c r="H139" s="134"/>
      <c r="I139" s="134"/>
      <c r="J139" s="135"/>
      <c r="K139" s="135"/>
      <c r="L139" s="134">
        <f>ROUND(D139*K139,2)</f>
        <v>0</v>
      </c>
      <c r="M139" s="136"/>
    </row>
    <row r="140" spans="1:13" s="131" customFormat="1" ht="12.75">
      <c r="A140" s="139"/>
      <c r="B140" s="140"/>
      <c r="C140" s="141"/>
      <c r="D140" s="142"/>
      <c r="E140" s="143"/>
      <c r="F140" s="142"/>
      <c r="G140" s="142"/>
      <c r="H140" s="143"/>
      <c r="I140" s="143"/>
      <c r="J140" s="144"/>
      <c r="K140" s="144"/>
      <c r="L140" s="142"/>
      <c r="M140" s="145"/>
    </row>
    <row r="141" spans="1:13" ht="12.6" customHeight="1">
      <c r="A141" s="184" t="str">
        <f>'BM02'!A77</f>
        <v>1.6.8</v>
      </c>
      <c r="B141" s="211" t="str">
        <f>'BM02'!B77</f>
        <v>Barra de apoio, reta, fixa, em aço inox, l=90cm, d=1 1/2", Jackwal ou similar</v>
      </c>
      <c r="C141" s="212"/>
      <c r="D141" s="212"/>
      <c r="E141" s="212"/>
      <c r="F141" s="212"/>
      <c r="G141" s="212"/>
      <c r="H141" s="212"/>
      <c r="I141" s="212"/>
      <c r="J141" s="212"/>
      <c r="K141" s="213"/>
      <c r="L141" s="129">
        <f>L142</f>
        <v>0</v>
      </c>
      <c r="M141" s="185" t="str">
        <f>'BM02'!C77</f>
        <v>un</v>
      </c>
    </row>
    <row r="142" spans="1:13" s="131" customFormat="1" ht="12.75">
      <c r="A142" s="132"/>
      <c r="B142" s="209"/>
      <c r="C142" s="210"/>
      <c r="D142" s="134"/>
      <c r="E142" s="134"/>
      <c r="F142" s="134"/>
      <c r="G142" s="134"/>
      <c r="H142" s="134"/>
      <c r="I142" s="134"/>
      <c r="J142" s="135"/>
      <c r="K142" s="135"/>
      <c r="L142" s="134">
        <f>ROUND(D142*K142,2)</f>
        <v>0</v>
      </c>
      <c r="M142" s="136"/>
    </row>
    <row r="143" spans="1:13" s="131" customFormat="1" ht="12.75">
      <c r="A143" s="139"/>
      <c r="B143" s="140"/>
      <c r="C143" s="141"/>
      <c r="D143" s="142"/>
      <c r="E143" s="143"/>
      <c r="F143" s="142"/>
      <c r="G143" s="142"/>
      <c r="H143" s="143"/>
      <c r="I143" s="143"/>
      <c r="J143" s="144"/>
      <c r="K143" s="144"/>
      <c r="L143" s="142"/>
      <c r="M143" s="145"/>
    </row>
    <row r="144" spans="1:13" ht="12.6" customHeight="1">
      <c r="A144" s="184" t="str">
        <f>'BM02'!A78</f>
        <v>1.6.9</v>
      </c>
      <c r="B144" s="211" t="str">
        <f>'BM02'!B78</f>
        <v>VIDRO FANTASIA CANELADO 4MM</v>
      </c>
      <c r="C144" s="212"/>
      <c r="D144" s="212"/>
      <c r="E144" s="212"/>
      <c r="F144" s="212"/>
      <c r="G144" s="212"/>
      <c r="H144" s="212"/>
      <c r="I144" s="212"/>
      <c r="J144" s="212"/>
      <c r="K144" s="213"/>
      <c r="L144" s="129">
        <f>L145</f>
        <v>0</v>
      </c>
      <c r="M144" s="185" t="str">
        <f>'BM02'!C78</f>
        <v>M²</v>
      </c>
    </row>
    <row r="145" spans="1:13" s="131" customFormat="1" ht="12.75">
      <c r="A145" s="132"/>
      <c r="B145" s="209"/>
      <c r="C145" s="210"/>
      <c r="D145" s="134"/>
      <c r="E145" s="134"/>
      <c r="F145" s="134"/>
      <c r="G145" s="134"/>
      <c r="H145" s="134"/>
      <c r="I145" s="134"/>
      <c r="J145" s="135"/>
      <c r="K145" s="135"/>
      <c r="L145" s="134">
        <f>ROUND(D145*K145,2)</f>
        <v>0</v>
      </c>
      <c r="M145" s="136"/>
    </row>
    <row r="146" spans="1:13" s="131" customFormat="1" ht="12.75">
      <c r="A146" s="139"/>
      <c r="B146" s="140"/>
      <c r="C146" s="141"/>
      <c r="D146" s="142"/>
      <c r="E146" s="143"/>
      <c r="F146" s="142"/>
      <c r="G146" s="142"/>
      <c r="H146" s="143"/>
      <c r="I146" s="143"/>
      <c r="J146" s="144"/>
      <c r="K146" s="144"/>
      <c r="L146" s="142"/>
      <c r="M146" s="145"/>
    </row>
    <row r="147" spans="1:13" ht="30" customHeight="1">
      <c r="A147" s="128" t="str">
        <f>'BM02'!A79</f>
        <v>1.6.10</v>
      </c>
      <c r="B147" s="211" t="str">
        <f>'BM02'!B79</f>
        <v>FECHADURA DE EMBUTIR COM CILINDRO, EXTERNA, COMPLETA, ACABAMENTO PADRÃO MÉDIO, INCLUSO EXECUÇÃO DE FURO - FORNECIMENTO E INSTALAÇÃO. AF_12/2019</v>
      </c>
      <c r="C147" s="212"/>
      <c r="D147" s="212"/>
      <c r="E147" s="212"/>
      <c r="F147" s="212"/>
      <c r="G147" s="212"/>
      <c r="H147" s="212"/>
      <c r="I147" s="212"/>
      <c r="J147" s="212"/>
      <c r="K147" s="213"/>
      <c r="L147" s="129">
        <f>L148</f>
        <v>0</v>
      </c>
      <c r="M147" s="185" t="str">
        <f>'BM02'!C79</f>
        <v>un</v>
      </c>
    </row>
    <row r="148" spans="1:13" s="131" customFormat="1" ht="12.75">
      <c r="A148" s="132"/>
      <c r="B148" s="209"/>
      <c r="C148" s="210"/>
      <c r="D148" s="134"/>
      <c r="E148" s="134"/>
      <c r="F148" s="134"/>
      <c r="G148" s="134"/>
      <c r="H148" s="134"/>
      <c r="I148" s="134"/>
      <c r="J148" s="135"/>
      <c r="K148" s="135"/>
      <c r="L148" s="134">
        <f>D148</f>
        <v>0</v>
      </c>
      <c r="M148" s="136"/>
    </row>
    <row r="149" spans="1:13" s="131" customFormat="1" ht="12.75">
      <c r="A149" s="139"/>
      <c r="B149" s="140"/>
      <c r="C149" s="141"/>
      <c r="D149" s="142"/>
      <c r="E149" s="143"/>
      <c r="F149" s="142"/>
      <c r="G149" s="142"/>
      <c r="H149" s="143"/>
      <c r="I149" s="143"/>
      <c r="J149" s="144"/>
      <c r="K149" s="144"/>
      <c r="L149" s="142"/>
      <c r="M149" s="145"/>
    </row>
    <row r="150" spans="1:13" ht="30" customHeight="1">
      <c r="A150" s="128" t="str">
        <f>'BM02'!A80</f>
        <v>1.6.11</v>
      </c>
      <c r="B150" s="211" t="str">
        <f>'BM02'!B80</f>
        <v>FECHADURA DE EMBUTIR COM CILINDRO, EXTERNA, COMPLETA, ACABAMENTO PADRÃO POPULAR, INCLUSO EXECUÇÃO DE FURO - FORNECIMENTO E INSTALAÇÃO. AF_12/2019</v>
      </c>
      <c r="C150" s="212"/>
      <c r="D150" s="212"/>
      <c r="E150" s="212"/>
      <c r="F150" s="212"/>
      <c r="G150" s="212"/>
      <c r="H150" s="212"/>
      <c r="I150" s="212"/>
      <c r="J150" s="212"/>
      <c r="K150" s="213"/>
      <c r="L150" s="129">
        <f>L151</f>
        <v>0</v>
      </c>
      <c r="M150" s="185" t="str">
        <f>'BM02'!C80</f>
        <v>un</v>
      </c>
    </row>
    <row r="151" spans="1:13" s="131" customFormat="1" ht="12.75">
      <c r="A151" s="132"/>
      <c r="B151" s="209"/>
      <c r="C151" s="210"/>
      <c r="D151" s="134"/>
      <c r="E151" s="134"/>
      <c r="F151" s="134"/>
      <c r="G151" s="134"/>
      <c r="H151" s="134"/>
      <c r="I151" s="134"/>
      <c r="J151" s="135"/>
      <c r="K151" s="135"/>
      <c r="L151" s="134">
        <f>ROUND(D151*K151,2)</f>
        <v>0</v>
      </c>
      <c r="M151" s="136"/>
    </row>
    <row r="152" spans="1:13" s="131" customFormat="1" ht="12.75">
      <c r="A152" s="139"/>
      <c r="B152" s="140"/>
      <c r="C152" s="141"/>
      <c r="D152" s="142"/>
      <c r="E152" s="143"/>
      <c r="F152" s="142"/>
      <c r="G152" s="142"/>
      <c r="H152" s="143"/>
      <c r="I152" s="143"/>
      <c r="J152" s="144"/>
      <c r="K152" s="144"/>
      <c r="L152" s="142"/>
      <c r="M152" s="145"/>
    </row>
    <row r="153" spans="1:13" ht="30" customHeight="1">
      <c r="A153" s="128" t="str">
        <f>'BM04'!A91</f>
        <v>1.6.12</v>
      </c>
      <c r="B153" s="211" t="str">
        <f>'BM04'!B91</f>
        <v>PORTA EM AÇO DE ABRIR TIPO VENEZIANA SEM GUARNIÇÃO, 87X210CM, FIXAÇÃO COM PARAFUSOS - FORNECIMENTO E INSTALAÇÃO. AF_12/2019</v>
      </c>
      <c r="C153" s="212"/>
      <c r="D153" s="212"/>
      <c r="E153" s="212"/>
      <c r="F153" s="212"/>
      <c r="G153" s="212"/>
      <c r="H153" s="212"/>
      <c r="I153" s="212"/>
      <c r="J153" s="212"/>
      <c r="K153" s="213"/>
      <c r="L153" s="129">
        <f>SUM(L154:L154)</f>
        <v>0</v>
      </c>
      <c r="M153" s="185" t="str">
        <f>'BM04'!C91</f>
        <v>UN</v>
      </c>
    </row>
    <row r="154" spans="1:13" s="131" customFormat="1" ht="12.75">
      <c r="A154" s="132"/>
      <c r="B154" s="209"/>
      <c r="C154" s="210"/>
      <c r="D154" s="134"/>
      <c r="E154" s="134"/>
      <c r="F154" s="134"/>
      <c r="G154" s="134"/>
      <c r="H154" s="134"/>
      <c r="I154" s="134"/>
      <c r="J154" s="135"/>
      <c r="K154" s="135"/>
      <c r="L154" s="134">
        <f>D154</f>
        <v>0</v>
      </c>
      <c r="M154" s="136"/>
    </row>
    <row r="155" spans="1:13" s="131" customFormat="1" ht="12.75">
      <c r="A155" s="139"/>
      <c r="B155" s="140"/>
      <c r="C155" s="141"/>
      <c r="D155" s="142"/>
      <c r="E155" s="143"/>
      <c r="F155" s="142"/>
      <c r="G155" s="142"/>
      <c r="H155" s="143"/>
      <c r="I155" s="143"/>
      <c r="J155" s="144"/>
      <c r="K155" s="144"/>
      <c r="L155" s="142"/>
      <c r="M155" s="145"/>
    </row>
    <row r="156" spans="1:13" ht="12.75">
      <c r="A156" s="128" t="str">
        <f>'BM04'!A92</f>
        <v>1.6.13</v>
      </c>
      <c r="B156" s="211" t="str">
        <f>'BM04'!B92</f>
        <v>Gradil de ferro em barra chata 3/16"</v>
      </c>
      <c r="C156" s="212"/>
      <c r="D156" s="212"/>
      <c r="E156" s="212"/>
      <c r="F156" s="212"/>
      <c r="G156" s="212"/>
      <c r="H156" s="212"/>
      <c r="I156" s="212"/>
      <c r="J156" s="212"/>
      <c r="K156" s="213"/>
      <c r="L156" s="129">
        <f>L157</f>
        <v>66.77</v>
      </c>
      <c r="M156" s="185" t="str">
        <f>'BM04'!C92</f>
        <v>M²</v>
      </c>
    </row>
    <row r="157" spans="1:13" s="131" customFormat="1" ht="12.75">
      <c r="A157" s="132"/>
      <c r="B157" s="209" t="s">
        <v>717</v>
      </c>
      <c r="C157" s="210"/>
      <c r="D157" s="134">
        <v>1</v>
      </c>
      <c r="E157" s="134">
        <v>30.35</v>
      </c>
      <c r="F157" s="134"/>
      <c r="G157" s="134"/>
      <c r="H157" s="134"/>
      <c r="I157" s="134">
        <v>2.2000000000000002</v>
      </c>
      <c r="J157" s="135"/>
      <c r="K157" s="135">
        <f>E157*I157</f>
        <v>66.77000000000001</v>
      </c>
      <c r="L157" s="134">
        <f>ROUND(D157*K157,2)</f>
        <v>66.77</v>
      </c>
      <c r="M157" s="136"/>
    </row>
    <row r="158" spans="1:13" s="131" customFormat="1" ht="13.5" thickBot="1">
      <c r="A158" s="139"/>
      <c r="B158" s="140"/>
      <c r="C158" s="141"/>
      <c r="D158" s="142"/>
      <c r="E158" s="143"/>
      <c r="F158" s="142"/>
      <c r="G158" s="142"/>
      <c r="H158" s="143"/>
      <c r="I158" s="143"/>
      <c r="J158" s="144"/>
      <c r="K158" s="144"/>
      <c r="L158" s="142"/>
      <c r="M158" s="145"/>
    </row>
    <row r="159" spans="1:13" ht="13.5" thickBot="1">
      <c r="A159" s="121" t="str">
        <f>'BM02'!A82</f>
        <v>1.7</v>
      </c>
      <c r="B159" s="122" t="str">
        <f>'BM02'!B82</f>
        <v>COBERTA</v>
      </c>
      <c r="C159" s="122"/>
      <c r="D159" s="122"/>
      <c r="E159" s="122"/>
      <c r="F159" s="122"/>
      <c r="G159" s="122"/>
      <c r="H159" s="122"/>
      <c r="I159" s="122"/>
      <c r="J159" s="122"/>
      <c r="K159" s="122"/>
      <c r="L159" s="122"/>
      <c r="M159" s="123"/>
    </row>
    <row r="160" spans="1:13" ht="12.75">
      <c r="A160" s="124"/>
      <c r="B160" s="125"/>
      <c r="C160" s="125"/>
      <c r="D160" s="125"/>
      <c r="E160" s="125"/>
      <c r="F160" s="125"/>
      <c r="G160" s="125"/>
      <c r="H160" s="125"/>
      <c r="I160" s="125"/>
      <c r="J160" s="125"/>
      <c r="K160" s="126"/>
      <c r="L160" s="125"/>
      <c r="M160" s="127"/>
    </row>
    <row r="161" spans="1:13" ht="30" customHeight="1">
      <c r="A161" s="128" t="str">
        <f>'BM02'!A84</f>
        <v>1.7.1</v>
      </c>
      <c r="B161" s="211" t="str">
        <f>'BM02'!B84</f>
        <v>FABRICAÇÃO E INSTALAÇÃO DE ESTRUTURA PONTALETADA DE MADEIRA NÃO APARELHADA PARA TELHADOS COM ATÉ 2 ÁGUAS E PARA TELHA CERÂMICA OU DE CONCRETO, INCLUSO TRANSPORTE VERTICAL. AF_12/2015</v>
      </c>
      <c r="C161" s="212"/>
      <c r="D161" s="212"/>
      <c r="E161" s="212"/>
      <c r="F161" s="212"/>
      <c r="G161" s="212"/>
      <c r="H161" s="212"/>
      <c r="I161" s="212"/>
      <c r="J161" s="212"/>
      <c r="K161" s="213"/>
      <c r="L161" s="129">
        <f>ROUND(SUM(L162:L162),2)</f>
        <v>0</v>
      </c>
      <c r="M161" s="130" t="str">
        <f>'BM02'!C84</f>
        <v>m²</v>
      </c>
    </row>
    <row r="162" spans="1:13" s="131" customFormat="1" ht="12.75">
      <c r="A162" s="132"/>
      <c r="B162" s="209"/>
      <c r="C162" s="210"/>
      <c r="D162" s="134"/>
      <c r="E162" s="134"/>
      <c r="F162" s="134"/>
      <c r="G162" s="134"/>
      <c r="H162" s="134"/>
      <c r="I162" s="134"/>
      <c r="J162" s="135"/>
      <c r="K162" s="135"/>
      <c r="L162" s="134">
        <f>ROUND(D162*K162,2)</f>
        <v>0</v>
      </c>
      <c r="M162" s="136"/>
    </row>
    <row r="163" spans="1:13" s="131" customFormat="1" ht="13.5" thickBot="1">
      <c r="A163" s="139"/>
      <c r="B163" s="140"/>
      <c r="C163" s="141"/>
      <c r="D163" s="142"/>
      <c r="E163" s="143"/>
      <c r="F163" s="142"/>
      <c r="G163" s="142"/>
      <c r="H163" s="143"/>
      <c r="I163" s="143"/>
      <c r="J163" s="144"/>
      <c r="K163" s="144"/>
      <c r="L163" s="142"/>
      <c r="M163" s="145"/>
    </row>
    <row r="164" spans="1:13" ht="30" customHeight="1">
      <c r="A164" s="128" t="str">
        <f>'BM02'!A85</f>
        <v>1.7.2</v>
      </c>
      <c r="B164" s="211" t="str">
        <f>'BM02'!B85</f>
        <v>TRAMA DE MADEIRA COMPOSTA POR RIPAS, CAIBROS E TERÇAS PARA TELHADOS DE ATÉ 2 ÁGUAS PARA TELHA CERÂMICA CAPA-CANAL, INCLUSO TRANSPORTE VERTICAL. AF_07/2019</v>
      </c>
      <c r="C164" s="212"/>
      <c r="D164" s="212"/>
      <c r="E164" s="212"/>
      <c r="F164" s="212"/>
      <c r="G164" s="212"/>
      <c r="H164" s="212"/>
      <c r="I164" s="212"/>
      <c r="J164" s="212"/>
      <c r="K164" s="213"/>
      <c r="L164" s="129">
        <f>ROUND(SUM(L165:L165),2)</f>
        <v>0</v>
      </c>
      <c r="M164" s="130" t="str">
        <f>'BM02'!C85</f>
        <v>m²</v>
      </c>
    </row>
    <row r="165" spans="1:13" s="131" customFormat="1" ht="12.75">
      <c r="A165" s="132"/>
      <c r="B165" s="209"/>
      <c r="C165" s="210"/>
      <c r="D165" s="134"/>
      <c r="E165" s="134"/>
      <c r="F165" s="134"/>
      <c r="G165" s="134"/>
      <c r="H165" s="134"/>
      <c r="I165" s="134"/>
      <c r="J165" s="135"/>
      <c r="K165" s="135"/>
      <c r="L165" s="134">
        <f>D165</f>
        <v>0</v>
      </c>
      <c r="M165" s="136"/>
    </row>
    <row r="166" spans="1:13" s="131" customFormat="1" ht="12.75">
      <c r="A166" s="139"/>
      <c r="B166" s="140"/>
      <c r="C166" s="141"/>
      <c r="D166" s="142"/>
      <c r="E166" s="143"/>
      <c r="F166" s="142"/>
      <c r="G166" s="142"/>
      <c r="H166" s="143"/>
      <c r="I166" s="143"/>
      <c r="J166" s="144"/>
      <c r="K166" s="144"/>
      <c r="L166" s="142"/>
      <c r="M166" s="145"/>
    </row>
    <row r="167" spans="1:13" ht="30" customHeight="1">
      <c r="A167" s="128" t="str">
        <f>'BM02'!A86</f>
        <v>1.7.3</v>
      </c>
      <c r="B167" s="211" t="str">
        <f>'BM02'!B86</f>
        <v>TELHAMENTO COM TELHA CERÂMICA CAPA-CANAL, TIPO PLAN, COM ATÉ 2 ÁGUAS, INCLUSO TRANSPORTE VERTICAL. AF_07/2019</v>
      </c>
      <c r="C167" s="212"/>
      <c r="D167" s="212"/>
      <c r="E167" s="212"/>
      <c r="F167" s="212"/>
      <c r="G167" s="212"/>
      <c r="H167" s="212"/>
      <c r="I167" s="212"/>
      <c r="J167" s="212"/>
      <c r="K167" s="213"/>
      <c r="L167" s="129">
        <f>ROUND(SUM(L168:L168),2)</f>
        <v>0</v>
      </c>
      <c r="M167" s="130" t="str">
        <f>'BM02'!C86</f>
        <v>m²</v>
      </c>
    </row>
    <row r="168" spans="1:13" s="131" customFormat="1" ht="12.75">
      <c r="A168" s="132"/>
      <c r="B168" s="209"/>
      <c r="C168" s="210"/>
      <c r="D168" s="134"/>
      <c r="E168" s="134"/>
      <c r="F168" s="134"/>
      <c r="G168" s="134"/>
      <c r="H168" s="134"/>
      <c r="I168" s="134"/>
      <c r="J168" s="135"/>
      <c r="K168" s="135"/>
      <c r="L168" s="134">
        <f>D168</f>
        <v>0</v>
      </c>
      <c r="M168" s="136"/>
    </row>
    <row r="169" spans="1:13" s="131" customFormat="1" ht="12.75">
      <c r="A169" s="139"/>
      <c r="B169" s="140"/>
      <c r="C169" s="141"/>
      <c r="D169" s="142"/>
      <c r="E169" s="143"/>
      <c r="F169" s="142"/>
      <c r="G169" s="142"/>
      <c r="H169" s="143"/>
      <c r="I169" s="143"/>
      <c r="J169" s="144"/>
      <c r="K169" s="144"/>
      <c r="L169" s="142"/>
      <c r="M169" s="145"/>
    </row>
    <row r="170" spans="1:13" ht="30" customHeight="1">
      <c r="A170" s="128" t="str">
        <f>'BM02'!A87</f>
        <v>1.7.4</v>
      </c>
      <c r="B170" s="211" t="str">
        <f>'BM02'!B87</f>
        <v>CUMEEIRA PARA TELHA CERÂMICA EMBOÇADA COM ARGAMASSA TRAÇO 1:2:9 (CIMENTO, CAL E AREIA) PARA TELHADOS COM ATÉ 2 ÁGUAS, INCLUSO TRANSPORTE VERTICAL. AF_07/2019</v>
      </c>
      <c r="C170" s="212"/>
      <c r="D170" s="212"/>
      <c r="E170" s="212"/>
      <c r="F170" s="212"/>
      <c r="G170" s="212"/>
      <c r="H170" s="212"/>
      <c r="I170" s="212"/>
      <c r="J170" s="212"/>
      <c r="K170" s="213"/>
      <c r="L170" s="129">
        <f>ROUND(SUM(L171:L171),2)</f>
        <v>0</v>
      </c>
      <c r="M170" s="130" t="str">
        <f>'BM02'!C87</f>
        <v xml:space="preserve">m </v>
      </c>
    </row>
    <row r="171" spans="1:13" s="131" customFormat="1" ht="12.75">
      <c r="A171" s="132"/>
      <c r="B171" s="209"/>
      <c r="C171" s="210"/>
      <c r="D171" s="134"/>
      <c r="E171" s="134"/>
      <c r="F171" s="134"/>
      <c r="G171" s="134"/>
      <c r="H171" s="134"/>
      <c r="I171" s="134"/>
      <c r="J171" s="135"/>
      <c r="K171" s="135"/>
      <c r="L171" s="134">
        <f>ROUND(D171*K171,2)</f>
        <v>0</v>
      </c>
      <c r="M171" s="136"/>
    </row>
    <row r="172" spans="1:13" s="131" customFormat="1" ht="12.75">
      <c r="A172" s="139"/>
      <c r="B172" s="140"/>
      <c r="C172" s="141"/>
      <c r="D172" s="142"/>
      <c r="E172" s="143"/>
      <c r="F172" s="142"/>
      <c r="G172" s="142"/>
      <c r="H172" s="143"/>
      <c r="I172" s="143"/>
      <c r="J172" s="144"/>
      <c r="K172" s="144"/>
      <c r="L172" s="142"/>
      <c r="M172" s="145"/>
    </row>
    <row r="173" spans="1:13" ht="12.75">
      <c r="A173" s="184" t="str">
        <f>'BM02'!A88</f>
        <v>1.7.5</v>
      </c>
      <c r="B173" s="211" t="str">
        <f>'BM02'!B88</f>
        <v>ALGEROZ (RUFO) DE CONCRETO ARMADO FCK=20MPA L=40CM E H=5CM - ORSE (00304)</v>
      </c>
      <c r="C173" s="212"/>
      <c r="D173" s="212"/>
      <c r="E173" s="212"/>
      <c r="F173" s="212"/>
      <c r="G173" s="212"/>
      <c r="H173" s="212"/>
      <c r="I173" s="212"/>
      <c r="J173" s="212"/>
      <c r="K173" s="213"/>
      <c r="L173" s="129">
        <f>ROUND(SUM(L174:L174),2)</f>
        <v>0</v>
      </c>
      <c r="M173" s="130" t="str">
        <f>'BM02'!C88</f>
        <v>m</v>
      </c>
    </row>
    <row r="174" spans="1:13" s="131" customFormat="1" ht="12.75">
      <c r="A174" s="132"/>
      <c r="B174" s="209"/>
      <c r="C174" s="210"/>
      <c r="D174" s="134"/>
      <c r="E174" s="134"/>
      <c r="F174" s="134"/>
      <c r="G174" s="134"/>
      <c r="H174" s="134"/>
      <c r="I174" s="134"/>
      <c r="J174" s="135"/>
      <c r="K174" s="135"/>
      <c r="L174" s="134">
        <f>ROUND(D174*K174,2)</f>
        <v>0</v>
      </c>
      <c r="M174" s="136"/>
    </row>
    <row r="175" spans="1:13" s="131" customFormat="1" ht="13.5" thickBot="1">
      <c r="A175" s="139"/>
      <c r="B175" s="140"/>
      <c r="C175" s="141"/>
      <c r="D175" s="142"/>
      <c r="E175" s="143"/>
      <c r="F175" s="142"/>
      <c r="G175" s="142"/>
      <c r="H175" s="143"/>
      <c r="I175" s="143"/>
      <c r="J175" s="144"/>
      <c r="K175" s="144"/>
      <c r="L175" s="142"/>
      <c r="M175" s="145"/>
    </row>
    <row r="176" spans="1:13" ht="12.75">
      <c r="A176" s="184" t="str">
        <f>'BM02'!A89</f>
        <v>1.7.6</v>
      </c>
      <c r="B176" s="211" t="str">
        <f>'BM02'!B89</f>
        <v>EMBOÇAMENTO COM ARGAMASSA TRAÇO 1:2:9 (CIMENTO, CAL E AREIA). AF_07/2019</v>
      </c>
      <c r="C176" s="212"/>
      <c r="D176" s="212"/>
      <c r="E176" s="212"/>
      <c r="F176" s="212"/>
      <c r="G176" s="212"/>
      <c r="H176" s="212"/>
      <c r="I176" s="212"/>
      <c r="J176" s="212"/>
      <c r="K176" s="213"/>
      <c r="L176" s="129">
        <f>ROUND(SUM(L177:L177),2)</f>
        <v>0</v>
      </c>
      <c r="M176" s="130" t="str">
        <f>'BM02'!C89</f>
        <v>m</v>
      </c>
    </row>
    <row r="177" spans="1:13" s="131" customFormat="1" ht="12.75">
      <c r="A177" s="132"/>
      <c r="B177" s="209"/>
      <c r="C177" s="210"/>
      <c r="D177" s="134"/>
      <c r="E177" s="134"/>
      <c r="F177" s="134"/>
      <c r="G177" s="134"/>
      <c r="H177" s="134"/>
      <c r="I177" s="134"/>
      <c r="J177" s="135"/>
      <c r="K177" s="135"/>
      <c r="L177" s="134">
        <f>ROUND(D177*K177,2)</f>
        <v>0</v>
      </c>
      <c r="M177" s="136"/>
    </row>
    <row r="178" spans="1:13" s="131" customFormat="1" ht="12.75">
      <c r="A178" s="139"/>
      <c r="B178" s="140"/>
      <c r="C178" s="141"/>
      <c r="D178" s="142"/>
      <c r="E178" s="143"/>
      <c r="F178" s="142"/>
      <c r="G178" s="142"/>
      <c r="H178" s="143"/>
      <c r="I178" s="143"/>
      <c r="J178" s="144"/>
      <c r="K178" s="144"/>
      <c r="L178" s="142"/>
      <c r="M178" s="145"/>
    </row>
    <row r="179" spans="1:13" ht="12.75">
      <c r="A179" s="184" t="str">
        <f>'BM02'!A90</f>
        <v>1.7.7</v>
      </c>
      <c r="B179" s="211" t="str">
        <f>'BM02'!B90</f>
        <v>Impermeabilização com aplicação de argamassa polimérica tipo Denvertec 100 ou similar</v>
      </c>
      <c r="C179" s="212"/>
      <c r="D179" s="212"/>
      <c r="E179" s="212"/>
      <c r="F179" s="212"/>
      <c r="G179" s="212"/>
      <c r="H179" s="212"/>
      <c r="I179" s="212"/>
      <c r="J179" s="212"/>
      <c r="K179" s="213"/>
      <c r="L179" s="129">
        <f>ROUND(SUM(L180:L180),2)</f>
        <v>0</v>
      </c>
      <c r="M179" s="130" t="str">
        <f>'BM02'!C90</f>
        <v>m²</v>
      </c>
    </row>
    <row r="180" spans="1:13" s="131" customFormat="1" ht="12.75">
      <c r="A180" s="132"/>
      <c r="B180" s="209"/>
      <c r="C180" s="210"/>
      <c r="D180" s="134"/>
      <c r="E180" s="134"/>
      <c r="F180" s="134"/>
      <c r="G180" s="134"/>
      <c r="H180" s="134"/>
      <c r="I180" s="134"/>
      <c r="J180" s="135"/>
      <c r="K180" s="135"/>
      <c r="L180" s="134">
        <f>D180</f>
        <v>0</v>
      </c>
      <c r="M180" s="136"/>
    </row>
    <row r="181" spans="1:13" s="131" customFormat="1" ht="12.75">
      <c r="A181" s="139"/>
      <c r="B181" s="140"/>
      <c r="C181" s="141"/>
      <c r="D181" s="142"/>
      <c r="E181" s="143"/>
      <c r="F181" s="142"/>
      <c r="G181" s="142"/>
      <c r="H181" s="143"/>
      <c r="I181" s="143"/>
      <c r="J181" s="144"/>
      <c r="K181" s="144"/>
      <c r="L181" s="142"/>
      <c r="M181" s="145"/>
    </row>
    <row r="182" spans="1:13" ht="30" customHeight="1">
      <c r="A182" s="128" t="str">
        <f>'BM02'!A91</f>
        <v>1.7.8</v>
      </c>
      <c r="B182" s="211" t="str">
        <f>'BM02'!B91</f>
        <v>FORRO EM RÉGUAS DE PVC, FRISADO, PARA AMBIENTES RESIDENCIAIS, INCLUSIVE ESTRUTURA DE FIXAÇÃO. AF_05/2017_P</v>
      </c>
      <c r="C182" s="212"/>
      <c r="D182" s="212"/>
      <c r="E182" s="212"/>
      <c r="F182" s="212"/>
      <c r="G182" s="212"/>
      <c r="H182" s="212"/>
      <c r="I182" s="212"/>
      <c r="J182" s="212"/>
      <c r="K182" s="213"/>
      <c r="L182" s="129">
        <f>ROUND(SUM(L183:L183),2)</f>
        <v>0</v>
      </c>
      <c r="M182" s="130" t="str">
        <f>'BM02'!C91</f>
        <v>m²</v>
      </c>
    </row>
    <row r="183" spans="1:13" s="131" customFormat="1" ht="12.75">
      <c r="A183" s="132"/>
      <c r="B183" s="209"/>
      <c r="C183" s="210"/>
      <c r="D183" s="134"/>
      <c r="E183" s="134"/>
      <c r="F183" s="134"/>
      <c r="G183" s="134"/>
      <c r="H183" s="134"/>
      <c r="I183" s="134"/>
      <c r="J183" s="135"/>
      <c r="K183" s="135"/>
      <c r="L183" s="134"/>
      <c r="M183" s="136"/>
    </row>
    <row r="184" spans="1:13" s="131" customFormat="1" ht="12.75">
      <c r="A184" s="139"/>
      <c r="B184" s="140"/>
      <c r="C184" s="141"/>
      <c r="D184" s="142"/>
      <c r="E184" s="143"/>
      <c r="F184" s="142"/>
      <c r="G184" s="142"/>
      <c r="H184" s="143"/>
      <c r="I184" s="143"/>
      <c r="J184" s="144"/>
      <c r="K184" s="144"/>
      <c r="L184" s="142"/>
      <c r="M184" s="145"/>
    </row>
    <row r="185" spans="1:13" ht="12.75">
      <c r="A185" s="128" t="str">
        <f>'BM04'!A104</f>
        <v>1.7.9</v>
      </c>
      <c r="B185" s="211" t="str">
        <f>'BM04'!B104</f>
        <v>FORRO EM PLACAS DE GESSO, PARA AMBIENTES COMERCIAIS. AF_05/2017_P</v>
      </c>
      <c r="C185" s="212"/>
      <c r="D185" s="212"/>
      <c r="E185" s="212"/>
      <c r="F185" s="212"/>
      <c r="G185" s="212"/>
      <c r="H185" s="212"/>
      <c r="I185" s="212"/>
      <c r="J185" s="212"/>
      <c r="K185" s="213"/>
      <c r="L185" s="129">
        <f>ROUND(SUM(L186:L207),2)</f>
        <v>356.12</v>
      </c>
      <c r="M185" s="130" t="str">
        <f>'BM04'!C104</f>
        <v>M²</v>
      </c>
    </row>
    <row r="186" spans="1:13" s="131" customFormat="1" ht="12.75">
      <c r="A186" s="132"/>
      <c r="B186" s="209" t="s">
        <v>718</v>
      </c>
      <c r="C186" s="210"/>
      <c r="D186" s="134">
        <v>1</v>
      </c>
      <c r="E186" s="134">
        <v>7.2</v>
      </c>
      <c r="F186" s="134"/>
      <c r="G186" s="134">
        <v>7.2</v>
      </c>
      <c r="H186" s="134"/>
      <c r="I186" s="134"/>
      <c r="J186" s="135"/>
      <c r="K186" s="135">
        <f t="shared" ref="K186:K207" si="5">E186*G186</f>
        <v>51.84</v>
      </c>
      <c r="L186" s="134">
        <f t="shared" ref="L186:L207" si="6">ROUND(D186*K186,2)</f>
        <v>51.84</v>
      </c>
      <c r="M186" s="136"/>
    </row>
    <row r="187" spans="1:13" s="131" customFormat="1" ht="12.75">
      <c r="A187" s="132"/>
      <c r="B187" s="209" t="s">
        <v>719</v>
      </c>
      <c r="C187" s="210"/>
      <c r="D187" s="134">
        <v>1</v>
      </c>
      <c r="E187" s="134">
        <v>7.2</v>
      </c>
      <c r="F187" s="134"/>
      <c r="G187" s="134">
        <v>7.2</v>
      </c>
      <c r="H187" s="134"/>
      <c r="I187" s="134"/>
      <c r="J187" s="135"/>
      <c r="K187" s="135">
        <f t="shared" si="5"/>
        <v>51.84</v>
      </c>
      <c r="L187" s="134">
        <f t="shared" si="6"/>
        <v>51.84</v>
      </c>
      <c r="M187" s="136"/>
    </row>
    <row r="188" spans="1:13" s="131" customFormat="1" ht="12.75">
      <c r="A188" s="132"/>
      <c r="B188" s="209" t="s">
        <v>720</v>
      </c>
      <c r="C188" s="210"/>
      <c r="D188" s="134">
        <v>1</v>
      </c>
      <c r="E188" s="134">
        <v>7.2</v>
      </c>
      <c r="F188" s="134"/>
      <c r="G188" s="134">
        <v>7.2</v>
      </c>
      <c r="H188" s="134"/>
      <c r="I188" s="134"/>
      <c r="J188" s="135"/>
      <c r="K188" s="135">
        <f t="shared" si="5"/>
        <v>51.84</v>
      </c>
      <c r="L188" s="134">
        <f t="shared" si="6"/>
        <v>51.84</v>
      </c>
      <c r="M188" s="136"/>
    </row>
    <row r="189" spans="1:13" s="131" customFormat="1" ht="12.75">
      <c r="A189" s="132"/>
      <c r="B189" s="209" t="s">
        <v>721</v>
      </c>
      <c r="C189" s="210"/>
      <c r="D189" s="134">
        <v>1</v>
      </c>
      <c r="E189" s="134">
        <v>29.25</v>
      </c>
      <c r="F189" s="134"/>
      <c r="G189" s="134">
        <v>2</v>
      </c>
      <c r="H189" s="134"/>
      <c r="I189" s="134"/>
      <c r="J189" s="135"/>
      <c r="K189" s="135">
        <f t="shared" si="5"/>
        <v>58.5</v>
      </c>
      <c r="L189" s="134">
        <f t="shared" si="6"/>
        <v>58.5</v>
      </c>
      <c r="M189" s="136"/>
    </row>
    <row r="190" spans="1:13" s="131" customFormat="1" ht="13.15" customHeight="1">
      <c r="A190" s="263"/>
      <c r="B190" s="275" t="s">
        <v>722</v>
      </c>
      <c r="C190" s="276"/>
      <c r="D190" s="134">
        <v>1</v>
      </c>
      <c r="E190" s="134">
        <v>5.4</v>
      </c>
      <c r="F190" s="134"/>
      <c r="G190" s="134">
        <v>1.95</v>
      </c>
      <c r="H190" s="134"/>
      <c r="I190" s="134"/>
      <c r="J190" s="135"/>
      <c r="K190" s="135">
        <f t="shared" si="5"/>
        <v>10.530000000000001</v>
      </c>
      <c r="L190" s="134">
        <f t="shared" si="6"/>
        <v>10.53</v>
      </c>
      <c r="M190" s="136"/>
    </row>
    <row r="191" spans="1:13" s="131" customFormat="1" ht="14.45" customHeight="1">
      <c r="A191" s="264"/>
      <c r="B191" s="277"/>
      <c r="C191" s="278"/>
      <c r="D191" s="134">
        <v>1</v>
      </c>
      <c r="E191" s="134">
        <v>5.48</v>
      </c>
      <c r="F191" s="134"/>
      <c r="G191" s="134">
        <v>8.3000000000000007</v>
      </c>
      <c r="H191" s="134"/>
      <c r="I191" s="134"/>
      <c r="J191" s="135"/>
      <c r="K191" s="135">
        <f t="shared" si="5"/>
        <v>45.484000000000009</v>
      </c>
      <c r="L191" s="134">
        <f t="shared" si="6"/>
        <v>45.48</v>
      </c>
      <c r="M191" s="136"/>
    </row>
    <row r="192" spans="1:13" s="131" customFormat="1" ht="13.15" customHeight="1">
      <c r="A192" s="263"/>
      <c r="B192" s="275" t="s">
        <v>723</v>
      </c>
      <c r="C192" s="276"/>
      <c r="D192" s="134">
        <v>1</v>
      </c>
      <c r="E192" s="134">
        <v>6.48</v>
      </c>
      <c r="F192" s="134"/>
      <c r="G192" s="134">
        <v>1.27</v>
      </c>
      <c r="H192" s="134"/>
      <c r="I192" s="134"/>
      <c r="J192" s="135"/>
      <c r="K192" s="135">
        <f t="shared" si="5"/>
        <v>8.2296000000000014</v>
      </c>
      <c r="L192" s="134">
        <f t="shared" si="6"/>
        <v>8.23</v>
      </c>
      <c r="M192" s="136"/>
    </row>
    <row r="193" spans="1:13" s="131" customFormat="1" ht="12.75">
      <c r="A193" s="264"/>
      <c r="B193" s="277"/>
      <c r="C193" s="278"/>
      <c r="D193" s="134">
        <v>2</v>
      </c>
      <c r="E193" s="134">
        <v>0.93</v>
      </c>
      <c r="F193" s="134"/>
      <c r="G193" s="134">
        <v>1.35</v>
      </c>
      <c r="H193" s="134"/>
      <c r="I193" s="134"/>
      <c r="J193" s="135"/>
      <c r="K193" s="135">
        <f t="shared" si="5"/>
        <v>1.2555000000000001</v>
      </c>
      <c r="L193" s="134">
        <f t="shared" si="6"/>
        <v>2.5099999999999998</v>
      </c>
      <c r="M193" s="136"/>
    </row>
    <row r="194" spans="1:13" s="131" customFormat="1" ht="12.75">
      <c r="A194" s="132"/>
      <c r="B194" s="209" t="s">
        <v>724</v>
      </c>
      <c r="C194" s="210"/>
      <c r="D194" s="134">
        <v>1</v>
      </c>
      <c r="E194" s="134">
        <v>2.8</v>
      </c>
      <c r="F194" s="134"/>
      <c r="G194" s="134">
        <v>3.5</v>
      </c>
      <c r="H194" s="134"/>
      <c r="I194" s="134"/>
      <c r="J194" s="135"/>
      <c r="K194" s="135">
        <f t="shared" si="5"/>
        <v>9.7999999999999989</v>
      </c>
      <c r="L194" s="134">
        <f t="shared" si="6"/>
        <v>9.8000000000000007</v>
      </c>
      <c r="M194" s="136"/>
    </row>
    <row r="195" spans="1:13" s="131" customFormat="1" ht="12.75">
      <c r="A195" s="132"/>
      <c r="B195" s="209" t="s">
        <v>725</v>
      </c>
      <c r="C195" s="210"/>
      <c r="D195" s="134">
        <v>1</v>
      </c>
      <c r="E195" s="134">
        <v>2.2999999999999998</v>
      </c>
      <c r="F195" s="134"/>
      <c r="G195" s="134">
        <v>3.5</v>
      </c>
      <c r="H195" s="134"/>
      <c r="I195" s="134"/>
      <c r="J195" s="135"/>
      <c r="K195" s="135">
        <f t="shared" si="5"/>
        <v>8.0499999999999989</v>
      </c>
      <c r="L195" s="134">
        <f t="shared" si="6"/>
        <v>8.0500000000000007</v>
      </c>
      <c r="M195" s="136"/>
    </row>
    <row r="196" spans="1:13" s="131" customFormat="1" ht="12.75">
      <c r="A196" s="132"/>
      <c r="B196" s="209" t="s">
        <v>726</v>
      </c>
      <c r="C196" s="210"/>
      <c r="D196" s="134">
        <v>1</v>
      </c>
      <c r="E196" s="134">
        <v>1.8</v>
      </c>
      <c r="F196" s="134"/>
      <c r="G196" s="134">
        <v>2.5499999999999998</v>
      </c>
      <c r="H196" s="134"/>
      <c r="I196" s="134"/>
      <c r="J196" s="135"/>
      <c r="K196" s="135">
        <f t="shared" si="5"/>
        <v>4.59</v>
      </c>
      <c r="L196" s="134">
        <f t="shared" si="6"/>
        <v>4.59</v>
      </c>
      <c r="M196" s="136"/>
    </row>
    <row r="197" spans="1:13" s="131" customFormat="1" ht="12.75">
      <c r="A197" s="132"/>
      <c r="B197" s="209" t="s">
        <v>727</v>
      </c>
      <c r="C197" s="210"/>
      <c r="D197" s="134">
        <v>1</v>
      </c>
      <c r="E197" s="134">
        <v>1.8</v>
      </c>
      <c r="F197" s="134"/>
      <c r="G197" s="134">
        <v>2.5499999999999998</v>
      </c>
      <c r="H197" s="134"/>
      <c r="I197" s="134"/>
      <c r="J197" s="135"/>
      <c r="K197" s="135">
        <f t="shared" si="5"/>
        <v>4.59</v>
      </c>
      <c r="L197" s="134">
        <f t="shared" si="6"/>
        <v>4.59</v>
      </c>
      <c r="M197" s="136"/>
    </row>
    <row r="198" spans="1:13" s="131" customFormat="1" ht="12.75">
      <c r="A198" s="132"/>
      <c r="B198" s="209" t="s">
        <v>728</v>
      </c>
      <c r="C198" s="210"/>
      <c r="D198" s="134">
        <v>1</v>
      </c>
      <c r="E198" s="134">
        <v>1.3</v>
      </c>
      <c r="F198" s="134"/>
      <c r="G198" s="134">
        <v>1.2</v>
      </c>
      <c r="H198" s="134"/>
      <c r="I198" s="134"/>
      <c r="J198" s="135"/>
      <c r="K198" s="135">
        <f t="shared" si="5"/>
        <v>1.56</v>
      </c>
      <c r="L198" s="134">
        <f t="shared" si="6"/>
        <v>1.56</v>
      </c>
      <c r="M198" s="136"/>
    </row>
    <row r="199" spans="1:13" s="131" customFormat="1" ht="12.75">
      <c r="A199" s="132"/>
      <c r="B199" s="209" t="s">
        <v>729</v>
      </c>
      <c r="C199" s="210"/>
      <c r="D199" s="134">
        <v>1</v>
      </c>
      <c r="E199" s="134">
        <v>2.31</v>
      </c>
      <c r="F199" s="134"/>
      <c r="G199" s="134">
        <v>1.5</v>
      </c>
      <c r="H199" s="134"/>
      <c r="I199" s="134"/>
      <c r="J199" s="135"/>
      <c r="K199" s="135">
        <f t="shared" si="5"/>
        <v>3.4649999999999999</v>
      </c>
      <c r="L199" s="134">
        <f t="shared" si="6"/>
        <v>3.47</v>
      </c>
      <c r="M199" s="136"/>
    </row>
    <row r="200" spans="1:13" s="131" customFormat="1" ht="12.75">
      <c r="A200" s="132"/>
      <c r="B200" s="209" t="s">
        <v>730</v>
      </c>
      <c r="C200" s="210"/>
      <c r="D200" s="134">
        <v>1</v>
      </c>
      <c r="E200" s="134">
        <v>1.49</v>
      </c>
      <c r="F200" s="134"/>
      <c r="G200" s="134">
        <v>1.2</v>
      </c>
      <c r="H200" s="134"/>
      <c r="I200" s="134"/>
      <c r="J200" s="135"/>
      <c r="K200" s="135">
        <f t="shared" si="5"/>
        <v>1.788</v>
      </c>
      <c r="L200" s="134">
        <f t="shared" si="6"/>
        <v>1.79</v>
      </c>
      <c r="M200" s="136"/>
    </row>
    <row r="201" spans="1:13" s="131" customFormat="1" ht="12.75">
      <c r="A201" s="132"/>
      <c r="B201" s="209" t="s">
        <v>731</v>
      </c>
      <c r="C201" s="210"/>
      <c r="D201" s="134">
        <v>1</v>
      </c>
      <c r="E201" s="134">
        <v>2.58</v>
      </c>
      <c r="F201" s="134"/>
      <c r="G201" s="134">
        <v>1.5</v>
      </c>
      <c r="H201" s="134"/>
      <c r="I201" s="134"/>
      <c r="J201" s="135"/>
      <c r="K201" s="135">
        <f t="shared" si="5"/>
        <v>3.87</v>
      </c>
      <c r="L201" s="134">
        <f t="shared" si="6"/>
        <v>3.87</v>
      </c>
      <c r="M201" s="136"/>
    </row>
    <row r="202" spans="1:13" s="131" customFormat="1" ht="12.75">
      <c r="A202" s="132"/>
      <c r="B202" s="209" t="s">
        <v>501</v>
      </c>
      <c r="C202" s="210"/>
      <c r="D202" s="134">
        <v>1</v>
      </c>
      <c r="E202" s="134">
        <v>2</v>
      </c>
      <c r="F202" s="134"/>
      <c r="G202" s="134">
        <v>1.2</v>
      </c>
      <c r="H202" s="134"/>
      <c r="I202" s="134"/>
      <c r="J202" s="135"/>
      <c r="K202" s="135">
        <f t="shared" si="5"/>
        <v>2.4</v>
      </c>
      <c r="L202" s="134">
        <f t="shared" si="6"/>
        <v>2.4</v>
      </c>
      <c r="M202" s="136"/>
    </row>
    <row r="203" spans="1:13" s="131" customFormat="1" ht="12.75">
      <c r="A203" s="132"/>
      <c r="B203" s="209" t="s">
        <v>732</v>
      </c>
      <c r="C203" s="210"/>
      <c r="D203" s="134">
        <v>1</v>
      </c>
      <c r="E203" s="134">
        <v>2</v>
      </c>
      <c r="F203" s="134"/>
      <c r="G203" s="134">
        <v>1.2</v>
      </c>
      <c r="H203" s="134"/>
      <c r="I203" s="134"/>
      <c r="J203" s="135"/>
      <c r="K203" s="135">
        <f t="shared" si="5"/>
        <v>2.4</v>
      </c>
      <c r="L203" s="134">
        <f t="shared" si="6"/>
        <v>2.4</v>
      </c>
      <c r="M203" s="136"/>
    </row>
    <row r="204" spans="1:13" s="131" customFormat="1" ht="12.75">
      <c r="A204" s="132"/>
      <c r="B204" s="209" t="s">
        <v>733</v>
      </c>
      <c r="C204" s="210"/>
      <c r="D204" s="134">
        <v>1</v>
      </c>
      <c r="E204" s="134">
        <v>5.18</v>
      </c>
      <c r="F204" s="134"/>
      <c r="G204" s="134">
        <v>4.03</v>
      </c>
      <c r="H204" s="134"/>
      <c r="I204" s="134"/>
      <c r="J204" s="135"/>
      <c r="K204" s="135">
        <f t="shared" si="5"/>
        <v>20.875399999999999</v>
      </c>
      <c r="L204" s="134">
        <f t="shared" si="6"/>
        <v>20.88</v>
      </c>
      <c r="M204" s="136"/>
    </row>
    <row r="205" spans="1:13" s="131" customFormat="1" ht="12.75">
      <c r="A205" s="132"/>
      <c r="B205" s="209" t="s">
        <v>734</v>
      </c>
      <c r="C205" s="210"/>
      <c r="D205" s="134">
        <v>1</v>
      </c>
      <c r="E205" s="134">
        <v>1.8</v>
      </c>
      <c r="F205" s="134"/>
      <c r="G205" s="134">
        <v>1.8</v>
      </c>
      <c r="H205" s="134"/>
      <c r="I205" s="134"/>
      <c r="J205" s="135"/>
      <c r="K205" s="135">
        <f t="shared" si="5"/>
        <v>3.24</v>
      </c>
      <c r="L205" s="134">
        <f t="shared" si="6"/>
        <v>3.24</v>
      </c>
      <c r="M205" s="136"/>
    </row>
    <row r="206" spans="1:13" s="131" customFormat="1" ht="12.75">
      <c r="A206" s="132"/>
      <c r="B206" s="209" t="s">
        <v>735</v>
      </c>
      <c r="C206" s="210"/>
      <c r="D206" s="134">
        <v>1</v>
      </c>
      <c r="E206" s="134">
        <v>1.2</v>
      </c>
      <c r="F206" s="134"/>
      <c r="G206" s="134">
        <v>1.8</v>
      </c>
      <c r="H206" s="134"/>
      <c r="I206" s="134"/>
      <c r="J206" s="135"/>
      <c r="K206" s="135">
        <f t="shared" si="5"/>
        <v>2.16</v>
      </c>
      <c r="L206" s="134">
        <f t="shared" si="6"/>
        <v>2.16</v>
      </c>
      <c r="M206" s="136"/>
    </row>
    <row r="207" spans="1:13" s="131" customFormat="1" ht="12.75">
      <c r="A207" s="132"/>
      <c r="B207" s="209" t="s">
        <v>736</v>
      </c>
      <c r="C207" s="210"/>
      <c r="D207" s="134">
        <v>1</v>
      </c>
      <c r="E207" s="134">
        <v>3.15</v>
      </c>
      <c r="F207" s="134"/>
      <c r="G207" s="134">
        <v>2.08</v>
      </c>
      <c r="H207" s="134"/>
      <c r="I207" s="134"/>
      <c r="J207" s="135"/>
      <c r="K207" s="135">
        <f t="shared" si="5"/>
        <v>6.5519999999999996</v>
      </c>
      <c r="L207" s="134">
        <f t="shared" si="6"/>
        <v>6.55</v>
      </c>
      <c r="M207" s="136"/>
    </row>
    <row r="208" spans="1:13" s="131" customFormat="1" ht="12.75">
      <c r="A208" s="139"/>
      <c r="B208" s="140"/>
      <c r="C208" s="141"/>
      <c r="D208" s="142"/>
      <c r="E208" s="143"/>
      <c r="F208" s="142"/>
      <c r="G208" s="142"/>
      <c r="H208" s="143"/>
      <c r="I208" s="143"/>
      <c r="J208" s="144"/>
      <c r="K208" s="144"/>
      <c r="L208" s="142"/>
      <c r="M208" s="145"/>
    </row>
    <row r="209" spans="1:14" ht="12.75">
      <c r="A209" s="128" t="str">
        <f>'BM04'!A105</f>
        <v>1.7.10</v>
      </c>
      <c r="B209" s="211" t="str">
        <f>'BM04'!B105</f>
        <v>Emassamento de beiral de telha ceramica</v>
      </c>
      <c r="C209" s="212"/>
      <c r="D209" s="212"/>
      <c r="E209" s="212"/>
      <c r="F209" s="212"/>
      <c r="G209" s="212"/>
      <c r="H209" s="212"/>
      <c r="I209" s="212"/>
      <c r="J209" s="212"/>
      <c r="K209" s="213"/>
      <c r="L209" s="129">
        <f>ROUND(SUM(L210:L210),2)</f>
        <v>0</v>
      </c>
      <c r="M209" s="130" t="str">
        <f>'BM04'!C105</f>
        <v>M</v>
      </c>
    </row>
    <row r="210" spans="1:14" s="131" customFormat="1" ht="12.75">
      <c r="A210" s="132"/>
      <c r="B210" s="209"/>
      <c r="C210" s="210"/>
      <c r="D210" s="134"/>
      <c r="E210" s="134"/>
      <c r="F210" s="134"/>
      <c r="G210" s="134"/>
      <c r="H210" s="134"/>
      <c r="I210" s="134"/>
      <c r="J210" s="135"/>
      <c r="K210" s="135"/>
      <c r="L210" s="134">
        <f>ROUND(D210*K210,2)</f>
        <v>0</v>
      </c>
      <c r="M210" s="136"/>
    </row>
    <row r="211" spans="1:14" s="131" customFormat="1" ht="13.5" thickBot="1">
      <c r="A211" s="139"/>
      <c r="B211" s="140"/>
      <c r="C211" s="141"/>
      <c r="D211" s="142"/>
      <c r="E211" s="143"/>
      <c r="F211" s="142"/>
      <c r="G211" s="142"/>
      <c r="H211" s="143"/>
      <c r="I211" s="143"/>
      <c r="J211" s="144"/>
      <c r="K211" s="144"/>
      <c r="L211" s="142"/>
      <c r="M211" s="145"/>
    </row>
    <row r="212" spans="1:14" ht="13.5" thickBot="1">
      <c r="A212" s="121" t="str">
        <f>'BM02'!A93</f>
        <v>1.8</v>
      </c>
      <c r="B212" s="122" t="str">
        <f>'BM02'!B93</f>
        <v>REVESTIMENTO E FORRO</v>
      </c>
      <c r="C212" s="122"/>
      <c r="D212" s="122"/>
      <c r="E212" s="122"/>
      <c r="F212" s="122"/>
      <c r="G212" s="122"/>
      <c r="H212" s="122"/>
      <c r="I212" s="122"/>
      <c r="J212" s="122"/>
      <c r="K212" s="122"/>
      <c r="L212" s="122"/>
      <c r="M212" s="123"/>
    </row>
    <row r="213" spans="1:14" ht="12.75">
      <c r="A213" s="124"/>
      <c r="B213" s="125"/>
      <c r="C213" s="125"/>
      <c r="D213" s="125"/>
      <c r="E213" s="125"/>
      <c r="F213" s="125"/>
      <c r="G213" s="125"/>
      <c r="H213" s="125"/>
      <c r="I213" s="125"/>
      <c r="J213" s="125"/>
      <c r="K213" s="126"/>
      <c r="L213" s="125"/>
      <c r="M213" s="127"/>
    </row>
    <row r="214" spans="1:14" ht="30" customHeight="1">
      <c r="A214" s="128" t="str">
        <f>'BM02'!A95</f>
        <v>1.8.1</v>
      </c>
      <c r="B214" s="211" t="str">
        <f>'BM02'!B95</f>
        <v>CHAPISCO APLICADO EM ALVENARIAS E ESTRUTURAS DE CONCRETO INTERNAS, COM COLHER DE PEDREIRO. ARGAMASSA TRAÇO 1:3 COM PREPARO EM BETONEIRA 400L. AF_06/2014</v>
      </c>
      <c r="C214" s="212"/>
      <c r="D214" s="212"/>
      <c r="E214" s="212"/>
      <c r="F214" s="212"/>
      <c r="G214" s="212"/>
      <c r="H214" s="212"/>
      <c r="I214" s="212"/>
      <c r="J214" s="212"/>
      <c r="K214" s="213"/>
      <c r="L214" s="129">
        <f>SUM(L215:L215)</f>
        <v>0</v>
      </c>
      <c r="M214" s="130" t="str">
        <f>'BM02'!C95</f>
        <v>m²</v>
      </c>
    </row>
    <row r="215" spans="1:14" s="131" customFormat="1" ht="12.75">
      <c r="A215" s="132"/>
      <c r="B215" s="290"/>
      <c r="C215" s="291"/>
      <c r="D215" s="134"/>
      <c r="E215" s="134"/>
      <c r="F215" s="134"/>
      <c r="G215" s="134"/>
      <c r="H215" s="134"/>
      <c r="I215" s="134"/>
      <c r="J215" s="135"/>
      <c r="K215" s="135"/>
      <c r="L215" s="134">
        <f>K215</f>
        <v>0</v>
      </c>
      <c r="M215" s="136"/>
    </row>
    <row r="216" spans="1:14" s="131" customFormat="1" ht="12.75">
      <c r="A216" s="146"/>
      <c r="B216" s="181"/>
      <c r="C216" s="181"/>
      <c r="D216" s="142"/>
      <c r="E216" s="142"/>
      <c r="F216" s="142"/>
      <c r="G216" s="142"/>
      <c r="H216" s="142"/>
      <c r="I216" s="142"/>
      <c r="J216" s="144"/>
      <c r="K216" s="144"/>
      <c r="L216" s="142"/>
      <c r="M216" s="145"/>
    </row>
    <row r="217" spans="1:14" s="131" customFormat="1" ht="43.15" customHeight="1">
      <c r="A217" s="128" t="str">
        <f>'BM02'!A96</f>
        <v>1.8.2</v>
      </c>
      <c r="B217" s="211" t="str">
        <f>'BM02'!B96</f>
        <v>MASSA ÚNICA, PARA RECEBIMENTO DE PINTURA, EM ARGAMASSA TRAÇO 1:2:8, PREPARO MECÂNICO COM BETONEIRA 400L, APLICADA MANUALMENTE EM FACES INTERNAS DE PAREDES, ESPESSURA DE 20MM, COM EXECUÇÃO DE TALISCAS. AF_06/2014</v>
      </c>
      <c r="C217" s="212"/>
      <c r="D217" s="212"/>
      <c r="E217" s="212"/>
      <c r="F217" s="212"/>
      <c r="G217" s="212"/>
      <c r="H217" s="212"/>
      <c r="I217" s="212"/>
      <c r="J217" s="212"/>
      <c r="K217" s="213"/>
      <c r="L217" s="129">
        <f>SUM(L218:L218)</f>
        <v>0</v>
      </c>
      <c r="M217" s="130" t="str">
        <f>'BM02'!C96</f>
        <v>m²</v>
      </c>
    </row>
    <row r="218" spans="1:14" s="131" customFormat="1" ht="12.75">
      <c r="A218" s="132"/>
      <c r="B218" s="209"/>
      <c r="C218" s="210"/>
      <c r="D218" s="134"/>
      <c r="E218" s="134"/>
      <c r="F218" s="134"/>
      <c r="G218" s="134"/>
      <c r="H218" s="134"/>
      <c r="I218" s="134"/>
      <c r="J218" s="135"/>
      <c r="K218" s="135"/>
      <c r="L218" s="134">
        <f>ROUND(K218,2)</f>
        <v>0</v>
      </c>
      <c r="M218" s="136"/>
    </row>
    <row r="219" spans="1:14" s="131" customFormat="1" ht="12.75">
      <c r="A219" s="139"/>
      <c r="B219" s="140"/>
      <c r="C219" s="141"/>
      <c r="D219" s="142"/>
      <c r="E219" s="143"/>
      <c r="F219" s="142"/>
      <c r="G219" s="142"/>
      <c r="H219" s="143"/>
      <c r="I219" s="143"/>
      <c r="J219" s="144"/>
      <c r="K219" s="144"/>
      <c r="L219" s="142"/>
      <c r="M219" s="145"/>
    </row>
    <row r="220" spans="1:14" s="131" customFormat="1" ht="43.15" customHeight="1">
      <c r="A220" s="128" t="str">
        <f>'BM02'!A97</f>
        <v>1.8.3</v>
      </c>
      <c r="B220" s="211" t="str">
        <f>'BM02'!B97</f>
        <v>EMBOÇO, PARA RECEBIMENTO DE CERÂMICA, EM ARGAMASSA TRAÇO 1:2:8, PREPARO MANUAL, APLICADO MANUALMENTE EM FACES INTERNAS DE PAREDES, PARA AMBIENTE COM ÁREA MAIOR QUE 10M2, ESPESSURA DE 20MM, COM EXECUÇÃO DE TALISCAS. AF_06/2014</v>
      </c>
      <c r="C220" s="212"/>
      <c r="D220" s="212"/>
      <c r="E220" s="212"/>
      <c r="F220" s="212"/>
      <c r="G220" s="212"/>
      <c r="H220" s="212"/>
      <c r="I220" s="212"/>
      <c r="J220" s="212"/>
      <c r="K220" s="213"/>
      <c r="L220" s="129">
        <f>SUM(L221:L221)</f>
        <v>0</v>
      </c>
      <c r="M220" s="130" t="str">
        <f>'BM02'!C97</f>
        <v>m²</v>
      </c>
    </row>
    <row r="221" spans="1:14" s="131" customFormat="1" ht="14.45" customHeight="1">
      <c r="A221" s="132"/>
      <c r="B221" s="209"/>
      <c r="C221" s="210"/>
      <c r="D221" s="134"/>
      <c r="E221" s="134"/>
      <c r="F221" s="134"/>
      <c r="G221" s="134"/>
      <c r="H221" s="134"/>
      <c r="I221" s="134"/>
      <c r="J221" s="135"/>
      <c r="K221" s="135"/>
      <c r="L221" s="134">
        <f>ROUND(K221,2)</f>
        <v>0</v>
      </c>
      <c r="M221" s="136"/>
    </row>
    <row r="222" spans="1:14" s="131" customFormat="1" ht="12.75">
      <c r="A222" s="139"/>
      <c r="B222" s="140"/>
      <c r="C222" s="141"/>
      <c r="D222" s="142"/>
      <c r="E222" s="143"/>
      <c r="F222" s="142"/>
      <c r="G222" s="142"/>
      <c r="H222" s="143"/>
      <c r="I222" s="143"/>
      <c r="J222" s="144"/>
      <c r="K222" s="144"/>
      <c r="L222" s="142"/>
      <c r="M222" s="145"/>
    </row>
    <row r="223" spans="1:14" ht="30" customHeight="1">
      <c r="A223" s="128" t="str">
        <f>'BM02'!A98</f>
        <v>1.8.4</v>
      </c>
      <c r="B223" s="211" t="str">
        <f>'BM02'!B98</f>
        <v>Revestimento cerâmico para parede, 10 x 10 cm, Eliane, linha galeria chumbo mesh ou similar, pei - 2, aplicado com argamassa industrializada ac-ii, rejuntado, exclusive regularização de base ou emboço - Rev 01</v>
      </c>
      <c r="C223" s="212"/>
      <c r="D223" s="212"/>
      <c r="E223" s="212"/>
      <c r="F223" s="212"/>
      <c r="G223" s="212"/>
      <c r="H223" s="212"/>
      <c r="I223" s="212"/>
      <c r="J223" s="212"/>
      <c r="K223" s="213"/>
      <c r="L223" s="129">
        <f>SUM(L225:L244)</f>
        <v>30.09</v>
      </c>
      <c r="M223" s="130" t="str">
        <f>'BM02'!C98</f>
        <v>m²</v>
      </c>
      <c r="N223" s="196" t="s">
        <v>775</v>
      </c>
    </row>
    <row r="224" spans="1:14" s="131" customFormat="1" ht="12.75">
      <c r="A224" s="132"/>
      <c r="B224" s="288" t="s">
        <v>737</v>
      </c>
      <c r="C224" s="289"/>
      <c r="D224" s="134"/>
      <c r="E224" s="134"/>
      <c r="F224" s="134"/>
      <c r="G224" s="134"/>
      <c r="H224" s="134"/>
      <c r="I224" s="134"/>
      <c r="J224" s="135"/>
      <c r="K224" s="135"/>
      <c r="L224" s="134"/>
      <c r="M224" s="136"/>
    </row>
    <row r="225" spans="1:13" s="131" customFormat="1" ht="12.75">
      <c r="A225" s="132"/>
      <c r="B225" s="209" t="s">
        <v>493</v>
      </c>
      <c r="C225" s="210"/>
      <c r="D225" s="134">
        <v>4</v>
      </c>
      <c r="E225" s="134">
        <f>(2*7.2)+7.45</f>
        <v>21.85</v>
      </c>
      <c r="F225" s="134"/>
      <c r="G225" s="134">
        <v>0.1</v>
      </c>
      <c r="H225" s="134"/>
      <c r="I225" s="134"/>
      <c r="J225" s="135"/>
      <c r="K225" s="135">
        <f>E225*G225</f>
        <v>2.1850000000000001</v>
      </c>
      <c r="L225" s="134">
        <f t="shared" ref="L225:L243" si="7">ROUND(D225*K225,2)</f>
        <v>8.74</v>
      </c>
      <c r="M225" s="136"/>
    </row>
    <row r="226" spans="1:13" s="131" customFormat="1" ht="12.75">
      <c r="A226" s="132"/>
      <c r="B226" s="209" t="s">
        <v>494</v>
      </c>
      <c r="C226" s="210"/>
      <c r="D226" s="134">
        <v>1</v>
      </c>
      <c r="E226" s="134">
        <v>12</v>
      </c>
      <c r="F226" s="134"/>
      <c r="G226" s="134">
        <v>0.1</v>
      </c>
      <c r="H226" s="134"/>
      <c r="I226" s="134"/>
      <c r="J226" s="135"/>
      <c r="K226" s="135">
        <f t="shared" ref="K226:K244" si="8">E226*G226</f>
        <v>1.2000000000000002</v>
      </c>
      <c r="L226" s="134">
        <f t="shared" si="7"/>
        <v>1.2</v>
      </c>
      <c r="M226" s="136"/>
    </row>
    <row r="227" spans="1:13" s="131" customFormat="1" ht="12.75">
      <c r="A227" s="132"/>
      <c r="B227" s="209" t="s">
        <v>495</v>
      </c>
      <c r="C227" s="210"/>
      <c r="D227" s="134">
        <v>1</v>
      </c>
      <c r="E227" s="134">
        <v>11.6</v>
      </c>
      <c r="F227" s="134"/>
      <c r="G227" s="134">
        <v>0.1</v>
      </c>
      <c r="H227" s="134"/>
      <c r="I227" s="134"/>
      <c r="J227" s="135"/>
      <c r="K227" s="135">
        <f t="shared" si="8"/>
        <v>1.1599999999999999</v>
      </c>
      <c r="L227" s="134">
        <f t="shared" si="7"/>
        <v>1.1599999999999999</v>
      </c>
      <c r="M227" s="136"/>
    </row>
    <row r="228" spans="1:13" s="131" customFormat="1" ht="12.75">
      <c r="A228" s="132"/>
      <c r="B228" s="209" t="s">
        <v>496</v>
      </c>
      <c r="C228" s="210"/>
      <c r="D228" s="134">
        <v>1</v>
      </c>
      <c r="E228" s="134">
        <v>8.6999999999999993</v>
      </c>
      <c r="F228" s="134"/>
      <c r="G228" s="134">
        <v>0.1</v>
      </c>
      <c r="H228" s="134"/>
      <c r="I228" s="134"/>
      <c r="J228" s="135"/>
      <c r="K228" s="135">
        <f t="shared" si="8"/>
        <v>0.87</v>
      </c>
      <c r="L228" s="134">
        <f t="shared" si="7"/>
        <v>0.87</v>
      </c>
      <c r="M228" s="136"/>
    </row>
    <row r="229" spans="1:13" s="131" customFormat="1" ht="12.75">
      <c r="A229" s="132"/>
      <c r="B229" s="209" t="s">
        <v>497</v>
      </c>
      <c r="C229" s="210"/>
      <c r="D229" s="134">
        <v>1</v>
      </c>
      <c r="E229" s="134">
        <v>11.7</v>
      </c>
      <c r="F229" s="134"/>
      <c r="G229" s="134">
        <v>0.1</v>
      </c>
      <c r="H229" s="134"/>
      <c r="I229" s="134"/>
      <c r="J229" s="135"/>
      <c r="K229" s="135">
        <f t="shared" si="8"/>
        <v>1.17</v>
      </c>
      <c r="L229" s="134">
        <f t="shared" si="7"/>
        <v>1.17</v>
      </c>
      <c r="M229" s="136"/>
    </row>
    <row r="230" spans="1:13" s="131" customFormat="1" ht="72" customHeight="1">
      <c r="A230" s="132"/>
      <c r="B230" s="209" t="s">
        <v>550</v>
      </c>
      <c r="C230" s="210"/>
      <c r="D230" s="134">
        <v>1</v>
      </c>
      <c r="E230" s="134">
        <v>95.100000000000023</v>
      </c>
      <c r="F230" s="134"/>
      <c r="G230" s="134">
        <v>0.1</v>
      </c>
      <c r="H230" s="134"/>
      <c r="I230" s="134"/>
      <c r="J230" s="135"/>
      <c r="K230" s="135">
        <f t="shared" si="8"/>
        <v>9.5100000000000033</v>
      </c>
      <c r="L230" s="134">
        <f t="shared" si="7"/>
        <v>9.51</v>
      </c>
      <c r="M230" s="136"/>
    </row>
    <row r="231" spans="1:13" s="131" customFormat="1" ht="12.75">
      <c r="A231" s="132"/>
      <c r="B231" s="209" t="s">
        <v>499</v>
      </c>
      <c r="C231" s="210"/>
      <c r="D231" s="134">
        <v>9</v>
      </c>
      <c r="E231" s="134">
        <v>1.2</v>
      </c>
      <c r="F231" s="134"/>
      <c r="G231" s="134">
        <v>0.1</v>
      </c>
      <c r="H231" s="134"/>
      <c r="I231" s="134"/>
      <c r="J231" s="135"/>
      <c r="K231" s="135">
        <f t="shared" si="8"/>
        <v>0.12</v>
      </c>
      <c r="L231" s="134">
        <f t="shared" si="7"/>
        <v>1.08</v>
      </c>
      <c r="M231" s="136"/>
    </row>
    <row r="232" spans="1:13" s="131" customFormat="1" ht="12.75">
      <c r="A232" s="132"/>
      <c r="B232" s="209" t="s">
        <v>500</v>
      </c>
      <c r="C232" s="210"/>
      <c r="D232" s="134">
        <v>1</v>
      </c>
      <c r="E232" s="134">
        <v>6.4</v>
      </c>
      <c r="F232" s="134"/>
      <c r="G232" s="134">
        <v>0.1</v>
      </c>
      <c r="H232" s="134"/>
      <c r="I232" s="134"/>
      <c r="J232" s="135"/>
      <c r="K232" s="135">
        <f t="shared" si="8"/>
        <v>0.64000000000000012</v>
      </c>
      <c r="L232" s="134">
        <f t="shared" si="7"/>
        <v>0.64</v>
      </c>
      <c r="M232" s="136"/>
    </row>
    <row r="233" spans="1:13" s="131" customFormat="1" ht="12.75">
      <c r="A233" s="132"/>
      <c r="B233" s="209" t="s">
        <v>501</v>
      </c>
      <c r="C233" s="210"/>
      <c r="D233" s="134">
        <v>1</v>
      </c>
      <c r="E233" s="134">
        <v>6.4</v>
      </c>
      <c r="F233" s="134"/>
      <c r="G233" s="134">
        <v>0.1</v>
      </c>
      <c r="H233" s="134"/>
      <c r="I233" s="134"/>
      <c r="J233" s="135"/>
      <c r="K233" s="135">
        <f t="shared" si="8"/>
        <v>0.64000000000000012</v>
      </c>
      <c r="L233" s="134">
        <f t="shared" si="7"/>
        <v>0.64</v>
      </c>
      <c r="M233" s="136"/>
    </row>
    <row r="234" spans="1:13" s="131" customFormat="1" ht="57.6" customHeight="1">
      <c r="A234" s="132"/>
      <c r="B234" s="209" t="s">
        <v>556</v>
      </c>
      <c r="C234" s="210"/>
      <c r="D234" s="134">
        <v>1</v>
      </c>
      <c r="E234" s="134">
        <v>22.3</v>
      </c>
      <c r="F234" s="134"/>
      <c r="G234" s="134">
        <v>0.1</v>
      </c>
      <c r="H234" s="134"/>
      <c r="I234" s="134"/>
      <c r="J234" s="135"/>
      <c r="K234" s="135">
        <f t="shared" si="8"/>
        <v>2.23</v>
      </c>
      <c r="L234" s="134">
        <f t="shared" si="7"/>
        <v>2.23</v>
      </c>
      <c r="M234" s="136"/>
    </row>
    <row r="235" spans="1:13" s="131" customFormat="1" ht="12.75">
      <c r="A235" s="132"/>
      <c r="B235" s="209" t="s">
        <v>508</v>
      </c>
      <c r="C235" s="210"/>
      <c r="D235" s="134">
        <v>1</v>
      </c>
      <c r="E235" s="134">
        <v>20.420000000000002</v>
      </c>
      <c r="F235" s="134"/>
      <c r="G235" s="134">
        <v>0.1</v>
      </c>
      <c r="H235" s="134"/>
      <c r="I235" s="134"/>
      <c r="J235" s="135"/>
      <c r="K235" s="135">
        <f t="shared" si="8"/>
        <v>2.0420000000000003</v>
      </c>
      <c r="L235" s="134">
        <f>ROUND(-D235*K235,2)</f>
        <v>-2.04</v>
      </c>
      <c r="M235" s="136"/>
    </row>
    <row r="236" spans="1:13" s="131" customFormat="1" ht="12.75">
      <c r="A236" s="132"/>
      <c r="B236" s="209" t="s">
        <v>509</v>
      </c>
      <c r="C236" s="210"/>
      <c r="D236" s="134">
        <v>1</v>
      </c>
      <c r="E236" s="134">
        <v>7.2</v>
      </c>
      <c r="F236" s="134"/>
      <c r="G236" s="134">
        <v>0.1</v>
      </c>
      <c r="H236" s="134"/>
      <c r="I236" s="134"/>
      <c r="J236" s="135"/>
      <c r="K236" s="135">
        <f t="shared" si="8"/>
        <v>0.72000000000000008</v>
      </c>
      <c r="L236" s="134">
        <f t="shared" si="7"/>
        <v>0.72</v>
      </c>
      <c r="M236" s="136"/>
    </row>
    <row r="237" spans="1:13" s="131" customFormat="1" ht="12.75">
      <c r="A237" s="132"/>
      <c r="B237" s="209" t="s">
        <v>510</v>
      </c>
      <c r="C237" s="210"/>
      <c r="D237" s="134">
        <v>1</v>
      </c>
      <c r="E237" s="134">
        <v>10.46</v>
      </c>
      <c r="F237" s="134"/>
      <c r="G237" s="134">
        <v>0.1</v>
      </c>
      <c r="H237" s="134"/>
      <c r="I237" s="134"/>
      <c r="J237" s="135"/>
      <c r="K237" s="135">
        <f t="shared" si="8"/>
        <v>1.046</v>
      </c>
      <c r="L237" s="134">
        <f t="shared" si="7"/>
        <v>1.05</v>
      </c>
      <c r="M237" s="136"/>
    </row>
    <row r="238" spans="1:13" s="131" customFormat="1" ht="12.75">
      <c r="A238" s="132"/>
      <c r="B238" s="209" t="s">
        <v>511</v>
      </c>
      <c r="C238" s="210"/>
      <c r="D238" s="134">
        <v>1</v>
      </c>
      <c r="E238" s="134">
        <v>6</v>
      </c>
      <c r="F238" s="134"/>
      <c r="G238" s="134">
        <v>0.1</v>
      </c>
      <c r="H238" s="134"/>
      <c r="I238" s="134"/>
      <c r="J238" s="135"/>
      <c r="K238" s="135">
        <f t="shared" si="8"/>
        <v>0.60000000000000009</v>
      </c>
      <c r="L238" s="134">
        <f t="shared" si="7"/>
        <v>0.6</v>
      </c>
      <c r="M238" s="136"/>
    </row>
    <row r="239" spans="1:13" s="131" customFormat="1" ht="12.75">
      <c r="A239" s="132"/>
      <c r="B239" s="209" t="s">
        <v>551</v>
      </c>
      <c r="C239" s="210"/>
      <c r="D239" s="134">
        <v>1</v>
      </c>
      <c r="E239" s="134">
        <v>5</v>
      </c>
      <c r="F239" s="134"/>
      <c r="G239" s="134">
        <v>0.1</v>
      </c>
      <c r="H239" s="134"/>
      <c r="I239" s="134"/>
      <c r="J239" s="135"/>
      <c r="K239" s="135">
        <f t="shared" si="8"/>
        <v>0.5</v>
      </c>
      <c r="L239" s="134">
        <f t="shared" si="7"/>
        <v>0.5</v>
      </c>
      <c r="M239" s="136"/>
    </row>
    <row r="240" spans="1:13" s="131" customFormat="1" ht="12.75">
      <c r="A240" s="132"/>
      <c r="B240" s="209" t="s">
        <v>552</v>
      </c>
      <c r="C240" s="210"/>
      <c r="D240" s="134">
        <v>1</v>
      </c>
      <c r="E240" s="134">
        <v>5.38</v>
      </c>
      <c r="F240" s="134"/>
      <c r="G240" s="134">
        <v>0.1</v>
      </c>
      <c r="H240" s="134"/>
      <c r="I240" s="134"/>
      <c r="J240" s="135"/>
      <c r="K240" s="135">
        <f t="shared" si="8"/>
        <v>0.53800000000000003</v>
      </c>
      <c r="L240" s="134">
        <f t="shared" si="7"/>
        <v>0.54</v>
      </c>
      <c r="M240" s="136"/>
    </row>
    <row r="241" spans="1:13" s="131" customFormat="1" ht="12.75">
      <c r="A241" s="132"/>
      <c r="B241" s="209" t="s">
        <v>553</v>
      </c>
      <c r="C241" s="210"/>
      <c r="D241" s="134">
        <v>1</v>
      </c>
      <c r="E241" s="134">
        <v>7.62</v>
      </c>
      <c r="F241" s="134"/>
      <c r="G241" s="134">
        <v>0.1</v>
      </c>
      <c r="H241" s="134"/>
      <c r="I241" s="134"/>
      <c r="J241" s="135"/>
      <c r="K241" s="135">
        <f t="shared" si="8"/>
        <v>0.76200000000000001</v>
      </c>
      <c r="L241" s="134">
        <f t="shared" si="7"/>
        <v>0.76</v>
      </c>
      <c r="M241" s="136"/>
    </row>
    <row r="242" spans="1:13" s="131" customFormat="1" ht="12.75">
      <c r="A242" s="132"/>
      <c r="B242" s="209" t="s">
        <v>554</v>
      </c>
      <c r="C242" s="210"/>
      <c r="D242" s="134">
        <v>1</v>
      </c>
      <c r="E242" s="134">
        <v>8.16</v>
      </c>
      <c r="F242" s="134"/>
      <c r="G242" s="134">
        <v>0.1</v>
      </c>
      <c r="H242" s="134"/>
      <c r="I242" s="134"/>
      <c r="J242" s="135"/>
      <c r="K242" s="135">
        <f t="shared" si="8"/>
        <v>0.81600000000000006</v>
      </c>
      <c r="L242" s="134">
        <f t="shared" si="7"/>
        <v>0.82</v>
      </c>
      <c r="M242" s="136"/>
    </row>
    <row r="243" spans="1:13" s="131" customFormat="1" ht="12.75">
      <c r="A243" s="132"/>
      <c r="B243" s="209" t="s">
        <v>512</v>
      </c>
      <c r="C243" s="210"/>
      <c r="D243" s="134">
        <v>1</v>
      </c>
      <c r="E243" s="134">
        <v>7.7</v>
      </c>
      <c r="F243" s="134"/>
      <c r="G243" s="134">
        <v>0.1</v>
      </c>
      <c r="H243" s="134"/>
      <c r="I243" s="134"/>
      <c r="J243" s="135"/>
      <c r="K243" s="135">
        <f t="shared" si="8"/>
        <v>0.77</v>
      </c>
      <c r="L243" s="134">
        <f t="shared" si="7"/>
        <v>0.77</v>
      </c>
      <c r="M243" s="136"/>
    </row>
    <row r="244" spans="1:13" s="131" customFormat="1" ht="43.15" customHeight="1">
      <c r="A244" s="132"/>
      <c r="B244" s="209" t="s">
        <v>555</v>
      </c>
      <c r="C244" s="210"/>
      <c r="D244" s="134">
        <v>1</v>
      </c>
      <c r="E244" s="134">
        <v>8.6999999999999993</v>
      </c>
      <c r="F244" s="134"/>
      <c r="G244" s="134">
        <v>0.1</v>
      </c>
      <c r="H244" s="134"/>
      <c r="I244" s="134"/>
      <c r="J244" s="135"/>
      <c r="K244" s="135">
        <f t="shared" si="8"/>
        <v>0.87</v>
      </c>
      <c r="L244" s="134">
        <f>ROUND(-D244*K244,2)</f>
        <v>-0.87</v>
      </c>
      <c r="M244" s="136"/>
    </row>
    <row r="245" spans="1:13" s="131" customFormat="1" ht="13.5" thickBot="1">
      <c r="A245" s="139"/>
      <c r="B245" s="140"/>
      <c r="C245" s="141"/>
      <c r="D245" s="142"/>
      <c r="E245" s="143"/>
      <c r="F245" s="142"/>
      <c r="G245" s="142"/>
      <c r="H245" s="143"/>
      <c r="I245" s="143"/>
      <c r="J245" s="144"/>
      <c r="K245" s="144"/>
      <c r="L245" s="142"/>
      <c r="M245" s="145"/>
    </row>
    <row r="246" spans="1:13" ht="13.5" thickBot="1">
      <c r="A246" s="121" t="str">
        <f>'BM02'!A100</f>
        <v>1.9</v>
      </c>
      <c r="B246" s="122" t="str">
        <f>'BM02'!B100</f>
        <v>PINTURA</v>
      </c>
      <c r="C246" s="122"/>
      <c r="D246" s="122"/>
      <c r="E246" s="122"/>
      <c r="F246" s="122"/>
      <c r="G246" s="122"/>
      <c r="H246" s="122"/>
      <c r="I246" s="122"/>
      <c r="J246" s="122"/>
      <c r="K246" s="122"/>
      <c r="L246" s="122"/>
      <c r="M246" s="123"/>
    </row>
    <row r="247" spans="1:13" ht="12.75">
      <c r="A247" s="124"/>
      <c r="B247" s="125"/>
      <c r="C247" s="125"/>
      <c r="D247" s="125"/>
      <c r="E247" s="125"/>
      <c r="F247" s="125"/>
      <c r="G247" s="125"/>
      <c r="H247" s="125"/>
      <c r="I247" s="125"/>
      <c r="J247" s="125"/>
      <c r="K247" s="126"/>
      <c r="L247" s="125"/>
      <c r="M247" s="127"/>
    </row>
    <row r="248" spans="1:13" ht="12.75">
      <c r="A248" s="184" t="str">
        <f>'BM02'!A102</f>
        <v>1.9.1</v>
      </c>
      <c r="B248" s="211" t="str">
        <f>'BM02'!B102</f>
        <v>APLICAÇÃO DE FUNDO SELADOR ACRÍLICO EM PAREDES, UMA DEMÃO. AF_06/2014</v>
      </c>
      <c r="C248" s="212"/>
      <c r="D248" s="212"/>
      <c r="E248" s="212"/>
      <c r="F248" s="212"/>
      <c r="G248" s="212"/>
      <c r="H248" s="212"/>
      <c r="I248" s="212"/>
      <c r="J248" s="212"/>
      <c r="K248" s="213"/>
      <c r="L248" s="129">
        <f>SUM(L250:L280)</f>
        <v>773.61700000000053</v>
      </c>
      <c r="M248" s="185" t="str">
        <f>'BM02'!C102</f>
        <v>m²</v>
      </c>
    </row>
    <row r="249" spans="1:13" s="131" customFormat="1" ht="28.9" customHeight="1">
      <c r="A249" s="132"/>
      <c r="B249" s="288" t="s">
        <v>745</v>
      </c>
      <c r="C249" s="289"/>
      <c r="D249" s="134"/>
      <c r="E249" s="134"/>
      <c r="F249" s="134"/>
      <c r="G249" s="134"/>
      <c r="H249" s="134"/>
      <c r="I249" s="134"/>
      <c r="J249" s="135"/>
      <c r="K249" s="135"/>
      <c r="L249" s="134"/>
      <c r="M249" s="136"/>
    </row>
    <row r="250" spans="1:13" s="131" customFormat="1" ht="14.45" customHeight="1">
      <c r="A250" s="263"/>
      <c r="B250" s="275" t="s">
        <v>474</v>
      </c>
      <c r="C250" s="276"/>
      <c r="D250" s="134">
        <v>9</v>
      </c>
      <c r="E250" s="134">
        <v>7.2</v>
      </c>
      <c r="F250" s="134"/>
      <c r="G250" s="134">
        <v>3</v>
      </c>
      <c r="H250" s="134"/>
      <c r="I250" s="134"/>
      <c r="J250" s="135"/>
      <c r="K250" s="135">
        <f t="shared" ref="K250" si="9">E250*G250</f>
        <v>21.6</v>
      </c>
      <c r="L250" s="134">
        <f>2*D250*K250</f>
        <v>388.8</v>
      </c>
      <c r="M250" s="136"/>
    </row>
    <row r="251" spans="1:13" s="131" customFormat="1" ht="14.45" customHeight="1">
      <c r="A251" s="264"/>
      <c r="B251" s="277"/>
      <c r="C251" s="278"/>
      <c r="D251" s="134">
        <v>4</v>
      </c>
      <c r="E251" s="134">
        <v>7.45</v>
      </c>
      <c r="F251" s="134"/>
      <c r="G251" s="134">
        <v>3</v>
      </c>
      <c r="H251" s="134"/>
      <c r="I251" s="134"/>
      <c r="J251" s="135"/>
      <c r="K251" s="135">
        <f t="shared" ref="K251:K277" si="10">E251*G251</f>
        <v>22.35</v>
      </c>
      <c r="L251" s="134">
        <f t="shared" ref="L251:L273" si="11">2*D251*K251</f>
        <v>178.8</v>
      </c>
      <c r="M251" s="136"/>
    </row>
    <row r="252" spans="1:13" s="131" customFormat="1" ht="14.45" customHeight="1">
      <c r="A252" s="263"/>
      <c r="B252" s="275" t="s">
        <v>475</v>
      </c>
      <c r="C252" s="276"/>
      <c r="D252" s="134">
        <v>3</v>
      </c>
      <c r="E252" s="134">
        <v>6.5</v>
      </c>
      <c r="F252" s="134"/>
      <c r="G252" s="134">
        <v>3</v>
      </c>
      <c r="H252" s="134"/>
      <c r="I252" s="134"/>
      <c r="J252" s="135"/>
      <c r="K252" s="135">
        <f t="shared" si="10"/>
        <v>19.5</v>
      </c>
      <c r="L252" s="134">
        <f t="shared" si="11"/>
        <v>117</v>
      </c>
      <c r="M252" s="136"/>
    </row>
    <row r="253" spans="1:13" s="131" customFormat="1" ht="14.45" customHeight="1">
      <c r="A253" s="264"/>
      <c r="B253" s="277"/>
      <c r="C253" s="278"/>
      <c r="D253" s="134">
        <v>3</v>
      </c>
      <c r="E253" s="134">
        <v>5.4</v>
      </c>
      <c r="F253" s="134"/>
      <c r="G253" s="134">
        <v>3</v>
      </c>
      <c r="H253" s="134"/>
      <c r="I253" s="134"/>
      <c r="J253" s="135"/>
      <c r="K253" s="135">
        <f t="shared" si="10"/>
        <v>16.200000000000003</v>
      </c>
      <c r="L253" s="134">
        <f t="shared" si="11"/>
        <v>97.200000000000017</v>
      </c>
      <c r="M253" s="136"/>
    </row>
    <row r="254" spans="1:13" s="131" customFormat="1" ht="14.45" customHeight="1">
      <c r="A254" s="263"/>
      <c r="B254" s="275" t="s">
        <v>476</v>
      </c>
      <c r="C254" s="276"/>
      <c r="D254" s="134">
        <v>1</v>
      </c>
      <c r="E254" s="134">
        <v>5.48</v>
      </c>
      <c r="F254" s="134"/>
      <c r="G254" s="134">
        <v>3</v>
      </c>
      <c r="H254" s="134"/>
      <c r="I254" s="134"/>
      <c r="J254" s="135"/>
      <c r="K254" s="135">
        <f t="shared" si="10"/>
        <v>16.440000000000001</v>
      </c>
      <c r="L254" s="134">
        <f t="shared" si="11"/>
        <v>32.880000000000003</v>
      </c>
      <c r="M254" s="136"/>
    </row>
    <row r="255" spans="1:13" s="131" customFormat="1" ht="14.45" customHeight="1">
      <c r="A255" s="264"/>
      <c r="B255" s="277"/>
      <c r="C255" s="278"/>
      <c r="D255" s="134">
        <v>1</v>
      </c>
      <c r="E255" s="134">
        <v>1.27</v>
      </c>
      <c r="F255" s="134"/>
      <c r="G255" s="134">
        <v>3</v>
      </c>
      <c r="H255" s="134"/>
      <c r="I255" s="134"/>
      <c r="J255" s="135"/>
      <c r="K255" s="135">
        <f t="shared" si="10"/>
        <v>3.81</v>
      </c>
      <c r="L255" s="134">
        <f t="shared" si="11"/>
        <v>7.62</v>
      </c>
      <c r="M255" s="136"/>
    </row>
    <row r="256" spans="1:13" s="131" customFormat="1" ht="14.45" customHeight="1">
      <c r="A256" s="263"/>
      <c r="B256" s="275" t="s">
        <v>477</v>
      </c>
      <c r="C256" s="276"/>
      <c r="D256" s="134">
        <v>1</v>
      </c>
      <c r="E256" s="134">
        <v>2.15</v>
      </c>
      <c r="F256" s="134"/>
      <c r="G256" s="134">
        <v>3</v>
      </c>
      <c r="H256" s="134"/>
      <c r="I256" s="134"/>
      <c r="J256" s="135"/>
      <c r="K256" s="135">
        <f t="shared" si="10"/>
        <v>6.4499999999999993</v>
      </c>
      <c r="L256" s="134">
        <f t="shared" si="11"/>
        <v>12.899999999999999</v>
      </c>
      <c r="M256" s="136"/>
    </row>
    <row r="257" spans="1:13" s="131" customFormat="1" ht="14.45" customHeight="1">
      <c r="A257" s="264"/>
      <c r="B257" s="277"/>
      <c r="C257" s="278"/>
      <c r="D257" s="134">
        <v>1</v>
      </c>
      <c r="E257" s="134">
        <v>1.95</v>
      </c>
      <c r="F257" s="134"/>
      <c r="G257" s="134">
        <v>3</v>
      </c>
      <c r="H257" s="134"/>
      <c r="I257" s="134"/>
      <c r="J257" s="135"/>
      <c r="K257" s="135">
        <f t="shared" si="10"/>
        <v>5.85</v>
      </c>
      <c r="L257" s="134">
        <f t="shared" si="11"/>
        <v>11.7</v>
      </c>
      <c r="M257" s="136"/>
    </row>
    <row r="258" spans="1:13" s="131" customFormat="1" ht="14.45" customHeight="1">
      <c r="A258" s="263"/>
      <c r="B258" s="275" t="s">
        <v>478</v>
      </c>
      <c r="C258" s="276"/>
      <c r="D258" s="134">
        <v>5</v>
      </c>
      <c r="E258" s="134">
        <v>3.15</v>
      </c>
      <c r="F258" s="134"/>
      <c r="G258" s="134">
        <v>3</v>
      </c>
      <c r="H258" s="134"/>
      <c r="I258" s="134"/>
      <c r="J258" s="135"/>
      <c r="K258" s="135">
        <f t="shared" si="10"/>
        <v>9.4499999999999993</v>
      </c>
      <c r="L258" s="134">
        <f t="shared" si="11"/>
        <v>94.5</v>
      </c>
      <c r="M258" s="136"/>
    </row>
    <row r="259" spans="1:13" s="131" customFormat="1" ht="14.45" customHeight="1">
      <c r="A259" s="269"/>
      <c r="B259" s="286"/>
      <c r="C259" s="287"/>
      <c r="D259" s="134">
        <v>2</v>
      </c>
      <c r="E259" s="134">
        <v>2.31</v>
      </c>
      <c r="F259" s="134"/>
      <c r="G259" s="134">
        <v>3</v>
      </c>
      <c r="H259" s="134"/>
      <c r="I259" s="134"/>
      <c r="J259" s="135"/>
      <c r="K259" s="135">
        <f t="shared" si="10"/>
        <v>6.93</v>
      </c>
      <c r="L259" s="134">
        <f t="shared" si="11"/>
        <v>27.72</v>
      </c>
      <c r="M259" s="136"/>
    </row>
    <row r="260" spans="1:13" s="131" customFormat="1" ht="14.45" customHeight="1">
      <c r="A260" s="269"/>
      <c r="B260" s="286"/>
      <c r="C260" s="287"/>
      <c r="D260" s="134">
        <v>1</v>
      </c>
      <c r="E260" s="134">
        <v>1.45</v>
      </c>
      <c r="F260" s="134"/>
      <c r="G260" s="134">
        <v>3</v>
      </c>
      <c r="H260" s="134"/>
      <c r="I260" s="134"/>
      <c r="J260" s="135"/>
      <c r="K260" s="135">
        <f t="shared" si="10"/>
        <v>4.3499999999999996</v>
      </c>
      <c r="L260" s="134">
        <f t="shared" si="11"/>
        <v>8.6999999999999993</v>
      </c>
      <c r="M260" s="136"/>
    </row>
    <row r="261" spans="1:13" s="131" customFormat="1" ht="14.45" customHeight="1">
      <c r="A261" s="269"/>
      <c r="B261" s="286"/>
      <c r="C261" s="287"/>
      <c r="D261" s="134">
        <v>2</v>
      </c>
      <c r="E261" s="134">
        <v>2.58</v>
      </c>
      <c r="F261" s="134"/>
      <c r="G261" s="134">
        <v>3</v>
      </c>
      <c r="H261" s="134"/>
      <c r="I261" s="134"/>
      <c r="J261" s="135"/>
      <c r="K261" s="135">
        <f t="shared" si="10"/>
        <v>7.74</v>
      </c>
      <c r="L261" s="134">
        <f t="shared" si="11"/>
        <v>30.96</v>
      </c>
      <c r="M261" s="136"/>
    </row>
    <row r="262" spans="1:13" s="131" customFormat="1" ht="14.45" customHeight="1">
      <c r="A262" s="269"/>
      <c r="B262" s="286"/>
      <c r="C262" s="287"/>
      <c r="D262" s="134">
        <v>1</v>
      </c>
      <c r="E262" s="134">
        <v>1.64</v>
      </c>
      <c r="F262" s="134"/>
      <c r="G262" s="134">
        <v>3</v>
      </c>
      <c r="H262" s="134"/>
      <c r="I262" s="134"/>
      <c r="J262" s="135"/>
      <c r="K262" s="135">
        <f t="shared" si="10"/>
        <v>4.92</v>
      </c>
      <c r="L262" s="134">
        <f t="shared" si="11"/>
        <v>9.84</v>
      </c>
      <c r="M262" s="136"/>
    </row>
    <row r="263" spans="1:13" s="131" customFormat="1" ht="14.45" customHeight="1">
      <c r="A263" s="269"/>
      <c r="B263" s="286"/>
      <c r="C263" s="287"/>
      <c r="D263" s="134">
        <v>1</v>
      </c>
      <c r="E263" s="134">
        <v>1.2</v>
      </c>
      <c r="F263" s="134"/>
      <c r="G263" s="134">
        <v>3</v>
      </c>
      <c r="H263" s="134"/>
      <c r="I263" s="134"/>
      <c r="J263" s="135"/>
      <c r="K263" s="135">
        <f t="shared" si="10"/>
        <v>3.5999999999999996</v>
      </c>
      <c r="L263" s="134">
        <f t="shared" si="11"/>
        <v>7.1999999999999993</v>
      </c>
      <c r="M263" s="136"/>
    </row>
    <row r="264" spans="1:13" s="131" customFormat="1" ht="14.45" customHeight="1">
      <c r="A264" s="269"/>
      <c r="B264" s="286"/>
      <c r="C264" s="287"/>
      <c r="D264" s="134">
        <v>2</v>
      </c>
      <c r="E264" s="134">
        <v>1</v>
      </c>
      <c r="F264" s="134"/>
      <c r="G264" s="134">
        <v>3</v>
      </c>
      <c r="H264" s="134"/>
      <c r="I264" s="134"/>
      <c r="J264" s="135"/>
      <c r="K264" s="135">
        <f t="shared" si="10"/>
        <v>3</v>
      </c>
      <c r="L264" s="134">
        <f t="shared" si="11"/>
        <v>12</v>
      </c>
      <c r="M264" s="136"/>
    </row>
    <row r="265" spans="1:13" s="131" customFormat="1" ht="14.45" customHeight="1">
      <c r="A265" s="264"/>
      <c r="B265" s="277"/>
      <c r="C265" s="278"/>
      <c r="D265" s="134">
        <v>3</v>
      </c>
      <c r="E265" s="134">
        <v>2</v>
      </c>
      <c r="F265" s="134"/>
      <c r="G265" s="134">
        <v>3</v>
      </c>
      <c r="H265" s="134"/>
      <c r="I265" s="134"/>
      <c r="J265" s="135"/>
      <c r="K265" s="135">
        <f t="shared" si="10"/>
        <v>6</v>
      </c>
      <c r="L265" s="134">
        <f t="shared" si="11"/>
        <v>36</v>
      </c>
      <c r="M265" s="136"/>
    </row>
    <row r="266" spans="1:13" s="131" customFormat="1" ht="14.45" customHeight="1">
      <c r="A266" s="263"/>
      <c r="B266" s="275" t="s">
        <v>479</v>
      </c>
      <c r="C266" s="276"/>
      <c r="D266" s="134">
        <v>3</v>
      </c>
      <c r="E266" s="134">
        <v>4.33</v>
      </c>
      <c r="F266" s="134"/>
      <c r="G266" s="134">
        <v>3</v>
      </c>
      <c r="H266" s="134"/>
      <c r="I266" s="134"/>
      <c r="J266" s="135"/>
      <c r="K266" s="135">
        <f t="shared" si="10"/>
        <v>12.99</v>
      </c>
      <c r="L266" s="134">
        <f t="shared" si="11"/>
        <v>77.94</v>
      </c>
      <c r="M266" s="136"/>
    </row>
    <row r="267" spans="1:13" s="131" customFormat="1" ht="14.45" customHeight="1">
      <c r="A267" s="269"/>
      <c r="B267" s="286"/>
      <c r="C267" s="287"/>
      <c r="D267" s="134">
        <v>2</v>
      </c>
      <c r="E267" s="134">
        <v>1.95</v>
      </c>
      <c r="F267" s="134"/>
      <c r="G267" s="134">
        <v>3</v>
      </c>
      <c r="H267" s="134"/>
      <c r="I267" s="134"/>
      <c r="J267" s="135"/>
      <c r="K267" s="135">
        <f t="shared" si="10"/>
        <v>5.85</v>
      </c>
      <c r="L267" s="134">
        <f t="shared" si="11"/>
        <v>23.4</v>
      </c>
      <c r="M267" s="136"/>
    </row>
    <row r="268" spans="1:13" s="131" customFormat="1" ht="14.45" customHeight="1">
      <c r="A268" s="269"/>
      <c r="B268" s="286"/>
      <c r="C268" s="287"/>
      <c r="D268" s="134">
        <v>1</v>
      </c>
      <c r="E268" s="134">
        <v>3.15</v>
      </c>
      <c r="F268" s="134"/>
      <c r="G268" s="134">
        <v>3</v>
      </c>
      <c r="H268" s="134"/>
      <c r="I268" s="134"/>
      <c r="J268" s="135"/>
      <c r="K268" s="135">
        <f t="shared" si="10"/>
        <v>9.4499999999999993</v>
      </c>
      <c r="L268" s="134">
        <f t="shared" si="11"/>
        <v>18.899999999999999</v>
      </c>
      <c r="M268" s="136"/>
    </row>
    <row r="269" spans="1:13" s="131" customFormat="1" ht="14.45" customHeight="1">
      <c r="A269" s="264"/>
      <c r="B269" s="277"/>
      <c r="C269" s="278"/>
      <c r="D269" s="134">
        <v>2</v>
      </c>
      <c r="E269" s="134">
        <v>8.48</v>
      </c>
      <c r="F269" s="134"/>
      <c r="G269" s="134">
        <v>3</v>
      </c>
      <c r="H269" s="134"/>
      <c r="I269" s="134"/>
      <c r="J269" s="135"/>
      <c r="K269" s="135">
        <f t="shared" si="10"/>
        <v>25.44</v>
      </c>
      <c r="L269" s="134">
        <f t="shared" si="11"/>
        <v>101.76</v>
      </c>
      <c r="M269" s="136"/>
    </row>
    <row r="270" spans="1:13" s="131" customFormat="1" ht="14.45" customHeight="1">
      <c r="A270" s="263"/>
      <c r="B270" s="275" t="s">
        <v>480</v>
      </c>
      <c r="C270" s="276"/>
      <c r="D270" s="134">
        <v>1</v>
      </c>
      <c r="E270" s="134">
        <v>9.74</v>
      </c>
      <c r="F270" s="134"/>
      <c r="G270" s="134">
        <v>2.5</v>
      </c>
      <c r="H270" s="134"/>
      <c r="I270" s="134"/>
      <c r="J270" s="135"/>
      <c r="K270" s="135">
        <f t="shared" si="10"/>
        <v>24.35</v>
      </c>
      <c r="L270" s="134">
        <f t="shared" si="11"/>
        <v>48.7</v>
      </c>
      <c r="M270" s="136"/>
    </row>
    <row r="271" spans="1:13" s="131" customFormat="1" ht="14.45" customHeight="1">
      <c r="A271" s="264"/>
      <c r="B271" s="277"/>
      <c r="C271" s="278"/>
      <c r="D271" s="134">
        <v>1</v>
      </c>
      <c r="E271" s="134">
        <v>4.7</v>
      </c>
      <c r="F271" s="134"/>
      <c r="G271" s="134">
        <v>2.5</v>
      </c>
      <c r="H271" s="134"/>
      <c r="I271" s="134"/>
      <c r="J271" s="135"/>
      <c r="K271" s="135">
        <f t="shared" si="10"/>
        <v>11.75</v>
      </c>
      <c r="L271" s="134">
        <f t="shared" si="11"/>
        <v>23.5</v>
      </c>
      <c r="M271" s="136"/>
    </row>
    <row r="272" spans="1:13" s="131" customFormat="1" ht="12.75">
      <c r="A272" s="132"/>
      <c r="B272" s="209" t="s">
        <v>542</v>
      </c>
      <c r="C272" s="210"/>
      <c r="D272" s="134">
        <v>2</v>
      </c>
      <c r="E272" s="134">
        <v>1.75</v>
      </c>
      <c r="F272" s="134"/>
      <c r="G272" s="134">
        <v>2.7</v>
      </c>
      <c r="H272" s="134"/>
      <c r="I272" s="134"/>
      <c r="J272" s="135"/>
      <c r="K272" s="135">
        <f t="shared" si="10"/>
        <v>4.7250000000000005</v>
      </c>
      <c r="L272" s="134">
        <f t="shared" si="11"/>
        <v>18.900000000000002</v>
      </c>
      <c r="M272" s="136"/>
    </row>
    <row r="273" spans="1:14" s="131" customFormat="1" ht="12.75">
      <c r="A273" s="132"/>
      <c r="B273" s="209" t="s">
        <v>543</v>
      </c>
      <c r="C273" s="210"/>
      <c r="D273" s="134">
        <v>1</v>
      </c>
      <c r="E273" s="134">
        <v>1.4</v>
      </c>
      <c r="F273" s="134"/>
      <c r="G273" s="134">
        <v>3.7</v>
      </c>
      <c r="H273" s="134"/>
      <c r="I273" s="134"/>
      <c r="J273" s="135"/>
      <c r="K273" s="135">
        <f t="shared" si="10"/>
        <v>5.18</v>
      </c>
      <c r="L273" s="134">
        <f t="shared" si="11"/>
        <v>10.36</v>
      </c>
      <c r="M273" s="136"/>
    </row>
    <row r="274" spans="1:14" s="131" customFormat="1" ht="28.9" customHeight="1">
      <c r="A274" s="132"/>
      <c r="B274" s="209" t="s">
        <v>738</v>
      </c>
      <c r="C274" s="210"/>
      <c r="D274" s="134">
        <v>2</v>
      </c>
      <c r="E274" s="134">
        <v>9.9499999999999993</v>
      </c>
      <c r="F274" s="134"/>
      <c r="G274" s="134">
        <v>0.85</v>
      </c>
      <c r="H274" s="134"/>
      <c r="I274" s="134"/>
      <c r="J274" s="135"/>
      <c r="K274" s="135">
        <f t="shared" si="10"/>
        <v>8.4574999999999996</v>
      </c>
      <c r="L274" s="134">
        <f>D274*K274</f>
        <v>16.914999999999999</v>
      </c>
      <c r="M274" s="136"/>
    </row>
    <row r="275" spans="1:14" s="131" customFormat="1" ht="28.9" customHeight="1">
      <c r="A275" s="132"/>
      <c r="B275" s="209" t="s">
        <v>739</v>
      </c>
      <c r="C275" s="210"/>
      <c r="D275" s="134">
        <v>2</v>
      </c>
      <c r="E275" s="134">
        <v>29.3</v>
      </c>
      <c r="F275" s="134"/>
      <c r="G275" s="134">
        <v>0.2</v>
      </c>
      <c r="H275" s="134"/>
      <c r="I275" s="134"/>
      <c r="J275" s="135"/>
      <c r="K275" s="135">
        <f t="shared" si="10"/>
        <v>5.86</v>
      </c>
      <c r="L275" s="134">
        <f t="shared" ref="L275:L277" si="12">D275*K275</f>
        <v>11.72</v>
      </c>
      <c r="M275" s="136"/>
    </row>
    <row r="276" spans="1:14" s="131" customFormat="1" ht="43.15" customHeight="1">
      <c r="A276" s="132"/>
      <c r="B276" s="209" t="s">
        <v>740</v>
      </c>
      <c r="C276" s="210"/>
      <c r="D276" s="134">
        <v>2</v>
      </c>
      <c r="E276" s="134">
        <v>8.6</v>
      </c>
      <c r="F276" s="134"/>
      <c r="G276" s="134">
        <v>0.85</v>
      </c>
      <c r="H276" s="134"/>
      <c r="I276" s="134"/>
      <c r="J276" s="135"/>
      <c r="K276" s="135">
        <f t="shared" si="10"/>
        <v>7.31</v>
      </c>
      <c r="L276" s="134">
        <f t="shared" si="12"/>
        <v>14.62</v>
      </c>
      <c r="M276" s="136"/>
      <c r="N276" s="131">
        <f xml:space="preserve"> ROUND(((9.95*3) + ((9.95*1.4)/2) + (1.4*3.6)*2 + (8.75*3) + ((8.75*1.4)/2)),2)</f>
        <v>79.27</v>
      </c>
    </row>
    <row r="277" spans="1:14" s="131" customFormat="1" ht="43.15" customHeight="1">
      <c r="A277" s="132"/>
      <c r="B277" s="209" t="s">
        <v>741</v>
      </c>
      <c r="C277" s="210"/>
      <c r="D277" s="134">
        <v>2</v>
      </c>
      <c r="E277" s="134">
        <v>19.510000000000002</v>
      </c>
      <c r="F277" s="134"/>
      <c r="G277" s="134">
        <v>0.2</v>
      </c>
      <c r="H277" s="134"/>
      <c r="I277" s="134"/>
      <c r="J277" s="135"/>
      <c r="K277" s="135">
        <f t="shared" si="10"/>
        <v>3.9020000000000006</v>
      </c>
      <c r="L277" s="134">
        <f t="shared" si="12"/>
        <v>7.8040000000000012</v>
      </c>
      <c r="M277" s="136"/>
      <c r="N277" s="131">
        <f>ROUND((29.7*3),2)</f>
        <v>89.1</v>
      </c>
    </row>
    <row r="278" spans="1:14" s="131" customFormat="1" ht="43.15" customHeight="1">
      <c r="A278" s="132"/>
      <c r="B278" s="209" t="s">
        <v>742</v>
      </c>
      <c r="C278" s="210"/>
      <c r="D278" s="134">
        <f>2*(10*0.8*2.1 + 9*0.7*2.1+ 2*0.8*2.1)</f>
        <v>66.78</v>
      </c>
      <c r="E278" s="134"/>
      <c r="F278" s="134"/>
      <c r="G278" s="134"/>
      <c r="H278" s="134"/>
      <c r="I278" s="134"/>
      <c r="J278" s="135"/>
      <c r="K278" s="135"/>
      <c r="L278" s="134">
        <f>-D278</f>
        <v>-66.78</v>
      </c>
      <c r="M278" s="136"/>
      <c r="N278" s="131">
        <f xml:space="preserve"> ROUND((7.65+4.85+9.74+4.18+2.15*2+1.27+2.85)*3 + ((9.95*1.4)/2) + ((8.75*1.4)/2),2)</f>
        <v>117.61</v>
      </c>
    </row>
    <row r="279" spans="1:14" s="131" customFormat="1" ht="72" customHeight="1">
      <c r="A279" s="132"/>
      <c r="B279" s="209" t="s">
        <v>743</v>
      </c>
      <c r="C279" s="210"/>
      <c r="D279" s="134">
        <f>2*(6*3.37*1.3 + 2*3.3*1.3 + 3*1.2*1.3 + 5*1.2*0.3 + 1*0.3 + 1*1 + 2*1.5*1)</f>
        <v>91.291999999999987</v>
      </c>
      <c r="E279" s="134"/>
      <c r="F279" s="134"/>
      <c r="G279" s="134"/>
      <c r="H279" s="134"/>
      <c r="I279" s="134"/>
      <c r="J279" s="135"/>
      <c r="K279" s="135"/>
      <c r="L279" s="134">
        <f t="shared" ref="L279:L280" si="13">-D279</f>
        <v>-91.291999999999987</v>
      </c>
      <c r="M279" s="136"/>
      <c r="N279" s="131">
        <f>ROUND((2.15+6.66+5.48+5.55)*3,2)</f>
        <v>59.52</v>
      </c>
    </row>
    <row r="280" spans="1:14" s="131" customFormat="1" ht="28.9" customHeight="1">
      <c r="A280" s="132"/>
      <c r="B280" s="209" t="s">
        <v>744</v>
      </c>
      <c r="C280" s="210"/>
      <c r="D280" s="134">
        <f>'BM05'!D112</f>
        <v>516.65</v>
      </c>
      <c r="E280" s="134"/>
      <c r="F280" s="134"/>
      <c r="G280" s="134"/>
      <c r="H280" s="134"/>
      <c r="I280" s="134"/>
      <c r="J280" s="135"/>
      <c r="K280" s="135"/>
      <c r="L280" s="134">
        <f t="shared" si="13"/>
        <v>-516.65</v>
      </c>
      <c r="M280" s="136"/>
      <c r="N280" s="131">
        <f>ROUND((6.85*2+3.3*2)*2.9,2)</f>
        <v>58.87</v>
      </c>
    </row>
    <row r="281" spans="1:14" s="131" customFormat="1" ht="12.75">
      <c r="A281" s="139"/>
      <c r="B281" s="140"/>
      <c r="C281" s="141"/>
      <c r="D281" s="142"/>
      <c r="E281" s="143"/>
      <c r="F281" s="142"/>
      <c r="G281" s="142"/>
      <c r="H281" s="143"/>
      <c r="I281" s="143"/>
      <c r="J281" s="144"/>
      <c r="K281" s="144"/>
      <c r="L281" s="142"/>
      <c r="M281" s="145"/>
      <c r="N281" s="131">
        <f>-ROUND((8*3.37*1.3 + 2*0.8*2.1 + 0.7*2.1 + 3*1.2*0.3 + 3*1.2*1.3),2)</f>
        <v>-45.64</v>
      </c>
    </row>
    <row r="282" spans="1:14" ht="13.5" thickBot="1">
      <c r="A282" s="184" t="str">
        <f>'BM02'!A103</f>
        <v>1.9.2</v>
      </c>
      <c r="B282" s="211" t="str">
        <f>'BM02'!B103</f>
        <v>APLICAÇÃO E LIXAMENTO DE MASSA LÁTEX EM PAREDES, DUAS DEMÃOS. AF_06/2014</v>
      </c>
      <c r="C282" s="212"/>
      <c r="D282" s="212"/>
      <c r="E282" s="212"/>
      <c r="F282" s="212"/>
      <c r="G282" s="212"/>
      <c r="H282" s="212"/>
      <c r="I282" s="212"/>
      <c r="J282" s="212"/>
      <c r="K282" s="213"/>
      <c r="L282" s="129">
        <f>L283</f>
        <v>414.87700000000052</v>
      </c>
      <c r="M282" s="185" t="str">
        <f>'BM02'!C103</f>
        <v>m²</v>
      </c>
      <c r="N282" s="131"/>
    </row>
    <row r="283" spans="1:14" s="131" customFormat="1" ht="43.15" customHeight="1">
      <c r="A283" s="132"/>
      <c r="B283" s="209" t="s">
        <v>757</v>
      </c>
      <c r="C283" s="210"/>
      <c r="D283" s="134">
        <f>'BM05'!D116-'BM05'!D118</f>
        <v>414.87700000000052</v>
      </c>
      <c r="E283" s="134"/>
      <c r="F283" s="134"/>
      <c r="G283" s="134"/>
      <c r="H283" s="134"/>
      <c r="I283" s="134"/>
      <c r="J283" s="135"/>
      <c r="K283" s="135"/>
      <c r="L283" s="134">
        <f>D283</f>
        <v>414.87700000000052</v>
      </c>
      <c r="M283" s="136"/>
      <c r="N283" s="131">
        <f xml:space="preserve"> ROUND((29.7+7.65+4.85+9.74+4.18+2.15*3+1.27+2.85+6.66+5.48+5.55)*3 + ((9.95*3) + ((9.95*1.4)/2)*2 + (1.4*3.6)*2 + (8.75*3) + ((8.75*1.4)/2)*2) - (8*3.37*1.3 + 2*0.8*2.1 + 0.7*2.1 + 3*1.2*0.3 + 3*1.2*1.3) + (6.85*2+3.3*2)*2.9,2)</f>
        <v>358.73</v>
      </c>
    </row>
    <row r="284" spans="1:14" s="131" customFormat="1" ht="12.75">
      <c r="A284" s="139"/>
      <c r="B284" s="140"/>
      <c r="C284" s="141"/>
      <c r="D284" s="142"/>
      <c r="E284" s="143"/>
      <c r="F284" s="142"/>
      <c r="G284" s="142"/>
      <c r="H284" s="143"/>
      <c r="I284" s="143"/>
      <c r="J284" s="144"/>
      <c r="K284" s="144"/>
      <c r="L284" s="142"/>
      <c r="M284" s="145"/>
    </row>
    <row r="285" spans="1:14" ht="30" customHeight="1">
      <c r="A285" s="128" t="str">
        <f>'BM02'!A104</f>
        <v>1.9.3</v>
      </c>
      <c r="B285" s="211" t="str">
        <f>'BM02'!B104</f>
        <v>APLICAÇÃO MANUAL DE MASSA ACRÍLICA EM PANOS DE FACHADA SEM PRESENÇA DE VÃOS, DE EDIFÍCIOS DE MÚLTIPLOS PAVIMENTOS, DUAS DEMÃOS. AF_05/2017</v>
      </c>
      <c r="C285" s="212"/>
      <c r="D285" s="212"/>
      <c r="E285" s="212"/>
      <c r="F285" s="212"/>
      <c r="G285" s="212"/>
      <c r="H285" s="212"/>
      <c r="I285" s="212"/>
      <c r="J285" s="212"/>
      <c r="K285" s="213"/>
      <c r="L285" s="129">
        <f>SUM(L286:L291)</f>
        <v>187.44199999999998</v>
      </c>
      <c r="M285" s="185" t="str">
        <f>'BM02'!C104</f>
        <v>m²</v>
      </c>
    </row>
    <row r="286" spans="1:14" s="131" customFormat="1" ht="43.15" customHeight="1">
      <c r="A286" s="132"/>
      <c r="B286" s="209" t="s">
        <v>752</v>
      </c>
      <c r="C286" s="210"/>
      <c r="D286" s="134">
        <f>(9.95*3) + ((9.95*1.4)/2)</f>
        <v>36.814999999999998</v>
      </c>
      <c r="E286" s="134"/>
      <c r="F286" s="134"/>
      <c r="G286" s="134"/>
      <c r="H286" s="134"/>
      <c r="I286" s="134"/>
      <c r="J286" s="135"/>
      <c r="K286" s="135"/>
      <c r="L286" s="134">
        <f>D286</f>
        <v>36.814999999999998</v>
      </c>
      <c r="M286" s="136"/>
    </row>
    <row r="287" spans="1:14" s="131" customFormat="1" ht="43.15" customHeight="1">
      <c r="A287" s="132"/>
      <c r="B287" s="209" t="s">
        <v>751</v>
      </c>
      <c r="C287" s="210"/>
      <c r="D287" s="134">
        <f>(8.75*3) + ((8.75*1.4)/2)</f>
        <v>32.375</v>
      </c>
      <c r="E287" s="134"/>
      <c r="F287" s="134"/>
      <c r="G287" s="134"/>
      <c r="H287" s="134"/>
      <c r="I287" s="134"/>
      <c r="J287" s="135"/>
      <c r="K287" s="135"/>
      <c r="L287" s="134">
        <f t="shared" ref="L287:L290" si="14">D287</f>
        <v>32.375</v>
      </c>
      <c r="M287" s="136"/>
    </row>
    <row r="288" spans="1:14" s="131" customFormat="1" ht="12.75">
      <c r="A288" s="132"/>
      <c r="B288" s="209" t="s">
        <v>753</v>
      </c>
      <c r="C288" s="210"/>
      <c r="D288" s="134">
        <f>(1.4*3.6)*2</f>
        <v>10.08</v>
      </c>
      <c r="E288" s="134"/>
      <c r="F288" s="134"/>
      <c r="G288" s="134"/>
      <c r="H288" s="134"/>
      <c r="I288" s="134"/>
      <c r="J288" s="135"/>
      <c r="K288" s="135"/>
      <c r="L288" s="134">
        <f t="shared" si="14"/>
        <v>10.08</v>
      </c>
      <c r="M288" s="136"/>
    </row>
    <row r="289" spans="1:13" s="131" customFormat="1" ht="28.9" customHeight="1">
      <c r="A289" s="132"/>
      <c r="B289" s="209" t="s">
        <v>754</v>
      </c>
      <c r="C289" s="210"/>
      <c r="D289" s="134">
        <f>(29.7*3)</f>
        <v>89.1</v>
      </c>
      <c r="E289" s="134"/>
      <c r="F289" s="134"/>
      <c r="G289" s="134"/>
      <c r="H289" s="134"/>
      <c r="I289" s="134"/>
      <c r="J289" s="135"/>
      <c r="K289" s="135"/>
      <c r="L289" s="134">
        <f t="shared" si="14"/>
        <v>89.1</v>
      </c>
      <c r="M289" s="136"/>
    </row>
    <row r="290" spans="1:13" s="131" customFormat="1" ht="28.9" customHeight="1">
      <c r="A290" s="132"/>
      <c r="B290" s="209" t="s">
        <v>756</v>
      </c>
      <c r="C290" s="210"/>
      <c r="D290" s="134">
        <f>(2.15+6.66+5.48+5.55)*3</f>
        <v>59.519999999999996</v>
      </c>
      <c r="E290" s="134"/>
      <c r="F290" s="134"/>
      <c r="G290" s="134"/>
      <c r="H290" s="134"/>
      <c r="I290" s="134"/>
      <c r="J290" s="135"/>
      <c r="K290" s="135"/>
      <c r="L290" s="134">
        <f t="shared" si="14"/>
        <v>59.519999999999996</v>
      </c>
      <c r="M290" s="136"/>
    </row>
    <row r="291" spans="1:13" s="131" customFormat="1" ht="43.15" customHeight="1">
      <c r="A291" s="132"/>
      <c r="B291" s="209" t="s">
        <v>755</v>
      </c>
      <c r="C291" s="210"/>
      <c r="D291" s="134">
        <f>(8*3.37*1.3 + 2*1.2*0.3 + 3*1.2*1.3)</f>
        <v>40.448</v>
      </c>
      <c r="E291" s="134"/>
      <c r="F291" s="134"/>
      <c r="G291" s="134"/>
      <c r="H291" s="134"/>
      <c r="I291" s="134"/>
      <c r="J291" s="135"/>
      <c r="K291" s="135"/>
      <c r="L291" s="134">
        <f>-D291</f>
        <v>-40.448</v>
      </c>
      <c r="M291" s="136"/>
    </row>
    <row r="292" spans="1:13" s="131" customFormat="1" ht="12.75">
      <c r="A292" s="139"/>
      <c r="B292" s="140"/>
      <c r="C292" s="141"/>
      <c r="D292" s="142"/>
      <c r="E292" s="143"/>
      <c r="F292" s="142"/>
      <c r="G292" s="142"/>
      <c r="H292" s="143"/>
      <c r="I292" s="143"/>
      <c r="J292" s="144"/>
      <c r="K292" s="144"/>
      <c r="L292" s="142"/>
      <c r="M292" s="145"/>
    </row>
    <row r="293" spans="1:13" ht="12.75">
      <c r="A293" s="184" t="str">
        <f>'BM02'!A105</f>
        <v>1.9.4</v>
      </c>
      <c r="B293" s="211" t="str">
        <f>'BM02'!B105</f>
        <v>APLICAÇÃO MANUAL DE PINTURA COM TINTA LÁTEX ACRÍLICA EM PAREDES, DUAS DEMÃOS. AF_06/2014</v>
      </c>
      <c r="C293" s="212"/>
      <c r="D293" s="212"/>
      <c r="E293" s="212"/>
      <c r="F293" s="212"/>
      <c r="G293" s="212"/>
      <c r="H293" s="212"/>
      <c r="I293" s="212"/>
      <c r="J293" s="212"/>
      <c r="K293" s="213"/>
      <c r="L293" s="129">
        <f>L294</f>
        <v>0</v>
      </c>
      <c r="M293" s="185" t="str">
        <f>'BM02'!C105</f>
        <v>m²</v>
      </c>
    </row>
    <row r="294" spans="1:13" s="131" customFormat="1" ht="13.5" thickBot="1">
      <c r="A294" s="132"/>
      <c r="B294" s="209"/>
      <c r="C294" s="210"/>
      <c r="D294" s="134"/>
      <c r="E294" s="134"/>
      <c r="F294" s="134"/>
      <c r="G294" s="134"/>
      <c r="H294" s="134"/>
      <c r="I294" s="134"/>
      <c r="J294" s="135"/>
      <c r="K294" s="135"/>
      <c r="L294" s="134">
        <f>ROUND(D294*K294,2)</f>
        <v>0</v>
      </c>
      <c r="M294" s="136"/>
    </row>
    <row r="295" spans="1:13" s="131" customFormat="1" ht="12.75">
      <c r="A295" s="139"/>
      <c r="B295" s="140"/>
      <c r="C295" s="141"/>
      <c r="D295" s="142"/>
      <c r="E295" s="143"/>
      <c r="F295" s="142"/>
      <c r="G295" s="142"/>
      <c r="H295" s="143"/>
      <c r="I295" s="143"/>
      <c r="J295" s="144"/>
      <c r="K295" s="144"/>
      <c r="L295" s="142"/>
      <c r="M295" s="145"/>
    </row>
    <row r="296" spans="1:13" ht="12.75">
      <c r="A296" s="184" t="str">
        <f>'BM02'!A106</f>
        <v>1.9.5</v>
      </c>
      <c r="B296" s="211" t="str">
        <f>'BM02'!B106</f>
        <v>PINTURA TINTA DE ACABAMENTO (PIGMENTADA) ESMALTE SINTÉTICO FOSCO EM MADEIRA, 3 DEMÃOS. AF_01/2021</v>
      </c>
      <c r="C296" s="212"/>
      <c r="D296" s="212"/>
      <c r="E296" s="212"/>
      <c r="F296" s="212"/>
      <c r="G296" s="212"/>
      <c r="H296" s="212"/>
      <c r="I296" s="212"/>
      <c r="J296" s="212"/>
      <c r="K296" s="213"/>
      <c r="L296" s="129">
        <f>L297</f>
        <v>0</v>
      </c>
      <c r="M296" s="185" t="str">
        <f>'BM02'!C106</f>
        <v>m²</v>
      </c>
    </row>
    <row r="297" spans="1:13" s="131" customFormat="1" ht="12.75">
      <c r="A297" s="132"/>
      <c r="B297" s="209"/>
      <c r="C297" s="210"/>
      <c r="D297" s="134"/>
      <c r="E297" s="134"/>
      <c r="F297" s="134"/>
      <c r="G297" s="134"/>
      <c r="H297" s="134"/>
      <c r="I297" s="134"/>
      <c r="J297" s="135"/>
      <c r="K297" s="135"/>
      <c r="L297" s="134">
        <f>ROUND(D297*K297,2)</f>
        <v>0</v>
      </c>
      <c r="M297" s="136"/>
    </row>
    <row r="298" spans="1:13" s="131" customFormat="1" ht="12.75">
      <c r="A298" s="139"/>
      <c r="B298" s="140"/>
      <c r="C298" s="141"/>
      <c r="D298" s="142"/>
      <c r="E298" s="143"/>
      <c r="F298" s="142"/>
      <c r="G298" s="142"/>
      <c r="H298" s="143"/>
      <c r="I298" s="143"/>
      <c r="J298" s="144"/>
      <c r="K298" s="144"/>
      <c r="L298" s="142"/>
      <c r="M298" s="145"/>
    </row>
    <row r="299" spans="1:13" ht="30" customHeight="1">
      <c r="A299" s="128" t="str">
        <f>'BM02'!A107</f>
        <v>1.9.6</v>
      </c>
      <c r="B299" s="211" t="str">
        <f>'BM02'!B107</f>
        <v>PINTURA COM TINTA ALQUÍDICA DE FUNDO E ACABAMENTO (ESMALTE SINTÉTICO GRAFITE) APLICADA A ROLO OU PINCEL SOBRE SUPERFÍCIES METÁLICAS (EXCETO PERFIL) EXECUTADO EM OBRA (POR DEMÃO). AF_01/2020</v>
      </c>
      <c r="C299" s="212"/>
      <c r="D299" s="212"/>
      <c r="E299" s="212"/>
      <c r="F299" s="212"/>
      <c r="G299" s="212"/>
      <c r="H299" s="212"/>
      <c r="I299" s="212"/>
      <c r="J299" s="212"/>
      <c r="K299" s="213"/>
      <c r="L299" s="129">
        <f>L300</f>
        <v>83.17</v>
      </c>
      <c r="M299" s="185" t="str">
        <f>'BM02'!C107</f>
        <v>m²</v>
      </c>
    </row>
    <row r="300" spans="1:13" s="131" customFormat="1" ht="12.75">
      <c r="A300" s="132"/>
      <c r="B300" s="209" t="s">
        <v>759</v>
      </c>
      <c r="C300" s="210"/>
      <c r="D300" s="134">
        <f>83.17</f>
        <v>83.17</v>
      </c>
      <c r="E300" s="134"/>
      <c r="F300" s="134"/>
      <c r="G300" s="134"/>
      <c r="H300" s="134"/>
      <c r="I300" s="134"/>
      <c r="J300" s="135"/>
      <c r="K300" s="135"/>
      <c r="L300" s="134">
        <f>D300</f>
        <v>83.17</v>
      </c>
      <c r="M300" s="136"/>
    </row>
    <row r="301" spans="1:13" s="131" customFormat="1" ht="12.75">
      <c r="A301" s="139"/>
      <c r="B301" s="140"/>
      <c r="C301" s="141"/>
      <c r="D301" s="142"/>
      <c r="E301" s="143"/>
      <c r="F301" s="142"/>
      <c r="G301" s="142"/>
      <c r="H301" s="143"/>
      <c r="I301" s="143"/>
      <c r="J301" s="144"/>
      <c r="K301" s="144"/>
      <c r="L301" s="142"/>
      <c r="M301" s="145"/>
    </row>
    <row r="302" spans="1:13" ht="12.75">
      <c r="A302" s="184" t="str">
        <f>'BM02'!A108</f>
        <v>1.9.7</v>
      </c>
      <c r="B302" s="211" t="str">
        <f>'BM02'!B108</f>
        <v>APLICAÇÃO MANUAL DE PINTURA COM TINTA LÁTEX PVA EM PAREDES, DUAS DEMÃOS. AF_06/2014</v>
      </c>
      <c r="C302" s="212"/>
      <c r="D302" s="212"/>
      <c r="E302" s="212"/>
      <c r="F302" s="212"/>
      <c r="G302" s="212"/>
      <c r="H302" s="212"/>
      <c r="I302" s="212"/>
      <c r="J302" s="212"/>
      <c r="K302" s="213"/>
      <c r="L302" s="129">
        <f>L303</f>
        <v>0</v>
      </c>
      <c r="M302" s="185" t="str">
        <f>'BM02'!C108</f>
        <v>m²</v>
      </c>
    </row>
    <row r="303" spans="1:13" s="131" customFormat="1" ht="12.75">
      <c r="A303" s="132"/>
      <c r="B303" s="209"/>
      <c r="C303" s="210"/>
      <c r="D303" s="134"/>
      <c r="E303" s="134"/>
      <c r="F303" s="134"/>
      <c r="G303" s="134"/>
      <c r="H303" s="134"/>
      <c r="I303" s="134"/>
      <c r="J303" s="135"/>
      <c r="K303" s="135"/>
      <c r="L303" s="134">
        <f>ROUND(D303*K303,2)</f>
        <v>0</v>
      </c>
      <c r="M303" s="136"/>
    </row>
    <row r="304" spans="1:13" s="131" customFormat="1" ht="12.75">
      <c r="A304" s="139"/>
      <c r="B304" s="140"/>
      <c r="C304" s="141"/>
      <c r="D304" s="142"/>
      <c r="E304" s="143"/>
      <c r="F304" s="142"/>
      <c r="G304" s="142"/>
      <c r="H304" s="143"/>
      <c r="I304" s="143"/>
      <c r="J304" s="144"/>
      <c r="K304" s="144"/>
      <c r="L304" s="142"/>
      <c r="M304" s="145"/>
    </row>
    <row r="305" spans="1:13" ht="12.75">
      <c r="A305" s="184" t="str">
        <f>'BM02'!A109</f>
        <v>1.9.8</v>
      </c>
      <c r="B305" s="211" t="str">
        <f>'BM02'!B109</f>
        <v>PINTURA IMUNIZANTE PARA MADEIRA, 1 DEMÃO. AF_01/2021</v>
      </c>
      <c r="C305" s="212"/>
      <c r="D305" s="212"/>
      <c r="E305" s="212"/>
      <c r="F305" s="212"/>
      <c r="G305" s="212"/>
      <c r="H305" s="212"/>
      <c r="I305" s="212"/>
      <c r="J305" s="212"/>
      <c r="K305" s="213"/>
      <c r="L305" s="129">
        <f>L306</f>
        <v>0</v>
      </c>
      <c r="M305" s="185" t="str">
        <f>'BM02'!C109</f>
        <v>m²</v>
      </c>
    </row>
    <row r="306" spans="1:13" s="131" customFormat="1" ht="12.75">
      <c r="A306" s="132"/>
      <c r="B306" s="209"/>
      <c r="C306" s="210"/>
      <c r="D306" s="134"/>
      <c r="E306" s="134"/>
      <c r="F306" s="134"/>
      <c r="G306" s="134"/>
      <c r="H306" s="134"/>
      <c r="I306" s="134"/>
      <c r="J306" s="135"/>
      <c r="K306" s="135"/>
      <c r="L306" s="134">
        <f>ROUND(D306*K306,2)</f>
        <v>0</v>
      </c>
      <c r="M306" s="136"/>
    </row>
    <row r="307" spans="1:13" s="131" customFormat="1" ht="12.75">
      <c r="A307" s="139"/>
      <c r="B307" s="140"/>
      <c r="C307" s="141"/>
      <c r="D307" s="142"/>
      <c r="E307" s="143"/>
      <c r="F307" s="142"/>
      <c r="G307" s="142"/>
      <c r="H307" s="143"/>
      <c r="I307" s="143"/>
      <c r="J307" s="144"/>
      <c r="K307" s="144"/>
      <c r="L307" s="142"/>
      <c r="M307" s="145"/>
    </row>
    <row r="308" spans="1:13" ht="12.75">
      <c r="A308" s="128" t="str">
        <f>'BM04'!A124</f>
        <v>1.9.9</v>
      </c>
      <c r="B308" s="211" t="str">
        <f>'BM04'!B124</f>
        <v>APLICAÇÃO DE FUNDO SELADOR LÁTEX PVA EM TETO, UMA DEMÃO. AF_06/2014</v>
      </c>
      <c r="C308" s="212"/>
      <c r="D308" s="212"/>
      <c r="E308" s="212"/>
      <c r="F308" s="212"/>
      <c r="G308" s="212"/>
      <c r="H308" s="212"/>
      <c r="I308" s="212"/>
      <c r="J308" s="212"/>
      <c r="K308" s="213"/>
      <c r="L308" s="129">
        <f>SUM(L309:L311)</f>
        <v>419.12000000000006</v>
      </c>
      <c r="M308" s="185" t="str">
        <f>'BM04'!C124</f>
        <v>M²</v>
      </c>
    </row>
    <row r="309" spans="1:13" s="131" customFormat="1" ht="28.9" customHeight="1">
      <c r="A309" s="132"/>
      <c r="B309" s="209" t="s">
        <v>746</v>
      </c>
      <c r="C309" s="210"/>
      <c r="D309" s="134">
        <f>'BM05'!I104</f>
        <v>407.96000000000004</v>
      </c>
      <c r="E309" s="134"/>
      <c r="F309" s="134"/>
      <c r="G309" s="134"/>
      <c r="H309" s="134"/>
      <c r="I309" s="134"/>
      <c r="J309" s="135"/>
      <c r="K309" s="135"/>
      <c r="L309" s="134">
        <f>D309</f>
        <v>407.96000000000004</v>
      </c>
      <c r="M309" s="136"/>
    </row>
    <row r="310" spans="1:13" s="131" customFormat="1" ht="12.75">
      <c r="A310" s="132"/>
      <c r="B310" s="209" t="s">
        <v>747</v>
      </c>
      <c r="C310" s="210"/>
      <c r="D310" s="134">
        <v>8.31</v>
      </c>
      <c r="E310" s="134"/>
      <c r="F310" s="134"/>
      <c r="G310" s="134"/>
      <c r="H310" s="134"/>
      <c r="I310" s="134"/>
      <c r="J310" s="135"/>
      <c r="K310" s="135"/>
      <c r="L310" s="134">
        <f>D310</f>
        <v>8.31</v>
      </c>
      <c r="M310" s="136"/>
    </row>
    <row r="311" spans="1:13" s="131" customFormat="1" ht="12.75">
      <c r="A311" s="132"/>
      <c r="B311" s="209" t="s">
        <v>748</v>
      </c>
      <c r="C311" s="210"/>
      <c r="D311" s="134">
        <f>1*2.85</f>
        <v>2.85</v>
      </c>
      <c r="E311" s="134"/>
      <c r="F311" s="134"/>
      <c r="G311" s="134"/>
      <c r="H311" s="134"/>
      <c r="I311" s="134"/>
      <c r="J311" s="135"/>
      <c r="K311" s="135"/>
      <c r="L311" s="134">
        <f>D311</f>
        <v>2.85</v>
      </c>
      <c r="M311" s="136"/>
    </row>
    <row r="312" spans="1:13" s="131" customFormat="1" ht="12.75">
      <c r="A312" s="139"/>
      <c r="B312" s="140"/>
      <c r="C312" s="141"/>
      <c r="D312" s="142"/>
      <c r="E312" s="143"/>
      <c r="F312" s="142"/>
      <c r="G312" s="142"/>
      <c r="H312" s="143"/>
      <c r="I312" s="143"/>
      <c r="J312" s="144"/>
      <c r="K312" s="144"/>
      <c r="L312" s="142"/>
      <c r="M312" s="145"/>
    </row>
    <row r="313" spans="1:13" ht="12.75">
      <c r="A313" s="184" t="str">
        <f>'BM04'!A125</f>
        <v>1.9.10</v>
      </c>
      <c r="B313" s="211" t="str">
        <f>'BM04'!B125</f>
        <v>APLICAÇÃO E LIXAMENTO DE MASSA LÁTEX EM TETO, UMA DEMÃO. AF_06/2014</v>
      </c>
      <c r="C313" s="212"/>
      <c r="D313" s="212"/>
      <c r="E313" s="212"/>
      <c r="F313" s="212"/>
      <c r="G313" s="212"/>
      <c r="H313" s="212"/>
      <c r="I313" s="212"/>
      <c r="J313" s="212"/>
      <c r="K313" s="213"/>
      <c r="L313" s="129">
        <f>L314</f>
        <v>419.12000000000006</v>
      </c>
      <c r="M313" s="185" t="str">
        <f>'BM04'!C125</f>
        <v>M²</v>
      </c>
    </row>
    <row r="314" spans="1:13" s="131" customFormat="1" ht="12.75">
      <c r="A314" s="132"/>
      <c r="B314" s="209" t="s">
        <v>758</v>
      </c>
      <c r="C314" s="210"/>
      <c r="D314" s="134">
        <f>L308</f>
        <v>419.12000000000006</v>
      </c>
      <c r="E314" s="134"/>
      <c r="F314" s="134"/>
      <c r="G314" s="134"/>
      <c r="H314" s="134"/>
      <c r="I314" s="134"/>
      <c r="J314" s="135"/>
      <c r="K314" s="135"/>
      <c r="L314" s="134">
        <f>D314</f>
        <v>419.12000000000006</v>
      </c>
      <c r="M314" s="136"/>
    </row>
    <row r="315" spans="1:13" s="131" customFormat="1" ht="12.75">
      <c r="A315" s="139"/>
      <c r="B315" s="140"/>
      <c r="C315" s="141"/>
      <c r="D315" s="142"/>
      <c r="E315" s="143"/>
      <c r="F315" s="142"/>
      <c r="G315" s="142"/>
      <c r="H315" s="143"/>
      <c r="I315" s="143"/>
      <c r="J315" s="144"/>
      <c r="K315" s="144"/>
      <c r="L315" s="142"/>
      <c r="M315" s="145"/>
    </row>
    <row r="316" spans="1:13" ht="12.75">
      <c r="A316" s="184" t="str">
        <f>'BM04'!A126</f>
        <v>1.9.11</v>
      </c>
      <c r="B316" s="211" t="str">
        <f>'BM04'!B126</f>
        <v>APLICAÇÃO MANUAL DE PINTURA COM TINTA LÁTEX PVA EM TETO, DUAS DEMÃOS. AF_06/2014</v>
      </c>
      <c r="C316" s="212"/>
      <c r="D316" s="212"/>
      <c r="E316" s="212"/>
      <c r="F316" s="212"/>
      <c r="G316" s="212"/>
      <c r="H316" s="212"/>
      <c r="I316" s="212"/>
      <c r="J316" s="212"/>
      <c r="K316" s="213"/>
      <c r="L316" s="129">
        <f>L317</f>
        <v>0</v>
      </c>
      <c r="M316" s="185" t="str">
        <f>'BM04'!C126</f>
        <v>M²</v>
      </c>
    </row>
    <row r="317" spans="1:13" s="131" customFormat="1" ht="12.75">
      <c r="A317" s="132"/>
      <c r="B317" s="209"/>
      <c r="C317" s="210"/>
      <c r="D317" s="134"/>
      <c r="E317" s="134"/>
      <c r="F317" s="134"/>
      <c r="G317" s="134"/>
      <c r="H317" s="134"/>
      <c r="I317" s="134"/>
      <c r="J317" s="135"/>
      <c r="K317" s="135"/>
      <c r="L317" s="134">
        <f>ROUND(D317*K317,2)</f>
        <v>0</v>
      </c>
      <c r="M317" s="136"/>
    </row>
    <row r="318" spans="1:13" s="131" customFormat="1" ht="13.5" thickBot="1">
      <c r="A318" s="139"/>
      <c r="B318" s="140"/>
      <c r="C318" s="141"/>
      <c r="D318" s="142"/>
      <c r="E318" s="143"/>
      <c r="F318" s="142"/>
      <c r="G318" s="142"/>
      <c r="H318" s="143"/>
      <c r="I318" s="143"/>
      <c r="J318" s="144"/>
      <c r="K318" s="144"/>
      <c r="L318" s="142"/>
      <c r="M318" s="145"/>
    </row>
    <row r="319" spans="1:13" ht="13.5" thickBot="1">
      <c r="A319" s="121" t="str">
        <f>'BM02'!A111</f>
        <v>1.10</v>
      </c>
      <c r="B319" s="122" t="str">
        <f>'BM02'!B111</f>
        <v>PAVIMENTAÇÃO</v>
      </c>
      <c r="C319" s="122"/>
      <c r="D319" s="122"/>
      <c r="E319" s="122"/>
      <c r="F319" s="122"/>
      <c r="G319" s="122"/>
      <c r="H319" s="122"/>
      <c r="I319" s="122"/>
      <c r="J319" s="122"/>
      <c r="K319" s="122"/>
      <c r="L319" s="122"/>
      <c r="M319" s="123"/>
    </row>
    <row r="320" spans="1:13" ht="12.75">
      <c r="A320" s="124"/>
      <c r="B320" s="125"/>
      <c r="C320" s="125"/>
      <c r="D320" s="125"/>
      <c r="E320" s="125"/>
      <c r="F320" s="125"/>
      <c r="G320" s="125"/>
      <c r="H320" s="125"/>
      <c r="I320" s="125"/>
      <c r="J320" s="125"/>
      <c r="K320" s="126"/>
      <c r="L320" s="125"/>
      <c r="M320" s="127"/>
    </row>
    <row r="321" spans="1:14" ht="12.75">
      <c r="A321" s="184" t="str">
        <f>'BM02'!A113</f>
        <v>1.10.1</v>
      </c>
      <c r="B321" s="211" t="str">
        <f>'BM02'!B113</f>
        <v>LASTRO DE CONCRETO MAGRO, APLICADO EM PISOS OU RADIERS, ESPESSURA DE 5 CM. AF_07/2016</v>
      </c>
      <c r="C321" s="212"/>
      <c r="D321" s="212"/>
      <c r="E321" s="212"/>
      <c r="F321" s="212"/>
      <c r="G321" s="212"/>
      <c r="H321" s="212"/>
      <c r="I321" s="212"/>
      <c r="J321" s="212"/>
      <c r="K321" s="213"/>
      <c r="L321" s="129">
        <f>SUM(L322:L322)</f>
        <v>0</v>
      </c>
      <c r="M321" s="185" t="str">
        <f>'BM02'!C113</f>
        <v>m²</v>
      </c>
      <c r="N321" s="195"/>
    </row>
    <row r="322" spans="1:14" s="131" customFormat="1" ht="12.75">
      <c r="A322" s="132"/>
      <c r="B322" s="209"/>
      <c r="C322" s="210"/>
      <c r="D322" s="134"/>
      <c r="E322" s="134"/>
      <c r="F322" s="134"/>
      <c r="G322" s="134"/>
      <c r="H322" s="134"/>
      <c r="I322" s="134"/>
      <c r="J322" s="135"/>
      <c r="K322" s="135"/>
      <c r="L322" s="134">
        <f>ROUNDDOWN(D322*K322,4)</f>
        <v>0</v>
      </c>
      <c r="M322" s="136"/>
    </row>
    <row r="323" spans="1:14" s="131" customFormat="1" ht="12.75">
      <c r="A323" s="139"/>
      <c r="B323" s="140"/>
      <c r="C323" s="141"/>
      <c r="D323" s="142"/>
      <c r="E323" s="143"/>
      <c r="F323" s="142"/>
      <c r="G323" s="142"/>
      <c r="H323" s="143"/>
      <c r="I323" s="143"/>
      <c r="J323" s="144"/>
      <c r="K323" s="144"/>
      <c r="L323" s="142"/>
      <c r="M323" s="145"/>
    </row>
    <row r="324" spans="1:14" ht="12.75">
      <c r="A324" s="184" t="str">
        <f>'BM02'!A114</f>
        <v>1.10.2</v>
      </c>
      <c r="B324" s="211" t="str">
        <f>'BM02'!B114</f>
        <v>Regularização de base para revest. de pisos com arg. traço t4, esp. média = 2,5cm</v>
      </c>
      <c r="C324" s="212"/>
      <c r="D324" s="212"/>
      <c r="E324" s="212"/>
      <c r="F324" s="212"/>
      <c r="G324" s="212"/>
      <c r="H324" s="212"/>
      <c r="I324" s="212"/>
      <c r="J324" s="212"/>
      <c r="K324" s="213"/>
      <c r="L324" s="129">
        <f>SUM(L325:L325)</f>
        <v>0</v>
      </c>
      <c r="M324" s="185" t="str">
        <f>'BM02'!C114</f>
        <v>m²</v>
      </c>
    </row>
    <row r="325" spans="1:14" s="131" customFormat="1" ht="12.75">
      <c r="A325" s="132"/>
      <c r="B325" s="209"/>
      <c r="C325" s="210"/>
      <c r="D325" s="134"/>
      <c r="E325" s="134"/>
      <c r="F325" s="134"/>
      <c r="G325" s="134"/>
      <c r="H325" s="134"/>
      <c r="I325" s="134"/>
      <c r="J325" s="135"/>
      <c r="K325" s="135"/>
      <c r="L325" s="134">
        <f t="shared" ref="L325" si="15">ROUND(D325*K325,2)</f>
        <v>0</v>
      </c>
      <c r="M325" s="136"/>
    </row>
    <row r="326" spans="1:14" s="131" customFormat="1" ht="12.75">
      <c r="A326" s="139"/>
      <c r="B326" s="140"/>
      <c r="C326" s="141"/>
      <c r="D326" s="142"/>
      <c r="E326" s="143"/>
      <c r="F326" s="142"/>
      <c r="G326" s="142"/>
      <c r="H326" s="143"/>
      <c r="I326" s="143"/>
      <c r="J326" s="144"/>
      <c r="K326" s="144"/>
      <c r="L326" s="142"/>
      <c r="M326" s="145"/>
    </row>
    <row r="327" spans="1:14" ht="30" customHeight="1">
      <c r="A327" s="128" t="str">
        <f>'BM02'!A115</f>
        <v>1.10.3</v>
      </c>
      <c r="B327" s="211" t="str">
        <f>'BM02'!B115</f>
        <v>REVESTIMENTO CERÂMICO PARA PISO COM PLACAS TIPO ESMALTADA EXTRA DE DIMENSÕES 45X45 CM APLICADA EM AMBIENTES DE ÁREA MENOR QUE 5 M2. AF_06/2014</v>
      </c>
      <c r="C327" s="212"/>
      <c r="D327" s="212"/>
      <c r="E327" s="212"/>
      <c r="F327" s="212"/>
      <c r="G327" s="212"/>
      <c r="H327" s="212"/>
      <c r="I327" s="212"/>
      <c r="J327" s="212"/>
      <c r="K327" s="213"/>
      <c r="L327" s="129">
        <f>SUM(L328:L331)</f>
        <v>11.53</v>
      </c>
      <c r="M327" s="185" t="str">
        <f>'BM02'!C115</f>
        <v>m²</v>
      </c>
      <c r="N327" s="196" t="s">
        <v>774</v>
      </c>
    </row>
    <row r="328" spans="1:14" ht="12.75">
      <c r="A328" s="132"/>
      <c r="B328" s="209" t="s">
        <v>529</v>
      </c>
      <c r="C328" s="210"/>
      <c r="D328" s="134">
        <v>1</v>
      </c>
      <c r="E328" s="134">
        <v>2.31</v>
      </c>
      <c r="F328" s="134"/>
      <c r="G328" s="134">
        <v>1.5</v>
      </c>
      <c r="H328" s="134"/>
      <c r="I328" s="134"/>
      <c r="J328" s="135"/>
      <c r="K328" s="135">
        <f t="shared" ref="K328:K331" si="16">E328*G328</f>
        <v>3.4649999999999999</v>
      </c>
      <c r="L328" s="134">
        <f t="shared" ref="L328:L331" si="17">ROUND(D328*K328,2)</f>
        <v>3.47</v>
      </c>
      <c r="M328" s="136"/>
    </row>
    <row r="329" spans="1:14" ht="12.75">
      <c r="A329" s="132"/>
      <c r="B329" s="209" t="s">
        <v>530</v>
      </c>
      <c r="C329" s="210"/>
      <c r="D329" s="134">
        <v>1</v>
      </c>
      <c r="E329" s="134">
        <v>1.49</v>
      </c>
      <c r="F329" s="134"/>
      <c r="G329" s="134">
        <v>1.2</v>
      </c>
      <c r="H329" s="134"/>
      <c r="I329" s="134"/>
      <c r="J329" s="135"/>
      <c r="K329" s="135">
        <f t="shared" si="16"/>
        <v>1.788</v>
      </c>
      <c r="L329" s="134">
        <f t="shared" si="17"/>
        <v>1.79</v>
      </c>
      <c r="M329" s="136"/>
    </row>
    <row r="330" spans="1:14" ht="12.75">
      <c r="A330" s="132"/>
      <c r="B330" s="209" t="s">
        <v>531</v>
      </c>
      <c r="C330" s="210"/>
      <c r="D330" s="134">
        <v>1</v>
      </c>
      <c r="E330" s="134">
        <v>2.58</v>
      </c>
      <c r="F330" s="134"/>
      <c r="G330" s="134">
        <v>1.5</v>
      </c>
      <c r="H330" s="134"/>
      <c r="I330" s="134"/>
      <c r="J330" s="135"/>
      <c r="K330" s="135">
        <f t="shared" si="16"/>
        <v>3.87</v>
      </c>
      <c r="L330" s="134">
        <f t="shared" si="17"/>
        <v>3.87</v>
      </c>
      <c r="M330" s="136"/>
    </row>
    <row r="331" spans="1:14" ht="12.75">
      <c r="A331" s="132"/>
      <c r="B331" s="209" t="s">
        <v>501</v>
      </c>
      <c r="C331" s="210"/>
      <c r="D331" s="134">
        <v>1</v>
      </c>
      <c r="E331" s="134">
        <v>2</v>
      </c>
      <c r="F331" s="134"/>
      <c r="G331" s="134">
        <v>1.2</v>
      </c>
      <c r="H331" s="134"/>
      <c r="I331" s="134"/>
      <c r="J331" s="135"/>
      <c r="K331" s="135">
        <f t="shared" si="16"/>
        <v>2.4</v>
      </c>
      <c r="L331" s="134">
        <f t="shared" si="17"/>
        <v>2.4</v>
      </c>
      <c r="M331" s="136"/>
    </row>
    <row r="332" spans="1:14" s="131" customFormat="1" ht="12.75">
      <c r="A332" s="139"/>
      <c r="B332" s="140"/>
      <c r="C332" s="141"/>
      <c r="D332" s="142"/>
      <c r="E332" s="143"/>
      <c r="F332" s="142"/>
      <c r="G332" s="142"/>
      <c r="H332" s="143"/>
      <c r="I332" s="143"/>
      <c r="J332" s="144"/>
      <c r="K332" s="144"/>
      <c r="L332" s="142"/>
      <c r="M332" s="145"/>
    </row>
    <row r="333" spans="1:14" ht="12.75">
      <c r="A333" s="184" t="str">
        <f>'BM02'!A116</f>
        <v>1.10.4</v>
      </c>
      <c r="B333" s="211" t="str">
        <f>'BM02'!B116</f>
        <v>PISO EM GRANILITE, MARMORITE OU GRANITINA EM AMBIENTES INTERNOS. AF_09/2020</v>
      </c>
      <c r="C333" s="212"/>
      <c r="D333" s="212"/>
      <c r="E333" s="212"/>
      <c r="F333" s="212"/>
      <c r="G333" s="212"/>
      <c r="H333" s="212"/>
      <c r="I333" s="212"/>
      <c r="J333" s="212"/>
      <c r="K333" s="213"/>
      <c r="L333" s="129">
        <f>SUM(L334:L350)</f>
        <v>381.91</v>
      </c>
      <c r="M333" s="185" t="str">
        <f>'BM02'!C116</f>
        <v>m²</v>
      </c>
    </row>
    <row r="334" spans="1:14" s="131" customFormat="1" ht="12.75">
      <c r="A334" s="132"/>
      <c r="B334" s="209" t="s">
        <v>691</v>
      </c>
      <c r="C334" s="210"/>
      <c r="D334" s="134">
        <v>1</v>
      </c>
      <c r="E334" s="134">
        <v>7.2</v>
      </c>
      <c r="F334" s="134"/>
      <c r="G334" s="134">
        <v>7.2</v>
      </c>
      <c r="H334" s="134"/>
      <c r="I334" s="134"/>
      <c r="J334" s="135"/>
      <c r="K334" s="135">
        <f t="shared" ref="K334:K350" si="18">E334*G334</f>
        <v>51.84</v>
      </c>
      <c r="L334" s="134">
        <f t="shared" ref="L334:L350" si="19">ROUND(D334*K334,2)</f>
        <v>51.84</v>
      </c>
      <c r="M334" s="136"/>
    </row>
    <row r="335" spans="1:14" s="131" customFormat="1" ht="12.75">
      <c r="A335" s="132"/>
      <c r="B335" s="209" t="s">
        <v>718</v>
      </c>
      <c r="C335" s="210"/>
      <c r="D335" s="134">
        <v>1</v>
      </c>
      <c r="E335" s="134">
        <v>7.2</v>
      </c>
      <c r="F335" s="134"/>
      <c r="G335" s="134">
        <v>7.2</v>
      </c>
      <c r="H335" s="134"/>
      <c r="I335" s="134"/>
      <c r="J335" s="135"/>
      <c r="K335" s="135">
        <f t="shared" si="18"/>
        <v>51.84</v>
      </c>
      <c r="L335" s="134">
        <f t="shared" si="19"/>
        <v>51.84</v>
      </c>
      <c r="M335" s="136"/>
    </row>
    <row r="336" spans="1:14" s="131" customFormat="1" ht="12.75">
      <c r="A336" s="132"/>
      <c r="B336" s="209" t="s">
        <v>719</v>
      </c>
      <c r="C336" s="210"/>
      <c r="D336" s="134">
        <v>1</v>
      </c>
      <c r="E336" s="134">
        <v>7.2</v>
      </c>
      <c r="F336" s="134"/>
      <c r="G336" s="134">
        <v>7.2</v>
      </c>
      <c r="H336" s="134"/>
      <c r="I336" s="134"/>
      <c r="J336" s="135"/>
      <c r="K336" s="135">
        <f t="shared" si="18"/>
        <v>51.84</v>
      </c>
      <c r="L336" s="134">
        <f t="shared" si="19"/>
        <v>51.84</v>
      </c>
      <c r="M336" s="136"/>
    </row>
    <row r="337" spans="1:13" s="131" customFormat="1" ht="12.75">
      <c r="A337" s="132"/>
      <c r="B337" s="209" t="s">
        <v>720</v>
      </c>
      <c r="C337" s="210"/>
      <c r="D337" s="134">
        <v>1</v>
      </c>
      <c r="E337" s="134">
        <v>7.2</v>
      </c>
      <c r="F337" s="134"/>
      <c r="G337" s="134">
        <v>7.2</v>
      </c>
      <c r="H337" s="134"/>
      <c r="I337" s="134"/>
      <c r="J337" s="135"/>
      <c r="K337" s="135">
        <f t="shared" si="18"/>
        <v>51.84</v>
      </c>
      <c r="L337" s="134">
        <f t="shared" si="19"/>
        <v>51.84</v>
      </c>
      <c r="M337" s="136"/>
    </row>
    <row r="338" spans="1:13" s="131" customFormat="1" ht="12.75">
      <c r="A338" s="132"/>
      <c r="B338" s="209" t="s">
        <v>721</v>
      </c>
      <c r="C338" s="210"/>
      <c r="D338" s="134">
        <v>1</v>
      </c>
      <c r="E338" s="134">
        <v>29.25</v>
      </c>
      <c r="F338" s="134"/>
      <c r="G338" s="134">
        <v>2</v>
      </c>
      <c r="H338" s="134"/>
      <c r="I338" s="134"/>
      <c r="J338" s="135"/>
      <c r="K338" s="135">
        <f t="shared" si="18"/>
        <v>58.5</v>
      </c>
      <c r="L338" s="134">
        <f t="shared" si="19"/>
        <v>58.5</v>
      </c>
      <c r="M338" s="136"/>
    </row>
    <row r="339" spans="1:13" s="131" customFormat="1" ht="14.45" customHeight="1">
      <c r="A339" s="263"/>
      <c r="B339" s="275" t="s">
        <v>477</v>
      </c>
      <c r="C339" s="276"/>
      <c r="D339" s="134">
        <v>1</v>
      </c>
      <c r="E339" s="134">
        <v>3.3</v>
      </c>
      <c r="F339" s="134"/>
      <c r="G339" s="134">
        <v>2.25</v>
      </c>
      <c r="H339" s="134"/>
      <c r="I339" s="134"/>
      <c r="J339" s="135"/>
      <c r="K339" s="135">
        <f t="shared" si="18"/>
        <v>7.4249999999999998</v>
      </c>
      <c r="L339" s="134">
        <f t="shared" si="19"/>
        <v>7.43</v>
      </c>
      <c r="M339" s="136"/>
    </row>
    <row r="340" spans="1:13" s="131" customFormat="1" ht="14.45" customHeight="1">
      <c r="A340" s="264"/>
      <c r="B340" s="277"/>
      <c r="C340" s="278"/>
      <c r="D340" s="134">
        <v>1</v>
      </c>
      <c r="E340" s="134">
        <v>2</v>
      </c>
      <c r="F340" s="134"/>
      <c r="G340" s="134">
        <v>2.5499999999999998</v>
      </c>
      <c r="H340" s="134"/>
      <c r="I340" s="134"/>
      <c r="J340" s="135"/>
      <c r="K340" s="135">
        <f t="shared" si="18"/>
        <v>5.0999999999999996</v>
      </c>
      <c r="L340" s="134">
        <f t="shared" si="19"/>
        <v>5.0999999999999996</v>
      </c>
      <c r="M340" s="136"/>
    </row>
    <row r="341" spans="1:13" s="131" customFormat="1" ht="12.75">
      <c r="A341" s="263"/>
      <c r="B341" s="275" t="s">
        <v>722</v>
      </c>
      <c r="C341" s="276"/>
      <c r="D341" s="134">
        <v>1</v>
      </c>
      <c r="E341" s="134">
        <v>5.4</v>
      </c>
      <c r="F341" s="134"/>
      <c r="G341" s="134">
        <v>1.95</v>
      </c>
      <c r="H341" s="134"/>
      <c r="I341" s="134"/>
      <c r="J341" s="135"/>
      <c r="K341" s="135">
        <f t="shared" si="18"/>
        <v>10.530000000000001</v>
      </c>
      <c r="L341" s="134">
        <f t="shared" si="19"/>
        <v>10.53</v>
      </c>
      <c r="M341" s="136"/>
    </row>
    <row r="342" spans="1:13" s="131" customFormat="1" ht="12.75">
      <c r="A342" s="264"/>
      <c r="B342" s="277"/>
      <c r="C342" s="278"/>
      <c r="D342" s="134">
        <v>1</v>
      </c>
      <c r="E342" s="134">
        <v>5.48</v>
      </c>
      <c r="F342" s="134"/>
      <c r="G342" s="134">
        <v>8.4</v>
      </c>
      <c r="H342" s="134"/>
      <c r="I342" s="134"/>
      <c r="J342" s="135"/>
      <c r="K342" s="135">
        <f t="shared" si="18"/>
        <v>46.032000000000004</v>
      </c>
      <c r="L342" s="134">
        <f t="shared" si="19"/>
        <v>46.03</v>
      </c>
      <c r="M342" s="136"/>
    </row>
    <row r="343" spans="1:13" s="131" customFormat="1" ht="12.75">
      <c r="A343" s="263"/>
      <c r="B343" s="275" t="s">
        <v>723</v>
      </c>
      <c r="C343" s="276"/>
      <c r="D343" s="134">
        <v>1</v>
      </c>
      <c r="E343" s="134">
        <v>6.67</v>
      </c>
      <c r="F343" s="134"/>
      <c r="G343" s="134">
        <v>1.27</v>
      </c>
      <c r="H343" s="134"/>
      <c r="I343" s="134"/>
      <c r="J343" s="135"/>
      <c r="K343" s="135">
        <f t="shared" si="18"/>
        <v>8.4709000000000003</v>
      </c>
      <c r="L343" s="134">
        <f t="shared" si="19"/>
        <v>8.4700000000000006</v>
      </c>
      <c r="M343" s="136"/>
    </row>
    <row r="344" spans="1:13" s="131" customFormat="1" ht="12.75">
      <c r="A344" s="264"/>
      <c r="B344" s="277"/>
      <c r="C344" s="278"/>
      <c r="D344" s="134">
        <v>2</v>
      </c>
      <c r="E344" s="134">
        <v>0.93</v>
      </c>
      <c r="F344" s="134"/>
      <c r="G344" s="134">
        <v>1.35</v>
      </c>
      <c r="H344" s="134"/>
      <c r="I344" s="134"/>
      <c r="J344" s="135"/>
      <c r="K344" s="135">
        <f t="shared" si="18"/>
        <v>1.2555000000000001</v>
      </c>
      <c r="L344" s="134">
        <f t="shared" si="19"/>
        <v>2.5099999999999998</v>
      </c>
      <c r="M344" s="136"/>
    </row>
    <row r="345" spans="1:13" s="131" customFormat="1" ht="12.75">
      <c r="A345" s="132"/>
      <c r="B345" s="209" t="s">
        <v>724</v>
      </c>
      <c r="C345" s="210"/>
      <c r="D345" s="134">
        <v>1</v>
      </c>
      <c r="E345" s="134">
        <v>2.8</v>
      </c>
      <c r="F345" s="134"/>
      <c r="G345" s="134">
        <v>3.5</v>
      </c>
      <c r="H345" s="134"/>
      <c r="I345" s="134"/>
      <c r="J345" s="135"/>
      <c r="K345" s="135">
        <f t="shared" si="18"/>
        <v>9.7999999999999989</v>
      </c>
      <c r="L345" s="134">
        <f t="shared" si="19"/>
        <v>9.8000000000000007</v>
      </c>
      <c r="M345" s="136"/>
    </row>
    <row r="346" spans="1:13" s="131" customFormat="1" ht="12.75">
      <c r="A346" s="132"/>
      <c r="B346" s="209" t="s">
        <v>725</v>
      </c>
      <c r="C346" s="210"/>
      <c r="D346" s="134">
        <v>1</v>
      </c>
      <c r="E346" s="134">
        <v>2.2999999999999998</v>
      </c>
      <c r="F346" s="134"/>
      <c r="G346" s="134">
        <v>3.5</v>
      </c>
      <c r="H346" s="134"/>
      <c r="I346" s="134"/>
      <c r="J346" s="135"/>
      <c r="K346" s="135">
        <f t="shared" si="18"/>
        <v>8.0499999999999989</v>
      </c>
      <c r="L346" s="134">
        <f t="shared" si="19"/>
        <v>8.0500000000000007</v>
      </c>
      <c r="M346" s="136"/>
    </row>
    <row r="347" spans="1:13" s="131" customFormat="1" ht="13.15" customHeight="1">
      <c r="A347" s="132"/>
      <c r="B347" s="209" t="s">
        <v>726</v>
      </c>
      <c r="C347" s="210"/>
      <c r="D347" s="134">
        <v>1</v>
      </c>
      <c r="E347" s="134">
        <v>1.8</v>
      </c>
      <c r="F347" s="134"/>
      <c r="G347" s="134">
        <v>2.5499999999999998</v>
      </c>
      <c r="H347" s="134"/>
      <c r="I347" s="134"/>
      <c r="J347" s="135"/>
      <c r="K347" s="135">
        <f t="shared" si="18"/>
        <v>4.59</v>
      </c>
      <c r="L347" s="134">
        <f t="shared" si="19"/>
        <v>4.59</v>
      </c>
      <c r="M347" s="136"/>
    </row>
    <row r="348" spans="1:13" s="131" customFormat="1" ht="13.15" customHeight="1">
      <c r="A348" s="132"/>
      <c r="B348" s="209" t="s">
        <v>727</v>
      </c>
      <c r="C348" s="210"/>
      <c r="D348" s="134">
        <v>1</v>
      </c>
      <c r="E348" s="134">
        <v>1.8</v>
      </c>
      <c r="F348" s="134"/>
      <c r="G348" s="134">
        <v>2.5499999999999998</v>
      </c>
      <c r="H348" s="134"/>
      <c r="I348" s="134"/>
      <c r="J348" s="135"/>
      <c r="K348" s="135">
        <f t="shared" si="18"/>
        <v>4.59</v>
      </c>
      <c r="L348" s="134">
        <f t="shared" si="19"/>
        <v>4.59</v>
      </c>
      <c r="M348" s="136"/>
    </row>
    <row r="349" spans="1:13" s="131" customFormat="1" ht="12.75">
      <c r="A349" s="132"/>
      <c r="B349" s="209" t="s">
        <v>750</v>
      </c>
      <c r="C349" s="210"/>
      <c r="D349" s="134">
        <v>1</v>
      </c>
      <c r="E349" s="134">
        <v>3.15</v>
      </c>
      <c r="F349" s="134"/>
      <c r="G349" s="134">
        <v>2.08</v>
      </c>
      <c r="H349" s="134"/>
      <c r="I349" s="134"/>
      <c r="J349" s="135"/>
      <c r="K349" s="135">
        <f t="shared" si="18"/>
        <v>6.5519999999999996</v>
      </c>
      <c r="L349" s="134">
        <f t="shared" si="19"/>
        <v>6.55</v>
      </c>
      <c r="M349" s="136"/>
    </row>
    <row r="350" spans="1:13" s="131" customFormat="1" ht="12.75">
      <c r="A350" s="132"/>
      <c r="B350" s="209" t="s">
        <v>732</v>
      </c>
      <c r="C350" s="210"/>
      <c r="D350" s="134">
        <v>1</v>
      </c>
      <c r="E350" s="134">
        <v>2</v>
      </c>
      <c r="F350" s="134"/>
      <c r="G350" s="134">
        <v>1.2</v>
      </c>
      <c r="H350" s="134"/>
      <c r="I350" s="134"/>
      <c r="J350" s="135"/>
      <c r="K350" s="135">
        <f t="shared" si="18"/>
        <v>2.4</v>
      </c>
      <c r="L350" s="134">
        <f t="shared" si="19"/>
        <v>2.4</v>
      </c>
      <c r="M350" s="136"/>
    </row>
    <row r="351" spans="1:13" s="131" customFormat="1" ht="12.75">
      <c r="A351" s="139"/>
      <c r="B351" s="140"/>
      <c r="C351" s="141"/>
      <c r="D351" s="142"/>
      <c r="E351" s="143"/>
      <c r="F351" s="142"/>
      <c r="G351" s="142"/>
      <c r="H351" s="143"/>
      <c r="I351" s="143"/>
      <c r="J351" s="144"/>
      <c r="K351" s="144"/>
      <c r="L351" s="142"/>
      <c r="M351" s="145"/>
    </row>
    <row r="352" spans="1:13" ht="30" customHeight="1">
      <c r="A352" s="128" t="str">
        <f>'BM02'!A117</f>
        <v>1.10.5</v>
      </c>
      <c r="B352" s="211" t="str">
        <f>'BM02'!B117</f>
        <v>EXECUÇÃO DE PASSEIO (CALÇADA) OU PISO DE CONCRETO COM CONCRETO MOLDADO IN LOCO, FEITO EM OBRA, ACABAMENTO CONVENCIONAL, ESPESSURA 6 CM, ARMADO. AF_07/2016</v>
      </c>
      <c r="C352" s="212"/>
      <c r="D352" s="212"/>
      <c r="E352" s="212"/>
      <c r="F352" s="212"/>
      <c r="G352" s="212"/>
      <c r="H352" s="212"/>
      <c r="I352" s="212"/>
      <c r="J352" s="212"/>
      <c r="K352" s="213"/>
      <c r="L352" s="129">
        <f>L353</f>
        <v>0</v>
      </c>
      <c r="M352" s="185" t="str">
        <f>'BM02'!C117</f>
        <v>m²</v>
      </c>
    </row>
    <row r="353" spans="1:13" s="131" customFormat="1" ht="12.75">
      <c r="A353" s="132"/>
      <c r="B353" s="209"/>
      <c r="C353" s="210"/>
      <c r="D353" s="134"/>
      <c r="E353" s="134"/>
      <c r="F353" s="134"/>
      <c r="G353" s="134"/>
      <c r="H353" s="134"/>
      <c r="I353" s="134"/>
      <c r="J353" s="135"/>
      <c r="K353" s="135"/>
      <c r="L353" s="134">
        <f t="shared" ref="L353" si="20">ROUND(D353*K353,2)</f>
        <v>0</v>
      </c>
      <c r="M353" s="136"/>
    </row>
    <row r="354" spans="1:13" s="131" customFormat="1" ht="12.75">
      <c r="A354" s="139"/>
      <c r="B354" s="140"/>
      <c r="C354" s="141"/>
      <c r="D354" s="142"/>
      <c r="E354" s="143"/>
      <c r="F354" s="142"/>
      <c r="G354" s="142"/>
      <c r="H354" s="143"/>
      <c r="I354" s="143"/>
      <c r="J354" s="144"/>
      <c r="K354" s="144"/>
      <c r="L354" s="142"/>
      <c r="M354" s="145"/>
    </row>
    <row r="355" spans="1:13" ht="30" customHeight="1">
      <c r="A355" s="128" t="str">
        <f>'BM02'!A118</f>
        <v>1.10.6</v>
      </c>
      <c r="B355" s="211" t="str">
        <f>'BM02'!B118</f>
        <v>EXECUÇÃO DE PASSEIO (CALÇADA) OU PISO DE CONCRETO COM CONCRETO MOLDADO IN LOCO, FEITO EM OBRA, ACABAMENTO CONVENCIONAL, ESPESSURA 6 CM, ARMADO. AF_07/2016</v>
      </c>
      <c r="C355" s="212"/>
      <c r="D355" s="212"/>
      <c r="E355" s="212"/>
      <c r="F355" s="212"/>
      <c r="G355" s="212"/>
      <c r="H355" s="212"/>
      <c r="I355" s="212"/>
      <c r="J355" s="212"/>
      <c r="K355" s="213"/>
      <c r="L355" s="129">
        <f>L356</f>
        <v>0</v>
      </c>
      <c r="M355" s="185" t="str">
        <f>'BM02'!C118</f>
        <v>m²</v>
      </c>
    </row>
    <row r="356" spans="1:13" s="131" customFormat="1" ht="12.75">
      <c r="A356" s="132"/>
      <c r="B356" s="209"/>
      <c r="C356" s="210"/>
      <c r="D356" s="134"/>
      <c r="E356" s="134"/>
      <c r="F356" s="134"/>
      <c r="G356" s="134"/>
      <c r="H356" s="134"/>
      <c r="I356" s="134"/>
      <c r="J356" s="135"/>
      <c r="K356" s="135"/>
      <c r="L356" s="134">
        <f>ROUND(D356*K356,2)</f>
        <v>0</v>
      </c>
      <c r="M356" s="136"/>
    </row>
    <row r="357" spans="1:13" s="131" customFormat="1" ht="12.75">
      <c r="A357" s="139"/>
      <c r="B357" s="140"/>
      <c r="C357" s="141"/>
      <c r="D357" s="142"/>
      <c r="E357" s="143"/>
      <c r="F357" s="142"/>
      <c r="G357" s="142"/>
      <c r="H357" s="143"/>
      <c r="I357" s="143"/>
      <c r="J357" s="144"/>
      <c r="K357" s="144"/>
      <c r="L357" s="142"/>
      <c r="M357" s="145"/>
    </row>
    <row r="358" spans="1:13" ht="30" customHeight="1">
      <c r="A358" s="128" t="str">
        <f>'BM02'!A119</f>
        <v>1.10.7</v>
      </c>
      <c r="B358" s="211" t="str">
        <f>'BM02'!B119</f>
        <v>EXECUÇÃO DE PASSEIO EM PISO INTERTRAVADO, COM BLOCO RETANGULAR COR NATURAL DE 20 X 10 CM, ESPESSURA 6 CM. AF_12/2015</v>
      </c>
      <c r="C358" s="212"/>
      <c r="D358" s="212"/>
      <c r="E358" s="212"/>
      <c r="F358" s="212"/>
      <c r="G358" s="212"/>
      <c r="H358" s="212"/>
      <c r="I358" s="212"/>
      <c r="J358" s="212"/>
      <c r="K358" s="213"/>
      <c r="L358" s="129">
        <f>L359</f>
        <v>0</v>
      </c>
      <c r="M358" s="185" t="str">
        <f>'BM02'!C119</f>
        <v>m²</v>
      </c>
    </row>
    <row r="359" spans="1:13" s="131" customFormat="1" ht="12.75">
      <c r="A359" s="132"/>
      <c r="B359" s="209"/>
      <c r="C359" s="210"/>
      <c r="D359" s="134"/>
      <c r="E359" s="134"/>
      <c r="F359" s="134"/>
      <c r="G359" s="134"/>
      <c r="H359" s="134"/>
      <c r="I359" s="134"/>
      <c r="J359" s="135"/>
      <c r="K359" s="135"/>
      <c r="L359" s="134">
        <f>ROUND(D359*K359,2)</f>
        <v>0</v>
      </c>
      <c r="M359" s="136"/>
    </row>
    <row r="360" spans="1:13" s="131" customFormat="1" ht="12.75">
      <c r="A360" s="139"/>
      <c r="B360" s="140"/>
      <c r="C360" s="141"/>
      <c r="D360" s="142"/>
      <c r="E360" s="143"/>
      <c r="F360" s="142"/>
      <c r="G360" s="142"/>
      <c r="H360" s="143"/>
      <c r="I360" s="143"/>
      <c r="J360" s="144"/>
      <c r="K360" s="144"/>
      <c r="L360" s="142"/>
      <c r="M360" s="145"/>
    </row>
    <row r="361" spans="1:13" ht="43.15" customHeight="1">
      <c r="A361" s="128" t="str">
        <f>'BM02'!A120</f>
        <v>1.10.8</v>
      </c>
      <c r="B361" s="211" t="str">
        <f>'BM02'!B120</f>
        <v>RAMPA DE CALÇADA DE PASSEIO EM CONCRETO PARA ACESSIBILIDADE DE PORTADORES DE NECESSIDADES ESPECIAIS (PNE) EXECUTADA CONCRETO ESTRUTURAL INCLUSIVE SINALIZAÇÃO TATIL DE ALERTA (25X25CM) E SINALIZAÇÃO UNIVERSAL EM TINTA ACRILICA-ESTIRENADA (0,80 X 1,60)M</v>
      </c>
      <c r="C361" s="212"/>
      <c r="D361" s="212"/>
      <c r="E361" s="212"/>
      <c r="F361" s="212"/>
      <c r="G361" s="212"/>
      <c r="H361" s="212"/>
      <c r="I361" s="212"/>
      <c r="J361" s="212"/>
      <c r="K361" s="213"/>
      <c r="L361" s="129">
        <f>L362</f>
        <v>0</v>
      </c>
      <c r="M361" s="185" t="str">
        <f>'BM02'!C120</f>
        <v>un</v>
      </c>
    </row>
    <row r="362" spans="1:13" s="131" customFormat="1" ht="12.75">
      <c r="A362" s="132"/>
      <c r="B362" s="209"/>
      <c r="C362" s="210"/>
      <c r="D362" s="134"/>
      <c r="E362" s="134"/>
      <c r="F362" s="134"/>
      <c r="G362" s="134"/>
      <c r="H362" s="134"/>
      <c r="I362" s="134"/>
      <c r="J362" s="135"/>
      <c r="K362" s="135"/>
      <c r="L362" s="134">
        <f>ROUND(D362*K362,2)</f>
        <v>0</v>
      </c>
      <c r="M362" s="136"/>
    </row>
    <row r="363" spans="1:13" s="131" customFormat="1" ht="13.5" thickBot="1">
      <c r="A363" s="139"/>
      <c r="B363" s="140"/>
      <c r="C363" s="141"/>
      <c r="D363" s="142"/>
      <c r="E363" s="143"/>
      <c r="F363" s="142"/>
      <c r="G363" s="142"/>
      <c r="H363" s="143"/>
      <c r="I363" s="143"/>
      <c r="J363" s="144"/>
      <c r="K363" s="144"/>
      <c r="L363" s="142"/>
      <c r="M363" s="145"/>
    </row>
    <row r="364" spans="1:13" ht="13.5" thickBot="1">
      <c r="A364" s="121" t="str">
        <f>'BM02'!A122</f>
        <v>1.11</v>
      </c>
      <c r="B364" s="122" t="str">
        <f>'BM02'!B122</f>
        <v>INSTALAÇÕES HIDRAULICAS - LOUÇAS E METAIS</v>
      </c>
      <c r="C364" s="122"/>
      <c r="D364" s="122"/>
      <c r="E364" s="122"/>
      <c r="F364" s="122"/>
      <c r="G364" s="122"/>
      <c r="H364" s="122"/>
      <c r="I364" s="122"/>
      <c r="J364" s="122"/>
      <c r="K364" s="122"/>
      <c r="L364" s="122"/>
      <c r="M364" s="123"/>
    </row>
    <row r="365" spans="1:13" ht="12.75">
      <c r="A365" s="124"/>
      <c r="B365" s="125"/>
      <c r="C365" s="125"/>
      <c r="D365" s="125"/>
      <c r="E365" s="125"/>
      <c r="F365" s="125"/>
      <c r="G365" s="125"/>
      <c r="H365" s="125"/>
      <c r="I365" s="125"/>
      <c r="J365" s="125"/>
      <c r="K365" s="126"/>
      <c r="L365" s="125"/>
      <c r="M365" s="127"/>
    </row>
    <row r="366" spans="1:13" ht="28.9" customHeight="1">
      <c r="A366" s="128" t="str">
        <f>'BM02'!A124</f>
        <v>1.11.1</v>
      </c>
      <c r="B366" s="211" t="str">
        <f>'BM05'!B141</f>
        <v>VASO SANITARIO SIFONADO COM CAIXA ACOPLADA LOUCA BRANCA, INCLUSO ENGAT E FLEXIVEL EM PLASTICO BRANCO, 1/2 X 40CM - FORNECIMENTO E INSTALACAO . AF_12/2013</v>
      </c>
      <c r="C366" s="212"/>
      <c r="D366" s="212"/>
      <c r="E366" s="212"/>
      <c r="F366" s="212"/>
      <c r="G366" s="212"/>
      <c r="H366" s="212"/>
      <c r="I366" s="212"/>
      <c r="J366" s="212"/>
      <c r="K366" s="213"/>
      <c r="L366" s="129">
        <f>SUM(L367:L369)</f>
        <v>3</v>
      </c>
      <c r="M366" s="130" t="str">
        <f>'BM02'!C124</f>
        <v>un</v>
      </c>
    </row>
    <row r="367" spans="1:13" s="131" customFormat="1" ht="12.75">
      <c r="A367" s="132"/>
      <c r="B367" s="209" t="s">
        <v>728</v>
      </c>
      <c r="C367" s="210"/>
      <c r="D367" s="134">
        <v>1</v>
      </c>
      <c r="E367" s="134"/>
      <c r="F367" s="134"/>
      <c r="G367" s="134"/>
      <c r="H367" s="134"/>
      <c r="I367" s="134"/>
      <c r="J367" s="135"/>
      <c r="K367" s="135"/>
      <c r="L367" s="134">
        <f>D367</f>
        <v>1</v>
      </c>
      <c r="M367" s="136"/>
    </row>
    <row r="368" spans="1:13" s="131" customFormat="1" ht="12.75">
      <c r="A368" s="132"/>
      <c r="B368" s="209" t="s">
        <v>730</v>
      </c>
      <c r="C368" s="210"/>
      <c r="D368" s="134">
        <v>1</v>
      </c>
      <c r="E368" s="134"/>
      <c r="F368" s="134"/>
      <c r="G368" s="134"/>
      <c r="H368" s="134"/>
      <c r="I368" s="134"/>
      <c r="J368" s="135"/>
      <c r="K368" s="135"/>
      <c r="L368" s="134">
        <f t="shared" ref="L368:L369" si="21">D368</f>
        <v>1</v>
      </c>
      <c r="M368" s="136"/>
    </row>
    <row r="369" spans="1:14" s="131" customFormat="1" ht="12.75">
      <c r="A369" s="132"/>
      <c r="B369" s="209" t="s">
        <v>735</v>
      </c>
      <c r="C369" s="210"/>
      <c r="D369" s="134">
        <v>1</v>
      </c>
      <c r="E369" s="134"/>
      <c r="F369" s="134"/>
      <c r="G369" s="134"/>
      <c r="H369" s="134"/>
      <c r="I369" s="134"/>
      <c r="J369" s="135"/>
      <c r="K369" s="135"/>
      <c r="L369" s="134">
        <f t="shared" si="21"/>
        <v>1</v>
      </c>
      <c r="M369" s="136"/>
    </row>
    <row r="370" spans="1:14" s="131" customFormat="1" ht="12.75">
      <c r="A370" s="139"/>
      <c r="B370" s="140"/>
      <c r="C370" s="141"/>
      <c r="D370" s="142"/>
      <c r="E370" s="143"/>
      <c r="F370" s="142"/>
      <c r="G370" s="142"/>
      <c r="H370" s="143"/>
      <c r="I370" s="143"/>
      <c r="J370" s="144"/>
      <c r="K370" s="144"/>
      <c r="L370" s="142"/>
      <c r="M370" s="145"/>
    </row>
    <row r="371" spans="1:14" ht="30" customHeight="1">
      <c r="A371" s="128" t="str">
        <f>'BM02'!A125</f>
        <v>1.11.2</v>
      </c>
      <c r="B371" s="211" t="str">
        <f>'BM02'!B125</f>
        <v>VASO SANITARIO SIFONADO CONVENCIONAL PARA PCD SEM FURO FRONTAL COM LOUÇA BRANCA SEM ASSENTO, INCLUSO CONJUNTO DE LIGAÇÃO PARA BACIA SANITÁRIA AJUSTÁVEL - FORNECIMENTO E INSTALAÇÃO. AF_01/2020</v>
      </c>
      <c r="C371" s="212"/>
      <c r="D371" s="212"/>
      <c r="E371" s="212"/>
      <c r="F371" s="212"/>
      <c r="G371" s="212"/>
      <c r="H371" s="212"/>
      <c r="I371" s="212"/>
      <c r="J371" s="212"/>
      <c r="K371" s="213"/>
      <c r="L371" s="129">
        <f>SUM(L372:L373)</f>
        <v>2</v>
      </c>
      <c r="M371" s="130" t="str">
        <f>'BM02'!C125</f>
        <v>un</v>
      </c>
      <c r="N371" s="196" t="s">
        <v>776</v>
      </c>
    </row>
    <row r="372" spans="1:14" s="131" customFormat="1" ht="12.75">
      <c r="A372" s="132"/>
      <c r="B372" s="209" t="s">
        <v>729</v>
      </c>
      <c r="C372" s="210"/>
      <c r="D372" s="134">
        <v>1</v>
      </c>
      <c r="E372" s="134"/>
      <c r="F372" s="134"/>
      <c r="G372" s="134"/>
      <c r="H372" s="134"/>
      <c r="I372" s="134"/>
      <c r="J372" s="135"/>
      <c r="K372" s="135"/>
      <c r="L372" s="134">
        <f>D372</f>
        <v>1</v>
      </c>
      <c r="M372" s="136"/>
    </row>
    <row r="373" spans="1:14" s="131" customFormat="1" ht="12.75">
      <c r="A373" s="132"/>
      <c r="B373" s="209" t="s">
        <v>731</v>
      </c>
      <c r="C373" s="210"/>
      <c r="D373" s="134">
        <v>1</v>
      </c>
      <c r="E373" s="134"/>
      <c r="F373" s="134"/>
      <c r="G373" s="134"/>
      <c r="H373" s="134"/>
      <c r="I373" s="134"/>
      <c r="J373" s="135"/>
      <c r="K373" s="135"/>
      <c r="L373" s="134">
        <f t="shared" ref="L373" si="22">D373</f>
        <v>1</v>
      </c>
      <c r="M373" s="136"/>
    </row>
    <row r="374" spans="1:14" s="131" customFormat="1" ht="12.75">
      <c r="A374" s="139"/>
      <c r="B374" s="140"/>
      <c r="C374" s="141"/>
      <c r="D374" s="142"/>
      <c r="E374" s="143"/>
      <c r="F374" s="142"/>
      <c r="G374" s="142"/>
      <c r="H374" s="143"/>
      <c r="I374" s="143"/>
      <c r="J374" s="144"/>
      <c r="K374" s="144"/>
      <c r="L374" s="142"/>
      <c r="M374" s="145"/>
    </row>
    <row r="375" spans="1:14" ht="30" customHeight="1">
      <c r="A375" s="128" t="str">
        <f>'BM02'!A126</f>
        <v>1.11.3</v>
      </c>
      <c r="B375" s="211" t="str">
        <f>'BM02'!B126</f>
        <v>Lavatório louça de canto (Deca-Izy, ref L-10117 ou similar) sem coluna, c/ sifão cromado, válvula cromada, engate cromado, exclusive torneira</v>
      </c>
      <c r="C375" s="212"/>
      <c r="D375" s="212"/>
      <c r="E375" s="212"/>
      <c r="F375" s="212"/>
      <c r="G375" s="212"/>
      <c r="H375" s="212"/>
      <c r="I375" s="212"/>
      <c r="J375" s="212"/>
      <c r="K375" s="213"/>
      <c r="L375" s="129">
        <f>SUM(L376:L380)</f>
        <v>5</v>
      </c>
      <c r="M375" s="130" t="str">
        <f>'BM02'!C126</f>
        <v>un</v>
      </c>
    </row>
    <row r="376" spans="1:14" s="131" customFormat="1" ht="12.75">
      <c r="A376" s="132"/>
      <c r="B376" s="209" t="s">
        <v>728</v>
      </c>
      <c r="C376" s="210"/>
      <c r="D376" s="134">
        <v>1</v>
      </c>
      <c r="E376" s="134"/>
      <c r="F376" s="134"/>
      <c r="G376" s="134"/>
      <c r="H376" s="134"/>
      <c r="I376" s="134"/>
      <c r="J376" s="135"/>
      <c r="K376" s="135"/>
      <c r="L376" s="134">
        <f>D376</f>
        <v>1</v>
      </c>
      <c r="M376" s="136"/>
    </row>
    <row r="377" spans="1:14" s="131" customFormat="1" ht="12.75">
      <c r="A377" s="132"/>
      <c r="B377" s="209" t="s">
        <v>730</v>
      </c>
      <c r="C377" s="210"/>
      <c r="D377" s="134">
        <v>1</v>
      </c>
      <c r="E377" s="134"/>
      <c r="F377" s="134"/>
      <c r="G377" s="134"/>
      <c r="H377" s="134"/>
      <c r="I377" s="134"/>
      <c r="J377" s="135"/>
      <c r="K377" s="135"/>
      <c r="L377" s="134">
        <f t="shared" ref="L377:L380" si="23">D377</f>
        <v>1</v>
      </c>
      <c r="M377" s="136"/>
    </row>
    <row r="378" spans="1:14" s="131" customFormat="1" ht="12.75">
      <c r="A378" s="132"/>
      <c r="B378" s="209" t="s">
        <v>729</v>
      </c>
      <c r="C378" s="210"/>
      <c r="D378" s="134">
        <v>1</v>
      </c>
      <c r="E378" s="134"/>
      <c r="F378" s="134"/>
      <c r="G378" s="134"/>
      <c r="H378" s="134"/>
      <c r="I378" s="134"/>
      <c r="J378" s="135"/>
      <c r="K378" s="135"/>
      <c r="L378" s="134">
        <f t="shared" si="23"/>
        <v>1</v>
      </c>
      <c r="M378" s="136"/>
    </row>
    <row r="379" spans="1:14" s="131" customFormat="1" ht="12.75">
      <c r="A379" s="132"/>
      <c r="B379" s="209" t="s">
        <v>731</v>
      </c>
      <c r="C379" s="210"/>
      <c r="D379" s="134">
        <v>1</v>
      </c>
      <c r="E379" s="134"/>
      <c r="F379" s="134"/>
      <c r="G379" s="134"/>
      <c r="H379" s="134"/>
      <c r="I379" s="134"/>
      <c r="J379" s="135"/>
      <c r="K379" s="135"/>
      <c r="L379" s="134">
        <f t="shared" si="23"/>
        <v>1</v>
      </c>
      <c r="M379" s="136"/>
    </row>
    <row r="380" spans="1:14" s="131" customFormat="1" ht="12.75">
      <c r="A380" s="132"/>
      <c r="B380" s="209" t="s">
        <v>735</v>
      </c>
      <c r="C380" s="210"/>
      <c r="D380" s="134">
        <v>1</v>
      </c>
      <c r="E380" s="134"/>
      <c r="F380" s="134"/>
      <c r="G380" s="134"/>
      <c r="H380" s="134"/>
      <c r="I380" s="134"/>
      <c r="J380" s="135"/>
      <c r="K380" s="135"/>
      <c r="L380" s="134">
        <f t="shared" si="23"/>
        <v>1</v>
      </c>
      <c r="M380" s="136"/>
    </row>
    <row r="381" spans="1:14" s="131" customFormat="1" ht="12.75">
      <c r="A381" s="139"/>
      <c r="B381" s="140"/>
      <c r="C381" s="141"/>
      <c r="D381" s="142"/>
      <c r="E381" s="143"/>
      <c r="F381" s="142"/>
      <c r="G381" s="142"/>
      <c r="H381" s="143"/>
      <c r="I381" s="143"/>
      <c r="J381" s="144"/>
      <c r="K381" s="144"/>
      <c r="L381" s="142"/>
      <c r="M381" s="145"/>
    </row>
    <row r="382" spans="1:14" ht="30" customHeight="1">
      <c r="A382" s="128" t="str">
        <f>'BM02'!A127</f>
        <v>1.11.4</v>
      </c>
      <c r="B382" s="211" t="str">
        <f>'BM02'!B127</f>
        <v>Lavatório louça (Deca-Ravena ref L-915) sem coluna, c/válvula, sifão, engate e torneira (herc ref 1994) todos de plástico, conj. de fixação (deca ref sp7) ou similares</v>
      </c>
      <c r="C382" s="212"/>
      <c r="D382" s="212"/>
      <c r="E382" s="212"/>
      <c r="F382" s="212"/>
      <c r="G382" s="212"/>
      <c r="H382" s="212"/>
      <c r="I382" s="212"/>
      <c r="J382" s="212"/>
      <c r="K382" s="213"/>
      <c r="L382" s="129">
        <f>L383</f>
        <v>0</v>
      </c>
      <c r="M382" s="130" t="str">
        <f>'BM02'!C127</f>
        <v>un</v>
      </c>
    </row>
    <row r="383" spans="1:14" s="131" customFormat="1" ht="12.75">
      <c r="A383" s="132"/>
      <c r="B383" s="209"/>
      <c r="C383" s="210"/>
      <c r="D383" s="134"/>
      <c r="E383" s="134"/>
      <c r="F383" s="134"/>
      <c r="G383" s="134"/>
      <c r="H383" s="134"/>
      <c r="I383" s="134"/>
      <c r="J383" s="135"/>
      <c r="K383" s="135"/>
      <c r="L383" s="134">
        <f>ROUND(D383*K383,2)</f>
        <v>0</v>
      </c>
      <c r="M383" s="136"/>
    </row>
    <row r="384" spans="1:14" s="131" customFormat="1" ht="12.75">
      <c r="A384" s="139"/>
      <c r="B384" s="140"/>
      <c r="C384" s="141"/>
      <c r="D384" s="142"/>
      <c r="E384" s="143"/>
      <c r="F384" s="142"/>
      <c r="G384" s="142"/>
      <c r="H384" s="143"/>
      <c r="I384" s="143"/>
      <c r="J384" s="144"/>
      <c r="K384" s="144"/>
      <c r="L384" s="142"/>
      <c r="M384" s="145"/>
    </row>
    <row r="385" spans="1:13" ht="43.15" customHeight="1">
      <c r="A385" s="128" t="str">
        <f>'BM02'!A128</f>
        <v>1.11.5</v>
      </c>
      <c r="B385" s="211" t="str">
        <f>'BM02'!B128</f>
        <v>REGISTRO DE GAVETA BRUTO, LATÃO, ROSCÁVEL, 1 1/2, COM ACABAMENTO E CANOPLA CROMADOS, INSTALADO EM RESERVAÇÃO DE ÁGUA DE EDIFICAÇÃO QUE POSSUA RESERVATÓRIO DE FIBRA/FIBROCIMENTO FORNECIMENTO E INSTALAÇÃO. AF_06/2016</v>
      </c>
      <c r="C385" s="212"/>
      <c r="D385" s="212"/>
      <c r="E385" s="212"/>
      <c r="F385" s="212"/>
      <c r="G385" s="212"/>
      <c r="H385" s="212"/>
      <c r="I385" s="212"/>
      <c r="J385" s="212"/>
      <c r="K385" s="213"/>
      <c r="L385" s="129">
        <f>SUM(L386:L392)</f>
        <v>7</v>
      </c>
      <c r="M385" s="130" t="str">
        <f>'BM02'!C128</f>
        <v>un</v>
      </c>
    </row>
    <row r="386" spans="1:13" s="131" customFormat="1" ht="12.75">
      <c r="A386" s="132"/>
      <c r="B386" s="209" t="s">
        <v>728</v>
      </c>
      <c r="C386" s="210"/>
      <c r="D386" s="134">
        <v>1</v>
      </c>
      <c r="E386" s="134"/>
      <c r="F386" s="134"/>
      <c r="G386" s="134"/>
      <c r="H386" s="134"/>
      <c r="I386" s="134"/>
      <c r="J386" s="135"/>
      <c r="K386" s="135"/>
      <c r="L386" s="134">
        <f>D386</f>
        <v>1</v>
      </c>
      <c r="M386" s="136"/>
    </row>
    <row r="387" spans="1:13" s="131" customFormat="1" ht="12.75">
      <c r="A387" s="132"/>
      <c r="B387" s="209" t="s">
        <v>730</v>
      </c>
      <c r="C387" s="210"/>
      <c r="D387" s="134">
        <v>1</v>
      </c>
      <c r="E387" s="134"/>
      <c r="F387" s="134"/>
      <c r="G387" s="134"/>
      <c r="H387" s="134"/>
      <c r="I387" s="134"/>
      <c r="J387" s="135"/>
      <c r="K387" s="135"/>
      <c r="L387" s="134">
        <f t="shared" ref="L387:L390" si="24">D387</f>
        <v>1</v>
      </c>
      <c r="M387" s="136"/>
    </row>
    <row r="388" spans="1:13" s="131" customFormat="1" ht="12.75">
      <c r="A388" s="132"/>
      <c r="B388" s="209" t="s">
        <v>729</v>
      </c>
      <c r="C388" s="210"/>
      <c r="D388" s="134">
        <v>1</v>
      </c>
      <c r="E388" s="134"/>
      <c r="F388" s="134"/>
      <c r="G388" s="134"/>
      <c r="H388" s="134"/>
      <c r="I388" s="134"/>
      <c r="J388" s="135"/>
      <c r="K388" s="135"/>
      <c r="L388" s="134">
        <f t="shared" si="24"/>
        <v>1</v>
      </c>
      <c r="M388" s="136"/>
    </row>
    <row r="389" spans="1:13" s="131" customFormat="1" ht="12.75">
      <c r="A389" s="132"/>
      <c r="B389" s="209" t="s">
        <v>731</v>
      </c>
      <c r="C389" s="210"/>
      <c r="D389" s="134">
        <v>1</v>
      </c>
      <c r="E389" s="134"/>
      <c r="F389" s="134"/>
      <c r="G389" s="134"/>
      <c r="H389" s="134"/>
      <c r="I389" s="134"/>
      <c r="J389" s="135"/>
      <c r="K389" s="135"/>
      <c r="L389" s="134">
        <f t="shared" si="24"/>
        <v>1</v>
      </c>
      <c r="M389" s="136"/>
    </row>
    <row r="390" spans="1:13" s="131" customFormat="1" ht="12.75">
      <c r="A390" s="132"/>
      <c r="B390" s="209" t="s">
        <v>735</v>
      </c>
      <c r="C390" s="210"/>
      <c r="D390" s="134">
        <v>1</v>
      </c>
      <c r="E390" s="134"/>
      <c r="F390" s="134"/>
      <c r="G390" s="134"/>
      <c r="H390" s="134"/>
      <c r="I390" s="134"/>
      <c r="J390" s="135"/>
      <c r="K390" s="135"/>
      <c r="L390" s="134">
        <f t="shared" si="24"/>
        <v>1</v>
      </c>
      <c r="M390" s="136"/>
    </row>
    <row r="391" spans="1:13" s="131" customFormat="1" ht="12.75">
      <c r="A391" s="132"/>
      <c r="B391" s="209" t="s">
        <v>733</v>
      </c>
      <c r="C391" s="210"/>
      <c r="D391" s="134">
        <v>1</v>
      </c>
      <c r="E391" s="134"/>
      <c r="F391" s="134"/>
      <c r="G391" s="134"/>
      <c r="H391" s="134"/>
      <c r="I391" s="134"/>
      <c r="J391" s="135"/>
      <c r="K391" s="135"/>
      <c r="L391" s="134">
        <f t="shared" ref="L391:L392" si="25">D391</f>
        <v>1</v>
      </c>
      <c r="M391" s="136"/>
    </row>
    <row r="392" spans="1:13" s="131" customFormat="1" ht="12.75">
      <c r="A392" s="132"/>
      <c r="B392" s="209" t="s">
        <v>736</v>
      </c>
      <c r="C392" s="210"/>
      <c r="D392" s="134">
        <v>1</v>
      </c>
      <c r="E392" s="134"/>
      <c r="F392" s="134"/>
      <c r="G392" s="134"/>
      <c r="H392" s="134"/>
      <c r="I392" s="134"/>
      <c r="J392" s="135"/>
      <c r="K392" s="135"/>
      <c r="L392" s="134">
        <f t="shared" si="25"/>
        <v>1</v>
      </c>
      <c r="M392" s="136"/>
    </row>
    <row r="393" spans="1:13" s="131" customFormat="1" ht="12.75">
      <c r="A393" s="139"/>
      <c r="B393" s="140"/>
      <c r="C393" s="141"/>
      <c r="D393" s="142"/>
      <c r="E393" s="143"/>
      <c r="F393" s="142"/>
      <c r="G393" s="142"/>
      <c r="H393" s="143"/>
      <c r="I393" s="143"/>
      <c r="J393" s="144"/>
      <c r="K393" s="144"/>
      <c r="L393" s="142"/>
      <c r="M393" s="145"/>
    </row>
    <row r="394" spans="1:13" ht="30" customHeight="1">
      <c r="A394" s="128" t="str">
        <f>'BM02'!A129</f>
        <v>1.11.6</v>
      </c>
      <c r="B394" s="211" t="str">
        <f>'BM02'!B129</f>
        <v>REGISTRO DE PRESSÃO BRUTO, LATÃO, ROSCÁVEL, 3/4", COM ACABAMENTO E CANOPLA CROMADOS. FORNECIDO E INSTALADO EM RAMAL DE ÁGUA. AF_12/2014</v>
      </c>
      <c r="C394" s="212"/>
      <c r="D394" s="212"/>
      <c r="E394" s="212"/>
      <c r="F394" s="212"/>
      <c r="G394" s="212"/>
      <c r="H394" s="212"/>
      <c r="I394" s="212"/>
      <c r="J394" s="212"/>
      <c r="K394" s="213"/>
      <c r="L394" s="129">
        <f>L395</f>
        <v>1</v>
      </c>
      <c r="M394" s="130" t="str">
        <f>'BM02'!C129</f>
        <v>un</v>
      </c>
    </row>
    <row r="395" spans="1:13" s="131" customFormat="1" ht="12.75">
      <c r="A395" s="132"/>
      <c r="B395" s="209" t="s">
        <v>760</v>
      </c>
      <c r="C395" s="210"/>
      <c r="D395" s="134">
        <v>1</v>
      </c>
      <c r="E395" s="134"/>
      <c r="F395" s="134"/>
      <c r="G395" s="134"/>
      <c r="H395" s="134"/>
      <c r="I395" s="134"/>
      <c r="J395" s="135"/>
      <c r="K395" s="135"/>
      <c r="L395" s="134">
        <f t="shared" ref="L395" si="26">D395</f>
        <v>1</v>
      </c>
      <c r="M395" s="136"/>
    </row>
    <row r="396" spans="1:13" s="131" customFormat="1" ht="12.75">
      <c r="A396" s="139"/>
      <c r="B396" s="140"/>
      <c r="C396" s="141"/>
      <c r="D396" s="142"/>
      <c r="E396" s="143"/>
      <c r="F396" s="142"/>
      <c r="G396" s="142"/>
      <c r="H396" s="143"/>
      <c r="I396" s="143"/>
      <c r="J396" s="144"/>
      <c r="K396" s="144"/>
      <c r="L396" s="142"/>
      <c r="M396" s="145"/>
    </row>
    <row r="397" spans="1:13" ht="30" customHeight="1">
      <c r="A397" s="128" t="str">
        <f>'BM02'!A130</f>
        <v>1.11.7</v>
      </c>
      <c r="B397" s="211" t="str">
        <f>'BM02'!B130</f>
        <v>TORNEIRA CROMADA TUBO MÓVEL, DE PAREDE, 1/2 OU 3/4, PARA PIA DE COZINHA, PADRÃO MÉDIO - FORNECIMENTO E INSTALAÇÃO. AF_01/2020</v>
      </c>
      <c r="C397" s="212"/>
      <c r="D397" s="212"/>
      <c r="E397" s="212"/>
      <c r="F397" s="212"/>
      <c r="G397" s="212"/>
      <c r="H397" s="212"/>
      <c r="I397" s="212"/>
      <c r="J397" s="212"/>
      <c r="K397" s="213"/>
      <c r="L397" s="129">
        <f>L398</f>
        <v>0</v>
      </c>
      <c r="M397" s="130" t="str">
        <f>'BM02'!C130</f>
        <v>un</v>
      </c>
    </row>
    <row r="398" spans="1:13" s="131" customFormat="1" ht="12.75">
      <c r="A398" s="132"/>
      <c r="B398" s="209"/>
      <c r="C398" s="210"/>
      <c r="D398" s="134"/>
      <c r="E398" s="134"/>
      <c r="F398" s="134"/>
      <c r="G398" s="134"/>
      <c r="H398" s="134"/>
      <c r="I398" s="134"/>
      <c r="J398" s="135"/>
      <c r="K398" s="135"/>
      <c r="L398" s="134">
        <f>ROUND(D398*K398,2)</f>
        <v>0</v>
      </c>
      <c r="M398" s="136"/>
    </row>
    <row r="399" spans="1:13" s="131" customFormat="1" ht="12.75">
      <c r="A399" s="139"/>
      <c r="B399" s="140"/>
      <c r="C399" s="141"/>
      <c r="D399" s="142"/>
      <c r="E399" s="143"/>
      <c r="F399" s="142"/>
      <c r="G399" s="142"/>
      <c r="H399" s="143"/>
      <c r="I399" s="143"/>
      <c r="J399" s="144"/>
      <c r="K399" s="144"/>
      <c r="L399" s="142"/>
      <c r="M399" s="145"/>
    </row>
    <row r="400" spans="1:13" ht="30" customHeight="1">
      <c r="A400" s="128" t="str">
        <f>'BM02'!A131</f>
        <v>1.11.8</v>
      </c>
      <c r="B400" s="211" t="str">
        <f>'BM02'!B131</f>
        <v>TORNEIRA CROMADA DE MESA, 1/2 OU 3/4, PARA LAVATÓRIO, PADRÃO MÉDIO - FORNECIMENTO E INSTALAÇÃO. AF_01/2020</v>
      </c>
      <c r="C400" s="212"/>
      <c r="D400" s="212"/>
      <c r="E400" s="212"/>
      <c r="F400" s="212"/>
      <c r="G400" s="212"/>
      <c r="H400" s="212"/>
      <c r="I400" s="212"/>
      <c r="J400" s="212"/>
      <c r="K400" s="213"/>
      <c r="L400" s="129">
        <f>SUM(L401:L405)</f>
        <v>5</v>
      </c>
      <c r="M400" s="130" t="str">
        <f>'BM02'!C131</f>
        <v>un</v>
      </c>
    </row>
    <row r="401" spans="1:13" s="131" customFormat="1" ht="12.75">
      <c r="A401" s="132"/>
      <c r="B401" s="209" t="s">
        <v>728</v>
      </c>
      <c r="C401" s="210"/>
      <c r="D401" s="134">
        <v>1</v>
      </c>
      <c r="E401" s="134"/>
      <c r="F401" s="134"/>
      <c r="G401" s="134"/>
      <c r="H401" s="134"/>
      <c r="I401" s="134"/>
      <c r="J401" s="135"/>
      <c r="K401" s="135"/>
      <c r="L401" s="134">
        <f>D401</f>
        <v>1</v>
      </c>
      <c r="M401" s="136"/>
    </row>
    <row r="402" spans="1:13" s="131" customFormat="1" ht="12.75">
      <c r="A402" s="132"/>
      <c r="B402" s="209" t="s">
        <v>730</v>
      </c>
      <c r="C402" s="210"/>
      <c r="D402" s="134">
        <v>1</v>
      </c>
      <c r="E402" s="134"/>
      <c r="F402" s="134"/>
      <c r="G402" s="134"/>
      <c r="H402" s="134"/>
      <c r="I402" s="134"/>
      <c r="J402" s="135"/>
      <c r="K402" s="135"/>
      <c r="L402" s="134">
        <f t="shared" ref="L402:L405" si="27">D402</f>
        <v>1</v>
      </c>
      <c r="M402" s="136"/>
    </row>
    <row r="403" spans="1:13" s="131" customFormat="1" ht="12.75">
      <c r="A403" s="132"/>
      <c r="B403" s="209" t="s">
        <v>729</v>
      </c>
      <c r="C403" s="210"/>
      <c r="D403" s="134">
        <v>1</v>
      </c>
      <c r="E403" s="134"/>
      <c r="F403" s="134"/>
      <c r="G403" s="134"/>
      <c r="H403" s="134"/>
      <c r="I403" s="134"/>
      <c r="J403" s="135"/>
      <c r="K403" s="135"/>
      <c r="L403" s="134">
        <f t="shared" si="27"/>
        <v>1</v>
      </c>
      <c r="M403" s="136"/>
    </row>
    <row r="404" spans="1:13" s="131" customFormat="1" ht="12.75">
      <c r="A404" s="132"/>
      <c r="B404" s="209" t="s">
        <v>731</v>
      </c>
      <c r="C404" s="210"/>
      <c r="D404" s="134">
        <v>1</v>
      </c>
      <c r="E404" s="134"/>
      <c r="F404" s="134"/>
      <c r="G404" s="134"/>
      <c r="H404" s="134"/>
      <c r="I404" s="134"/>
      <c r="J404" s="135"/>
      <c r="K404" s="135"/>
      <c r="L404" s="134">
        <f t="shared" si="27"/>
        <v>1</v>
      </c>
      <c r="M404" s="136"/>
    </row>
    <row r="405" spans="1:13" s="131" customFormat="1" ht="12.75">
      <c r="A405" s="132"/>
      <c r="B405" s="209" t="s">
        <v>735</v>
      </c>
      <c r="C405" s="210"/>
      <c r="D405" s="134">
        <v>1</v>
      </c>
      <c r="E405" s="134"/>
      <c r="F405" s="134"/>
      <c r="G405" s="134"/>
      <c r="H405" s="134"/>
      <c r="I405" s="134"/>
      <c r="J405" s="135"/>
      <c r="K405" s="135"/>
      <c r="L405" s="134">
        <f t="shared" si="27"/>
        <v>1</v>
      </c>
      <c r="M405" s="136"/>
    </row>
    <row r="406" spans="1:13" s="131" customFormat="1" ht="12.75">
      <c r="A406" s="139"/>
      <c r="B406" s="140"/>
      <c r="C406" s="141"/>
      <c r="D406" s="142"/>
      <c r="E406" s="143"/>
      <c r="F406" s="142"/>
      <c r="G406" s="142"/>
      <c r="H406" s="143"/>
      <c r="I406" s="143"/>
      <c r="J406" s="144"/>
      <c r="K406" s="144"/>
      <c r="L406" s="142"/>
      <c r="M406" s="145"/>
    </row>
    <row r="407" spans="1:13" ht="12.75">
      <c r="A407" s="128" t="str">
        <f>'BM02'!A132</f>
        <v>1.11.9</v>
      </c>
      <c r="B407" s="211" t="str">
        <f>'BM02'!B132</f>
        <v>TORNEIRA CROMADA 1/2 OU 3/4 PARA TANQUE, PADRÃO MÉDIO - FORNECIMENTO E INSTALAÇÃO. AF_01/2020</v>
      </c>
      <c r="C407" s="212"/>
      <c r="D407" s="212"/>
      <c r="E407" s="212"/>
      <c r="F407" s="212"/>
      <c r="G407" s="212"/>
      <c r="H407" s="212"/>
      <c r="I407" s="212"/>
      <c r="J407" s="212"/>
      <c r="K407" s="213"/>
      <c r="L407" s="129">
        <f>L408</f>
        <v>2</v>
      </c>
      <c r="M407" s="130" t="str">
        <f>'BM02'!C132</f>
        <v>un</v>
      </c>
    </row>
    <row r="408" spans="1:13" s="131" customFormat="1" ht="12.75">
      <c r="A408" s="132"/>
      <c r="B408" s="209" t="s">
        <v>736</v>
      </c>
      <c r="C408" s="210"/>
      <c r="D408" s="134">
        <v>2</v>
      </c>
      <c r="E408" s="134"/>
      <c r="F408" s="134"/>
      <c r="G408" s="134"/>
      <c r="H408" s="134"/>
      <c r="I408" s="134"/>
      <c r="J408" s="135"/>
      <c r="K408" s="135"/>
      <c r="L408" s="134">
        <f t="shared" ref="L408" si="28">D408</f>
        <v>2</v>
      </c>
      <c r="M408" s="136"/>
    </row>
    <row r="409" spans="1:13" s="131" customFormat="1" ht="12.75">
      <c r="A409" s="139"/>
      <c r="B409" s="140"/>
      <c r="C409" s="141"/>
      <c r="D409" s="142"/>
      <c r="E409" s="143"/>
      <c r="F409" s="142"/>
      <c r="G409" s="142"/>
      <c r="H409" s="143"/>
      <c r="I409" s="143"/>
      <c r="J409" s="144"/>
      <c r="K409" s="144"/>
      <c r="L409" s="142"/>
      <c r="M409" s="145"/>
    </row>
    <row r="410" spans="1:13" ht="12.75">
      <c r="A410" s="184" t="str">
        <f>'BM02'!A133</f>
        <v>1.11.10</v>
      </c>
      <c r="B410" s="211" t="str">
        <f>'BM02'!B133</f>
        <v>Cabide em aço inox, MOLDENOX, linha stylus 108 RSL ou similar</v>
      </c>
      <c r="C410" s="212"/>
      <c r="D410" s="212"/>
      <c r="E410" s="212"/>
      <c r="F410" s="212"/>
      <c r="G410" s="212"/>
      <c r="H410" s="212"/>
      <c r="I410" s="212"/>
      <c r="J410" s="212"/>
      <c r="K410" s="213"/>
      <c r="L410" s="129">
        <f>L411</f>
        <v>0</v>
      </c>
      <c r="M410" s="130" t="str">
        <f>'BM02'!C133</f>
        <v>un</v>
      </c>
    </row>
    <row r="411" spans="1:13" s="131" customFormat="1" ht="12.75">
      <c r="A411" s="132"/>
      <c r="B411" s="209"/>
      <c r="C411" s="210"/>
      <c r="D411" s="134"/>
      <c r="E411" s="134"/>
      <c r="F411" s="134"/>
      <c r="G411" s="134"/>
      <c r="H411" s="134"/>
      <c r="I411" s="134"/>
      <c r="J411" s="135"/>
      <c r="K411" s="135"/>
      <c r="L411" s="134">
        <f>ROUND(D411*K411,2)</f>
        <v>0</v>
      </c>
      <c r="M411" s="136"/>
    </row>
    <row r="412" spans="1:13" s="131" customFormat="1" ht="12.75">
      <c r="A412" s="139"/>
      <c r="B412" s="140"/>
      <c r="C412" s="141"/>
      <c r="D412" s="142"/>
      <c r="E412" s="143"/>
      <c r="F412" s="142"/>
      <c r="G412" s="142"/>
      <c r="H412" s="143"/>
      <c r="I412" s="143"/>
      <c r="J412" s="144"/>
      <c r="K412" s="144"/>
      <c r="L412" s="142"/>
      <c r="M412" s="145"/>
    </row>
    <row r="413" spans="1:13" ht="12.75">
      <c r="A413" s="184" t="str">
        <f>'BM02'!A134</f>
        <v>1.11.11</v>
      </c>
      <c r="B413" s="211" t="str">
        <f>'BM02'!B134</f>
        <v>Chuveiro plástico sem registro</v>
      </c>
      <c r="C413" s="212"/>
      <c r="D413" s="212"/>
      <c r="E413" s="212"/>
      <c r="F413" s="212"/>
      <c r="G413" s="212"/>
      <c r="H413" s="212"/>
      <c r="I413" s="212"/>
      <c r="J413" s="212"/>
      <c r="K413" s="213"/>
      <c r="L413" s="129">
        <f>L414</f>
        <v>1</v>
      </c>
      <c r="M413" s="130" t="str">
        <f>'BM02'!C134</f>
        <v>un</v>
      </c>
    </row>
    <row r="414" spans="1:13" s="131" customFormat="1" ht="12.75">
      <c r="A414" s="132"/>
      <c r="B414" s="209" t="s">
        <v>735</v>
      </c>
      <c r="C414" s="210"/>
      <c r="D414" s="134">
        <f>1</f>
        <v>1</v>
      </c>
      <c r="E414" s="134"/>
      <c r="F414" s="134"/>
      <c r="G414" s="134"/>
      <c r="H414" s="134"/>
      <c r="I414" s="134"/>
      <c r="J414" s="135"/>
      <c r="K414" s="135"/>
      <c r="L414" s="134">
        <f t="shared" ref="L414" si="29">D414</f>
        <v>1</v>
      </c>
      <c r="M414" s="136"/>
    </row>
    <row r="415" spans="1:13" s="131" customFormat="1" ht="12.75">
      <c r="A415" s="139"/>
      <c r="B415" s="140"/>
      <c r="C415" s="141"/>
      <c r="D415" s="142"/>
      <c r="E415" s="143"/>
      <c r="F415" s="142"/>
      <c r="G415" s="142"/>
      <c r="H415" s="143"/>
      <c r="I415" s="143"/>
      <c r="J415" s="144"/>
      <c r="K415" s="144"/>
      <c r="L415" s="142"/>
      <c r="M415" s="145"/>
    </row>
    <row r="416" spans="1:13" ht="30" customHeight="1">
      <c r="A416" s="128" t="str">
        <f>'BM02'!A135</f>
        <v>1.11.12</v>
      </c>
      <c r="B416" s="211" t="str">
        <f>'BM02'!B135</f>
        <v>SABONETEIRA PLASTICA TIPO DISPENSER PARA SABONETE LIQUIDO COM RESERVATORIO 800 A 1500 ML, INCLUSO FIXAÇÃO. AF_01/2020</v>
      </c>
      <c r="C416" s="212"/>
      <c r="D416" s="212"/>
      <c r="E416" s="212"/>
      <c r="F416" s="212"/>
      <c r="G416" s="212"/>
      <c r="H416" s="212"/>
      <c r="I416" s="212"/>
      <c r="J416" s="212"/>
      <c r="K416" s="213"/>
      <c r="L416" s="129">
        <f>L417</f>
        <v>0</v>
      </c>
      <c r="M416" s="130" t="str">
        <f>'BM02'!C135</f>
        <v>un</v>
      </c>
    </row>
    <row r="417" spans="1:13" s="131" customFormat="1" ht="12.75">
      <c r="A417" s="132"/>
      <c r="B417" s="209"/>
      <c r="C417" s="210"/>
      <c r="D417" s="134"/>
      <c r="E417" s="134"/>
      <c r="F417" s="134"/>
      <c r="G417" s="134"/>
      <c r="H417" s="134"/>
      <c r="I417" s="134"/>
      <c r="J417" s="135"/>
      <c r="K417" s="135"/>
      <c r="L417" s="134">
        <f>ROUND(D417*K417,2)</f>
        <v>0</v>
      </c>
      <c r="M417" s="136"/>
    </row>
    <row r="418" spans="1:13" s="131" customFormat="1" ht="12.75">
      <c r="A418" s="139"/>
      <c r="B418" s="140"/>
      <c r="C418" s="141"/>
      <c r="D418" s="142"/>
      <c r="E418" s="143"/>
      <c r="F418" s="142"/>
      <c r="G418" s="142"/>
      <c r="H418" s="143"/>
      <c r="I418" s="143"/>
      <c r="J418" s="144"/>
      <c r="K418" s="144"/>
      <c r="L418" s="142"/>
      <c r="M418" s="145"/>
    </row>
    <row r="419" spans="1:13" ht="12.75">
      <c r="A419" s="184" t="str">
        <f>'BM02'!A136</f>
        <v>1.11.13</v>
      </c>
      <c r="B419" s="211" t="str">
        <f>'BM02'!B136</f>
        <v>Dispenser para toalha interfolhada</v>
      </c>
      <c r="C419" s="212"/>
      <c r="D419" s="212"/>
      <c r="E419" s="212"/>
      <c r="F419" s="212"/>
      <c r="G419" s="212"/>
      <c r="H419" s="212"/>
      <c r="I419" s="212"/>
      <c r="J419" s="212"/>
      <c r="K419" s="213"/>
      <c r="L419" s="129">
        <f>L420</f>
        <v>0</v>
      </c>
      <c r="M419" s="130" t="str">
        <f>'BM02'!C136</f>
        <v>un</v>
      </c>
    </row>
    <row r="420" spans="1:13" s="131" customFormat="1" ht="12.75">
      <c r="A420" s="132"/>
      <c r="B420" s="209"/>
      <c r="C420" s="210"/>
      <c r="D420" s="134"/>
      <c r="E420" s="134"/>
      <c r="F420" s="134"/>
      <c r="G420" s="134"/>
      <c r="H420" s="134"/>
      <c r="I420" s="134"/>
      <c r="J420" s="135"/>
      <c r="K420" s="135"/>
      <c r="L420" s="134">
        <f>ROUND(D420*K420,2)</f>
        <v>0</v>
      </c>
      <c r="M420" s="136"/>
    </row>
    <row r="421" spans="1:13" s="131" customFormat="1" ht="12.75">
      <c r="A421" s="139"/>
      <c r="B421" s="140"/>
      <c r="C421" s="141"/>
      <c r="D421" s="142"/>
      <c r="E421" s="143"/>
      <c r="F421" s="142"/>
      <c r="G421" s="142"/>
      <c r="H421" s="143"/>
      <c r="I421" s="143"/>
      <c r="J421" s="144"/>
      <c r="K421" s="144"/>
      <c r="L421" s="142"/>
      <c r="M421" s="145"/>
    </row>
    <row r="422" spans="1:13" ht="12.75">
      <c r="A422" s="184" t="str">
        <f>'BM02'!A137</f>
        <v>1.11.14</v>
      </c>
      <c r="B422" s="211" t="str">
        <f>'BM02'!B137</f>
        <v>Dispenser, em plástico, para papel higiênico em rolo</v>
      </c>
      <c r="C422" s="212"/>
      <c r="D422" s="212"/>
      <c r="E422" s="212"/>
      <c r="F422" s="212"/>
      <c r="G422" s="212"/>
      <c r="H422" s="212"/>
      <c r="I422" s="212"/>
      <c r="J422" s="212"/>
      <c r="K422" s="213"/>
      <c r="L422" s="129">
        <f>L423</f>
        <v>0</v>
      </c>
      <c r="M422" s="130" t="str">
        <f>'BM02'!C137</f>
        <v>un</v>
      </c>
    </row>
    <row r="423" spans="1:13" s="131" customFormat="1" ht="12.75">
      <c r="A423" s="132"/>
      <c r="B423" s="209"/>
      <c r="C423" s="210"/>
      <c r="D423" s="134"/>
      <c r="E423" s="134"/>
      <c r="F423" s="134"/>
      <c r="G423" s="134"/>
      <c r="H423" s="134"/>
      <c r="I423" s="134"/>
      <c r="J423" s="135"/>
      <c r="K423" s="135"/>
      <c r="L423" s="134">
        <f>ROUND(D423*K423,2)</f>
        <v>0</v>
      </c>
      <c r="M423" s="136"/>
    </row>
    <row r="424" spans="1:13" s="131" customFormat="1" ht="12.75">
      <c r="A424" s="139"/>
      <c r="B424" s="140"/>
      <c r="C424" s="141"/>
      <c r="D424" s="142"/>
      <c r="E424" s="143"/>
      <c r="F424" s="142"/>
      <c r="G424" s="142"/>
      <c r="H424" s="143"/>
      <c r="I424" s="143"/>
      <c r="J424" s="144"/>
      <c r="K424" s="144"/>
      <c r="L424" s="142"/>
      <c r="M424" s="145"/>
    </row>
    <row r="425" spans="1:13" ht="30" customHeight="1">
      <c r="A425" s="128" t="str">
        <f>'BM02'!A138</f>
        <v>1.11.15</v>
      </c>
      <c r="B425" s="211" t="str">
        <f>'BM02'!B138</f>
        <v>RALO SIFONADO, PVC, DN 100 X 40 MM, JUNTA SOLDÁVEL, FORNECIDO E INSTALADO EM RAMAL DE DESCARGA OU EM RAMAL DE ESGOTO SANITÁRIO. AF_12/2014</v>
      </c>
      <c r="C425" s="212"/>
      <c r="D425" s="212"/>
      <c r="E425" s="212"/>
      <c r="F425" s="212"/>
      <c r="G425" s="212"/>
      <c r="H425" s="212"/>
      <c r="I425" s="212"/>
      <c r="J425" s="212"/>
      <c r="K425" s="213"/>
      <c r="L425" s="129">
        <f>L426</f>
        <v>0</v>
      </c>
      <c r="M425" s="130" t="str">
        <f>'BM02'!C138</f>
        <v>un</v>
      </c>
    </row>
    <row r="426" spans="1:13" s="131" customFormat="1" ht="12.75">
      <c r="A426" s="132"/>
      <c r="B426" s="209"/>
      <c r="C426" s="210"/>
      <c r="D426" s="134"/>
      <c r="E426" s="134"/>
      <c r="F426" s="134"/>
      <c r="G426" s="134"/>
      <c r="H426" s="134"/>
      <c r="I426" s="134"/>
      <c r="J426" s="135"/>
      <c r="K426" s="135"/>
      <c r="L426" s="134">
        <f>ROUND(D426*K426,2)</f>
        <v>0</v>
      </c>
      <c r="M426" s="136"/>
    </row>
    <row r="427" spans="1:13" s="131" customFormat="1" ht="12.75">
      <c r="A427" s="139"/>
      <c r="B427" s="140"/>
      <c r="C427" s="141"/>
      <c r="D427" s="142"/>
      <c r="E427" s="143"/>
      <c r="F427" s="142"/>
      <c r="G427" s="142"/>
      <c r="H427" s="143"/>
      <c r="I427" s="143"/>
      <c r="J427" s="144"/>
      <c r="K427" s="144"/>
      <c r="L427" s="142"/>
      <c r="M427" s="145"/>
    </row>
    <row r="428" spans="1:13" ht="12.75">
      <c r="A428" s="184" t="str">
        <f>'BM02'!A139</f>
        <v>1.11.16</v>
      </c>
      <c r="B428" s="211" t="str">
        <f>'BM02'!B139</f>
        <v>TANQUE DE MÁRMORE SINTÉTICO SUSPENSO, 22L OU EQUIVALENTE - FORNECIMENTO E INSTALAÇÃO. AF_01/2020</v>
      </c>
      <c r="C428" s="212"/>
      <c r="D428" s="212"/>
      <c r="E428" s="212"/>
      <c r="F428" s="212"/>
      <c r="G428" s="212"/>
      <c r="H428" s="212"/>
      <c r="I428" s="212"/>
      <c r="J428" s="212"/>
      <c r="K428" s="213"/>
      <c r="L428" s="129">
        <f>L429</f>
        <v>1</v>
      </c>
      <c r="M428" s="130" t="str">
        <f>'BM02'!C139</f>
        <v>un</v>
      </c>
    </row>
    <row r="429" spans="1:13" s="131" customFormat="1" ht="12.75">
      <c r="A429" s="132"/>
      <c r="B429" s="209" t="s">
        <v>736</v>
      </c>
      <c r="C429" s="210"/>
      <c r="D429" s="134">
        <v>1</v>
      </c>
      <c r="E429" s="134"/>
      <c r="F429" s="134"/>
      <c r="G429" s="134"/>
      <c r="H429" s="134"/>
      <c r="I429" s="134"/>
      <c r="J429" s="135"/>
      <c r="K429" s="135"/>
      <c r="L429" s="134">
        <f t="shared" ref="L429" si="30">D429</f>
        <v>1</v>
      </c>
      <c r="M429" s="136"/>
    </row>
    <row r="430" spans="1:13" s="131" customFormat="1" ht="12.75">
      <c r="A430" s="139"/>
      <c r="B430" s="140"/>
      <c r="C430" s="141"/>
      <c r="D430" s="142"/>
      <c r="E430" s="143"/>
      <c r="F430" s="142"/>
      <c r="G430" s="142"/>
      <c r="H430" s="143"/>
      <c r="I430" s="143"/>
      <c r="J430" s="144"/>
      <c r="K430" s="144"/>
      <c r="L430" s="142"/>
      <c r="M430" s="145"/>
    </row>
    <row r="431" spans="1:13" ht="30" customHeight="1">
      <c r="A431" s="128" t="str">
        <f>'BM02'!A140</f>
        <v>1.11.17</v>
      </c>
      <c r="B431" s="211" t="str">
        <f>'BM02'!B140</f>
        <v>BANCADA DE MÁRMORE SINTÉTICO, DE 120 X 60CM, COM CUBA INTEGRADA - FORNECIMENTO E INSTALAÇÃO. AF_01/2020</v>
      </c>
      <c r="C431" s="212"/>
      <c r="D431" s="212"/>
      <c r="E431" s="212"/>
      <c r="F431" s="212"/>
      <c r="G431" s="212"/>
      <c r="H431" s="212"/>
      <c r="I431" s="212"/>
      <c r="J431" s="212"/>
      <c r="K431" s="213"/>
      <c r="L431" s="129">
        <f>L432</f>
        <v>1</v>
      </c>
      <c r="M431" s="130" t="str">
        <f>'BM02'!C140</f>
        <v>un</v>
      </c>
    </row>
    <row r="432" spans="1:13" s="131" customFormat="1" ht="12.75">
      <c r="A432" s="132"/>
      <c r="B432" s="209" t="s">
        <v>736</v>
      </c>
      <c r="C432" s="210"/>
      <c r="D432" s="134">
        <v>1</v>
      </c>
      <c r="E432" s="134"/>
      <c r="F432" s="134"/>
      <c r="G432" s="134"/>
      <c r="H432" s="134"/>
      <c r="I432" s="134"/>
      <c r="J432" s="135"/>
      <c r="K432" s="135"/>
      <c r="L432" s="134">
        <f t="shared" ref="L432" si="31">D432</f>
        <v>1</v>
      </c>
      <c r="M432" s="136"/>
    </row>
    <row r="433" spans="1:13" s="131" customFormat="1" ht="12.75">
      <c r="A433" s="139"/>
      <c r="B433" s="140"/>
      <c r="C433" s="141"/>
      <c r="D433" s="142"/>
      <c r="E433" s="143"/>
      <c r="F433" s="142"/>
      <c r="G433" s="142"/>
      <c r="H433" s="143"/>
      <c r="I433" s="143"/>
      <c r="J433" s="144"/>
      <c r="K433" s="144"/>
      <c r="L433" s="142"/>
      <c r="M433" s="145"/>
    </row>
    <row r="434" spans="1:13" ht="12.75">
      <c r="A434" s="184" t="str">
        <f>'BM02'!A141</f>
        <v>1.11.18</v>
      </c>
      <c r="B434" s="211" t="str">
        <f>'BM02'!B141</f>
        <v>ESPELHO CRISTAL ESPESSURA 4MM</v>
      </c>
      <c r="C434" s="212"/>
      <c r="D434" s="212"/>
      <c r="E434" s="212"/>
      <c r="F434" s="212"/>
      <c r="G434" s="212"/>
      <c r="H434" s="212"/>
      <c r="I434" s="212"/>
      <c r="J434" s="212"/>
      <c r="K434" s="213"/>
      <c r="L434" s="129">
        <f>L435</f>
        <v>0</v>
      </c>
      <c r="M434" s="130" t="str">
        <f>'BM02'!C141</f>
        <v>m²</v>
      </c>
    </row>
    <row r="435" spans="1:13" s="131" customFormat="1" ht="12.75">
      <c r="A435" s="132"/>
      <c r="B435" s="209"/>
      <c r="C435" s="210"/>
      <c r="D435" s="134"/>
      <c r="E435" s="134"/>
      <c r="F435" s="134"/>
      <c r="G435" s="134"/>
      <c r="H435" s="134"/>
      <c r="I435" s="134"/>
      <c r="J435" s="135"/>
      <c r="K435" s="135"/>
      <c r="L435" s="134">
        <f>ROUND(D435*K435,2)</f>
        <v>0</v>
      </c>
      <c r="M435" s="136"/>
    </row>
    <row r="436" spans="1:13" s="131" customFormat="1" ht="12.75">
      <c r="A436" s="139"/>
      <c r="B436" s="140"/>
      <c r="C436" s="141"/>
      <c r="D436" s="142"/>
      <c r="E436" s="143"/>
      <c r="F436" s="142"/>
      <c r="G436" s="142"/>
      <c r="H436" s="143"/>
      <c r="I436" s="143"/>
      <c r="J436" s="144"/>
      <c r="K436" s="144"/>
      <c r="L436" s="142"/>
      <c r="M436" s="145"/>
    </row>
    <row r="437" spans="1:13" ht="12.75">
      <c r="A437" s="184" t="str">
        <f>'BM02'!A142</f>
        <v>1.11.19</v>
      </c>
      <c r="B437" s="211" t="str">
        <f>'BM02'!B142</f>
        <v>BANCO ARTICULADO, EM ACO INOX, PARA PCD, FIXADO NA PAREDE - FORNECIMENTO E INSTALAÇÃO. AF_01/2020</v>
      </c>
      <c r="C437" s="212"/>
      <c r="D437" s="212"/>
      <c r="E437" s="212"/>
      <c r="F437" s="212"/>
      <c r="G437" s="212"/>
      <c r="H437" s="212"/>
      <c r="I437" s="212"/>
      <c r="J437" s="212"/>
      <c r="K437" s="213"/>
      <c r="L437" s="129">
        <f>L438</f>
        <v>0</v>
      </c>
      <c r="M437" s="130" t="str">
        <f>'BM02'!C142</f>
        <v>un</v>
      </c>
    </row>
    <row r="438" spans="1:13" s="131" customFormat="1" ht="12.75">
      <c r="A438" s="132"/>
      <c r="B438" s="209"/>
      <c r="C438" s="210"/>
      <c r="D438" s="134"/>
      <c r="E438" s="134"/>
      <c r="F438" s="134"/>
      <c r="G438" s="134"/>
      <c r="H438" s="134"/>
      <c r="I438" s="134"/>
      <c r="J438" s="135"/>
      <c r="K438" s="135"/>
      <c r="L438" s="134">
        <f>ROUND(D438*K438,2)</f>
        <v>0</v>
      </c>
      <c r="M438" s="136"/>
    </row>
    <row r="439" spans="1:13" s="131" customFormat="1" ht="12.75">
      <c r="A439" s="139"/>
      <c r="B439" s="140"/>
      <c r="C439" s="141"/>
      <c r="D439" s="142"/>
      <c r="E439" s="143"/>
      <c r="F439" s="142"/>
      <c r="G439" s="142"/>
      <c r="H439" s="143"/>
      <c r="I439" s="143"/>
      <c r="J439" s="144"/>
      <c r="K439" s="144"/>
      <c r="L439" s="142"/>
      <c r="M439" s="145"/>
    </row>
    <row r="440" spans="1:13" ht="12.75">
      <c r="A440" s="184" t="str">
        <f>'BM02'!A143</f>
        <v>1.11.20</v>
      </c>
      <c r="B440" s="211" t="str">
        <f>'BM02'!B143</f>
        <v>Bancada em granito cinza andorinha, e=2cm</v>
      </c>
      <c r="C440" s="212"/>
      <c r="D440" s="212"/>
      <c r="E440" s="212"/>
      <c r="F440" s="212"/>
      <c r="G440" s="212"/>
      <c r="H440" s="212"/>
      <c r="I440" s="212"/>
      <c r="J440" s="212"/>
      <c r="K440" s="213"/>
      <c r="L440" s="129">
        <f>L441</f>
        <v>0</v>
      </c>
      <c r="M440" s="130" t="str">
        <f>'BM02'!C143</f>
        <v>m²</v>
      </c>
    </row>
    <row r="441" spans="1:13" s="131" customFormat="1" ht="12.75">
      <c r="A441" s="132"/>
      <c r="B441" s="209"/>
      <c r="C441" s="210"/>
      <c r="D441" s="134"/>
      <c r="E441" s="134"/>
      <c r="F441" s="134"/>
      <c r="G441" s="134"/>
      <c r="H441" s="134"/>
      <c r="I441" s="134"/>
      <c r="J441" s="135"/>
      <c r="K441" s="135"/>
      <c r="L441" s="134">
        <f>ROUND(D441*K441,2)</f>
        <v>0</v>
      </c>
      <c r="M441" s="136"/>
    </row>
    <row r="442" spans="1:13" s="131" customFormat="1" ht="12.75">
      <c r="A442" s="139"/>
      <c r="B442" s="140"/>
      <c r="C442" s="141"/>
      <c r="D442" s="142"/>
      <c r="E442" s="143"/>
      <c r="F442" s="142"/>
      <c r="G442" s="142"/>
      <c r="H442" s="143"/>
      <c r="I442" s="143"/>
      <c r="J442" s="144"/>
      <c r="K442" s="144"/>
      <c r="L442" s="142"/>
      <c r="M442" s="145"/>
    </row>
    <row r="443" spans="1:13" ht="30" customHeight="1">
      <c r="A443" s="128" t="str">
        <f>'BM02'!A144</f>
        <v>1.11.21</v>
      </c>
      <c r="B443" s="211" t="str">
        <f>'BM02'!B144</f>
        <v>PONTO DE CONSUMO TERMINAL DE ÁGUA FRIA (SUBRAMAL) COM TUBULAÇÃO DE PVC, DN 25 MM, INSTALADO EM RAMAL DE ÁGUA, INCLUSOS RASGO E CHUMBAMENTO EM ALVENARIA. AF_12/2014</v>
      </c>
      <c r="C443" s="212"/>
      <c r="D443" s="212"/>
      <c r="E443" s="212"/>
      <c r="F443" s="212"/>
      <c r="G443" s="212"/>
      <c r="H443" s="212"/>
      <c r="I443" s="212"/>
      <c r="J443" s="212"/>
      <c r="K443" s="213"/>
      <c r="L443" s="129">
        <f>L444</f>
        <v>0</v>
      </c>
      <c r="M443" s="130" t="str">
        <f>'BM02'!C144</f>
        <v>un</v>
      </c>
    </row>
    <row r="444" spans="1:13" s="131" customFormat="1" ht="12.75">
      <c r="A444" s="132"/>
      <c r="B444" s="209"/>
      <c r="C444" s="210"/>
      <c r="D444" s="134"/>
      <c r="E444" s="134"/>
      <c r="F444" s="134"/>
      <c r="G444" s="134"/>
      <c r="H444" s="134"/>
      <c r="I444" s="134"/>
      <c r="J444" s="135"/>
      <c r="K444" s="135"/>
      <c r="L444" s="134"/>
      <c r="M444" s="136"/>
    </row>
    <row r="445" spans="1:13" s="131" customFormat="1" ht="12.75">
      <c r="A445" s="139"/>
      <c r="B445" s="140"/>
      <c r="C445" s="141"/>
      <c r="D445" s="142"/>
      <c r="E445" s="143"/>
      <c r="F445" s="142"/>
      <c r="G445" s="142"/>
      <c r="H445" s="143"/>
      <c r="I445" s="143"/>
      <c r="J445" s="144"/>
      <c r="K445" s="144"/>
      <c r="L445" s="142"/>
      <c r="M445" s="145"/>
    </row>
    <row r="446" spans="1:13" ht="30" customHeight="1">
      <c r="A446" s="128" t="str">
        <f>'BM02'!A145</f>
        <v>1.11.22</v>
      </c>
      <c r="B446" s="211" t="str">
        <f>'BM02'!B145</f>
        <v>CAIXA ENTERRADA HIDRÁULICA RETANGULAR EM ALVENARIA COM TIJOLOS CERÂMICOS MACIÇOS, DIMENSÕES INTERNAS: 0,4X0,4X0,4 M PARA REDE DE ESGOTO. AF_12/2020</v>
      </c>
      <c r="C446" s="212"/>
      <c r="D446" s="212"/>
      <c r="E446" s="212"/>
      <c r="F446" s="212"/>
      <c r="G446" s="212"/>
      <c r="H446" s="212"/>
      <c r="I446" s="212"/>
      <c r="J446" s="212"/>
      <c r="K446" s="213"/>
      <c r="L446" s="129">
        <f>L447</f>
        <v>0</v>
      </c>
      <c r="M446" s="130" t="str">
        <f>'BM02'!C145</f>
        <v>un</v>
      </c>
    </row>
    <row r="447" spans="1:13" s="131" customFormat="1" ht="12.75">
      <c r="A447" s="132"/>
      <c r="B447" s="209"/>
      <c r="C447" s="210"/>
      <c r="D447" s="134"/>
      <c r="E447" s="134"/>
      <c r="F447" s="134"/>
      <c r="G447" s="134"/>
      <c r="H447" s="134"/>
      <c r="I447" s="134"/>
      <c r="J447" s="135"/>
      <c r="K447" s="135"/>
      <c r="L447" s="134">
        <f>ROUND(D447*K447,2)</f>
        <v>0</v>
      </c>
      <c r="M447" s="136"/>
    </row>
    <row r="448" spans="1:13" s="131" customFormat="1" ht="12.75">
      <c r="A448" s="139"/>
      <c r="B448" s="140"/>
      <c r="C448" s="141"/>
      <c r="D448" s="142"/>
      <c r="E448" s="143"/>
      <c r="F448" s="142"/>
      <c r="G448" s="142"/>
      <c r="H448" s="143"/>
      <c r="I448" s="143"/>
      <c r="J448" s="144"/>
      <c r="K448" s="144"/>
      <c r="L448" s="142"/>
      <c r="M448" s="145"/>
    </row>
    <row r="449" spans="1:13" ht="69" customHeight="1">
      <c r="A449" s="128" t="str">
        <f>'BM02'!A146</f>
        <v>1.11.23</v>
      </c>
      <c r="B449" s="279" t="s">
        <v>213</v>
      </c>
      <c r="C449" s="280"/>
      <c r="D449" s="280"/>
      <c r="E449" s="280"/>
      <c r="F449" s="280"/>
      <c r="G449" s="280"/>
      <c r="H449" s="280"/>
      <c r="I449" s="280"/>
      <c r="J449" s="280"/>
      <c r="K449" s="281"/>
      <c r="L449" s="129">
        <f>L450</f>
        <v>0</v>
      </c>
      <c r="M449" s="130" t="str">
        <f>'BM02'!C146</f>
        <v>un</v>
      </c>
    </row>
    <row r="450" spans="1:13" s="131" customFormat="1" ht="12.75">
      <c r="A450" s="132"/>
      <c r="B450" s="209"/>
      <c r="C450" s="210"/>
      <c r="D450" s="134"/>
      <c r="E450" s="134"/>
      <c r="F450" s="134"/>
      <c r="G450" s="134"/>
      <c r="H450" s="134"/>
      <c r="I450" s="134"/>
      <c r="J450" s="135"/>
      <c r="K450" s="135"/>
      <c r="L450" s="134">
        <f>ROUND(D450*K450,2)</f>
        <v>0</v>
      </c>
      <c r="M450" s="136"/>
    </row>
    <row r="451" spans="1:13" s="131" customFormat="1" ht="12.75">
      <c r="A451" s="139"/>
      <c r="B451" s="140"/>
      <c r="C451" s="141"/>
      <c r="D451" s="142"/>
      <c r="E451" s="143"/>
      <c r="F451" s="142"/>
      <c r="G451" s="142"/>
      <c r="H451" s="143"/>
      <c r="I451" s="143"/>
      <c r="J451" s="144"/>
      <c r="K451" s="144"/>
      <c r="L451" s="142"/>
      <c r="M451" s="145"/>
    </row>
    <row r="452" spans="1:13" ht="12.75">
      <c r="A452" s="184" t="str">
        <f>'BM02'!A147</f>
        <v>1.11.24</v>
      </c>
      <c r="B452" s="211" t="str">
        <f>'BM02'!B147</f>
        <v>Caixa d´água em fibra de vidro - instalada, sem estrutura de suporte cap. 10.000 litros</v>
      </c>
      <c r="C452" s="212"/>
      <c r="D452" s="212"/>
      <c r="E452" s="212"/>
      <c r="F452" s="212"/>
      <c r="G452" s="212"/>
      <c r="H452" s="212"/>
      <c r="I452" s="212"/>
      <c r="J452" s="212"/>
      <c r="K452" s="213"/>
      <c r="L452" s="129">
        <f>L453</f>
        <v>1</v>
      </c>
      <c r="M452" s="130" t="str">
        <f>'BM02'!C147</f>
        <v>un</v>
      </c>
    </row>
    <row r="453" spans="1:13" s="131" customFormat="1" ht="12.75">
      <c r="A453" s="132"/>
      <c r="B453" s="209" t="s">
        <v>761</v>
      </c>
      <c r="C453" s="210"/>
      <c r="D453" s="134">
        <v>1</v>
      </c>
      <c r="E453" s="134"/>
      <c r="F453" s="134"/>
      <c r="G453" s="134"/>
      <c r="H453" s="134"/>
      <c r="I453" s="134"/>
      <c r="J453" s="135"/>
      <c r="K453" s="135"/>
      <c r="L453" s="134">
        <f t="shared" ref="L453" si="32">D453</f>
        <v>1</v>
      </c>
      <c r="M453" s="136"/>
    </row>
    <row r="454" spans="1:13" s="131" customFormat="1" ht="12.75">
      <c r="A454" s="139"/>
      <c r="B454" s="140"/>
      <c r="C454" s="141"/>
      <c r="D454" s="142"/>
      <c r="E454" s="143"/>
      <c r="F454" s="142"/>
      <c r="G454" s="142"/>
      <c r="H454" s="143"/>
      <c r="I454" s="143"/>
      <c r="J454" s="144"/>
      <c r="K454" s="144"/>
      <c r="L454" s="142"/>
      <c r="M454" s="145"/>
    </row>
    <row r="455" spans="1:13" ht="28.9" customHeight="1">
      <c r="A455" s="184" t="str">
        <f>'BM04'!A166</f>
        <v>1.11.26</v>
      </c>
      <c r="B455" s="211" t="str">
        <f>'BM04'!B166</f>
        <v>TUBO, PVC, SOLDÁVEL, DN 25MM, INSTALADO EM DRENO DE AR-CONDICIONADO - FORNECIMENTO E INSTALAÇÃO. AF_12/2014</v>
      </c>
      <c r="C455" s="212"/>
      <c r="D455" s="212"/>
      <c r="E455" s="212"/>
      <c r="F455" s="212"/>
      <c r="G455" s="212"/>
      <c r="H455" s="212"/>
      <c r="I455" s="212"/>
      <c r="J455" s="212"/>
      <c r="K455" s="213"/>
      <c r="L455" s="129">
        <f>L456</f>
        <v>0</v>
      </c>
      <c r="M455" s="130" t="str">
        <f>'BM04'!C166</f>
        <v>M</v>
      </c>
    </row>
    <row r="456" spans="1:13" s="131" customFormat="1" ht="12.75">
      <c r="A456" s="132"/>
      <c r="B456" s="209"/>
      <c r="C456" s="210"/>
      <c r="D456" s="134"/>
      <c r="E456" s="134"/>
      <c r="F456" s="134"/>
      <c r="G456" s="134"/>
      <c r="H456" s="134"/>
      <c r="I456" s="134"/>
      <c r="J456" s="135"/>
      <c r="K456" s="135"/>
      <c r="L456" s="134">
        <f>ROUND(D456*K456,2)</f>
        <v>0</v>
      </c>
      <c r="M456" s="136"/>
    </row>
    <row r="457" spans="1:13" s="131" customFormat="1" ht="12.75">
      <c r="A457" s="139"/>
      <c r="B457" s="140"/>
      <c r="C457" s="141"/>
      <c r="D457" s="142"/>
      <c r="E457" s="143"/>
      <c r="F457" s="142"/>
      <c r="G457" s="142"/>
      <c r="H457" s="143"/>
      <c r="I457" s="143"/>
      <c r="J457" s="144"/>
      <c r="K457" s="144"/>
      <c r="L457" s="142"/>
      <c r="M457" s="145"/>
    </row>
    <row r="458" spans="1:13" ht="12.75">
      <c r="A458" s="184" t="str">
        <f>'BM04'!A167</f>
        <v>1.11.27</v>
      </c>
      <c r="B458" s="211" t="str">
        <f>'BM04'!B167</f>
        <v>JOELHO 90 GRAUS, PVC, SOLDÁVEL, DN 25MM, INSTALADO EM DRENO DE AR-CONDICIONADO - FORNECIMENTO E INSTALAÇÃO. AF_12/2014</v>
      </c>
      <c r="C458" s="212"/>
      <c r="D458" s="212"/>
      <c r="E458" s="212"/>
      <c r="F458" s="212"/>
      <c r="G458" s="212"/>
      <c r="H458" s="212"/>
      <c r="I458" s="212"/>
      <c r="J458" s="212"/>
      <c r="K458" s="213"/>
      <c r="L458" s="129">
        <f>L459</f>
        <v>0</v>
      </c>
      <c r="M458" s="130" t="str">
        <f>'BM04'!C167</f>
        <v>UN</v>
      </c>
    </row>
    <row r="459" spans="1:13" s="131" customFormat="1" ht="12.75">
      <c r="A459" s="132"/>
      <c r="B459" s="209"/>
      <c r="C459" s="210"/>
      <c r="D459" s="134"/>
      <c r="E459" s="134"/>
      <c r="F459" s="134"/>
      <c r="G459" s="134"/>
      <c r="H459" s="134"/>
      <c r="I459" s="134"/>
      <c r="J459" s="135"/>
      <c r="K459" s="135"/>
      <c r="L459" s="134">
        <f>D459</f>
        <v>0</v>
      </c>
      <c r="M459" s="136"/>
    </row>
    <row r="460" spans="1:13" s="131" customFormat="1" ht="13.5" thickBot="1">
      <c r="A460" s="139"/>
      <c r="B460" s="140"/>
      <c r="C460" s="141"/>
      <c r="D460" s="142"/>
      <c r="E460" s="143"/>
      <c r="F460" s="142"/>
      <c r="G460" s="142"/>
      <c r="H460" s="143"/>
      <c r="I460" s="143"/>
      <c r="J460" s="144"/>
      <c r="K460" s="144"/>
      <c r="L460" s="142"/>
      <c r="M460" s="145"/>
    </row>
    <row r="461" spans="1:13" ht="13.5" thickBot="1">
      <c r="A461" s="121" t="str">
        <f>'BM02'!A149</f>
        <v>1.12</v>
      </c>
      <c r="B461" s="122" t="str">
        <f>'BM02'!B149</f>
        <v>INSTALAÇÕES SANITÁRIAS</v>
      </c>
      <c r="C461" s="122"/>
      <c r="D461" s="122"/>
      <c r="E461" s="122"/>
      <c r="F461" s="122"/>
      <c r="G461" s="122"/>
      <c r="H461" s="122"/>
      <c r="I461" s="122"/>
      <c r="J461" s="122"/>
      <c r="K461" s="122"/>
      <c r="L461" s="122"/>
      <c r="M461" s="123"/>
    </row>
    <row r="462" spans="1:13" ht="12.75">
      <c r="A462" s="124"/>
      <c r="B462" s="125"/>
      <c r="C462" s="125"/>
      <c r="D462" s="125"/>
      <c r="E462" s="125"/>
      <c r="F462" s="125"/>
      <c r="G462" s="125"/>
      <c r="H462" s="125"/>
      <c r="I462" s="125"/>
      <c r="J462" s="125"/>
      <c r="K462" s="126"/>
      <c r="L462" s="125"/>
      <c r="M462" s="127"/>
    </row>
    <row r="463" spans="1:13" ht="30" customHeight="1">
      <c r="A463" s="128" t="str">
        <f>'BM02'!A151</f>
        <v>1.12.1</v>
      </c>
      <c r="B463" s="211" t="str">
        <f>'BM02'!B151</f>
        <v>RALO SIFONADO, PVC, DN 100 X 40 MM, JUNTA SOLDÁVEL, FORNECIDO E INSTALADO EM RAMAL DE DESCARGA OU EM RAMAL DE ESGOTO SANITÁRIO. AF_12/2014</v>
      </c>
      <c r="C463" s="212"/>
      <c r="D463" s="212"/>
      <c r="E463" s="212"/>
      <c r="F463" s="212"/>
      <c r="G463" s="212"/>
      <c r="H463" s="212"/>
      <c r="I463" s="212"/>
      <c r="J463" s="212"/>
      <c r="K463" s="213"/>
      <c r="L463" s="129">
        <f>L464</f>
        <v>0</v>
      </c>
      <c r="M463" s="130" t="str">
        <f>'BM02'!C151</f>
        <v>un</v>
      </c>
    </row>
    <row r="464" spans="1:13" s="131" customFormat="1" ht="12.75">
      <c r="A464" s="132"/>
      <c r="B464" s="209"/>
      <c r="C464" s="210"/>
      <c r="D464" s="134"/>
      <c r="E464" s="134"/>
      <c r="F464" s="134"/>
      <c r="G464" s="134"/>
      <c r="H464" s="134"/>
      <c r="I464" s="134"/>
      <c r="J464" s="135"/>
      <c r="K464" s="135"/>
      <c r="L464" s="134">
        <f>D464</f>
        <v>0</v>
      </c>
      <c r="M464" s="136"/>
    </row>
    <row r="465" spans="1:13" s="131" customFormat="1" ht="12.75">
      <c r="A465" s="139"/>
      <c r="B465" s="140"/>
      <c r="C465" s="141"/>
      <c r="D465" s="142"/>
      <c r="E465" s="143"/>
      <c r="F465" s="142"/>
      <c r="G465" s="142"/>
      <c r="H465" s="143"/>
      <c r="I465" s="143"/>
      <c r="J465" s="144"/>
      <c r="K465" s="144"/>
      <c r="L465" s="142"/>
      <c r="M465" s="145"/>
    </row>
    <row r="466" spans="1:13" ht="43.15" customHeight="1">
      <c r="A466" s="128" t="str">
        <f>'BM02'!A152</f>
        <v>1.12.2</v>
      </c>
      <c r="B466" s="211" t="str">
        <f>'BM02'!B152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466" s="212"/>
      <c r="D466" s="212"/>
      <c r="E466" s="212"/>
      <c r="F466" s="212"/>
      <c r="G466" s="212"/>
      <c r="H466" s="212"/>
      <c r="I466" s="212"/>
      <c r="J466" s="212"/>
      <c r="K466" s="213"/>
      <c r="L466" s="129">
        <f>L467</f>
        <v>0</v>
      </c>
      <c r="M466" s="130" t="str">
        <f>'BM02'!C152</f>
        <v>m</v>
      </c>
    </row>
    <row r="467" spans="1:13" s="131" customFormat="1" ht="12.75">
      <c r="A467" s="132"/>
      <c r="B467" s="209"/>
      <c r="C467" s="210"/>
      <c r="D467" s="134"/>
      <c r="E467" s="134"/>
      <c r="F467" s="134"/>
      <c r="G467" s="134"/>
      <c r="H467" s="134"/>
      <c r="I467" s="134"/>
      <c r="J467" s="135"/>
      <c r="K467" s="135"/>
      <c r="L467" s="134">
        <f>D467</f>
        <v>0</v>
      </c>
      <c r="M467" s="136"/>
    </row>
    <row r="468" spans="1:13" s="131" customFormat="1" ht="12.75">
      <c r="A468" s="139"/>
      <c r="B468" s="140"/>
      <c r="C468" s="141"/>
      <c r="D468" s="142"/>
      <c r="E468" s="143"/>
      <c r="F468" s="142"/>
      <c r="G468" s="142"/>
      <c r="H468" s="143"/>
      <c r="I468" s="143"/>
      <c r="J468" s="144"/>
      <c r="K468" s="144"/>
      <c r="L468" s="142"/>
      <c r="M468" s="145"/>
    </row>
    <row r="469" spans="1:13" ht="12.75">
      <c r="A469" s="184" t="str">
        <f>'BM02'!A153</f>
        <v>1.12.3</v>
      </c>
      <c r="B469" s="211" t="str">
        <f>'BM02'!B153</f>
        <v>Caixa de inspeção 0.60 x 0.60 x 0.60m</v>
      </c>
      <c r="C469" s="212"/>
      <c r="D469" s="212"/>
      <c r="E469" s="212"/>
      <c r="F469" s="212"/>
      <c r="G469" s="212"/>
      <c r="H469" s="212"/>
      <c r="I469" s="212"/>
      <c r="J469" s="212"/>
      <c r="K469" s="213"/>
      <c r="L469" s="129">
        <f>L470</f>
        <v>0</v>
      </c>
      <c r="M469" s="130" t="str">
        <f>'BM02'!C153</f>
        <v>un</v>
      </c>
    </row>
    <row r="470" spans="1:13" s="131" customFormat="1" ht="12.75">
      <c r="A470" s="132"/>
      <c r="B470" s="209"/>
      <c r="C470" s="210"/>
      <c r="D470" s="134"/>
      <c r="E470" s="134"/>
      <c r="F470" s="134"/>
      <c r="G470" s="134"/>
      <c r="H470" s="134"/>
      <c r="I470" s="134"/>
      <c r="J470" s="135"/>
      <c r="K470" s="135"/>
      <c r="L470" s="134">
        <f>D470</f>
        <v>0</v>
      </c>
      <c r="M470" s="136"/>
    </row>
    <row r="471" spans="1:13" s="131" customFormat="1" ht="12.75">
      <c r="A471" s="139"/>
      <c r="B471" s="140"/>
      <c r="C471" s="141"/>
      <c r="D471" s="142"/>
      <c r="E471" s="143"/>
      <c r="F471" s="142"/>
      <c r="G471" s="142"/>
      <c r="H471" s="143"/>
      <c r="I471" s="143"/>
      <c r="J471" s="144"/>
      <c r="K471" s="144"/>
      <c r="L471" s="142"/>
      <c r="M471" s="145"/>
    </row>
    <row r="472" spans="1:13" ht="12.75">
      <c r="A472" s="184" t="str">
        <f>'BM02'!A154</f>
        <v>1.12.4</v>
      </c>
      <c r="B472" s="211" t="str">
        <f>'BM02'!B154</f>
        <v>Caixa de inspeção 0,30 x 0,30 x 0,40m</v>
      </c>
      <c r="C472" s="212"/>
      <c r="D472" s="212"/>
      <c r="E472" s="212"/>
      <c r="F472" s="212"/>
      <c r="G472" s="212"/>
      <c r="H472" s="212"/>
      <c r="I472" s="212"/>
      <c r="J472" s="212"/>
      <c r="K472" s="213"/>
      <c r="L472" s="129">
        <f>L473</f>
        <v>0</v>
      </c>
      <c r="M472" s="130" t="str">
        <f>'BM02'!C154</f>
        <v>un</v>
      </c>
    </row>
    <row r="473" spans="1:13" s="131" customFormat="1" ht="12.75">
      <c r="A473" s="132"/>
      <c r="B473" s="209"/>
      <c r="C473" s="210"/>
      <c r="D473" s="134"/>
      <c r="E473" s="134"/>
      <c r="F473" s="134"/>
      <c r="G473" s="134"/>
      <c r="H473" s="134"/>
      <c r="I473" s="134"/>
      <c r="J473" s="135"/>
      <c r="K473" s="135"/>
      <c r="L473" s="134">
        <f>K473</f>
        <v>0</v>
      </c>
      <c r="M473" s="136"/>
    </row>
    <row r="474" spans="1:13" s="131" customFormat="1" ht="12.75">
      <c r="A474" s="139"/>
      <c r="B474" s="140"/>
      <c r="C474" s="141"/>
      <c r="D474" s="142"/>
      <c r="E474" s="143"/>
      <c r="F474" s="142"/>
      <c r="G474" s="142"/>
      <c r="H474" s="143"/>
      <c r="I474" s="143"/>
      <c r="J474" s="144"/>
      <c r="K474" s="144"/>
      <c r="L474" s="142"/>
      <c r="M474" s="145"/>
    </row>
    <row r="475" spans="1:13" ht="12.75">
      <c r="A475" s="184" t="str">
        <f>'BM02'!A155</f>
        <v>1.12.5</v>
      </c>
      <c r="B475" s="211" t="str">
        <f>'BM02'!B155</f>
        <v>Caixa de passagem em alvenaria de tijolos maciços esp. = 0,12m, dim. int. = 0.50 x 0.50 x 0.50m</v>
      </c>
      <c r="C475" s="212"/>
      <c r="D475" s="212"/>
      <c r="E475" s="212"/>
      <c r="F475" s="212"/>
      <c r="G475" s="212"/>
      <c r="H475" s="212"/>
      <c r="I475" s="212"/>
      <c r="J475" s="212"/>
      <c r="K475" s="213"/>
      <c r="L475" s="129">
        <f>L476</f>
        <v>0</v>
      </c>
      <c r="M475" s="130" t="str">
        <f>'BM02'!C155</f>
        <v>un</v>
      </c>
    </row>
    <row r="476" spans="1:13" s="131" customFormat="1" ht="12.75">
      <c r="A476" s="132"/>
      <c r="B476" s="209"/>
      <c r="C476" s="210"/>
      <c r="D476" s="134"/>
      <c r="E476" s="134"/>
      <c r="F476" s="134"/>
      <c r="G476" s="134"/>
      <c r="H476" s="134"/>
      <c r="I476" s="134"/>
      <c r="J476" s="135"/>
      <c r="K476" s="135"/>
      <c r="L476" s="134">
        <f>K476</f>
        <v>0</v>
      </c>
      <c r="M476" s="136"/>
    </row>
    <row r="477" spans="1:13" s="131" customFormat="1" ht="12.75">
      <c r="A477" s="139"/>
      <c r="B477" s="140"/>
      <c r="C477" s="141"/>
      <c r="D477" s="142"/>
      <c r="E477" s="143"/>
      <c r="F477" s="142"/>
      <c r="G477" s="142"/>
      <c r="H477" s="143"/>
      <c r="I477" s="143"/>
      <c r="J477" s="144"/>
      <c r="K477" s="144"/>
      <c r="L477" s="142"/>
      <c r="M477" s="145"/>
    </row>
    <row r="478" spans="1:13" ht="12.75">
      <c r="A478" s="184" t="str">
        <f>'BM02'!A156</f>
        <v>1.12.6</v>
      </c>
      <c r="B478" s="211" t="str">
        <f>'BM02'!B156</f>
        <v>Ponto de esgoto com tubo de pvc rígido soldável de Ø 40 mm (lavatórios, mictórios, ralos sifonados, etc...)</v>
      </c>
      <c r="C478" s="212"/>
      <c r="D478" s="212"/>
      <c r="E478" s="212"/>
      <c r="F478" s="212"/>
      <c r="G478" s="212"/>
      <c r="H478" s="212"/>
      <c r="I478" s="212"/>
      <c r="J478" s="212"/>
      <c r="K478" s="213"/>
      <c r="L478" s="129">
        <f>L479</f>
        <v>0</v>
      </c>
      <c r="M478" s="130" t="str">
        <f>'BM02'!C156</f>
        <v>un</v>
      </c>
    </row>
    <row r="479" spans="1:13" s="131" customFormat="1" ht="12.75">
      <c r="A479" s="132"/>
      <c r="B479" s="209"/>
      <c r="C479" s="210"/>
      <c r="D479" s="134"/>
      <c r="E479" s="134"/>
      <c r="F479" s="134"/>
      <c r="G479" s="134"/>
      <c r="H479" s="134"/>
      <c r="I479" s="134"/>
      <c r="J479" s="135"/>
      <c r="K479" s="135"/>
      <c r="L479" s="134">
        <f>K479</f>
        <v>0</v>
      </c>
      <c r="M479" s="136"/>
    </row>
    <row r="480" spans="1:13" s="131" customFormat="1" ht="12.75">
      <c r="A480" s="139"/>
      <c r="B480" s="140"/>
      <c r="C480" s="141"/>
      <c r="D480" s="142"/>
      <c r="E480" s="143"/>
      <c r="F480" s="142"/>
      <c r="G480" s="142"/>
      <c r="H480" s="143"/>
      <c r="I480" s="143"/>
      <c r="J480" s="144"/>
      <c r="K480" s="144"/>
      <c r="L480" s="142"/>
      <c r="M480" s="145"/>
    </row>
    <row r="481" spans="1:13" ht="12.75">
      <c r="A481" s="184" t="str">
        <f>'BM02'!A157</f>
        <v>1.12.7</v>
      </c>
      <c r="B481" s="211" t="str">
        <f>'BM02'!B157</f>
        <v>Ponto de esgoto com tubo de pvc rígido soldável de Ø 50 mm (pias de cozinha, máquinas de lavar, etc...)</v>
      </c>
      <c r="C481" s="212"/>
      <c r="D481" s="212"/>
      <c r="E481" s="212"/>
      <c r="F481" s="212"/>
      <c r="G481" s="212"/>
      <c r="H481" s="212"/>
      <c r="I481" s="212"/>
      <c r="J481" s="212"/>
      <c r="K481" s="213"/>
      <c r="L481" s="129">
        <f>L482</f>
        <v>0</v>
      </c>
      <c r="M481" s="130" t="str">
        <f>'BM02'!C157</f>
        <v>un</v>
      </c>
    </row>
    <row r="482" spans="1:13" s="131" customFormat="1" ht="12.75">
      <c r="A482" s="132"/>
      <c r="B482" s="209"/>
      <c r="C482" s="210"/>
      <c r="D482" s="134"/>
      <c r="E482" s="134"/>
      <c r="F482" s="134"/>
      <c r="G482" s="134"/>
      <c r="H482" s="134"/>
      <c r="I482" s="134"/>
      <c r="J482" s="135"/>
      <c r="K482" s="135"/>
      <c r="L482" s="134">
        <f>K482</f>
        <v>0</v>
      </c>
      <c r="M482" s="136"/>
    </row>
    <row r="483" spans="1:13" s="131" customFormat="1" ht="12.75">
      <c r="A483" s="139"/>
      <c r="B483" s="140"/>
      <c r="C483" s="141"/>
      <c r="D483" s="142"/>
      <c r="E483" s="143"/>
      <c r="F483" s="142"/>
      <c r="G483" s="142"/>
      <c r="H483" s="143"/>
      <c r="I483" s="143"/>
      <c r="J483" s="144"/>
      <c r="K483" s="144"/>
      <c r="L483" s="142"/>
      <c r="M483" s="145"/>
    </row>
    <row r="484" spans="1:13" ht="12.75">
      <c r="A484" s="184" t="str">
        <f>'BM02'!A158</f>
        <v>1.12.8</v>
      </c>
      <c r="B484" s="211" t="str">
        <f>'BM02'!B158</f>
        <v>Ponto de esgoto com tubo de pvc rígido soldável de Ø 100 mm (vaso sanitário)</v>
      </c>
      <c r="C484" s="212"/>
      <c r="D484" s="212"/>
      <c r="E484" s="212"/>
      <c r="F484" s="212"/>
      <c r="G484" s="212"/>
      <c r="H484" s="212"/>
      <c r="I484" s="212"/>
      <c r="J484" s="212"/>
      <c r="K484" s="213"/>
      <c r="L484" s="129">
        <f>L485</f>
        <v>0</v>
      </c>
      <c r="M484" s="130" t="str">
        <f>'BM02'!C158</f>
        <v>pt</v>
      </c>
    </row>
    <row r="485" spans="1:13" s="131" customFormat="1" ht="12.75">
      <c r="A485" s="132"/>
      <c r="B485" s="209"/>
      <c r="C485" s="210"/>
      <c r="D485" s="134"/>
      <c r="E485" s="134"/>
      <c r="F485" s="134"/>
      <c r="G485" s="134"/>
      <c r="H485" s="134"/>
      <c r="I485" s="134"/>
      <c r="J485" s="135"/>
      <c r="K485" s="135"/>
      <c r="L485" s="134">
        <f>K485</f>
        <v>0</v>
      </c>
      <c r="M485" s="136"/>
    </row>
    <row r="486" spans="1:13" s="131" customFormat="1" ht="12.75">
      <c r="A486" s="139"/>
      <c r="B486" s="140"/>
      <c r="C486" s="141"/>
      <c r="D486" s="142"/>
      <c r="E486" s="143"/>
      <c r="F486" s="142"/>
      <c r="G486" s="142"/>
      <c r="H486" s="143"/>
      <c r="I486" s="143"/>
      <c r="J486" s="144"/>
      <c r="K486" s="144"/>
      <c r="L486" s="142"/>
      <c r="M486" s="145"/>
    </row>
    <row r="487" spans="1:13" ht="12.75">
      <c r="A487" s="184" t="str">
        <f>'BM04'!A179</f>
        <v>1.12.9</v>
      </c>
      <c r="B487" s="211" t="str">
        <f>'BM04'!B179</f>
        <v>TANQUE SÉPTICO RETANGULAR, EM ALVENARIA DE TIJOLOS CERÂMICOS, VOLUME ÚTIL: 6272 L</v>
      </c>
      <c r="C487" s="212"/>
      <c r="D487" s="212"/>
      <c r="E487" s="212"/>
      <c r="F487" s="212"/>
      <c r="G487" s="212"/>
      <c r="H487" s="212"/>
      <c r="I487" s="212"/>
      <c r="J487" s="212"/>
      <c r="K487" s="213"/>
      <c r="L487" s="129">
        <f>L488</f>
        <v>0</v>
      </c>
      <c r="M487" s="130" t="str">
        <f>'BM04'!C179</f>
        <v>UN</v>
      </c>
    </row>
    <row r="488" spans="1:13" s="131" customFormat="1" ht="12.75">
      <c r="A488" s="132"/>
      <c r="B488" s="209"/>
      <c r="C488" s="210"/>
      <c r="D488" s="134"/>
      <c r="E488" s="134"/>
      <c r="F488" s="134"/>
      <c r="G488" s="134"/>
      <c r="H488" s="134"/>
      <c r="I488" s="134"/>
      <c r="J488" s="135"/>
      <c r="K488" s="135"/>
      <c r="L488" s="134">
        <f>D488</f>
        <v>0</v>
      </c>
      <c r="M488" s="136"/>
    </row>
    <row r="489" spans="1:13" s="131" customFormat="1" ht="12.75">
      <c r="A489" s="139"/>
      <c r="B489" s="140"/>
      <c r="C489" s="141"/>
      <c r="D489" s="142"/>
      <c r="E489" s="143"/>
      <c r="F489" s="142"/>
      <c r="G489" s="142"/>
      <c r="H489" s="143"/>
      <c r="I489" s="143"/>
      <c r="J489" s="144"/>
      <c r="K489" s="144"/>
      <c r="L489" s="142"/>
      <c r="M489" s="145"/>
    </row>
    <row r="490" spans="1:13" ht="12.75">
      <c r="A490" s="184" t="str">
        <f>'BM04'!A180</f>
        <v>1.12.10</v>
      </c>
      <c r="B490" s="211" t="str">
        <f>'BM04'!B180</f>
        <v>SUMIDOURO EM ALVENARIA DE TIJOLOS CERÂMICOS, ÁREA DE INFILTRAÇÃO: 32,9 M²</v>
      </c>
      <c r="C490" s="212"/>
      <c r="D490" s="212"/>
      <c r="E490" s="212"/>
      <c r="F490" s="212"/>
      <c r="G490" s="212"/>
      <c r="H490" s="212"/>
      <c r="I490" s="212"/>
      <c r="J490" s="212"/>
      <c r="K490" s="213"/>
      <c r="L490" s="129">
        <f>L491</f>
        <v>0</v>
      </c>
      <c r="M490" s="130" t="str">
        <f>'BM04'!C180</f>
        <v>UN</v>
      </c>
    </row>
    <row r="491" spans="1:13" s="131" customFormat="1" ht="12.75">
      <c r="A491" s="132"/>
      <c r="B491" s="209"/>
      <c r="C491" s="210"/>
      <c r="D491" s="134"/>
      <c r="E491" s="134"/>
      <c r="F491" s="134"/>
      <c r="G491" s="134"/>
      <c r="H491" s="134"/>
      <c r="I491" s="134"/>
      <c r="J491" s="135"/>
      <c r="K491" s="135"/>
      <c r="L491" s="134">
        <f>D491</f>
        <v>0</v>
      </c>
      <c r="M491" s="136"/>
    </row>
    <row r="492" spans="1:13" s="131" customFormat="1" ht="12.75">
      <c r="A492" s="139"/>
      <c r="B492" s="140"/>
      <c r="C492" s="141"/>
      <c r="D492" s="142"/>
      <c r="E492" s="143"/>
      <c r="F492" s="142"/>
      <c r="G492" s="142"/>
      <c r="H492" s="143"/>
      <c r="I492" s="143"/>
      <c r="J492" s="144"/>
      <c r="K492" s="144"/>
      <c r="L492" s="142"/>
      <c r="M492" s="145"/>
    </row>
    <row r="493" spans="1:13" ht="12.75">
      <c r="A493" s="184" t="str">
        <f>'BM04'!A181</f>
        <v>1.12.11</v>
      </c>
      <c r="B493" s="211" t="str">
        <f>'BM04'!B181</f>
        <v>Calha de concreto e alvenaria, revestida internamente, com grelha de ferro, seção 0,20 x 0,15m</v>
      </c>
      <c r="C493" s="212"/>
      <c r="D493" s="212"/>
      <c r="E493" s="212"/>
      <c r="F493" s="212"/>
      <c r="G493" s="212"/>
      <c r="H493" s="212"/>
      <c r="I493" s="212"/>
      <c r="J493" s="212"/>
      <c r="K493" s="213"/>
      <c r="L493" s="129">
        <f>L494</f>
        <v>18</v>
      </c>
      <c r="M493" s="130" t="str">
        <f>'BM04'!C181</f>
        <v>m</v>
      </c>
    </row>
    <row r="494" spans="1:13" s="131" customFormat="1" ht="28.9" customHeight="1">
      <c r="A494" s="132"/>
      <c r="B494" s="209" t="s">
        <v>762</v>
      </c>
      <c r="C494" s="210"/>
      <c r="D494" s="134">
        <v>18</v>
      </c>
      <c r="E494" s="134"/>
      <c r="F494" s="134"/>
      <c r="G494" s="134"/>
      <c r="H494" s="134"/>
      <c r="I494" s="134"/>
      <c r="J494" s="135"/>
      <c r="K494" s="135"/>
      <c r="L494" s="134">
        <f>D494</f>
        <v>18</v>
      </c>
      <c r="M494" s="136"/>
    </row>
    <row r="495" spans="1:13" s="131" customFormat="1" ht="13.5" thickBot="1">
      <c r="A495" s="139"/>
      <c r="B495" s="140"/>
      <c r="C495" s="141"/>
      <c r="D495" s="142"/>
      <c r="E495" s="143"/>
      <c r="F495" s="142"/>
      <c r="G495" s="142"/>
      <c r="H495" s="143"/>
      <c r="I495" s="143"/>
      <c r="J495" s="144"/>
      <c r="K495" s="144"/>
      <c r="L495" s="142"/>
      <c r="M495" s="145"/>
    </row>
    <row r="496" spans="1:13" ht="13.5" thickBot="1">
      <c r="A496" s="121" t="str">
        <f>'BM02'!A160</f>
        <v>1.13</v>
      </c>
      <c r="B496" s="122" t="str">
        <f>'BM02'!B160</f>
        <v>INSTALAÇÕES ELÉTRICAS, TELEFONICAS E MECANICAS</v>
      </c>
      <c r="C496" s="122"/>
      <c r="D496" s="122"/>
      <c r="E496" s="122"/>
      <c r="F496" s="122"/>
      <c r="G496" s="122"/>
      <c r="H496" s="122"/>
      <c r="I496" s="122"/>
      <c r="J496" s="122"/>
      <c r="K496" s="122"/>
      <c r="L496" s="122"/>
      <c r="M496" s="123"/>
    </row>
    <row r="497" spans="1:13" ht="12.75">
      <c r="A497" s="124"/>
      <c r="B497" s="125"/>
      <c r="C497" s="125"/>
      <c r="D497" s="125"/>
      <c r="E497" s="125"/>
      <c r="F497" s="125"/>
      <c r="G497" s="125"/>
      <c r="H497" s="125"/>
      <c r="I497" s="125"/>
      <c r="J497" s="125"/>
      <c r="K497" s="126"/>
      <c r="L497" s="125"/>
      <c r="M497" s="127"/>
    </row>
    <row r="498" spans="1:13" ht="12.75">
      <c r="A498" s="184" t="str">
        <f>'BM02'!A162</f>
        <v>1.13.1</v>
      </c>
      <c r="B498" s="211" t="str">
        <f>'BM02'!B162</f>
        <v>Caixa de passagem em alvenaria de tijolos maciços esp. = 0,12m, dim. int. = 0.50 x 0.50 x 0.50m</v>
      </c>
      <c r="C498" s="212"/>
      <c r="D498" s="212"/>
      <c r="E498" s="212"/>
      <c r="F498" s="212"/>
      <c r="G498" s="212"/>
      <c r="H498" s="212"/>
      <c r="I498" s="212"/>
      <c r="J498" s="212"/>
      <c r="K498" s="213"/>
      <c r="L498" s="129">
        <f>L499</f>
        <v>0</v>
      </c>
      <c r="M498" s="185" t="str">
        <f>'BM02'!C162</f>
        <v>un</v>
      </c>
    </row>
    <row r="499" spans="1:13" s="131" customFormat="1" ht="12.75">
      <c r="A499" s="132"/>
      <c r="B499" s="209"/>
      <c r="C499" s="210"/>
      <c r="D499" s="134"/>
      <c r="E499" s="134"/>
      <c r="F499" s="134"/>
      <c r="G499" s="134"/>
      <c r="H499" s="134"/>
      <c r="I499" s="134"/>
      <c r="J499" s="135"/>
      <c r="K499" s="135"/>
      <c r="L499" s="134">
        <f>D499</f>
        <v>0</v>
      </c>
      <c r="M499" s="136"/>
    </row>
    <row r="500" spans="1:13" s="131" customFormat="1" ht="12.75">
      <c r="A500" s="139"/>
      <c r="B500" s="140"/>
      <c r="C500" s="141"/>
      <c r="D500" s="142"/>
      <c r="E500" s="143"/>
      <c r="F500" s="142"/>
      <c r="G500" s="142"/>
      <c r="H500" s="143"/>
      <c r="I500" s="143"/>
      <c r="J500" s="144"/>
      <c r="K500" s="144"/>
      <c r="L500" s="142"/>
      <c r="M500" s="145"/>
    </row>
    <row r="501" spans="1:13" ht="12.75">
      <c r="A501" s="184" t="str">
        <f>'BM02'!A163</f>
        <v>1.13.2</v>
      </c>
      <c r="B501" s="211" t="str">
        <f>'BM02'!B163</f>
        <v>Caixa de passagem em alvenaria de tijolos maciços esp. = 0,12m, dim. int. = 0.60 x 0.60 x 0.60m</v>
      </c>
      <c r="C501" s="212"/>
      <c r="D501" s="212"/>
      <c r="E501" s="212"/>
      <c r="F501" s="212"/>
      <c r="G501" s="212"/>
      <c r="H501" s="212"/>
      <c r="I501" s="212"/>
      <c r="J501" s="212"/>
      <c r="K501" s="213"/>
      <c r="L501" s="129">
        <f>L502</f>
        <v>0</v>
      </c>
      <c r="M501" s="185" t="str">
        <f>'BM02'!C163</f>
        <v>un</v>
      </c>
    </row>
    <row r="502" spans="1:13" s="131" customFormat="1" ht="12.75">
      <c r="A502" s="132"/>
      <c r="B502" s="209"/>
      <c r="C502" s="210"/>
      <c r="D502" s="134"/>
      <c r="E502" s="134"/>
      <c r="F502" s="134"/>
      <c r="G502" s="134"/>
      <c r="H502" s="134"/>
      <c r="I502" s="134"/>
      <c r="J502" s="135"/>
      <c r="K502" s="135"/>
      <c r="L502" s="134">
        <f>D502</f>
        <v>0</v>
      </c>
      <c r="M502" s="136"/>
    </row>
    <row r="503" spans="1:13" s="131" customFormat="1" ht="12.75">
      <c r="A503" s="139"/>
      <c r="B503" s="140"/>
      <c r="C503" s="141"/>
      <c r="D503" s="142"/>
      <c r="E503" s="143"/>
      <c r="F503" s="142"/>
      <c r="G503" s="142"/>
      <c r="H503" s="143"/>
      <c r="I503" s="143"/>
      <c r="J503" s="144"/>
      <c r="K503" s="144"/>
      <c r="L503" s="142"/>
      <c r="M503" s="145"/>
    </row>
    <row r="504" spans="1:13" ht="12.75">
      <c r="A504" s="184" t="str">
        <f>'BM02'!A164</f>
        <v>1.13.3</v>
      </c>
      <c r="B504" s="211" t="str">
        <f>'BM02'!B164</f>
        <v>DISJUNTOR TRIPOLAR TIPO DIN, CORRENTE NOMINAL DE 10A - FORNECIMENTO E INSTALAÇÃO. AF_10/2020</v>
      </c>
      <c r="C504" s="212"/>
      <c r="D504" s="212"/>
      <c r="E504" s="212"/>
      <c r="F504" s="212"/>
      <c r="G504" s="212"/>
      <c r="H504" s="212"/>
      <c r="I504" s="212"/>
      <c r="J504" s="212"/>
      <c r="K504" s="213"/>
      <c r="L504" s="129">
        <f>L505</f>
        <v>7</v>
      </c>
      <c r="M504" s="185" t="str">
        <f>'BM02'!C164</f>
        <v>un</v>
      </c>
    </row>
    <row r="505" spans="1:13" s="131" customFormat="1" ht="12.75">
      <c r="A505" s="132"/>
      <c r="B505" s="209" t="s">
        <v>763</v>
      </c>
      <c r="C505" s="210"/>
      <c r="D505" s="134">
        <v>7</v>
      </c>
      <c r="E505" s="134"/>
      <c r="F505" s="134"/>
      <c r="G505" s="134"/>
      <c r="H505" s="134"/>
      <c r="I505" s="134"/>
      <c r="J505" s="135"/>
      <c r="K505" s="135"/>
      <c r="L505" s="134">
        <f>D505</f>
        <v>7</v>
      </c>
      <c r="M505" s="136"/>
    </row>
    <row r="506" spans="1:13" s="131" customFormat="1" ht="12.75">
      <c r="A506" s="139"/>
      <c r="B506" s="140"/>
      <c r="C506" s="141"/>
      <c r="D506" s="142"/>
      <c r="E506" s="143"/>
      <c r="F506" s="142"/>
      <c r="G506" s="142"/>
      <c r="H506" s="143"/>
      <c r="I506" s="143"/>
      <c r="J506" s="144"/>
      <c r="K506" s="144"/>
      <c r="L506" s="142"/>
      <c r="M506" s="145"/>
    </row>
    <row r="507" spans="1:13" ht="12.75">
      <c r="A507" s="184" t="str">
        <f>'BM02'!A165</f>
        <v>1.13.4</v>
      </c>
      <c r="B507" s="211" t="str">
        <f>'BM02'!B165</f>
        <v>DISJUNTOR TRIPOLAR TIPO DIN, CORRENTE NOMINAL DE 25A - FORNECIMENTO E INSTALAÇÃO. AF_10/2020</v>
      </c>
      <c r="C507" s="212"/>
      <c r="D507" s="212"/>
      <c r="E507" s="212"/>
      <c r="F507" s="212"/>
      <c r="G507" s="212"/>
      <c r="H507" s="212"/>
      <c r="I507" s="212"/>
      <c r="J507" s="212"/>
      <c r="K507" s="213"/>
      <c r="L507" s="129">
        <f>L508</f>
        <v>8</v>
      </c>
      <c r="M507" s="185" t="str">
        <f>'BM02'!C165</f>
        <v>un</v>
      </c>
    </row>
    <row r="508" spans="1:13" s="131" customFormat="1" ht="12.75">
      <c r="A508" s="132"/>
      <c r="B508" s="209" t="s">
        <v>763</v>
      </c>
      <c r="C508" s="210"/>
      <c r="D508" s="134">
        <v>8</v>
      </c>
      <c r="E508" s="134"/>
      <c r="F508" s="134"/>
      <c r="G508" s="134"/>
      <c r="H508" s="134"/>
      <c r="I508" s="134"/>
      <c r="J508" s="135"/>
      <c r="K508" s="135"/>
      <c r="L508" s="134">
        <f>D508</f>
        <v>8</v>
      </c>
      <c r="M508" s="136"/>
    </row>
    <row r="509" spans="1:13" s="131" customFormat="1" ht="12.75">
      <c r="A509" s="139"/>
      <c r="B509" s="140"/>
      <c r="C509" s="141"/>
      <c r="D509" s="142"/>
      <c r="E509" s="143"/>
      <c r="F509" s="142"/>
      <c r="G509" s="142"/>
      <c r="H509" s="143"/>
      <c r="I509" s="143"/>
      <c r="J509" s="144"/>
      <c r="K509" s="144"/>
      <c r="L509" s="142"/>
      <c r="M509" s="145"/>
    </row>
    <row r="510" spans="1:13" ht="30" customHeight="1">
      <c r="A510" s="128" t="str">
        <f>'BM02'!A166</f>
        <v>1.13.5</v>
      </c>
      <c r="B510" s="211" t="str">
        <f>'BM02'!B166</f>
        <v>DISPOSITIVO DPS CLASSE II, 1 POLO, TENSÃO MAXIMA DE 220/380V, CORRENTE NOMINAL &gt; 20KA TIPO AC - SINAPI (74130/001)</v>
      </c>
      <c r="C510" s="212"/>
      <c r="D510" s="212"/>
      <c r="E510" s="212"/>
      <c r="F510" s="212"/>
      <c r="G510" s="212"/>
      <c r="H510" s="212"/>
      <c r="I510" s="212"/>
      <c r="J510" s="212"/>
      <c r="K510" s="213"/>
      <c r="L510" s="129">
        <f>L511</f>
        <v>0</v>
      </c>
      <c r="M510" s="185" t="str">
        <f>'BM02'!C166</f>
        <v>un</v>
      </c>
    </row>
    <row r="511" spans="1:13" s="131" customFormat="1" ht="12.75">
      <c r="A511" s="132"/>
      <c r="B511" s="209"/>
      <c r="C511" s="210"/>
      <c r="D511" s="134"/>
      <c r="E511" s="134"/>
      <c r="F511" s="134"/>
      <c r="G511" s="134"/>
      <c r="H511" s="134"/>
      <c r="I511" s="134"/>
      <c r="J511" s="135"/>
      <c r="K511" s="135"/>
      <c r="L511" s="134">
        <f>D511</f>
        <v>0</v>
      </c>
      <c r="M511" s="136"/>
    </row>
    <row r="512" spans="1:13" s="131" customFormat="1" ht="12.75">
      <c r="A512" s="139"/>
      <c r="B512" s="140"/>
      <c r="C512" s="141"/>
      <c r="D512" s="142"/>
      <c r="E512" s="143"/>
      <c r="F512" s="142"/>
      <c r="G512" s="142"/>
      <c r="H512" s="143"/>
      <c r="I512" s="143"/>
      <c r="J512" s="144"/>
      <c r="K512" s="144"/>
      <c r="L512" s="142"/>
      <c r="M512" s="145"/>
    </row>
    <row r="513" spans="1:13" ht="12.75">
      <c r="A513" s="184" t="str">
        <f>'BM02'!A167</f>
        <v>1.13.6</v>
      </c>
      <c r="B513" s="211" t="str">
        <f>'BM02'!B167</f>
        <v>DISJUNTOR BIPOLAR TIPO DIN, CORRENTE NOMINAL DE 50A - FORNECIMENTO E INSTALAÇÃO. AF_10/2020</v>
      </c>
      <c r="C513" s="212"/>
      <c r="D513" s="212"/>
      <c r="E513" s="212"/>
      <c r="F513" s="212"/>
      <c r="G513" s="212"/>
      <c r="H513" s="212"/>
      <c r="I513" s="212"/>
      <c r="J513" s="212"/>
      <c r="K513" s="213"/>
      <c r="L513" s="129">
        <f>L514</f>
        <v>0</v>
      </c>
      <c r="M513" s="185" t="str">
        <f>'BM02'!C167</f>
        <v>un</v>
      </c>
    </row>
    <row r="514" spans="1:13" s="131" customFormat="1" ht="12.75">
      <c r="A514" s="132"/>
      <c r="B514" s="209"/>
      <c r="C514" s="210"/>
      <c r="D514" s="134"/>
      <c r="E514" s="134"/>
      <c r="F514" s="134"/>
      <c r="G514" s="134"/>
      <c r="H514" s="134"/>
      <c r="I514" s="134"/>
      <c r="J514" s="135"/>
      <c r="K514" s="135"/>
      <c r="L514" s="134">
        <f>D514</f>
        <v>0</v>
      </c>
      <c r="M514" s="136"/>
    </row>
    <row r="515" spans="1:13" s="131" customFormat="1" ht="12.75">
      <c r="A515" s="139"/>
      <c r="B515" s="140"/>
      <c r="C515" s="141"/>
      <c r="D515" s="142"/>
      <c r="E515" s="143"/>
      <c r="F515" s="142"/>
      <c r="G515" s="142"/>
      <c r="H515" s="143"/>
      <c r="I515" s="143"/>
      <c r="J515" s="144"/>
      <c r="K515" s="144"/>
      <c r="L515" s="142"/>
      <c r="M515" s="145"/>
    </row>
    <row r="516" spans="1:13" ht="12.75">
      <c r="A516" s="184" t="str">
        <f>'BM02'!A168</f>
        <v>1.13.7</v>
      </c>
      <c r="B516" s="211" t="str">
        <f>'BM02'!B168</f>
        <v>DISJUNTOR TRIPOLAR TIPO NEMA, CORRENTE NOMINAL DE 10 ATÉ 50A - FORNECIMENTO E INSTALAÇÃO. AF_10/2020</v>
      </c>
      <c r="C516" s="212"/>
      <c r="D516" s="212"/>
      <c r="E516" s="212"/>
      <c r="F516" s="212"/>
      <c r="G516" s="212"/>
      <c r="H516" s="212"/>
      <c r="I516" s="212"/>
      <c r="J516" s="212"/>
      <c r="K516" s="213"/>
      <c r="L516" s="129">
        <f>L517</f>
        <v>3</v>
      </c>
      <c r="M516" s="185" t="str">
        <f>'BM02'!C168</f>
        <v>un</v>
      </c>
    </row>
    <row r="517" spans="1:13" s="131" customFormat="1" ht="12.75">
      <c r="A517" s="132"/>
      <c r="B517" s="209" t="s">
        <v>763</v>
      </c>
      <c r="C517" s="210"/>
      <c r="D517" s="134">
        <v>3</v>
      </c>
      <c r="E517" s="134"/>
      <c r="F517" s="134"/>
      <c r="G517" s="134"/>
      <c r="H517" s="134"/>
      <c r="I517" s="134"/>
      <c r="J517" s="135"/>
      <c r="K517" s="135"/>
      <c r="L517" s="134">
        <f>D517</f>
        <v>3</v>
      </c>
      <c r="M517" s="136"/>
    </row>
    <row r="518" spans="1:13" s="131" customFormat="1" ht="12.75">
      <c r="A518" s="139"/>
      <c r="B518" s="140"/>
      <c r="C518" s="141"/>
      <c r="D518" s="142"/>
      <c r="E518" s="143"/>
      <c r="F518" s="142"/>
      <c r="G518" s="142"/>
      <c r="H518" s="143"/>
      <c r="I518" s="143"/>
      <c r="J518" s="144"/>
      <c r="K518" s="144"/>
      <c r="L518" s="142"/>
      <c r="M518" s="145"/>
    </row>
    <row r="519" spans="1:13" ht="30" customHeight="1">
      <c r="A519" s="128" t="str">
        <f>'BM02'!A169</f>
        <v>1.13.8</v>
      </c>
      <c r="B519" s="211" t="str">
        <f>'BM02'!B169</f>
        <v>INTERRUPTOR SIMPLES (1 MÓDULO), 10A/250V, INCLUINDO SUPORTE E PLACA - FORNECIMENTO E INSTALAÇÃO. AF_12/2015</v>
      </c>
      <c r="C519" s="212"/>
      <c r="D519" s="212"/>
      <c r="E519" s="212"/>
      <c r="F519" s="212"/>
      <c r="G519" s="212"/>
      <c r="H519" s="212"/>
      <c r="I519" s="212"/>
      <c r="J519" s="212"/>
      <c r="K519" s="213"/>
      <c r="L519" s="129">
        <f>L520</f>
        <v>16</v>
      </c>
      <c r="M519" s="185" t="str">
        <f>'BM02'!C169</f>
        <v>un</v>
      </c>
    </row>
    <row r="520" spans="1:13" s="131" customFormat="1" ht="12.75">
      <c r="A520" s="132"/>
      <c r="B520" s="209" t="s">
        <v>764</v>
      </c>
      <c r="C520" s="210"/>
      <c r="D520" s="134">
        <v>16</v>
      </c>
      <c r="E520" s="134"/>
      <c r="F520" s="134"/>
      <c r="G520" s="134"/>
      <c r="H520" s="134"/>
      <c r="I520" s="134"/>
      <c r="J520" s="135"/>
      <c r="K520" s="135"/>
      <c r="L520" s="134">
        <f>D520</f>
        <v>16</v>
      </c>
      <c r="M520" s="136"/>
    </row>
    <row r="521" spans="1:13" s="131" customFormat="1" ht="12.75">
      <c r="A521" s="139"/>
      <c r="B521" s="140"/>
      <c r="C521" s="141"/>
      <c r="D521" s="142"/>
      <c r="E521" s="143"/>
      <c r="F521" s="142"/>
      <c r="G521" s="142"/>
      <c r="H521" s="143"/>
      <c r="I521" s="143"/>
      <c r="J521" s="144"/>
      <c r="K521" s="144"/>
      <c r="L521" s="142"/>
      <c r="M521" s="145"/>
    </row>
    <row r="522" spans="1:13" ht="30" customHeight="1">
      <c r="A522" s="128" t="str">
        <f>'BM02'!A170</f>
        <v>1.13.9</v>
      </c>
      <c r="B522" s="211" t="str">
        <f>'BM02'!B170</f>
        <v>INTERRUPTOR SIMPLES (2 MÓDULOS), 10A/250V, INCLUINDO SUPORTE E PLACA - FORNECIMENTO E INSTALAÇÃO. AF_12/2015</v>
      </c>
      <c r="C522" s="212"/>
      <c r="D522" s="212"/>
      <c r="E522" s="212"/>
      <c r="F522" s="212"/>
      <c r="G522" s="212"/>
      <c r="H522" s="212"/>
      <c r="I522" s="212"/>
      <c r="J522" s="212"/>
      <c r="K522" s="213"/>
      <c r="L522" s="129">
        <f>L523</f>
        <v>6</v>
      </c>
      <c r="M522" s="185" t="str">
        <f>'BM02'!C170</f>
        <v>un</v>
      </c>
    </row>
    <row r="523" spans="1:13" s="131" customFormat="1" ht="12.75">
      <c r="A523" s="132"/>
      <c r="B523" s="209" t="s">
        <v>764</v>
      </c>
      <c r="C523" s="210"/>
      <c r="D523" s="134">
        <v>6</v>
      </c>
      <c r="E523" s="134"/>
      <c r="F523" s="134"/>
      <c r="G523" s="134"/>
      <c r="H523" s="134"/>
      <c r="I523" s="134"/>
      <c r="J523" s="135"/>
      <c r="K523" s="135"/>
      <c r="L523" s="134">
        <f>D523</f>
        <v>6</v>
      </c>
      <c r="M523" s="136"/>
    </row>
    <row r="524" spans="1:13" s="131" customFormat="1" ht="12.75">
      <c r="A524" s="139"/>
      <c r="B524" s="140"/>
      <c r="C524" s="141"/>
      <c r="D524" s="142"/>
      <c r="E524" s="143"/>
      <c r="F524" s="142"/>
      <c r="G524" s="142"/>
      <c r="H524" s="143"/>
      <c r="I524" s="143"/>
      <c r="J524" s="144"/>
      <c r="K524" s="144"/>
      <c r="L524" s="142"/>
      <c r="M524" s="145"/>
    </row>
    <row r="525" spans="1:13" ht="30" customHeight="1">
      <c r="A525" s="128" t="str">
        <f>'BM02'!A171</f>
        <v>1.13.10</v>
      </c>
      <c r="B525" s="211" t="str">
        <f>'BM02'!B171</f>
        <v>LUMINÁRIA TIPO CALHA, DE SOBREPOR, COM 2 LÂMPADAS TUBULARES FLUORESCENTES DE 18 W, COM REATOR DE PARTIDA RÁPIDA - FORNECIMENTO E INSTALAÇÃO. AF_02/2020</v>
      </c>
      <c r="C525" s="212"/>
      <c r="D525" s="212"/>
      <c r="E525" s="212"/>
      <c r="F525" s="212"/>
      <c r="G525" s="212"/>
      <c r="H525" s="212"/>
      <c r="I525" s="212"/>
      <c r="J525" s="212"/>
      <c r="K525" s="213"/>
      <c r="L525" s="129">
        <f>L526</f>
        <v>0</v>
      </c>
      <c r="M525" s="185" t="str">
        <f>'BM02'!C171</f>
        <v>un</v>
      </c>
    </row>
    <row r="526" spans="1:13" s="131" customFormat="1" ht="12.75">
      <c r="A526" s="132"/>
      <c r="B526" s="209"/>
      <c r="C526" s="210"/>
      <c r="D526" s="134"/>
      <c r="E526" s="134"/>
      <c r="F526" s="134"/>
      <c r="G526" s="134"/>
      <c r="H526" s="134"/>
      <c r="I526" s="134"/>
      <c r="J526" s="135"/>
      <c r="K526" s="135"/>
      <c r="L526" s="134">
        <f>D526</f>
        <v>0</v>
      </c>
      <c r="M526" s="136"/>
    </row>
    <row r="527" spans="1:13" s="131" customFormat="1" ht="12.75">
      <c r="A527" s="139"/>
      <c r="B527" s="140"/>
      <c r="C527" s="141"/>
      <c r="D527" s="142"/>
      <c r="E527" s="143"/>
      <c r="F527" s="142"/>
      <c r="G527" s="142"/>
      <c r="H527" s="143"/>
      <c r="I527" s="143"/>
      <c r="J527" s="144"/>
      <c r="K527" s="144"/>
      <c r="L527" s="142"/>
      <c r="M527" s="145"/>
    </row>
    <row r="528" spans="1:13" ht="30" customHeight="1">
      <c r="A528" s="128" t="str">
        <f>'BM02'!A172</f>
        <v>1.13.11</v>
      </c>
      <c r="B528" s="211" t="str">
        <f>'BM02'!B172</f>
        <v>LUMINÁRIA TIPO CALHA, DE SOBREPOR, COM 2 LÂMPADAS TUBULARES FLUORESCENTES DE 36 W, COM REATOR DE PARTIDA RÁPIDA - FORNECIMENTO E INSTALAÇÃO. AF_02/2020</v>
      </c>
      <c r="C528" s="212"/>
      <c r="D528" s="212"/>
      <c r="E528" s="212"/>
      <c r="F528" s="212"/>
      <c r="G528" s="212"/>
      <c r="H528" s="212"/>
      <c r="I528" s="212"/>
      <c r="J528" s="212"/>
      <c r="K528" s="213"/>
      <c r="L528" s="129">
        <f>L529</f>
        <v>0</v>
      </c>
      <c r="M528" s="185" t="str">
        <f>'BM02'!C172</f>
        <v>un</v>
      </c>
    </row>
    <row r="529" spans="1:13" s="131" customFormat="1" ht="12.75">
      <c r="A529" s="132"/>
      <c r="B529" s="209"/>
      <c r="C529" s="210"/>
      <c r="D529" s="134"/>
      <c r="E529" s="134"/>
      <c r="F529" s="134"/>
      <c r="G529" s="134"/>
      <c r="H529" s="134"/>
      <c r="I529" s="134"/>
      <c r="J529" s="135"/>
      <c r="K529" s="135"/>
      <c r="L529" s="134">
        <f>D529</f>
        <v>0</v>
      </c>
      <c r="M529" s="136"/>
    </row>
    <row r="530" spans="1:13" s="131" customFormat="1" ht="12.75">
      <c r="A530" s="139"/>
      <c r="B530" s="140"/>
      <c r="C530" s="141"/>
      <c r="D530" s="142"/>
      <c r="E530" s="143"/>
      <c r="F530" s="142"/>
      <c r="G530" s="142"/>
      <c r="H530" s="143"/>
      <c r="I530" s="143"/>
      <c r="J530" s="144"/>
      <c r="K530" s="144"/>
      <c r="L530" s="142"/>
      <c r="M530" s="145"/>
    </row>
    <row r="531" spans="1:13" ht="30" customHeight="1">
      <c r="A531" s="128" t="str">
        <f>'BM02'!A173</f>
        <v>1.13.12</v>
      </c>
      <c r="B531" s="211" t="str">
        <f>'BM02'!B173</f>
        <v>LUMINÁRIA DE EMERGÊNCIA, COM 30 LÂMPADAS LED DE 2 W, SEM REATOR - FORNECIMENTO E INSTALAÇÃO. AF_02/2020</v>
      </c>
      <c r="C531" s="212"/>
      <c r="D531" s="212"/>
      <c r="E531" s="212"/>
      <c r="F531" s="212"/>
      <c r="G531" s="212"/>
      <c r="H531" s="212"/>
      <c r="I531" s="212"/>
      <c r="J531" s="212"/>
      <c r="K531" s="213"/>
      <c r="L531" s="129">
        <f>L532</f>
        <v>0</v>
      </c>
      <c r="M531" s="185" t="str">
        <f>'BM02'!C173</f>
        <v>un</v>
      </c>
    </row>
    <row r="532" spans="1:13" s="131" customFormat="1" ht="12.75">
      <c r="A532" s="132"/>
      <c r="B532" s="209"/>
      <c r="C532" s="210"/>
      <c r="D532" s="134"/>
      <c r="E532" s="134"/>
      <c r="F532" s="134"/>
      <c r="G532" s="134"/>
      <c r="H532" s="134"/>
      <c r="I532" s="134"/>
      <c r="J532" s="135"/>
      <c r="K532" s="135"/>
      <c r="L532" s="134">
        <f>D532</f>
        <v>0</v>
      </c>
      <c r="M532" s="136"/>
    </row>
    <row r="533" spans="1:13" s="131" customFormat="1" ht="12.75">
      <c r="A533" s="139"/>
      <c r="B533" s="140"/>
      <c r="C533" s="141"/>
      <c r="D533" s="142"/>
      <c r="E533" s="143"/>
      <c r="F533" s="142"/>
      <c r="G533" s="142"/>
      <c r="H533" s="143"/>
      <c r="I533" s="143"/>
      <c r="J533" s="144"/>
      <c r="K533" s="144"/>
      <c r="L533" s="142"/>
      <c r="M533" s="145"/>
    </row>
    <row r="534" spans="1:13" ht="30" customHeight="1">
      <c r="A534" s="128" t="str">
        <f>'BM02'!A174</f>
        <v>1.13.13</v>
      </c>
      <c r="B534" s="211" t="str">
        <f>'BM02'!B174</f>
        <v>PONTO DE ILUMINAÇÃO RESIDENCIAL INCLUINDO INTERRUPTOR SIMPLES, CAIXA ELÉTRICA, ELETRODUTO, CABO, RASGO, QUEBRA E CHUMBAMENTO (EXCLUINDO LUMINÁRIA E LÂMPADA). AF_01/2016</v>
      </c>
      <c r="C534" s="212"/>
      <c r="D534" s="212"/>
      <c r="E534" s="212"/>
      <c r="F534" s="212"/>
      <c r="G534" s="212"/>
      <c r="H534" s="212"/>
      <c r="I534" s="212"/>
      <c r="J534" s="212"/>
      <c r="K534" s="213"/>
      <c r="L534" s="129">
        <f>L535</f>
        <v>76</v>
      </c>
      <c r="M534" s="185" t="str">
        <f>'BM02'!C174</f>
        <v>un</v>
      </c>
    </row>
    <row r="535" spans="1:13" s="131" customFormat="1" ht="43.15" customHeight="1">
      <c r="A535" s="132"/>
      <c r="B535" s="209" t="s">
        <v>765</v>
      </c>
      <c r="C535" s="210"/>
      <c r="D535" s="134">
        <f>46+20+10</f>
        <v>76</v>
      </c>
      <c r="E535" s="134"/>
      <c r="F535" s="134"/>
      <c r="G535" s="134"/>
      <c r="H535" s="134"/>
      <c r="I535" s="134"/>
      <c r="J535" s="135"/>
      <c r="K535" s="135"/>
      <c r="L535" s="134">
        <f>D535</f>
        <v>76</v>
      </c>
      <c r="M535" s="136"/>
    </row>
    <row r="536" spans="1:13" s="131" customFormat="1" ht="12.75">
      <c r="A536" s="139"/>
      <c r="B536" s="140"/>
      <c r="C536" s="141"/>
      <c r="D536" s="142"/>
      <c r="E536" s="143"/>
      <c r="F536" s="142"/>
      <c r="G536" s="142"/>
      <c r="H536" s="143"/>
      <c r="I536" s="143"/>
      <c r="J536" s="144"/>
      <c r="K536" s="144"/>
      <c r="L536" s="142"/>
      <c r="M536" s="145"/>
    </row>
    <row r="537" spans="1:13" ht="30" customHeight="1">
      <c r="A537" s="128" t="str">
        <f>'BM02'!A175</f>
        <v>1.13.14</v>
      </c>
      <c r="B537" s="211" t="str">
        <f>'BM02'!B175</f>
        <v>PONTO DE TOMADA RESIDENCIAL INCLUINDO TOMADA 10A/250V, CAIXA ELÉTRICA, ELETRODUTO, CABO, RASGO, QUEBRA E CHUMBAMENTO. AF_01/2016</v>
      </c>
      <c r="C537" s="212"/>
      <c r="D537" s="212"/>
      <c r="E537" s="212"/>
      <c r="F537" s="212"/>
      <c r="G537" s="212"/>
      <c r="H537" s="212"/>
      <c r="I537" s="212"/>
      <c r="J537" s="212"/>
      <c r="K537" s="213"/>
      <c r="L537" s="129">
        <f>L538</f>
        <v>18</v>
      </c>
      <c r="M537" s="185" t="str">
        <f>'BM02'!C175</f>
        <v>un</v>
      </c>
    </row>
    <row r="538" spans="1:13" s="131" customFormat="1" ht="12.75">
      <c r="A538" s="132"/>
      <c r="B538" s="209" t="s">
        <v>766</v>
      </c>
      <c r="C538" s="210"/>
      <c r="D538" s="134">
        <v>18</v>
      </c>
      <c r="E538" s="134"/>
      <c r="F538" s="134"/>
      <c r="G538" s="134"/>
      <c r="H538" s="134"/>
      <c r="I538" s="134"/>
      <c r="J538" s="135"/>
      <c r="K538" s="135"/>
      <c r="L538" s="134">
        <f>D538</f>
        <v>18</v>
      </c>
      <c r="M538" s="136"/>
    </row>
    <row r="539" spans="1:13" s="131" customFormat="1" ht="12.75">
      <c r="A539" s="139"/>
      <c r="B539" s="140"/>
      <c r="C539" s="141"/>
      <c r="D539" s="142"/>
      <c r="E539" s="143"/>
      <c r="F539" s="142"/>
      <c r="G539" s="142"/>
      <c r="H539" s="143"/>
      <c r="I539" s="143"/>
      <c r="J539" s="144"/>
      <c r="K539" s="144"/>
      <c r="L539" s="142"/>
      <c r="M539" s="145"/>
    </row>
    <row r="540" spans="1:13" ht="30" customHeight="1">
      <c r="A540" s="128" t="str">
        <f>'BM02'!A176</f>
        <v>1.13.15</v>
      </c>
      <c r="B540" s="211" t="str">
        <f>'BM02'!B176</f>
        <v>PONTO DE TOMADA RESIDENCIAL INCLUINDO TOMADA 20A/250V, CAIXA ELÉTRICA, ELETRODUTO, CABO, RASGO, QUEBRA E CHUMBAMENTO. AF_01/2016</v>
      </c>
      <c r="C540" s="212"/>
      <c r="D540" s="212"/>
      <c r="E540" s="212"/>
      <c r="F540" s="212"/>
      <c r="G540" s="212"/>
      <c r="H540" s="212"/>
      <c r="I540" s="212"/>
      <c r="J540" s="212"/>
      <c r="K540" s="213"/>
      <c r="L540" s="129">
        <f>L541</f>
        <v>12</v>
      </c>
      <c r="M540" s="185" t="str">
        <f>'BM02'!C176</f>
        <v>un</v>
      </c>
    </row>
    <row r="541" spans="1:13" s="131" customFormat="1" ht="12.75">
      <c r="A541" s="132"/>
      <c r="B541" s="209" t="s">
        <v>766</v>
      </c>
      <c r="C541" s="210"/>
      <c r="D541" s="134">
        <v>12</v>
      </c>
      <c r="E541" s="134"/>
      <c r="F541" s="134"/>
      <c r="G541" s="134"/>
      <c r="H541" s="134"/>
      <c r="I541" s="134"/>
      <c r="J541" s="135"/>
      <c r="K541" s="135"/>
      <c r="L541" s="134">
        <f>D541</f>
        <v>12</v>
      </c>
      <c r="M541" s="136"/>
    </row>
    <row r="542" spans="1:13" s="131" customFormat="1" ht="12.75">
      <c r="A542" s="139"/>
      <c r="B542" s="140"/>
      <c r="C542" s="141"/>
      <c r="D542" s="142"/>
      <c r="E542" s="143"/>
      <c r="F542" s="142"/>
      <c r="G542" s="142"/>
      <c r="H542" s="143"/>
      <c r="I542" s="143"/>
      <c r="J542" s="144"/>
      <c r="K542" s="144"/>
      <c r="L542" s="142"/>
      <c r="M542" s="145"/>
    </row>
    <row r="543" spans="1:13" ht="30" customHeight="1">
      <c r="A543" s="128" t="str">
        <f>'BM02'!A177</f>
        <v>1.13.16</v>
      </c>
      <c r="B543" s="211" t="str">
        <f>'BM02'!B177</f>
        <v>PONTO DE UTILIZAÇÃO DE EQUIPAMENTOS ELÉTRICOS, RESIDENCIAL, INCLUINDO SUPORTE E PLACA, CAIXA ELÉTRICA, ELETRODUTO, CABO, RASGO, QUEBRA E CHUMBAMENTO. AF_01/2016</v>
      </c>
      <c r="C543" s="212"/>
      <c r="D543" s="212"/>
      <c r="E543" s="212"/>
      <c r="F543" s="212"/>
      <c r="G543" s="212"/>
      <c r="H543" s="212"/>
      <c r="I543" s="212"/>
      <c r="J543" s="212"/>
      <c r="K543" s="213"/>
      <c r="L543" s="129">
        <f>L544</f>
        <v>7</v>
      </c>
      <c r="M543" s="185" t="str">
        <f>'BM02'!C177</f>
        <v>un</v>
      </c>
    </row>
    <row r="544" spans="1:13" s="131" customFormat="1" ht="12.75">
      <c r="A544" s="132"/>
      <c r="B544" s="209" t="s">
        <v>766</v>
      </c>
      <c r="C544" s="210"/>
      <c r="D544" s="134">
        <v>7</v>
      </c>
      <c r="E544" s="134"/>
      <c r="F544" s="134"/>
      <c r="G544" s="134"/>
      <c r="H544" s="134"/>
      <c r="I544" s="134"/>
      <c r="J544" s="135"/>
      <c r="K544" s="135"/>
      <c r="L544" s="134">
        <f>D544</f>
        <v>7</v>
      </c>
      <c r="M544" s="136"/>
    </row>
    <row r="545" spans="1:13" s="131" customFormat="1" ht="12.75">
      <c r="A545" s="139"/>
      <c r="B545" s="140"/>
      <c r="C545" s="141"/>
      <c r="D545" s="142"/>
      <c r="E545" s="143"/>
      <c r="F545" s="142"/>
      <c r="G545" s="142"/>
      <c r="H545" s="143"/>
      <c r="I545" s="143"/>
      <c r="J545" s="144"/>
      <c r="K545" s="144"/>
      <c r="L545" s="142"/>
      <c r="M545" s="145"/>
    </row>
    <row r="546" spans="1:13" ht="30" customHeight="1">
      <c r="A546" s="128" t="str">
        <f>'BM02'!A178</f>
        <v>1.13.17</v>
      </c>
      <c r="B546" s="211" t="str">
        <f>'BM02'!B178</f>
        <v>PONTO DE UTILIZAÇÃO DE EQUIPAMENTOS ELÉTRICOS, RESIDENCIAL, INCLUINDO SUPORTE E PLACA, CAIXA ELÉTRICA, ELETRODUTO, CABO, RASGO, QUEBRA E CHUMBAMENTO. AF_01/2016</v>
      </c>
      <c r="C546" s="212"/>
      <c r="D546" s="212"/>
      <c r="E546" s="212"/>
      <c r="F546" s="212"/>
      <c r="G546" s="212"/>
      <c r="H546" s="212"/>
      <c r="I546" s="212"/>
      <c r="J546" s="212"/>
      <c r="K546" s="213"/>
      <c r="L546" s="129">
        <f>L547</f>
        <v>11</v>
      </c>
      <c r="M546" s="185" t="str">
        <f>'BM02'!C178</f>
        <v>un</v>
      </c>
    </row>
    <row r="547" spans="1:13" s="131" customFormat="1" ht="12.75">
      <c r="A547" s="132"/>
      <c r="B547" s="209" t="s">
        <v>767</v>
      </c>
      <c r="C547" s="210"/>
      <c r="D547" s="134">
        <v>11</v>
      </c>
      <c r="E547" s="134"/>
      <c r="F547" s="134"/>
      <c r="G547" s="134"/>
      <c r="H547" s="134"/>
      <c r="I547" s="134"/>
      <c r="J547" s="135"/>
      <c r="K547" s="135"/>
      <c r="L547" s="134">
        <f>D547</f>
        <v>11</v>
      </c>
      <c r="M547" s="136"/>
    </row>
    <row r="548" spans="1:13" s="131" customFormat="1" ht="12.75">
      <c r="A548" s="139"/>
      <c r="B548" s="140"/>
      <c r="C548" s="141"/>
      <c r="D548" s="142"/>
      <c r="E548" s="143"/>
      <c r="F548" s="142"/>
      <c r="G548" s="142"/>
      <c r="H548" s="143"/>
      <c r="I548" s="143"/>
      <c r="J548" s="144"/>
      <c r="K548" s="144"/>
      <c r="L548" s="142"/>
      <c r="M548" s="145"/>
    </row>
    <row r="549" spans="1:13" ht="30" customHeight="1">
      <c r="A549" s="128" t="str">
        <f>'BM02'!A179</f>
        <v>1.13.18</v>
      </c>
      <c r="B549" s="211" t="str">
        <f>'BM02'!B179</f>
        <v>QUADRO DE DISTRIBUIÇÃO DE ENERGIA EM CHAPA DE AÇO GALVANIZADO, DE EMBUTIR, COM BARRAMENTO TRIFÁSICO, PARA 24 DISJUNTORES DIN 100A - FORNECIMENTO E INSTALAÇÃO. AF_10/2020</v>
      </c>
      <c r="C549" s="212"/>
      <c r="D549" s="212"/>
      <c r="E549" s="212"/>
      <c r="F549" s="212"/>
      <c r="G549" s="212"/>
      <c r="H549" s="212"/>
      <c r="I549" s="212"/>
      <c r="J549" s="212"/>
      <c r="K549" s="213"/>
      <c r="L549" s="129">
        <f>L550</f>
        <v>1</v>
      </c>
      <c r="M549" s="185" t="str">
        <f>'BM02'!C179</f>
        <v>un</v>
      </c>
    </row>
    <row r="550" spans="1:13" s="131" customFormat="1" ht="12.75">
      <c r="A550" s="132"/>
      <c r="B550" s="209" t="s">
        <v>768</v>
      </c>
      <c r="C550" s="210"/>
      <c r="D550" s="134">
        <v>1</v>
      </c>
      <c r="E550" s="134"/>
      <c r="F550" s="134"/>
      <c r="G550" s="134"/>
      <c r="H550" s="134"/>
      <c r="I550" s="134"/>
      <c r="J550" s="135"/>
      <c r="K550" s="135"/>
      <c r="L550" s="134">
        <f>D550</f>
        <v>1</v>
      </c>
      <c r="M550" s="136"/>
    </row>
    <row r="551" spans="1:13" s="131" customFormat="1" ht="12.75">
      <c r="A551" s="139"/>
      <c r="B551" s="140"/>
      <c r="C551" s="141"/>
      <c r="D551" s="142"/>
      <c r="E551" s="143"/>
      <c r="F551" s="142"/>
      <c r="G551" s="142"/>
      <c r="H551" s="143"/>
      <c r="I551" s="143"/>
      <c r="J551" s="144"/>
      <c r="K551" s="144"/>
      <c r="L551" s="142"/>
      <c r="M551" s="145"/>
    </row>
    <row r="552" spans="1:13" ht="30" customHeight="1">
      <c r="A552" s="128" t="str">
        <f>'BM02'!A180</f>
        <v>1.13.19</v>
      </c>
      <c r="B552" s="211" t="str">
        <f>'BM02'!B180</f>
        <v>QUADRO DE DISTRIBUIÇÃO DE ENERGIA EM CHAPA DE AÇO GALVANIZADO, DE EMBUTIR, COM BARRAMENTO TRIFÁSICO, PARA 12 DISJUNTORES DIN 100A - FORNECIMENTO E INSTALAÇÃO. AF_10/2020</v>
      </c>
      <c r="C552" s="212"/>
      <c r="D552" s="212"/>
      <c r="E552" s="212"/>
      <c r="F552" s="212"/>
      <c r="G552" s="212"/>
      <c r="H552" s="212"/>
      <c r="I552" s="212"/>
      <c r="J552" s="212"/>
      <c r="K552" s="213"/>
      <c r="L552" s="129">
        <f>L553</f>
        <v>1</v>
      </c>
      <c r="M552" s="185" t="str">
        <f>'BM02'!C180</f>
        <v>un</v>
      </c>
    </row>
    <row r="553" spans="1:13" s="131" customFormat="1" ht="12.75">
      <c r="A553" s="132"/>
      <c r="B553" s="209" t="s">
        <v>768</v>
      </c>
      <c r="C553" s="210"/>
      <c r="D553" s="134">
        <v>1</v>
      </c>
      <c r="E553" s="134"/>
      <c r="F553" s="134"/>
      <c r="G553" s="134"/>
      <c r="H553" s="134"/>
      <c r="I553" s="134"/>
      <c r="J553" s="135"/>
      <c r="K553" s="135"/>
      <c r="L553" s="134">
        <f>D553</f>
        <v>1</v>
      </c>
      <c r="M553" s="136"/>
    </row>
    <row r="554" spans="1:13" s="131" customFormat="1" ht="12.75">
      <c r="A554" s="139"/>
      <c r="B554" s="140"/>
      <c r="C554" s="141"/>
      <c r="D554" s="142"/>
      <c r="E554" s="143"/>
      <c r="F554" s="142"/>
      <c r="G554" s="142"/>
      <c r="H554" s="143"/>
      <c r="I554" s="143"/>
      <c r="J554" s="144"/>
      <c r="K554" s="144"/>
      <c r="L554" s="142"/>
      <c r="M554" s="145"/>
    </row>
    <row r="555" spans="1:13" ht="12.6" customHeight="1">
      <c r="A555" s="184" t="str">
        <f>'BM02'!A181</f>
        <v>1.13.20</v>
      </c>
      <c r="B555" s="211" t="str">
        <f>'BM02'!B181</f>
        <v>Ponto de telefone, com eletroduto de pvc rígido embutido Ø 3/4"</v>
      </c>
      <c r="C555" s="212"/>
      <c r="D555" s="212"/>
      <c r="E555" s="212"/>
      <c r="F555" s="212"/>
      <c r="G555" s="212"/>
      <c r="H555" s="212"/>
      <c r="I555" s="212"/>
      <c r="J555" s="212"/>
      <c r="K555" s="213"/>
      <c r="L555" s="129">
        <f>L556</f>
        <v>0</v>
      </c>
      <c r="M555" s="185" t="str">
        <f>'BM02'!C181</f>
        <v>un</v>
      </c>
    </row>
    <row r="556" spans="1:13" s="131" customFormat="1" ht="12.75">
      <c r="A556" s="132"/>
      <c r="B556" s="209"/>
      <c r="C556" s="210"/>
      <c r="D556" s="134"/>
      <c r="E556" s="134"/>
      <c r="F556" s="134"/>
      <c r="G556" s="134"/>
      <c r="H556" s="134"/>
      <c r="I556" s="134"/>
      <c r="J556" s="135"/>
      <c r="K556" s="135"/>
      <c r="L556" s="134">
        <f>D556</f>
        <v>0</v>
      </c>
      <c r="M556" s="136"/>
    </row>
    <row r="557" spans="1:13" s="131" customFormat="1" ht="12.75">
      <c r="A557" s="139"/>
      <c r="B557" s="140"/>
      <c r="C557" s="141"/>
      <c r="D557" s="142"/>
      <c r="E557" s="143"/>
      <c r="F557" s="142"/>
      <c r="G557" s="142"/>
      <c r="H557" s="143"/>
      <c r="I557" s="143"/>
      <c r="J557" s="144"/>
      <c r="K557" s="144"/>
      <c r="L557" s="142"/>
      <c r="M557" s="145"/>
    </row>
    <row r="558" spans="1:13" ht="12.6" customHeight="1">
      <c r="A558" s="184" t="str">
        <f>'BM02'!A182</f>
        <v>1.13.21</v>
      </c>
      <c r="B558" s="211" t="str">
        <f>'BM02'!B182</f>
        <v>Ponto para cabeamento estruturado embutido, com eletroduto pvc rígido Ø 3/4" c/cabo UTP 4 pares cat. 6</v>
      </c>
      <c r="C558" s="212"/>
      <c r="D558" s="212"/>
      <c r="E558" s="212"/>
      <c r="F558" s="212"/>
      <c r="G558" s="212"/>
      <c r="H558" s="212"/>
      <c r="I558" s="212"/>
      <c r="J558" s="212"/>
      <c r="K558" s="213"/>
      <c r="L558" s="129">
        <f>L559</f>
        <v>0</v>
      </c>
      <c r="M558" s="185" t="str">
        <f>'BM02'!C182</f>
        <v>pt</v>
      </c>
    </row>
    <row r="559" spans="1:13" s="131" customFormat="1" ht="12.75">
      <c r="A559" s="132"/>
      <c r="B559" s="209"/>
      <c r="C559" s="210"/>
      <c r="D559" s="134"/>
      <c r="E559" s="134"/>
      <c r="F559" s="134"/>
      <c r="G559" s="134"/>
      <c r="H559" s="134"/>
      <c r="I559" s="134"/>
      <c r="J559" s="135"/>
      <c r="K559" s="135"/>
      <c r="L559" s="134">
        <f>D559</f>
        <v>0</v>
      </c>
      <c r="M559" s="136"/>
    </row>
    <row r="560" spans="1:13" s="131" customFormat="1" ht="12.75">
      <c r="A560" s="139"/>
      <c r="B560" s="140"/>
      <c r="C560" s="141"/>
      <c r="D560" s="142"/>
      <c r="E560" s="143"/>
      <c r="F560" s="142"/>
      <c r="G560" s="142"/>
      <c r="H560" s="143"/>
      <c r="I560" s="143"/>
      <c r="J560" s="144"/>
      <c r="K560" s="144"/>
      <c r="L560" s="142"/>
      <c r="M560" s="145"/>
    </row>
    <row r="561" spans="1:13" ht="30" customHeight="1">
      <c r="A561" s="128" t="str">
        <f>'BM02'!A183</f>
        <v>1.13.22</v>
      </c>
      <c r="B561" s="211" t="str">
        <f>'BM02'!B183</f>
        <v>Conjunto moto-bomba com motor de 3/4 cv, trifásico, bomba centrífuga, sucção=1", recalque=1", pr. máx. 26 mca, alt. sucção 8 mca. faixas hm (m) - q (m3/h) : (23-3,4)(20-4,7)(17-5,7)(14-6,6)(11- 7,3), inclusive chave de partida direta</v>
      </c>
      <c r="C561" s="212"/>
      <c r="D561" s="212"/>
      <c r="E561" s="212"/>
      <c r="F561" s="212"/>
      <c r="G561" s="212"/>
      <c r="H561" s="212"/>
      <c r="I561" s="212"/>
      <c r="J561" s="212"/>
      <c r="K561" s="213"/>
      <c r="L561" s="129">
        <f>L562</f>
        <v>0</v>
      </c>
      <c r="M561" s="185" t="str">
        <f>'BM02'!C183</f>
        <v>un</v>
      </c>
    </row>
    <row r="562" spans="1:13" s="131" customFormat="1" ht="12.75">
      <c r="A562" s="132"/>
      <c r="B562" s="209"/>
      <c r="C562" s="210"/>
      <c r="D562" s="134"/>
      <c r="E562" s="134"/>
      <c r="F562" s="134"/>
      <c r="G562" s="134"/>
      <c r="H562" s="134"/>
      <c r="I562" s="134"/>
      <c r="J562" s="135"/>
      <c r="K562" s="135"/>
      <c r="L562" s="134">
        <f>D562</f>
        <v>0</v>
      </c>
      <c r="M562" s="136"/>
    </row>
    <row r="563" spans="1:13" s="131" customFormat="1" ht="12.75">
      <c r="A563" s="139"/>
      <c r="B563" s="140"/>
      <c r="C563" s="141"/>
      <c r="D563" s="142"/>
      <c r="E563" s="143"/>
      <c r="F563" s="142"/>
      <c r="G563" s="142"/>
      <c r="H563" s="143"/>
      <c r="I563" s="143"/>
      <c r="J563" s="144"/>
      <c r="K563" s="144"/>
      <c r="L563" s="142"/>
      <c r="M563" s="145"/>
    </row>
    <row r="564" spans="1:13" ht="30" customHeight="1">
      <c r="A564" s="128" t="str">
        <f>'BM02'!A184</f>
        <v>1.13.23</v>
      </c>
      <c r="B564" s="211" t="str">
        <f>'BM02'!B184</f>
        <v>INTERRUPTOR PULSADOR CAMPAINHA (1 MÓDULO), 10A/250V, INCLUINDO SUPORTE E PLACA - FORNECIMENTO E INSTALAÇÃO. AF_09/2017</v>
      </c>
      <c r="C564" s="212"/>
      <c r="D564" s="212"/>
      <c r="E564" s="212"/>
      <c r="F564" s="212"/>
      <c r="G564" s="212"/>
      <c r="H564" s="212"/>
      <c r="I564" s="212"/>
      <c r="J564" s="212"/>
      <c r="K564" s="213"/>
      <c r="L564" s="129">
        <f>L565</f>
        <v>1</v>
      </c>
      <c r="M564" s="185" t="str">
        <f>'BM02'!C184</f>
        <v>un</v>
      </c>
    </row>
    <row r="565" spans="1:13" s="131" customFormat="1" ht="12.75">
      <c r="A565" s="132"/>
      <c r="B565" s="209" t="s">
        <v>769</v>
      </c>
      <c r="C565" s="210"/>
      <c r="D565" s="134">
        <f>1</f>
        <v>1</v>
      </c>
      <c r="E565" s="134"/>
      <c r="F565" s="134"/>
      <c r="G565" s="134"/>
      <c r="H565" s="134"/>
      <c r="I565" s="134"/>
      <c r="J565" s="135"/>
      <c r="K565" s="135"/>
      <c r="L565" s="134">
        <f>D565</f>
        <v>1</v>
      </c>
      <c r="M565" s="136"/>
    </row>
    <row r="566" spans="1:13" s="131" customFormat="1" ht="12.75">
      <c r="A566" s="139"/>
      <c r="B566" s="140"/>
      <c r="C566" s="141"/>
      <c r="D566" s="142"/>
      <c r="E566" s="143"/>
      <c r="F566" s="142"/>
      <c r="G566" s="142"/>
      <c r="H566" s="143"/>
      <c r="I566" s="143"/>
      <c r="J566" s="144"/>
      <c r="K566" s="144"/>
      <c r="L566" s="142"/>
      <c r="M566" s="145"/>
    </row>
    <row r="567" spans="1:13" ht="30" customHeight="1">
      <c r="A567" s="128" t="str">
        <f>'BM02'!A185</f>
        <v>1.13.24</v>
      </c>
      <c r="B567" s="211" t="str">
        <f>'BM02'!B185</f>
        <v>ENTRADA DE ENERGIA ELÉTRICA, AÉREA, TRIFÁSICA, COM CAIXA DE EMBUTIR, CABO DE 10 MM2 E DISJUNTOR DIN 50A (NÃO INCLUSO O POSTE DE CONCRETO). AF_07/2020</v>
      </c>
      <c r="C567" s="212"/>
      <c r="D567" s="212"/>
      <c r="E567" s="212"/>
      <c r="F567" s="212"/>
      <c r="G567" s="212"/>
      <c r="H567" s="212"/>
      <c r="I567" s="212"/>
      <c r="J567" s="212"/>
      <c r="K567" s="213"/>
      <c r="L567" s="129">
        <f>L568</f>
        <v>0</v>
      </c>
      <c r="M567" s="185" t="str">
        <f>'BM02'!C185</f>
        <v>un</v>
      </c>
    </row>
    <row r="568" spans="1:13" s="131" customFormat="1" ht="12.75">
      <c r="A568" s="132"/>
      <c r="B568" s="209"/>
      <c r="C568" s="210"/>
      <c r="D568" s="134"/>
      <c r="E568" s="134"/>
      <c r="F568" s="134"/>
      <c r="G568" s="134"/>
      <c r="H568" s="134"/>
      <c r="I568" s="134"/>
      <c r="J568" s="135"/>
      <c r="K568" s="135"/>
      <c r="L568" s="134">
        <f>D568</f>
        <v>0</v>
      </c>
      <c r="M568" s="136"/>
    </row>
    <row r="569" spans="1:13" s="131" customFormat="1" ht="12.75">
      <c r="A569" s="139"/>
      <c r="B569" s="140"/>
      <c r="C569" s="141"/>
      <c r="D569" s="142"/>
      <c r="E569" s="143"/>
      <c r="F569" s="142"/>
      <c r="G569" s="142"/>
      <c r="H569" s="143"/>
      <c r="I569" s="143"/>
      <c r="J569" s="144"/>
      <c r="K569" s="144"/>
      <c r="L569" s="142"/>
      <c r="M569" s="145"/>
    </row>
    <row r="570" spans="1:13" ht="12.75">
      <c r="A570" s="128" t="str">
        <f>'BM04'!A209</f>
        <v>1.13.25</v>
      </c>
      <c r="B570" s="211" t="str">
        <f>'BM04'!B209</f>
        <v>Fornecimento e instalação de luminária braço de tempo com lâmpada fluorescente eletônica PL 23w</v>
      </c>
      <c r="C570" s="212"/>
      <c r="D570" s="212"/>
      <c r="E570" s="212"/>
      <c r="F570" s="212"/>
      <c r="G570" s="212"/>
      <c r="H570" s="212"/>
      <c r="I570" s="212"/>
      <c r="J570" s="212"/>
      <c r="K570" s="213"/>
      <c r="L570" s="129">
        <f>L571</f>
        <v>10</v>
      </c>
      <c r="M570" s="185" t="str">
        <f>'BM04'!C209</f>
        <v>UND</v>
      </c>
    </row>
    <row r="571" spans="1:13" s="131" customFormat="1" ht="12.75">
      <c r="A571" s="132"/>
      <c r="B571" s="209" t="s">
        <v>770</v>
      </c>
      <c r="C571" s="210"/>
      <c r="D571" s="134">
        <v>10</v>
      </c>
      <c r="E571" s="134"/>
      <c r="F571" s="134"/>
      <c r="G571" s="134"/>
      <c r="H571" s="134"/>
      <c r="I571" s="134"/>
      <c r="J571" s="135"/>
      <c r="K571" s="135"/>
      <c r="L571" s="134">
        <f>D571</f>
        <v>10</v>
      </c>
      <c r="M571" s="136"/>
    </row>
    <row r="572" spans="1:13" s="131" customFormat="1" ht="13.5" thickBot="1">
      <c r="A572" s="139"/>
      <c r="B572" s="140"/>
      <c r="C572" s="141"/>
      <c r="D572" s="142"/>
      <c r="E572" s="143"/>
      <c r="F572" s="142"/>
      <c r="G572" s="142"/>
      <c r="H572" s="143"/>
      <c r="I572" s="143"/>
      <c r="J572" s="144"/>
      <c r="K572" s="144"/>
      <c r="L572" s="142"/>
      <c r="M572" s="145"/>
    </row>
    <row r="573" spans="1:13" ht="13.5" thickBot="1">
      <c r="A573" s="121" t="str">
        <f>'BM02'!A187</f>
        <v>1.14</v>
      </c>
      <c r="B573" s="122" t="str">
        <f>'BM02'!B187</f>
        <v>ELEMENTOS DECORATIVOS MOBILIARIO</v>
      </c>
      <c r="C573" s="122"/>
      <c r="D573" s="122"/>
      <c r="E573" s="122"/>
      <c r="F573" s="122"/>
      <c r="G573" s="122"/>
      <c r="H573" s="122"/>
      <c r="I573" s="122"/>
      <c r="J573" s="122"/>
      <c r="K573" s="122"/>
      <c r="L573" s="122"/>
      <c r="M573" s="123"/>
    </row>
    <row r="574" spans="1:13" ht="12.75">
      <c r="A574" s="124"/>
      <c r="B574" s="125"/>
      <c r="C574" s="125"/>
      <c r="D574" s="125"/>
      <c r="E574" s="125"/>
      <c r="F574" s="125"/>
      <c r="G574" s="125"/>
      <c r="H574" s="125"/>
      <c r="I574" s="125"/>
      <c r="J574" s="125"/>
      <c r="K574" s="126"/>
      <c r="L574" s="125"/>
      <c r="M574" s="127"/>
    </row>
    <row r="575" spans="1:13" ht="30" customHeight="1">
      <c r="A575" s="128" t="str">
        <f>'BM02'!A189</f>
        <v>1.14.1</v>
      </c>
      <c r="B575" s="211" t="str">
        <f>'BM02'!B189</f>
        <v>Pintura de Letras - letreiro, sobre paredes, com lixamento, aplicação de 01 demão de líquido selador acrílico, 02 demãos de massa acrílica e 02 demãos de tinta pva latex convencional para exteriores</v>
      </c>
      <c r="C575" s="212"/>
      <c r="D575" s="212"/>
      <c r="E575" s="212"/>
      <c r="F575" s="212"/>
      <c r="G575" s="212"/>
      <c r="H575" s="212"/>
      <c r="I575" s="212"/>
      <c r="J575" s="212"/>
      <c r="K575" s="213"/>
      <c r="L575" s="129">
        <f>L576</f>
        <v>0</v>
      </c>
      <c r="M575" s="130" t="str">
        <f>'BM02'!C189</f>
        <v>un</v>
      </c>
    </row>
    <row r="576" spans="1:13" s="131" customFormat="1" ht="12.75">
      <c r="A576" s="132"/>
      <c r="B576" s="209"/>
      <c r="C576" s="210"/>
      <c r="D576" s="134"/>
      <c r="E576" s="134"/>
      <c r="F576" s="134"/>
      <c r="G576" s="134"/>
      <c r="H576" s="134"/>
      <c r="I576" s="134"/>
      <c r="J576" s="135"/>
      <c r="K576" s="135"/>
      <c r="L576" s="134">
        <f>ROUND(D576*K576,2)</f>
        <v>0</v>
      </c>
      <c r="M576" s="136"/>
    </row>
    <row r="577" spans="1:13" s="131" customFormat="1" ht="12.75">
      <c r="A577" s="139"/>
      <c r="B577" s="140"/>
      <c r="C577" s="141"/>
      <c r="D577" s="142"/>
      <c r="E577" s="143"/>
      <c r="F577" s="142"/>
      <c r="G577" s="142"/>
      <c r="H577" s="143"/>
      <c r="I577" s="143"/>
      <c r="J577" s="144"/>
      <c r="K577" s="144"/>
      <c r="L577" s="142"/>
      <c r="M577" s="145"/>
    </row>
    <row r="578" spans="1:13" ht="12.6" customHeight="1">
      <c r="A578" s="184" t="str">
        <f>'BM02'!A190</f>
        <v>1.14.2</v>
      </c>
      <c r="B578" s="211" t="str">
        <f>'BM02'!B190</f>
        <v>Placa de inauguração em alumínio com Acrilico, 80x60cm,com logomarca e moldura</v>
      </c>
      <c r="C578" s="212"/>
      <c r="D578" s="212"/>
      <c r="E578" s="212"/>
      <c r="F578" s="212"/>
      <c r="G578" s="212"/>
      <c r="H578" s="212"/>
      <c r="I578" s="212"/>
      <c r="J578" s="212"/>
      <c r="K578" s="213"/>
      <c r="L578" s="129">
        <f>L579</f>
        <v>0</v>
      </c>
      <c r="M578" s="130" t="str">
        <f>'BM02'!C190</f>
        <v>un</v>
      </c>
    </row>
    <row r="579" spans="1:13" s="131" customFormat="1" ht="12.75">
      <c r="A579" s="132"/>
      <c r="B579" s="209"/>
      <c r="C579" s="210"/>
      <c r="D579" s="134"/>
      <c r="E579" s="134"/>
      <c r="F579" s="134"/>
      <c r="G579" s="134"/>
      <c r="H579" s="134"/>
      <c r="I579" s="134"/>
      <c r="J579" s="135"/>
      <c r="K579" s="135"/>
      <c r="L579" s="134">
        <f>ROUND(D579*K579,2)</f>
        <v>0</v>
      </c>
      <c r="M579" s="136"/>
    </row>
    <row r="580" spans="1:13" s="131" customFormat="1" ht="12.75">
      <c r="A580" s="139"/>
      <c r="B580" s="140"/>
      <c r="C580" s="141"/>
      <c r="D580" s="142"/>
      <c r="E580" s="143"/>
      <c r="F580" s="142"/>
      <c r="G580" s="142"/>
      <c r="H580" s="143"/>
      <c r="I580" s="143"/>
      <c r="J580" s="144"/>
      <c r="K580" s="144"/>
      <c r="L580" s="142"/>
      <c r="M580" s="145"/>
    </row>
    <row r="581" spans="1:13" ht="12.6" customHeight="1">
      <c r="A581" s="184" t="str">
        <f>'BM02'!A191</f>
        <v>1.14.3</v>
      </c>
      <c r="B581" s="211" t="str">
        <f>'BM02'!B191</f>
        <v>Mastro simples em tubo ferro galvanizado, alt (útil)= 6m (3,80m x 2" + 2,20m x 1 1/2")</v>
      </c>
      <c r="C581" s="212"/>
      <c r="D581" s="212"/>
      <c r="E581" s="212"/>
      <c r="F581" s="212"/>
      <c r="G581" s="212"/>
      <c r="H581" s="212"/>
      <c r="I581" s="212"/>
      <c r="J581" s="212"/>
      <c r="K581" s="213"/>
      <c r="L581" s="129">
        <f>L582</f>
        <v>0</v>
      </c>
      <c r="M581" s="130" t="str">
        <f>'BM02'!C191</f>
        <v>un</v>
      </c>
    </row>
    <row r="582" spans="1:13" s="131" customFormat="1" ht="12.75">
      <c r="A582" s="132"/>
      <c r="B582" s="209"/>
      <c r="C582" s="210"/>
      <c r="D582" s="134"/>
      <c r="E582" s="134"/>
      <c r="F582" s="134"/>
      <c r="G582" s="134"/>
      <c r="H582" s="134"/>
      <c r="I582" s="134"/>
      <c r="J582" s="135"/>
      <c r="K582" s="135"/>
      <c r="L582" s="134">
        <f>ROUND(D582*K582,2)</f>
        <v>0</v>
      </c>
      <c r="M582" s="136"/>
    </row>
    <row r="583" spans="1:13" s="131" customFormat="1" ht="12.75">
      <c r="A583" s="139"/>
      <c r="B583" s="140"/>
      <c r="C583" s="141"/>
      <c r="D583" s="142"/>
      <c r="E583" s="143"/>
      <c r="F583" s="142"/>
      <c r="G583" s="142"/>
      <c r="H583" s="143"/>
      <c r="I583" s="143"/>
      <c r="J583" s="144"/>
      <c r="K583" s="144"/>
      <c r="L583" s="142"/>
      <c r="M583" s="145"/>
    </row>
    <row r="584" spans="1:13" ht="12.6" customHeight="1">
      <c r="A584" s="184" t="str">
        <f>'BM02'!A192</f>
        <v>1.14.4</v>
      </c>
      <c r="B584" s="211" t="str">
        <f>'BM02'!B192</f>
        <v>Mastro simples em tubo ferro galvanizado, alt (útil)= 6m (3,80m x 2" + 2,20m x 1 1/2")</v>
      </c>
      <c r="C584" s="212"/>
      <c r="D584" s="212"/>
      <c r="E584" s="212"/>
      <c r="F584" s="212"/>
      <c r="G584" s="212"/>
      <c r="H584" s="212"/>
      <c r="I584" s="212"/>
      <c r="J584" s="212"/>
      <c r="K584" s="213"/>
      <c r="L584" s="129">
        <f>L585</f>
        <v>0</v>
      </c>
      <c r="M584" s="130" t="str">
        <f>'BM02'!C192</f>
        <v>un</v>
      </c>
    </row>
    <row r="585" spans="1:13" s="131" customFormat="1" ht="12.75">
      <c r="A585" s="132"/>
      <c r="B585" s="209"/>
      <c r="C585" s="210"/>
      <c r="D585" s="134"/>
      <c r="E585" s="134"/>
      <c r="F585" s="134"/>
      <c r="G585" s="134"/>
      <c r="H585" s="134"/>
      <c r="I585" s="134"/>
      <c r="J585" s="135"/>
      <c r="K585" s="135"/>
      <c r="L585" s="134">
        <f>ROUND(D585*K585,2)</f>
        <v>0</v>
      </c>
      <c r="M585" s="136"/>
    </row>
    <row r="586" spans="1:13" s="131" customFormat="1" ht="12.75">
      <c r="A586" s="139"/>
      <c r="B586" s="140"/>
      <c r="C586" s="141"/>
      <c r="D586" s="142"/>
      <c r="E586" s="143"/>
      <c r="F586" s="142"/>
      <c r="G586" s="142"/>
      <c r="H586" s="143"/>
      <c r="I586" s="143"/>
      <c r="J586" s="144"/>
      <c r="K586" s="144"/>
      <c r="L586" s="142"/>
      <c r="M586" s="145"/>
    </row>
    <row r="587" spans="1:13" ht="12.6" customHeight="1">
      <c r="A587" s="184" t="str">
        <f>'BM02'!A193</f>
        <v>1.14.5</v>
      </c>
      <c r="B587" s="211" t="str">
        <f>'BM02'!B193</f>
        <v>Quadro escolar em fórmica branca com moldura</v>
      </c>
      <c r="C587" s="212"/>
      <c r="D587" s="212"/>
      <c r="E587" s="212"/>
      <c r="F587" s="212"/>
      <c r="G587" s="212"/>
      <c r="H587" s="212"/>
      <c r="I587" s="212"/>
      <c r="J587" s="212"/>
      <c r="K587" s="213"/>
      <c r="L587" s="129">
        <f>L588</f>
        <v>0</v>
      </c>
      <c r="M587" s="130" t="str">
        <f>'BM02'!C193</f>
        <v>m²</v>
      </c>
    </row>
    <row r="588" spans="1:13" s="131" customFormat="1" ht="12.75">
      <c r="A588" s="132"/>
      <c r="B588" s="209"/>
      <c r="C588" s="210"/>
      <c r="D588" s="134"/>
      <c r="E588" s="134"/>
      <c r="F588" s="134"/>
      <c r="G588" s="134"/>
      <c r="H588" s="134"/>
      <c r="I588" s="134"/>
      <c r="J588" s="135"/>
      <c r="K588" s="135"/>
      <c r="L588" s="134">
        <f>ROUND(D588*K588,2)</f>
        <v>0</v>
      </c>
      <c r="M588" s="136"/>
    </row>
    <row r="589" spans="1:13" s="131" customFormat="1" ht="12.75">
      <c r="A589" s="139"/>
      <c r="B589" s="140"/>
      <c r="C589" s="141"/>
      <c r="D589" s="142"/>
      <c r="E589" s="143"/>
      <c r="F589" s="142"/>
      <c r="G589" s="142"/>
      <c r="H589" s="143"/>
      <c r="I589" s="143"/>
      <c r="J589" s="144"/>
      <c r="K589" s="144"/>
      <c r="L589" s="142"/>
      <c r="M589" s="145"/>
    </row>
    <row r="590" spans="1:13" ht="30" customHeight="1">
      <c r="A590" s="128" t="str">
        <f>'BM02'!A194</f>
        <v>1.14.6</v>
      </c>
      <c r="B590" s="211" t="str">
        <f>'BM02'!B194</f>
        <v>EXTINTOR DE INCÊNDIO PORTÁTIL COM CARGA DE ÁGUA PRESSURIZADA DE 10 L, CLASSE A - FORNECIMENTO E INSTALAÇÃO. AF_10/2020_P</v>
      </c>
      <c r="C590" s="212"/>
      <c r="D590" s="212"/>
      <c r="E590" s="212"/>
      <c r="F590" s="212"/>
      <c r="G590" s="212"/>
      <c r="H590" s="212"/>
      <c r="I590" s="212"/>
      <c r="J590" s="212"/>
      <c r="K590" s="213"/>
      <c r="L590" s="129">
        <f>L591</f>
        <v>0</v>
      </c>
      <c r="M590" s="130" t="str">
        <f>'BM02'!C194</f>
        <v>un</v>
      </c>
    </row>
    <row r="591" spans="1:13" s="131" customFormat="1" ht="12.75">
      <c r="A591" s="132"/>
      <c r="B591" s="209"/>
      <c r="C591" s="210"/>
      <c r="D591" s="134"/>
      <c r="E591" s="134"/>
      <c r="F591" s="134"/>
      <c r="G591" s="134"/>
      <c r="H591" s="134"/>
      <c r="I591" s="134"/>
      <c r="J591" s="135"/>
      <c r="K591" s="135"/>
      <c r="L591" s="134">
        <f>ROUND(D591*K591,2)</f>
        <v>0</v>
      </c>
      <c r="M591" s="136"/>
    </row>
    <row r="592" spans="1:13" s="131" customFormat="1" ht="12.75">
      <c r="A592" s="139"/>
      <c r="B592" s="140"/>
      <c r="C592" s="141"/>
      <c r="D592" s="142"/>
      <c r="E592" s="143"/>
      <c r="F592" s="142"/>
      <c r="G592" s="142"/>
      <c r="H592" s="143"/>
      <c r="I592" s="143"/>
      <c r="J592" s="144"/>
      <c r="K592" s="144"/>
      <c r="L592" s="142"/>
      <c r="M592" s="145"/>
    </row>
    <row r="593" spans="1:13" ht="30" customHeight="1">
      <c r="A593" s="128" t="str">
        <f>'BM02'!A195</f>
        <v>1.14.7</v>
      </c>
      <c r="B593" s="211" t="str">
        <f>'BM02'!B195</f>
        <v>EXTINTOR DE INCÊNDIO PORTÁTIL COM CARGA DE PQS DE 4 KG, CLASSE BC - FORNECIMENTO E INSTALAÇÃO. AF_10/2020_P</v>
      </c>
      <c r="C593" s="212"/>
      <c r="D593" s="212"/>
      <c r="E593" s="212"/>
      <c r="F593" s="212"/>
      <c r="G593" s="212"/>
      <c r="H593" s="212"/>
      <c r="I593" s="212"/>
      <c r="J593" s="212"/>
      <c r="K593" s="213"/>
      <c r="L593" s="129">
        <f>L594</f>
        <v>0</v>
      </c>
      <c r="M593" s="130" t="str">
        <f>'BM02'!C195</f>
        <v>un</v>
      </c>
    </row>
    <row r="594" spans="1:13" s="131" customFormat="1" ht="12.75">
      <c r="A594" s="132"/>
      <c r="B594" s="209"/>
      <c r="C594" s="210"/>
      <c r="D594" s="134"/>
      <c r="E594" s="134"/>
      <c r="F594" s="134"/>
      <c r="G594" s="134"/>
      <c r="H594" s="134"/>
      <c r="I594" s="134"/>
      <c r="J594" s="135"/>
      <c r="K594" s="135"/>
      <c r="L594" s="134">
        <f>ROUND(D594*K594,2)</f>
        <v>0</v>
      </c>
      <c r="M594" s="136"/>
    </row>
    <row r="595" spans="1:13" s="131" customFormat="1" ht="13.5" thickBot="1">
      <c r="A595" s="139"/>
      <c r="B595" s="140"/>
      <c r="C595" s="141"/>
      <c r="D595" s="142"/>
      <c r="E595" s="143"/>
      <c r="F595" s="142"/>
      <c r="G595" s="142"/>
      <c r="H595" s="143"/>
      <c r="I595" s="143"/>
      <c r="J595" s="144"/>
      <c r="K595" s="144"/>
      <c r="L595" s="142"/>
      <c r="M595" s="145"/>
    </row>
    <row r="596" spans="1:13" ht="13.5" thickBot="1">
      <c r="A596" s="121" t="str">
        <f>'BM02'!A197</f>
        <v>1.15</v>
      </c>
      <c r="B596" s="122" t="str">
        <f>'BM02'!B197</f>
        <v>LIMPEZA, ENTREGA DA OBRA</v>
      </c>
      <c r="C596" s="122"/>
      <c r="D596" s="122"/>
      <c r="E596" s="122"/>
      <c r="F596" s="122"/>
      <c r="G596" s="122"/>
      <c r="H596" s="122"/>
      <c r="I596" s="122"/>
      <c r="J596" s="122"/>
      <c r="K596" s="122"/>
      <c r="L596" s="122"/>
      <c r="M596" s="123"/>
    </row>
    <row r="597" spans="1:13" ht="12.75">
      <c r="A597" s="124"/>
      <c r="B597" s="125"/>
      <c r="C597" s="125"/>
      <c r="D597" s="125"/>
      <c r="E597" s="125"/>
      <c r="F597" s="125"/>
      <c r="G597" s="125"/>
      <c r="H597" s="125"/>
      <c r="I597" s="125"/>
      <c r="J597" s="125"/>
      <c r="K597" s="126"/>
      <c r="L597" s="125"/>
      <c r="M597" s="127"/>
    </row>
    <row r="598" spans="1:13" ht="12.6" customHeight="1">
      <c r="A598" s="184" t="str">
        <f>'BM02'!A199</f>
        <v>1.15.1</v>
      </c>
      <c r="B598" s="211" t="str">
        <f>'BM02'!B199</f>
        <v>Limpeza geral</v>
      </c>
      <c r="C598" s="212"/>
      <c r="D598" s="212"/>
      <c r="E598" s="212"/>
      <c r="F598" s="212"/>
      <c r="G598" s="212"/>
      <c r="H598" s="212"/>
      <c r="I598" s="212"/>
      <c r="J598" s="212"/>
      <c r="K598" s="213"/>
      <c r="L598" s="129">
        <f>L599</f>
        <v>0</v>
      </c>
      <c r="M598" s="185" t="str">
        <f>'BM02'!C199</f>
        <v>m²</v>
      </c>
    </row>
    <row r="599" spans="1:13" s="131" customFormat="1" ht="12.75">
      <c r="A599" s="132"/>
      <c r="B599" s="209"/>
      <c r="C599" s="210"/>
      <c r="D599" s="134"/>
      <c r="E599" s="134"/>
      <c r="F599" s="134"/>
      <c r="G599" s="134"/>
      <c r="H599" s="134"/>
      <c r="I599" s="134"/>
      <c r="J599" s="135"/>
      <c r="K599" s="135"/>
      <c r="L599" s="134">
        <f>ROUND(D599*K599,2)</f>
        <v>0</v>
      </c>
      <c r="M599" s="136"/>
    </row>
    <row r="600" spans="1:13" s="131" customFormat="1" ht="12.75">
      <c r="A600" s="139"/>
      <c r="B600" s="140"/>
      <c r="C600" s="141"/>
      <c r="D600" s="142"/>
      <c r="E600" s="143"/>
      <c r="F600" s="142"/>
      <c r="G600" s="142"/>
      <c r="H600" s="143"/>
      <c r="I600" s="143"/>
      <c r="J600" s="144"/>
      <c r="K600" s="144"/>
      <c r="L600" s="142"/>
      <c r="M600" s="145"/>
    </row>
    <row r="601" spans="1:13" ht="12.6" customHeight="1">
      <c r="A601" s="184" t="str">
        <f>'BM02'!A200</f>
        <v>1.15.2</v>
      </c>
      <c r="B601" s="211" t="str">
        <f>'BM02'!B200</f>
        <v>bota-fora (carga manual, transporte e descarga mecanica, caminhão basculante de 10m³) ate 5,00km</v>
      </c>
      <c r="C601" s="212"/>
      <c r="D601" s="212"/>
      <c r="E601" s="212"/>
      <c r="F601" s="212"/>
      <c r="G601" s="212"/>
      <c r="H601" s="212"/>
      <c r="I601" s="212"/>
      <c r="J601" s="212"/>
      <c r="K601" s="213"/>
      <c r="L601" s="129">
        <f>L602</f>
        <v>0</v>
      </c>
      <c r="M601" s="185" t="str">
        <f>'BM02'!C200</f>
        <v>m³</v>
      </c>
    </row>
    <row r="602" spans="1:13" s="131" customFormat="1" ht="12.75">
      <c r="A602" s="132"/>
      <c r="B602" s="209"/>
      <c r="C602" s="210"/>
      <c r="D602" s="134"/>
      <c r="E602" s="134"/>
      <c r="F602" s="134"/>
      <c r="G602" s="134"/>
      <c r="H602" s="134"/>
      <c r="I602" s="134"/>
      <c r="J602" s="135"/>
      <c r="K602" s="135"/>
      <c r="L602" s="134">
        <f>ROUND(D602*K602,2)</f>
        <v>0</v>
      </c>
      <c r="M602" s="136"/>
    </row>
    <row r="603" spans="1:13" s="131" customFormat="1" ht="13.5" thickBot="1">
      <c r="A603" s="139"/>
      <c r="B603" s="140"/>
      <c r="C603" s="141"/>
      <c r="D603" s="142"/>
      <c r="E603" s="143"/>
      <c r="F603" s="142"/>
      <c r="G603" s="142"/>
      <c r="H603" s="143"/>
      <c r="I603" s="143"/>
      <c r="J603" s="144"/>
      <c r="K603" s="144"/>
      <c r="L603" s="142"/>
      <c r="M603" s="145"/>
    </row>
    <row r="604" spans="1:13" ht="13.9" customHeight="1" thickBot="1">
      <c r="A604" s="272" t="str">
        <f>'BM02'!A202</f>
        <v>ETAPA 02: RECREIO COBERTO</v>
      </c>
      <c r="B604" s="273"/>
      <c r="C604" s="273"/>
      <c r="D604" s="273"/>
      <c r="E604" s="273"/>
      <c r="F604" s="273"/>
      <c r="G604" s="273"/>
      <c r="H604" s="273"/>
      <c r="I604" s="273"/>
      <c r="J604" s="273"/>
      <c r="K604" s="273"/>
      <c r="L604" s="273"/>
      <c r="M604" s="274"/>
    </row>
    <row r="605" spans="1:13" s="131" customFormat="1" ht="13.5" thickBot="1">
      <c r="A605" s="139"/>
      <c r="B605" s="140"/>
      <c r="C605" s="141"/>
      <c r="D605" s="142"/>
      <c r="E605" s="143"/>
      <c r="F605" s="142"/>
      <c r="G605" s="142"/>
      <c r="H605" s="143"/>
      <c r="I605" s="143"/>
      <c r="J605" s="144"/>
      <c r="K605" s="144"/>
      <c r="L605" s="142"/>
      <c r="M605" s="145"/>
    </row>
    <row r="606" spans="1:13" ht="13.5" thickBot="1">
      <c r="A606" s="121" t="str">
        <f>'BM02'!A204</f>
        <v>2.1</v>
      </c>
      <c r="B606" s="122" t="str">
        <f>'BM02'!B204</f>
        <v>SERVIÇOS PRELIMINARES</v>
      </c>
      <c r="C606" s="122"/>
      <c r="D606" s="122"/>
      <c r="E606" s="122"/>
      <c r="F606" s="122"/>
      <c r="G606" s="122"/>
      <c r="H606" s="122"/>
      <c r="I606" s="122"/>
      <c r="J606" s="122"/>
      <c r="K606" s="122"/>
      <c r="L606" s="122"/>
      <c r="M606" s="123"/>
    </row>
    <row r="607" spans="1:13" ht="12.75">
      <c r="A607" s="124"/>
      <c r="B607" s="125"/>
      <c r="C607" s="125"/>
      <c r="D607" s="125"/>
      <c r="E607" s="125"/>
      <c r="F607" s="125"/>
      <c r="G607" s="125"/>
      <c r="H607" s="125"/>
      <c r="I607" s="125"/>
      <c r="J607" s="125"/>
      <c r="K607" s="126"/>
      <c r="L607" s="125"/>
      <c r="M607" s="127"/>
    </row>
    <row r="608" spans="1:13" ht="30" customHeight="1">
      <c r="A608" s="128" t="str">
        <f>'BM02'!A206</f>
        <v>2.1.1</v>
      </c>
      <c r="B608" s="211" t="str">
        <f>'BM02'!B206</f>
        <v>LOCACAO CONVENCIONAL DE OBRA, UTILIZANDO GABARITO DE TÁBUAS CORRIDAS PONTALETADAS A CADA 2,00M - 2 UTILIZAÇÕES. AF_10/2018</v>
      </c>
      <c r="C608" s="212"/>
      <c r="D608" s="212"/>
      <c r="E608" s="212"/>
      <c r="F608" s="212"/>
      <c r="G608" s="212"/>
      <c r="H608" s="212"/>
      <c r="I608" s="212"/>
      <c r="J608" s="212"/>
      <c r="K608" s="213"/>
      <c r="L608" s="129">
        <f>L609</f>
        <v>0</v>
      </c>
      <c r="M608" s="130" t="str">
        <f>'BM02'!C206</f>
        <v>m</v>
      </c>
    </row>
    <row r="609" spans="1:13" s="131" customFormat="1" ht="12.75">
      <c r="A609" s="132"/>
      <c r="B609" s="209"/>
      <c r="C609" s="210"/>
      <c r="D609" s="134"/>
      <c r="E609" s="134"/>
      <c r="F609" s="134"/>
      <c r="G609" s="134"/>
      <c r="H609" s="134"/>
      <c r="I609" s="134"/>
      <c r="J609" s="135"/>
      <c r="K609" s="135"/>
      <c r="L609" s="134"/>
      <c r="M609" s="136"/>
    </row>
    <row r="610" spans="1:13" s="131" customFormat="1" ht="13.5" thickBot="1">
      <c r="A610" s="139"/>
      <c r="B610" s="140"/>
      <c r="C610" s="141"/>
      <c r="D610" s="142"/>
      <c r="E610" s="143"/>
      <c r="F610" s="142"/>
      <c r="G610" s="142"/>
      <c r="H610" s="143"/>
      <c r="I610" s="143"/>
      <c r="J610" s="144"/>
      <c r="K610" s="144"/>
      <c r="L610" s="142"/>
      <c r="M610" s="145"/>
    </row>
    <row r="611" spans="1:13" ht="13.5" thickBot="1">
      <c r="A611" s="121" t="str">
        <f>'BM02'!A208</f>
        <v>2.2</v>
      </c>
      <c r="B611" s="122" t="str">
        <f>'BM02'!B208</f>
        <v>MOVIMENTO DE TERRA</v>
      </c>
      <c r="C611" s="122"/>
      <c r="D611" s="122"/>
      <c r="E611" s="122"/>
      <c r="F611" s="122"/>
      <c r="G611" s="122"/>
      <c r="H611" s="122"/>
      <c r="I611" s="122"/>
      <c r="J611" s="122"/>
      <c r="K611" s="122"/>
      <c r="L611" s="122"/>
      <c r="M611" s="123"/>
    </row>
    <row r="612" spans="1:13" ht="12.75">
      <c r="A612" s="124"/>
      <c r="B612" s="125"/>
      <c r="C612" s="125"/>
      <c r="D612" s="125"/>
      <c r="E612" s="125"/>
      <c r="F612" s="125"/>
      <c r="G612" s="125"/>
      <c r="H612" s="125"/>
      <c r="I612" s="125"/>
      <c r="J612" s="125"/>
      <c r="K612" s="126"/>
      <c r="L612" s="125"/>
      <c r="M612" s="127"/>
    </row>
    <row r="613" spans="1:13" ht="30" customHeight="1">
      <c r="A613" s="128" t="str">
        <f>'BM02'!A210</f>
        <v>2.2.1</v>
      </c>
      <c r="B613" s="211" t="str">
        <f>'BM02'!B210</f>
        <v>ESCAVACAO MECANICA DE VALA EM MATERIAL DE 2A. CATEGORIA ATE 2 M DE PROFUNDIDADE COM UTILIZACAO DE ESCAVADEIRA HIDRAULICA</v>
      </c>
      <c r="C613" s="212"/>
      <c r="D613" s="212"/>
      <c r="E613" s="212"/>
      <c r="F613" s="212"/>
      <c r="G613" s="212"/>
      <c r="H613" s="212"/>
      <c r="I613" s="212"/>
      <c r="J613" s="212"/>
      <c r="K613" s="213"/>
      <c r="L613" s="129">
        <f>L614</f>
        <v>0</v>
      </c>
      <c r="M613" s="130" t="str">
        <f>'BM02'!C210</f>
        <v>m³</v>
      </c>
    </row>
    <row r="614" spans="1:13" s="131" customFormat="1" ht="12.75">
      <c r="A614" s="132"/>
      <c r="B614" s="209"/>
      <c r="C614" s="210"/>
      <c r="D614" s="134"/>
      <c r="E614" s="134"/>
      <c r="F614" s="134"/>
      <c r="G614" s="134"/>
      <c r="H614" s="134"/>
      <c r="I614" s="134"/>
      <c r="J614" s="135"/>
      <c r="K614" s="135"/>
      <c r="L614" s="134"/>
      <c r="M614" s="136"/>
    </row>
    <row r="615" spans="1:13" s="131" customFormat="1" ht="12.75">
      <c r="A615" s="139"/>
      <c r="B615" s="140"/>
      <c r="C615" s="141"/>
      <c r="D615" s="142"/>
      <c r="E615" s="143"/>
      <c r="F615" s="142"/>
      <c r="G615" s="142"/>
      <c r="H615" s="143"/>
      <c r="I615" s="143"/>
      <c r="J615" s="144"/>
      <c r="K615" s="144"/>
      <c r="L615" s="142"/>
      <c r="M615" s="145"/>
    </row>
    <row r="616" spans="1:13" ht="12.75">
      <c r="A616" s="128" t="str">
        <f>'BM02'!A211</f>
        <v>2.2.2</v>
      </c>
      <c r="B616" s="211" t="str">
        <f>'BM02'!B211</f>
        <v>EMBASAMENTO C/PEDRA ARGAMASSADA UTILIZADO ARG.CIM/AREIA 1:4 (ADAPTADO SINAPI 95467)</v>
      </c>
      <c r="C616" s="212"/>
      <c r="D616" s="212"/>
      <c r="E616" s="212"/>
      <c r="F616" s="212"/>
      <c r="G616" s="212"/>
      <c r="H616" s="212"/>
      <c r="I616" s="212"/>
      <c r="J616" s="212"/>
      <c r="K616" s="213"/>
      <c r="L616" s="129">
        <f>L617</f>
        <v>0</v>
      </c>
      <c r="M616" s="130" t="str">
        <f>'BM02'!C211</f>
        <v>m³</v>
      </c>
    </row>
    <row r="617" spans="1:13" s="131" customFormat="1" ht="12.75">
      <c r="A617" s="132"/>
      <c r="B617" s="209"/>
      <c r="C617" s="210"/>
      <c r="D617" s="134"/>
      <c r="E617" s="134"/>
      <c r="F617" s="134"/>
      <c r="G617" s="134"/>
      <c r="H617" s="134"/>
      <c r="I617" s="134"/>
      <c r="J617" s="135"/>
      <c r="K617" s="135"/>
      <c r="L617" s="134"/>
      <c r="M617" s="136"/>
    </row>
    <row r="618" spans="1:13" s="131" customFormat="1" ht="13.5" thickBot="1">
      <c r="A618" s="139"/>
      <c r="B618" s="140"/>
      <c r="C618" s="141"/>
      <c r="D618" s="142"/>
      <c r="E618" s="143"/>
      <c r="F618" s="142"/>
      <c r="G618" s="142"/>
      <c r="H618" s="143"/>
      <c r="I618" s="143"/>
      <c r="J618" s="144"/>
      <c r="K618" s="144"/>
      <c r="L618" s="142"/>
      <c r="M618" s="145"/>
    </row>
    <row r="619" spans="1:13" ht="13.5" thickBot="1">
      <c r="A619" s="121" t="str">
        <f>'BM02'!A213</f>
        <v>2.3</v>
      </c>
      <c r="B619" s="122" t="str">
        <f>'BM02'!B213</f>
        <v>FUNDAÇÃO</v>
      </c>
      <c r="C619" s="122"/>
      <c r="D619" s="122"/>
      <c r="E619" s="122"/>
      <c r="F619" s="122"/>
      <c r="G619" s="122"/>
      <c r="H619" s="122"/>
      <c r="I619" s="122"/>
      <c r="J619" s="122"/>
      <c r="K619" s="122"/>
      <c r="L619" s="122"/>
      <c r="M619" s="123"/>
    </row>
    <row r="620" spans="1:13" ht="12.75">
      <c r="A620" s="124"/>
      <c r="B620" s="125"/>
      <c r="C620" s="125"/>
      <c r="D620" s="125"/>
      <c r="E620" s="125"/>
      <c r="F620" s="125"/>
      <c r="G620" s="125"/>
      <c r="H620" s="125"/>
      <c r="I620" s="125"/>
      <c r="J620" s="125"/>
      <c r="K620" s="126"/>
      <c r="L620" s="125"/>
      <c r="M620" s="127"/>
    </row>
    <row r="621" spans="1:13" ht="12.6" customHeight="1">
      <c r="A621" s="184" t="str">
        <f>'BM02'!A215</f>
        <v>2.3.1</v>
      </c>
      <c r="B621" s="211" t="str">
        <f>'BM02'!B215</f>
        <v>LASTRO DE CONCRETO MAGRO, APLICADO EM BLOCOS DE COROAMENTO OU SAPATAS. AF_08/2017</v>
      </c>
      <c r="C621" s="212"/>
      <c r="D621" s="212"/>
      <c r="E621" s="212"/>
      <c r="F621" s="212"/>
      <c r="G621" s="212"/>
      <c r="H621" s="212"/>
      <c r="I621" s="212"/>
      <c r="J621" s="212"/>
      <c r="K621" s="213"/>
      <c r="L621" s="129">
        <f>L622</f>
        <v>0</v>
      </c>
      <c r="M621" s="185" t="str">
        <f>'BM02'!C215</f>
        <v>m³</v>
      </c>
    </row>
    <row r="622" spans="1:13" s="131" customFormat="1" ht="12.75">
      <c r="A622" s="132"/>
      <c r="B622" s="209"/>
      <c r="C622" s="210"/>
      <c r="D622" s="134"/>
      <c r="E622" s="134"/>
      <c r="F622" s="134"/>
      <c r="G622" s="134"/>
      <c r="H622" s="134"/>
      <c r="I622" s="134"/>
      <c r="J622" s="135"/>
      <c r="K622" s="135"/>
      <c r="L622" s="134"/>
      <c r="M622" s="136"/>
    </row>
    <row r="623" spans="1:13" s="131" customFormat="1" ht="12.75">
      <c r="A623" s="139"/>
      <c r="B623" s="140"/>
      <c r="C623" s="141"/>
      <c r="D623" s="142"/>
      <c r="E623" s="143"/>
      <c r="F623" s="142"/>
      <c r="G623" s="142"/>
      <c r="H623" s="143"/>
      <c r="I623" s="143"/>
      <c r="J623" s="144"/>
      <c r="K623" s="144"/>
      <c r="L623" s="142"/>
      <c r="M623" s="145"/>
    </row>
    <row r="624" spans="1:13" ht="30" customHeight="1">
      <c r="A624" s="128" t="str">
        <f>'BM02'!A216</f>
        <v>2.3.2</v>
      </c>
      <c r="B624" s="211" t="str">
        <f>'BM02'!B216</f>
        <v>LOCACAO CONVENCIONAL DE OBRA, UTILIZANDO GABARITO DE TÁBUAS CORRIDAS PONTALETADAS A CADA 2,00M - 2 UTILIZAÇÕES. AF_10/2020</v>
      </c>
      <c r="C624" s="212"/>
      <c r="D624" s="212"/>
      <c r="E624" s="212"/>
      <c r="F624" s="212"/>
      <c r="G624" s="212"/>
      <c r="H624" s="212"/>
      <c r="I624" s="212"/>
      <c r="J624" s="212"/>
      <c r="K624" s="213"/>
      <c r="L624" s="129">
        <f>L625</f>
        <v>0</v>
      </c>
      <c r="M624" s="185" t="str">
        <f>'BM02'!C216</f>
        <v>m³</v>
      </c>
    </row>
    <row r="625" spans="1:13" s="131" customFormat="1" ht="12.75">
      <c r="A625" s="132"/>
      <c r="B625" s="209"/>
      <c r="C625" s="210"/>
      <c r="D625" s="134"/>
      <c r="E625" s="134"/>
      <c r="F625" s="134"/>
      <c r="G625" s="134"/>
      <c r="H625" s="134"/>
      <c r="I625" s="134"/>
      <c r="J625" s="135"/>
      <c r="K625" s="135"/>
      <c r="L625" s="134"/>
      <c r="M625" s="136"/>
    </row>
    <row r="626" spans="1:13" s="131" customFormat="1" ht="12.75">
      <c r="A626" s="139"/>
      <c r="B626" s="140"/>
      <c r="C626" s="141"/>
      <c r="D626" s="142"/>
      <c r="E626" s="143"/>
      <c r="F626" s="142"/>
      <c r="G626" s="142"/>
      <c r="H626" s="143"/>
      <c r="I626" s="143"/>
      <c r="J626" s="144"/>
      <c r="K626" s="144"/>
      <c r="L626" s="142"/>
      <c r="M626" s="145"/>
    </row>
    <row r="627" spans="1:13" ht="30" customHeight="1">
      <c r="A627" s="128" t="str">
        <f>'BM02'!A217</f>
        <v>2.3.3</v>
      </c>
      <c r="B627" s="211" t="str">
        <f>'BM02'!B217</f>
        <v>(COMPOSIÇÃO REPRESENTATIVA) EXECUÇÃO DE ESTRUTURAS DE CONCRETO ARMADO CONVENCIONAL, PARA EDIFICAÇÃO HABITACIONAL MULTIFAMILIAR (PRÉDIO), FCK = 25 MPA. AF_01/2017</v>
      </c>
      <c r="C627" s="212"/>
      <c r="D627" s="212"/>
      <c r="E627" s="212"/>
      <c r="F627" s="212"/>
      <c r="G627" s="212"/>
      <c r="H627" s="212"/>
      <c r="I627" s="212"/>
      <c r="J627" s="212"/>
      <c r="K627" s="213"/>
      <c r="L627" s="129">
        <f>SUM(L628:L628)</f>
        <v>0</v>
      </c>
      <c r="M627" s="185" t="str">
        <f>'BM02'!C217</f>
        <v>m³</v>
      </c>
    </row>
    <row r="628" spans="1:13" s="131" customFormat="1" ht="14.45" customHeight="1">
      <c r="A628" s="191"/>
      <c r="B628" s="275"/>
      <c r="C628" s="276"/>
      <c r="D628" s="134"/>
      <c r="E628" s="134"/>
      <c r="F628" s="134"/>
      <c r="G628" s="134"/>
      <c r="H628" s="134"/>
      <c r="I628" s="134"/>
      <c r="J628" s="135"/>
      <c r="K628" s="135"/>
      <c r="L628" s="134">
        <f>ROUND(D628*K628,1)</f>
        <v>0</v>
      </c>
      <c r="M628" s="136"/>
    </row>
    <row r="629" spans="1:13" s="131" customFormat="1" ht="12.75">
      <c r="A629" s="192"/>
      <c r="B629" s="190"/>
      <c r="C629" s="193"/>
      <c r="D629" s="176"/>
      <c r="E629" s="176"/>
      <c r="F629" s="176"/>
      <c r="G629" s="176"/>
      <c r="H629" s="176"/>
      <c r="I629" s="176"/>
      <c r="J629" s="177"/>
      <c r="K629" s="177"/>
      <c r="L629" s="134"/>
      <c r="M629" s="136"/>
    </row>
    <row r="630" spans="1:13" ht="43.15" customHeight="1">
      <c r="A630" s="128" t="str">
        <f>'BM04'!A242</f>
        <v>2.3.4</v>
      </c>
      <c r="B630" s="211" t="str">
        <f>'BM04'!B242</f>
        <v>ALVENARIA DE VEDAÇÃO DE BLOCOS CERÂMICOS FURADOS NA HORIZONTAL DE 9X19X19CM (ESPESSURA 19CM) DE PAREDES COM ÁREA LÍQUIDA MAIOR OU IGUAL A 6M² COM VÃOS E ARGAMASSA DE ASSENTAMENTO COM PREPARO MANUAL. AF_06/2014</v>
      </c>
      <c r="C630" s="212"/>
      <c r="D630" s="212"/>
      <c r="E630" s="212"/>
      <c r="F630" s="212"/>
      <c r="G630" s="212"/>
      <c r="H630" s="212"/>
      <c r="I630" s="212"/>
      <c r="J630" s="212"/>
      <c r="K630" s="213"/>
      <c r="L630" s="129">
        <f>SUM(L631:L631)</f>
        <v>0</v>
      </c>
      <c r="M630" s="185" t="str">
        <f>'BM04'!C242</f>
        <v>M²</v>
      </c>
    </row>
    <row r="631" spans="1:13" s="131" customFormat="1" ht="12.75">
      <c r="A631" s="132"/>
      <c r="B631" s="209"/>
      <c r="C631" s="210"/>
      <c r="D631" s="134"/>
      <c r="E631" s="134"/>
      <c r="F631" s="134"/>
      <c r="G631" s="134"/>
      <c r="H631" s="134"/>
      <c r="I631" s="134"/>
      <c r="J631" s="135"/>
      <c r="K631" s="135"/>
      <c r="L631" s="134">
        <f>ROUND(D631*K631,2)</f>
        <v>0</v>
      </c>
      <c r="M631" s="136"/>
    </row>
    <row r="632" spans="1:13" s="131" customFormat="1" ht="13.5" thickBot="1">
      <c r="A632" s="139"/>
      <c r="B632" s="140"/>
      <c r="C632" s="141"/>
      <c r="D632" s="142"/>
      <c r="E632" s="143"/>
      <c r="F632" s="142"/>
      <c r="G632" s="142"/>
      <c r="H632" s="143"/>
      <c r="I632" s="143"/>
      <c r="J632" s="144"/>
      <c r="K632" s="144"/>
      <c r="L632" s="142"/>
      <c r="M632" s="145"/>
    </row>
    <row r="633" spans="1:13" ht="13.5" thickBot="1">
      <c r="A633" s="121" t="str">
        <f>'BM02'!A219</f>
        <v>2.4</v>
      </c>
      <c r="B633" s="122" t="str">
        <f>'BM02'!B219</f>
        <v>ESTRUTURA</v>
      </c>
      <c r="C633" s="122"/>
      <c r="D633" s="122"/>
      <c r="E633" s="122"/>
      <c r="F633" s="122"/>
      <c r="G633" s="122"/>
      <c r="H633" s="122"/>
      <c r="I633" s="122"/>
      <c r="J633" s="122"/>
      <c r="K633" s="122"/>
      <c r="L633" s="122"/>
      <c r="M633" s="123"/>
    </row>
    <row r="634" spans="1:13" ht="12.75">
      <c r="A634" s="124"/>
      <c r="B634" s="125">
        <f>'BM02'!B220</f>
        <v>0</v>
      </c>
      <c r="C634" s="125"/>
      <c r="D634" s="125"/>
      <c r="E634" s="125"/>
      <c r="F634" s="125"/>
      <c r="G634" s="125"/>
      <c r="H634" s="125"/>
      <c r="I634" s="125"/>
      <c r="J634" s="125"/>
      <c r="K634" s="126"/>
      <c r="L634" s="125"/>
      <c r="M634" s="127"/>
    </row>
    <row r="635" spans="1:13" ht="30" customHeight="1">
      <c r="A635" s="128" t="str">
        <f>'BM02'!A221</f>
        <v>2.4.1</v>
      </c>
      <c r="B635" s="211" t="str">
        <f>'BM02'!B221</f>
        <v>(COMPOSIÇÃO REPRESENTATIVA) EXECUÇÃO DE ESTRUTURAS DE CONCRETO ARMADO, PARA EDIFICAÇÃO HABITACIONAL UNIFAMILIAR COM DOIS PAVIMENTOS (CASA EM EMPREENDIMENTOS), FCK = 25 MPA. AF_01/2017</v>
      </c>
      <c r="C635" s="212"/>
      <c r="D635" s="212"/>
      <c r="E635" s="212"/>
      <c r="F635" s="212"/>
      <c r="G635" s="212"/>
      <c r="H635" s="212"/>
      <c r="I635" s="212"/>
      <c r="J635" s="212"/>
      <c r="K635" s="213"/>
      <c r="L635" s="129">
        <f>SUM(L636:L636)</f>
        <v>0</v>
      </c>
      <c r="M635" s="185" t="str">
        <f>'BM02'!C221</f>
        <v>m³</v>
      </c>
    </row>
    <row r="636" spans="1:13" s="131" customFormat="1" ht="12.75">
      <c r="A636" s="132"/>
      <c r="B636" s="209"/>
      <c r="C636" s="210"/>
      <c r="D636" s="134"/>
      <c r="E636" s="134"/>
      <c r="F636" s="134"/>
      <c r="G636" s="134"/>
      <c r="H636" s="134"/>
      <c r="I636" s="134"/>
      <c r="J636" s="135"/>
      <c r="K636" s="135"/>
      <c r="L636" s="134">
        <f>-D636</f>
        <v>0</v>
      </c>
      <c r="M636" s="136"/>
    </row>
    <row r="637" spans="1:13" s="131" customFormat="1" ht="13.5" thickBot="1">
      <c r="A637" s="139"/>
      <c r="B637" s="140"/>
      <c r="C637" s="141"/>
      <c r="D637" s="142"/>
      <c r="E637" s="143"/>
      <c r="F637" s="142"/>
      <c r="G637" s="142"/>
      <c r="H637" s="143"/>
      <c r="I637" s="143"/>
      <c r="J637" s="144"/>
      <c r="K637" s="144"/>
      <c r="L637" s="142"/>
      <c r="M637" s="145"/>
    </row>
    <row r="638" spans="1:13" ht="13.5" thickBot="1">
      <c r="A638" s="121" t="str">
        <f>'BM02'!A223</f>
        <v>2.5</v>
      </c>
      <c r="B638" s="122" t="str">
        <f>'BM02'!B223</f>
        <v>ALVENARIA</v>
      </c>
      <c r="C638" s="122"/>
      <c r="D638" s="122"/>
      <c r="E638" s="122"/>
      <c r="F638" s="122"/>
      <c r="G638" s="122"/>
      <c r="H638" s="122"/>
      <c r="I638" s="122"/>
      <c r="J638" s="122"/>
      <c r="K638" s="122"/>
      <c r="L638" s="122"/>
      <c r="M638" s="123"/>
    </row>
    <row r="639" spans="1:13" ht="12.75">
      <c r="A639" s="124"/>
      <c r="B639" s="125"/>
      <c r="C639" s="125"/>
      <c r="D639" s="125"/>
      <c r="E639" s="125"/>
      <c r="F639" s="125"/>
      <c r="G639" s="125"/>
      <c r="H639" s="125"/>
      <c r="I639" s="125"/>
      <c r="J639" s="125"/>
      <c r="K639" s="126"/>
      <c r="L639" s="125"/>
      <c r="M639" s="127"/>
    </row>
    <row r="640" spans="1:13" ht="43.15" customHeight="1">
      <c r="A640" s="128" t="str">
        <f>'BM02'!A225</f>
        <v>2.5.1</v>
      </c>
      <c r="B640" s="211" t="str">
        <f>'BM02'!B225</f>
        <v>ALVENARIA DE VEDAÇÃO DE BLOCOS CERÂMICOS FURADOS NA HORIZONTAL DE 9X19X19CM (ESPESSURA 9CM) DE PAREDES COM ÁREA LÍQUIDA MAIOR OU IGUAL A 6M² SEM VÃOS E ARGAMASSA DE ASSENTAMENTO COM PREPARO MANUAL. AF_06/2014</v>
      </c>
      <c r="C640" s="212"/>
      <c r="D640" s="212"/>
      <c r="E640" s="212"/>
      <c r="F640" s="212"/>
      <c r="G640" s="212"/>
      <c r="H640" s="212"/>
      <c r="I640" s="212"/>
      <c r="J640" s="212"/>
      <c r="K640" s="213"/>
      <c r="L640" s="129">
        <f>ROUND(SUM(L641:L641),2)</f>
        <v>0</v>
      </c>
      <c r="M640" s="185" t="str">
        <f>'BM02'!C225</f>
        <v>m²</v>
      </c>
    </row>
    <row r="641" spans="1:13" s="131" customFormat="1" ht="12.75">
      <c r="A641" s="132"/>
      <c r="B641" s="209"/>
      <c r="C641" s="210"/>
      <c r="D641" s="134"/>
      <c r="E641" s="134"/>
      <c r="F641" s="134"/>
      <c r="G641" s="134"/>
      <c r="H641" s="134"/>
      <c r="I641" s="134"/>
      <c r="J641" s="135"/>
      <c r="K641" s="135"/>
      <c r="L641" s="134">
        <f>D641</f>
        <v>0</v>
      </c>
      <c r="M641" s="136"/>
    </row>
    <row r="642" spans="1:13" s="131" customFormat="1" ht="13.5" thickBot="1">
      <c r="A642" s="139"/>
      <c r="B642" s="140"/>
      <c r="C642" s="141"/>
      <c r="D642" s="142"/>
      <c r="E642" s="143"/>
      <c r="F642" s="142"/>
      <c r="G642" s="142"/>
      <c r="H642" s="143"/>
      <c r="I642" s="143"/>
      <c r="J642" s="144"/>
      <c r="K642" s="144"/>
      <c r="L642" s="142"/>
      <c r="M642" s="145"/>
    </row>
    <row r="643" spans="1:13" ht="13.5" thickBot="1">
      <c r="A643" s="121" t="str">
        <f>'BM02'!A227</f>
        <v>2.6</v>
      </c>
      <c r="B643" s="122" t="str">
        <f>'BM02'!B227</f>
        <v>COBERTURA</v>
      </c>
      <c r="C643" s="122"/>
      <c r="D643" s="122"/>
      <c r="E643" s="122"/>
      <c r="F643" s="122"/>
      <c r="G643" s="122"/>
      <c r="H643" s="122"/>
      <c r="I643" s="122"/>
      <c r="J643" s="122"/>
      <c r="K643" s="122"/>
      <c r="L643" s="122"/>
      <c r="M643" s="123"/>
    </row>
    <row r="644" spans="1:13" ht="12.75">
      <c r="A644" s="124"/>
      <c r="B644" s="125"/>
      <c r="C644" s="125"/>
      <c r="D644" s="125"/>
      <c r="E644" s="125"/>
      <c r="F644" s="125"/>
      <c r="G644" s="125"/>
      <c r="H644" s="125"/>
      <c r="I644" s="125"/>
      <c r="J644" s="125"/>
      <c r="K644" s="126"/>
      <c r="L644" s="125"/>
      <c r="M644" s="127"/>
    </row>
    <row r="645" spans="1:13" ht="30" customHeight="1">
      <c r="A645" s="128" t="str">
        <f>'BM02'!A229</f>
        <v>2.6.1</v>
      </c>
      <c r="B645" s="211" t="str">
        <f>'BM02'!B229</f>
        <v>FABRICAÇÃO E INSTALAÇÃO DE ESTRUTURA PONTALETADA DE MADEIRA NÃO APARELHADA PARA TELHADOS COM ATÉ 2 ÁGUAS E PARA TELHA CERÂMICA OU DE CONCRETO, INCLUSO TRANSPORTE VERTICAL. AF_12/2015</v>
      </c>
      <c r="C645" s="212"/>
      <c r="D645" s="212"/>
      <c r="E645" s="212"/>
      <c r="F645" s="212"/>
      <c r="G645" s="212"/>
      <c r="H645" s="212"/>
      <c r="I645" s="212"/>
      <c r="J645" s="212"/>
      <c r="K645" s="213"/>
      <c r="L645" s="129">
        <f>L646</f>
        <v>0</v>
      </c>
      <c r="M645" s="130" t="str">
        <f>'BM02'!C229</f>
        <v>m²</v>
      </c>
    </row>
    <row r="646" spans="1:13" s="131" customFormat="1" ht="12.75">
      <c r="A646" s="132"/>
      <c r="B646" s="209"/>
      <c r="C646" s="210"/>
      <c r="D646" s="134"/>
      <c r="E646" s="134"/>
      <c r="F646" s="134"/>
      <c r="G646" s="134"/>
      <c r="H646" s="134"/>
      <c r="I646" s="134"/>
      <c r="J646" s="135"/>
      <c r="K646" s="135"/>
      <c r="L646" s="134">
        <f>ROUND(D646*K646,2)</f>
        <v>0</v>
      </c>
      <c r="M646" s="136"/>
    </row>
    <row r="647" spans="1:13" s="131" customFormat="1" ht="12.75">
      <c r="A647" s="139"/>
      <c r="B647" s="140"/>
      <c r="C647" s="141"/>
      <c r="D647" s="142"/>
      <c r="E647" s="143"/>
      <c r="F647" s="142"/>
      <c r="G647" s="142"/>
      <c r="H647" s="143"/>
      <c r="I647" s="143"/>
      <c r="J647" s="144"/>
      <c r="K647" s="144"/>
      <c r="L647" s="142"/>
      <c r="M647" s="145"/>
    </row>
    <row r="648" spans="1:13" ht="30" customHeight="1">
      <c r="A648" s="128" t="str">
        <f>'BM02'!A230</f>
        <v>2.6.2</v>
      </c>
      <c r="B648" s="211" t="str">
        <f>'BM02'!B230</f>
        <v>INSTALAÇÃO DE TESOURA (INTEIRA OU MEIA), BIAPOIADA, EM MADEIRA NÃO APARELHADA, PARA VÃOS MAIORES OU IGUAIS A 6,0 M E MENORES QUE 8,0 M, INCLUSO IÇAMENTO. AF_07/2019</v>
      </c>
      <c r="C648" s="212"/>
      <c r="D648" s="212"/>
      <c r="E648" s="212"/>
      <c r="F648" s="212"/>
      <c r="G648" s="212"/>
      <c r="H648" s="212"/>
      <c r="I648" s="212"/>
      <c r="J648" s="212"/>
      <c r="K648" s="213"/>
      <c r="L648" s="129">
        <f>L649</f>
        <v>0</v>
      </c>
      <c r="M648" s="130" t="str">
        <f>'BM02'!C230</f>
        <v>un</v>
      </c>
    </row>
    <row r="649" spans="1:13" s="131" customFormat="1" ht="12.75">
      <c r="A649" s="132"/>
      <c r="B649" s="209"/>
      <c r="C649" s="210"/>
      <c r="D649" s="134"/>
      <c r="E649" s="134"/>
      <c r="F649" s="134"/>
      <c r="G649" s="134"/>
      <c r="H649" s="134"/>
      <c r="I649" s="134"/>
      <c r="J649" s="135"/>
      <c r="K649" s="135"/>
      <c r="L649" s="134">
        <f>ROUND(D649*K649,2)</f>
        <v>0</v>
      </c>
      <c r="M649" s="136"/>
    </row>
    <row r="650" spans="1:13" s="131" customFormat="1" ht="12.75">
      <c r="A650" s="139"/>
      <c r="B650" s="140"/>
      <c r="C650" s="141"/>
      <c r="D650" s="142"/>
      <c r="E650" s="143"/>
      <c r="F650" s="142"/>
      <c r="G650" s="142"/>
      <c r="H650" s="143"/>
      <c r="I650" s="143"/>
      <c r="J650" s="144"/>
      <c r="K650" s="144"/>
      <c r="L650" s="142"/>
      <c r="M650" s="145"/>
    </row>
    <row r="651" spans="1:13" ht="30" customHeight="1">
      <c r="A651" s="128" t="str">
        <f>'BM02'!A231</f>
        <v>2.6.3</v>
      </c>
      <c r="B651" s="211" t="str">
        <f>'BM02'!B231</f>
        <v>TELHAMENTO COM TELHA CERÂMICA CAPA-CANAL, TIPO PLAN, COM ATÉ 2 ÁGUAS, INCLUSO TRANSPORTE VERTICAL. AF_07/2019</v>
      </c>
      <c r="C651" s="212"/>
      <c r="D651" s="212"/>
      <c r="E651" s="212"/>
      <c r="F651" s="212"/>
      <c r="G651" s="212"/>
      <c r="H651" s="212"/>
      <c r="I651" s="212"/>
      <c r="J651" s="212"/>
      <c r="K651" s="213"/>
      <c r="L651" s="129">
        <f>L652</f>
        <v>0</v>
      </c>
      <c r="M651" s="130" t="str">
        <f>'BM02'!C231</f>
        <v>m²</v>
      </c>
    </row>
    <row r="652" spans="1:13" s="131" customFormat="1" ht="12.75">
      <c r="A652" s="132"/>
      <c r="B652" s="209"/>
      <c r="C652" s="210"/>
      <c r="D652" s="134"/>
      <c r="E652" s="134"/>
      <c r="F652" s="134"/>
      <c r="G652" s="134"/>
      <c r="H652" s="134"/>
      <c r="I652" s="134"/>
      <c r="J652" s="135"/>
      <c r="K652" s="135"/>
      <c r="L652" s="134">
        <f>ROUND(D652*K652,2)</f>
        <v>0</v>
      </c>
      <c r="M652" s="136"/>
    </row>
    <row r="653" spans="1:13" s="131" customFormat="1" ht="12.75">
      <c r="A653" s="139"/>
      <c r="B653" s="140"/>
      <c r="C653" s="141"/>
      <c r="D653" s="142"/>
      <c r="E653" s="143"/>
      <c r="F653" s="142"/>
      <c r="G653" s="142"/>
      <c r="H653" s="143"/>
      <c r="I653" s="143"/>
      <c r="J653" s="144"/>
      <c r="K653" s="144"/>
      <c r="L653" s="142"/>
      <c r="M653" s="145"/>
    </row>
    <row r="654" spans="1:13" ht="30" customHeight="1">
      <c r="A654" s="128" t="str">
        <f>'BM02'!A232</f>
        <v>2.6.4</v>
      </c>
      <c r="B654" s="211" t="str">
        <f>'BM02'!B232</f>
        <v>CUMEEIRA PARA TELHA CERÂMICA EMBOÇADA COM ARGAMASSA TRAÇO 1:2:9 (CIMENTO, CAL E AREIA) PARA TELHADOS COM ATÉ 2 ÁGUAS, INCLUSO TRANSPORTE VERTICAL. AF_07/2019</v>
      </c>
      <c r="C654" s="212"/>
      <c r="D654" s="212"/>
      <c r="E654" s="212"/>
      <c r="F654" s="212"/>
      <c r="G654" s="212"/>
      <c r="H654" s="212"/>
      <c r="I654" s="212"/>
      <c r="J654" s="212"/>
      <c r="K654" s="213"/>
      <c r="L654" s="129">
        <f>L655</f>
        <v>0</v>
      </c>
      <c r="M654" s="130" t="str">
        <f>'BM02'!C232</f>
        <v xml:space="preserve">m </v>
      </c>
    </row>
    <row r="655" spans="1:13" s="131" customFormat="1" ht="12.75">
      <c r="A655" s="132"/>
      <c r="B655" s="209"/>
      <c r="C655" s="210"/>
      <c r="D655" s="134"/>
      <c r="E655" s="134"/>
      <c r="F655" s="134"/>
      <c r="G655" s="134"/>
      <c r="H655" s="134"/>
      <c r="I655" s="134"/>
      <c r="J655" s="135"/>
      <c r="K655" s="135"/>
      <c r="L655" s="134">
        <f>ROUND(D655*K655,2)</f>
        <v>0</v>
      </c>
      <c r="M655" s="136"/>
    </row>
    <row r="656" spans="1:13" s="131" customFormat="1" ht="12.75">
      <c r="A656" s="139"/>
      <c r="B656" s="140"/>
      <c r="C656" s="141"/>
      <c r="D656" s="142"/>
      <c r="E656" s="143"/>
      <c r="F656" s="142"/>
      <c r="G656" s="142"/>
      <c r="H656" s="143"/>
      <c r="I656" s="143"/>
      <c r="J656" s="144"/>
      <c r="K656" s="144"/>
      <c r="L656" s="142"/>
      <c r="M656" s="145"/>
    </row>
    <row r="657" spans="1:13" ht="30" customHeight="1">
      <c r="A657" s="128" t="str">
        <f>'BM04'!A258</f>
        <v>2.6.5</v>
      </c>
      <c r="B657" s="211" t="str">
        <f>'BM04'!B258</f>
        <v>FABRICAÇÃO E INSTALAÇÃO DE TESOURA INTEIRA EM MADEIRA NÃO APARELHADA, VÃO DE 6 M, PARA TELHA CERÂMICA OU DE CONCRETO, INCLUSO IÇAMENTO. AF_12/2015</v>
      </c>
      <c r="C657" s="212"/>
      <c r="D657" s="212"/>
      <c r="E657" s="212"/>
      <c r="F657" s="212"/>
      <c r="G657" s="212"/>
      <c r="H657" s="212"/>
      <c r="I657" s="212"/>
      <c r="J657" s="212"/>
      <c r="K657" s="213"/>
      <c r="L657" s="129">
        <f>L658</f>
        <v>0</v>
      </c>
      <c r="M657" s="130" t="str">
        <f>'BM04'!C258</f>
        <v>UN</v>
      </c>
    </row>
    <row r="658" spans="1:13" s="131" customFormat="1" ht="12.75">
      <c r="A658" s="132"/>
      <c r="B658" s="209"/>
      <c r="C658" s="210"/>
      <c r="D658" s="134"/>
      <c r="E658" s="134"/>
      <c r="F658" s="134"/>
      <c r="G658" s="134"/>
      <c r="H658" s="134"/>
      <c r="I658" s="134"/>
      <c r="J658" s="135"/>
      <c r="K658" s="135"/>
      <c r="L658" s="134">
        <f>D658</f>
        <v>0</v>
      </c>
      <c r="M658" s="136"/>
    </row>
    <row r="659" spans="1:13" s="131" customFormat="1" ht="12.75">
      <c r="A659" s="139"/>
      <c r="B659" s="140"/>
      <c r="C659" s="141"/>
      <c r="D659" s="142"/>
      <c r="E659" s="143"/>
      <c r="F659" s="142"/>
      <c r="G659" s="142"/>
      <c r="H659" s="143"/>
      <c r="I659" s="143"/>
      <c r="J659" s="144"/>
      <c r="K659" s="144"/>
      <c r="L659" s="142"/>
      <c r="M659" s="145"/>
    </row>
    <row r="660" spans="1:13" ht="30" customHeight="1">
      <c r="A660" s="128" t="str">
        <f>'BM04'!A259</f>
        <v>2.6.6</v>
      </c>
      <c r="B660" s="211" t="str">
        <f>'BM04'!B259</f>
        <v>TRAMA DE MADEIRA COMPOSTA POR RIPAS, CAIBROS E TERÇAS PARA TELHADOS DE ATÉ 2 ÁGUAS PARA TELHA CERÂMICA CAPA-CANAL, INCLUSO TRANSPORTE VERTICAL. AF_12/2015</v>
      </c>
      <c r="C660" s="212"/>
      <c r="D660" s="212"/>
      <c r="E660" s="212"/>
      <c r="F660" s="212"/>
      <c r="G660" s="212"/>
      <c r="H660" s="212"/>
      <c r="I660" s="212"/>
      <c r="J660" s="212"/>
      <c r="K660" s="213"/>
      <c r="L660" s="129">
        <f>L661</f>
        <v>0</v>
      </c>
      <c r="M660" s="130" t="str">
        <f>'BM04'!C259</f>
        <v>M²</v>
      </c>
    </row>
    <row r="661" spans="1:13" s="131" customFormat="1" ht="12.75">
      <c r="A661" s="132"/>
      <c r="B661" s="209"/>
      <c r="C661" s="210"/>
      <c r="D661" s="134"/>
      <c r="E661" s="134"/>
      <c r="F661" s="134"/>
      <c r="G661" s="134"/>
      <c r="H661" s="134"/>
      <c r="I661" s="134"/>
      <c r="J661" s="135"/>
      <c r="K661" s="135"/>
      <c r="L661" s="134">
        <f>ROUND(D661*K661,2)</f>
        <v>0</v>
      </c>
      <c r="M661" s="136"/>
    </row>
    <row r="662" spans="1:13" s="131" customFormat="1" ht="13.5" thickBot="1">
      <c r="A662" s="139"/>
      <c r="B662" s="140"/>
      <c r="C662" s="141"/>
      <c r="D662" s="142"/>
      <c r="E662" s="143"/>
      <c r="F662" s="142"/>
      <c r="G662" s="142"/>
      <c r="H662" s="143"/>
      <c r="I662" s="143"/>
      <c r="J662" s="144"/>
      <c r="K662" s="144"/>
      <c r="L662" s="142"/>
      <c r="M662" s="145"/>
    </row>
    <row r="663" spans="1:13" ht="13.5" thickBot="1">
      <c r="A663" s="121" t="str">
        <f>'BM02'!A234</f>
        <v>2.7</v>
      </c>
      <c r="B663" s="122" t="str">
        <f>'BM02'!B234</f>
        <v>REVESTIMENTO</v>
      </c>
      <c r="C663" s="122"/>
      <c r="D663" s="122"/>
      <c r="E663" s="122"/>
      <c r="F663" s="122"/>
      <c r="G663" s="122"/>
      <c r="H663" s="122"/>
      <c r="I663" s="122"/>
      <c r="J663" s="122"/>
      <c r="K663" s="122"/>
      <c r="L663" s="122"/>
      <c r="M663" s="123"/>
    </row>
    <row r="664" spans="1:13" ht="12.75">
      <c r="A664" s="124"/>
      <c r="B664" s="125"/>
      <c r="C664" s="125"/>
      <c r="D664" s="125"/>
      <c r="E664" s="125"/>
      <c r="F664" s="125"/>
      <c r="G664" s="125"/>
      <c r="H664" s="125"/>
      <c r="I664" s="125"/>
      <c r="J664" s="125"/>
      <c r="K664" s="126"/>
      <c r="L664" s="125"/>
      <c r="M664" s="127"/>
    </row>
    <row r="665" spans="1:13" ht="30" customHeight="1">
      <c r="A665" s="128" t="str">
        <f>'BM02'!A236</f>
        <v>2.7.1</v>
      </c>
      <c r="B665" s="211" t="str">
        <f>'BM02'!B236</f>
        <v>CHAPISCO APLICADO EM ALVENARIAS E ESTRUTURAS DE CONCRETO INTERNAS, COM COLHER DE PEDREIRO. ARGAMASSA TRAÇO 1:3 COM PREPARO EM BETONEIRA 400L. AF_06/2014</v>
      </c>
      <c r="C665" s="212"/>
      <c r="D665" s="212"/>
      <c r="E665" s="212"/>
      <c r="F665" s="212"/>
      <c r="G665" s="212"/>
      <c r="H665" s="212"/>
      <c r="I665" s="212"/>
      <c r="J665" s="212"/>
      <c r="K665" s="213"/>
      <c r="L665" s="129">
        <f>ROUND(SUM(L666:L666),2)</f>
        <v>0</v>
      </c>
      <c r="M665" s="130" t="str">
        <f>'BM02'!C236</f>
        <v>m²</v>
      </c>
    </row>
    <row r="666" spans="1:13" s="131" customFormat="1" ht="12.75">
      <c r="A666" s="132"/>
      <c r="B666" s="209"/>
      <c r="C666" s="210"/>
      <c r="D666" s="134"/>
      <c r="E666" s="134"/>
      <c r="F666" s="134"/>
      <c r="G666" s="134"/>
      <c r="H666" s="134"/>
      <c r="I666" s="134"/>
      <c r="J666" s="135"/>
      <c r="K666" s="135"/>
      <c r="L666" s="134">
        <f>D666</f>
        <v>0</v>
      </c>
      <c r="M666" s="136"/>
    </row>
    <row r="667" spans="1:13" s="131" customFormat="1" ht="12.75">
      <c r="A667" s="139"/>
      <c r="B667" s="140"/>
      <c r="C667" s="141"/>
      <c r="D667" s="142"/>
      <c r="E667" s="143"/>
      <c r="F667" s="142"/>
      <c r="G667" s="142"/>
      <c r="H667" s="143"/>
      <c r="I667" s="143"/>
      <c r="J667" s="144"/>
      <c r="K667" s="144"/>
      <c r="L667" s="142"/>
      <c r="M667" s="145"/>
    </row>
    <row r="668" spans="1:13" ht="43.15" customHeight="1">
      <c r="A668" s="128" t="str">
        <f>'BM02'!A237</f>
        <v>2.7.2</v>
      </c>
      <c r="B668" s="211" t="str">
        <f>'BM02'!B237</f>
        <v>MASSA ÚNICA, PARA RECEBIMENTO DE PINTURA, EM ARGAMASSA TRAÇO 1:2:8, PREPARO MECÂNICO COM BETONEIRA 400L, APLICADA MANUALMENTE EM FACES INTERNAS DE PAREDES, ESPESSURA DE 20MM, COM EXECUÇÃO DE TALISCAS. AF_06/2014</v>
      </c>
      <c r="C668" s="212"/>
      <c r="D668" s="212"/>
      <c r="E668" s="212"/>
      <c r="F668" s="212"/>
      <c r="G668" s="212"/>
      <c r="H668" s="212"/>
      <c r="I668" s="212"/>
      <c r="J668" s="212"/>
      <c r="K668" s="213"/>
      <c r="L668" s="129">
        <f>L669</f>
        <v>0</v>
      </c>
      <c r="M668" s="130" t="str">
        <f>'BM02'!C237</f>
        <v>m²</v>
      </c>
    </row>
    <row r="669" spans="1:13" s="131" customFormat="1" ht="12.75">
      <c r="A669" s="132"/>
      <c r="B669" s="209"/>
      <c r="C669" s="210"/>
      <c r="D669" s="134"/>
      <c r="E669" s="134"/>
      <c r="F669" s="134"/>
      <c r="G669" s="134"/>
      <c r="H669" s="134"/>
      <c r="I669" s="134"/>
      <c r="J669" s="135"/>
      <c r="K669" s="135"/>
      <c r="L669" s="134">
        <f>D669</f>
        <v>0</v>
      </c>
      <c r="M669" s="136"/>
    </row>
    <row r="670" spans="1:13" s="131" customFormat="1" ht="12.75">
      <c r="A670" s="139"/>
      <c r="B670" s="140"/>
      <c r="C670" s="141"/>
      <c r="D670" s="142"/>
      <c r="E670" s="143"/>
      <c r="F670" s="142"/>
      <c r="G670" s="142"/>
      <c r="H670" s="143"/>
      <c r="I670" s="143"/>
      <c r="J670" s="144"/>
      <c r="K670" s="144"/>
      <c r="L670" s="142"/>
      <c r="M670" s="145"/>
    </row>
    <row r="671" spans="1:13" ht="12.6" customHeight="1">
      <c r="A671" s="128" t="str">
        <f>'BM02'!A238</f>
        <v>2.7.3</v>
      </c>
      <c r="B671" s="211" t="str">
        <f>'BM02'!B238</f>
        <v>Revestimento cerâmico para parede, 10 x 10 cm, Eliane, linha galeria chumbo mesh ou similar, pei - 2, aplicado com argamassa industrializada ac-ii, rejuntado, exclusive regularização de base ou emboço - Rev 01</v>
      </c>
      <c r="C671" s="212"/>
      <c r="D671" s="212"/>
      <c r="E671" s="212"/>
      <c r="F671" s="212"/>
      <c r="G671" s="212"/>
      <c r="H671" s="212"/>
      <c r="I671" s="212"/>
      <c r="J671" s="212"/>
      <c r="K671" s="213"/>
      <c r="L671" s="129">
        <f>L672</f>
        <v>0</v>
      </c>
      <c r="M671" s="130" t="str">
        <f>'BM02'!C238</f>
        <v>m²</v>
      </c>
    </row>
    <row r="672" spans="1:13" s="131" customFormat="1" ht="13.5" thickBot="1">
      <c r="A672" s="132"/>
      <c r="B672" s="209"/>
      <c r="C672" s="210"/>
      <c r="D672" s="134"/>
      <c r="E672" s="134"/>
      <c r="F672" s="134"/>
      <c r="G672" s="134"/>
      <c r="H672" s="134"/>
      <c r="I672" s="134"/>
      <c r="J672" s="135"/>
      <c r="K672" s="135"/>
      <c r="L672" s="134">
        <f>ROUND(D672*K672,2)</f>
        <v>0</v>
      </c>
      <c r="M672" s="136"/>
    </row>
    <row r="673" spans="1:13" s="131" customFormat="1" ht="12.75">
      <c r="A673" s="139"/>
      <c r="B673" s="140"/>
      <c r="C673" s="141"/>
      <c r="D673" s="142"/>
      <c r="E673" s="143"/>
      <c r="F673" s="142"/>
      <c r="G673" s="142"/>
      <c r="H673" s="143"/>
      <c r="I673" s="143"/>
      <c r="J673" s="144"/>
      <c r="K673" s="144"/>
      <c r="L673" s="142"/>
      <c r="M673" s="145"/>
    </row>
    <row r="674" spans="1:13" ht="28.9" customHeight="1">
      <c r="A674" s="128" t="str">
        <f>'BM04'!A266</f>
        <v>2.7.4</v>
      </c>
      <c r="B674" s="211" t="str">
        <f>'BM04'!B266</f>
        <v>EMBOCO, PARA RECEBIMENTO DE CERAMICA, EM ARGAMASSA TRAO 1:2:8, PREPARO MECANICO COM BETONEIRA 400L, APLICADO MANUALMENTE, ESPESSURA DE</v>
      </c>
      <c r="C674" s="212"/>
      <c r="D674" s="212"/>
      <c r="E674" s="212"/>
      <c r="F674" s="212"/>
      <c r="G674" s="212"/>
      <c r="H674" s="212"/>
      <c r="I674" s="212"/>
      <c r="J674" s="212"/>
      <c r="K674" s="213"/>
      <c r="L674" s="129">
        <f>L675</f>
        <v>0</v>
      </c>
      <c r="M674" s="130" t="str">
        <f>'BM04'!C266</f>
        <v>M²</v>
      </c>
    </row>
    <row r="675" spans="1:13" s="131" customFormat="1" ht="12.75">
      <c r="A675" s="132"/>
      <c r="B675" s="209"/>
      <c r="C675" s="210"/>
      <c r="D675" s="134"/>
      <c r="E675" s="134"/>
      <c r="F675" s="134"/>
      <c r="G675" s="134"/>
      <c r="H675" s="134"/>
      <c r="I675" s="134"/>
      <c r="J675" s="135"/>
      <c r="K675" s="135"/>
      <c r="L675" s="134">
        <f>D675</f>
        <v>0</v>
      </c>
      <c r="M675" s="136"/>
    </row>
    <row r="676" spans="1:13" s="131" customFormat="1" ht="13.5" thickBot="1">
      <c r="A676" s="139"/>
      <c r="B676" s="140"/>
      <c r="C676" s="141"/>
      <c r="D676" s="142"/>
      <c r="E676" s="143"/>
      <c r="F676" s="142"/>
      <c r="G676" s="142"/>
      <c r="H676" s="143"/>
      <c r="I676" s="143"/>
      <c r="J676" s="144"/>
      <c r="K676" s="144"/>
      <c r="L676" s="142"/>
      <c r="M676" s="145"/>
    </row>
    <row r="677" spans="1:13" ht="13.5" thickBot="1">
      <c r="A677" s="121" t="str">
        <f>'BM02'!A240</f>
        <v>2.8</v>
      </c>
      <c r="B677" s="122" t="str">
        <f>'BM02'!B240</f>
        <v>PISOS</v>
      </c>
      <c r="C677" s="122"/>
      <c r="D677" s="122"/>
      <c r="E677" s="122"/>
      <c r="F677" s="122"/>
      <c r="G677" s="122"/>
      <c r="H677" s="122"/>
      <c r="I677" s="122"/>
      <c r="J677" s="122"/>
      <c r="K677" s="122"/>
      <c r="L677" s="122"/>
      <c r="M677" s="123"/>
    </row>
    <row r="678" spans="1:13" ht="12.75">
      <c r="A678" s="124"/>
      <c r="B678" s="125"/>
      <c r="C678" s="125"/>
      <c r="D678" s="125"/>
      <c r="E678" s="125"/>
      <c r="F678" s="125"/>
      <c r="G678" s="125"/>
      <c r="H678" s="125"/>
      <c r="I678" s="125"/>
      <c r="J678" s="125"/>
      <c r="K678" s="126"/>
      <c r="L678" s="125"/>
      <c r="M678" s="127"/>
    </row>
    <row r="679" spans="1:13" ht="12.6" customHeight="1">
      <c r="A679" s="128" t="str">
        <f>'BM02'!A242</f>
        <v>2.8.1</v>
      </c>
      <c r="B679" s="211" t="str">
        <f>'BM02'!B242</f>
        <v>LASTRO DE CONCRETO MAGRO, APLICADO EM PISOS OU RADIERS, ESPESSURA DE 5 CM. AF_07/2016</v>
      </c>
      <c r="C679" s="212"/>
      <c r="D679" s="212"/>
      <c r="E679" s="212"/>
      <c r="F679" s="212"/>
      <c r="G679" s="212"/>
      <c r="H679" s="212"/>
      <c r="I679" s="212"/>
      <c r="J679" s="212"/>
      <c r="K679" s="213"/>
      <c r="L679" s="129">
        <f>L680</f>
        <v>24.700000000000003</v>
      </c>
      <c r="M679" s="130" t="str">
        <f>'BM02'!C242</f>
        <v>m²</v>
      </c>
    </row>
    <row r="680" spans="1:13" s="131" customFormat="1" ht="28.9" customHeight="1">
      <c r="A680" s="132"/>
      <c r="B680" s="209" t="s">
        <v>771</v>
      </c>
      <c r="C680" s="210"/>
      <c r="D680" s="134">
        <f>12*6 - 47.3</f>
        <v>24.700000000000003</v>
      </c>
      <c r="E680" s="134"/>
      <c r="F680" s="134"/>
      <c r="G680" s="134"/>
      <c r="H680" s="134"/>
      <c r="I680" s="134"/>
      <c r="J680" s="135"/>
      <c r="K680" s="135"/>
      <c r="L680" s="134">
        <f>D680</f>
        <v>24.700000000000003</v>
      </c>
      <c r="M680" s="136"/>
    </row>
    <row r="681" spans="1:13" s="131" customFormat="1" ht="12.75">
      <c r="A681" s="139"/>
      <c r="B681" s="140"/>
      <c r="C681" s="141"/>
      <c r="D681" s="142"/>
      <c r="E681" s="143"/>
      <c r="F681" s="142"/>
      <c r="G681" s="142"/>
      <c r="H681" s="143"/>
      <c r="I681" s="143"/>
      <c r="J681" s="144"/>
      <c r="K681" s="144"/>
      <c r="L681" s="142"/>
      <c r="M681" s="145"/>
    </row>
    <row r="682" spans="1:13" ht="12.6" customHeight="1">
      <c r="A682" s="128" t="str">
        <f>'BM02'!A243</f>
        <v>2.8.2</v>
      </c>
      <c r="B682" s="211" t="str">
        <f>'BM02'!B243</f>
        <v>Regularização de base para revest. de pisos com arg. traço t4, esp. média = 2,5cm</v>
      </c>
      <c r="C682" s="212"/>
      <c r="D682" s="212"/>
      <c r="E682" s="212"/>
      <c r="F682" s="212"/>
      <c r="G682" s="212"/>
      <c r="H682" s="212"/>
      <c r="I682" s="212"/>
      <c r="J682" s="212"/>
      <c r="K682" s="213"/>
      <c r="L682" s="129">
        <f>L683</f>
        <v>24.700000000000003</v>
      </c>
      <c r="M682" s="130" t="str">
        <f>'BM02'!C243</f>
        <v>m²</v>
      </c>
    </row>
    <row r="683" spans="1:13" s="131" customFormat="1" ht="13.15" customHeight="1">
      <c r="A683" s="132"/>
      <c r="B683" s="209" t="s">
        <v>771</v>
      </c>
      <c r="C683" s="210"/>
      <c r="D683" s="134">
        <f>12*6 - 47.3</f>
        <v>24.700000000000003</v>
      </c>
      <c r="E683" s="134"/>
      <c r="F683" s="134"/>
      <c r="G683" s="134"/>
      <c r="H683" s="134"/>
      <c r="I683" s="134"/>
      <c r="J683" s="135"/>
      <c r="K683" s="135"/>
      <c r="L683" s="134">
        <f>D683</f>
        <v>24.700000000000003</v>
      </c>
      <c r="M683" s="136"/>
    </row>
    <row r="684" spans="1:13" s="131" customFormat="1" ht="12.75">
      <c r="A684" s="139"/>
      <c r="B684" s="140"/>
      <c r="C684" s="141"/>
      <c r="D684" s="142"/>
      <c r="E684" s="143"/>
      <c r="F684" s="142"/>
      <c r="G684" s="142"/>
      <c r="H684" s="143"/>
      <c r="I684" s="143"/>
      <c r="J684" s="144"/>
      <c r="K684" s="144"/>
      <c r="L684" s="142"/>
      <c r="M684" s="145"/>
    </row>
    <row r="685" spans="1:13" ht="12.6" customHeight="1">
      <c r="A685" s="128" t="str">
        <f>'BM02'!A244</f>
        <v>2.8.3</v>
      </c>
      <c r="B685" s="211" t="str">
        <f>'BM02'!B244</f>
        <v>PISO EM GRANILITE, MARMORITE OU GRANITINA EM AMBIENTES INTERNOS. AF_09/2020</v>
      </c>
      <c r="C685" s="212"/>
      <c r="D685" s="212"/>
      <c r="E685" s="212"/>
      <c r="F685" s="212"/>
      <c r="G685" s="212"/>
      <c r="H685" s="212"/>
      <c r="I685" s="212"/>
      <c r="J685" s="212"/>
      <c r="K685" s="213"/>
      <c r="L685" s="129">
        <f>L686</f>
        <v>0</v>
      </c>
      <c r="M685" s="130" t="str">
        <f>'BM02'!C244</f>
        <v>m²</v>
      </c>
    </row>
    <row r="686" spans="1:13" s="131" customFormat="1" ht="12.75">
      <c r="A686" s="132"/>
      <c r="B686" s="209"/>
      <c r="C686" s="210"/>
      <c r="D686" s="134"/>
      <c r="E686" s="134"/>
      <c r="F686" s="134"/>
      <c r="G686" s="134"/>
      <c r="H686" s="134"/>
      <c r="I686" s="134"/>
      <c r="J686" s="135"/>
      <c r="K686" s="135"/>
      <c r="L686" s="134">
        <f>ROUND(D686*K686,2)</f>
        <v>0</v>
      </c>
      <c r="M686" s="136"/>
    </row>
    <row r="687" spans="1:13" s="131" customFormat="1" ht="12.75">
      <c r="A687" s="139"/>
      <c r="B687" s="140"/>
      <c r="C687" s="141"/>
      <c r="D687" s="142"/>
      <c r="E687" s="143"/>
      <c r="F687" s="142"/>
      <c r="G687" s="142"/>
      <c r="H687" s="143"/>
      <c r="I687" s="143"/>
      <c r="J687" s="144"/>
      <c r="K687" s="144"/>
      <c r="L687" s="142"/>
      <c r="M687" s="145"/>
    </row>
    <row r="688" spans="1:13" ht="12.6" customHeight="1">
      <c r="A688" s="128" t="str">
        <f>'BM04'!A273</f>
        <v>2.8.4</v>
      </c>
      <c r="B688" s="211" t="str">
        <f>'BM04'!B273</f>
        <v>EXECUÇÃO DE PASSEIO (CALÇADA) OU PISO DE CONCRETO COM CONCRETO MOLDADO IN LOCO, FEITO EM OBRA, ACABAMENTO CONVENCIONAL, ESPESSURA 6 CM, ARMADO. AF_07/2016 (LARGURA = 60 CM)</v>
      </c>
      <c r="C688" s="212"/>
      <c r="D688" s="212"/>
      <c r="E688" s="212"/>
      <c r="F688" s="212"/>
      <c r="G688" s="212"/>
      <c r="H688" s="212"/>
      <c r="I688" s="212"/>
      <c r="J688" s="212"/>
      <c r="K688" s="213"/>
      <c r="L688" s="129">
        <f>SUM(L689:L690)</f>
        <v>22.319999999999997</v>
      </c>
      <c r="M688" s="130" t="str">
        <f>'BM04'!C273</f>
        <v>M²</v>
      </c>
    </row>
    <row r="689" spans="1:13" s="131" customFormat="1" ht="14.45" customHeight="1">
      <c r="A689" s="263"/>
      <c r="B689" s="275" t="s">
        <v>712</v>
      </c>
      <c r="C689" s="276"/>
      <c r="D689" s="134">
        <v>2</v>
      </c>
      <c r="E689" s="134">
        <v>6.6</v>
      </c>
      <c r="F689" s="134"/>
      <c r="G689" s="134">
        <v>0.6</v>
      </c>
      <c r="H689" s="134"/>
      <c r="I689" s="134"/>
      <c r="J689" s="135"/>
      <c r="K689" s="135">
        <f>E689*G689</f>
        <v>3.9599999999999995</v>
      </c>
      <c r="L689" s="134">
        <f>D689*K689</f>
        <v>7.919999999999999</v>
      </c>
      <c r="M689" s="136"/>
    </row>
    <row r="690" spans="1:13" s="131" customFormat="1" ht="14.45" customHeight="1">
      <c r="A690" s="264"/>
      <c r="B690" s="277"/>
      <c r="C690" s="278"/>
      <c r="D690" s="134">
        <v>2</v>
      </c>
      <c r="E690" s="134">
        <v>12</v>
      </c>
      <c r="F690" s="134"/>
      <c r="G690" s="134">
        <v>0.6</v>
      </c>
      <c r="H690" s="134"/>
      <c r="I690" s="134"/>
      <c r="J690" s="135"/>
      <c r="K690" s="135">
        <f>E690*G690</f>
        <v>7.1999999999999993</v>
      </c>
      <c r="L690" s="134">
        <f>D690*K690</f>
        <v>14.399999999999999</v>
      </c>
      <c r="M690" s="136"/>
    </row>
    <row r="691" spans="1:13" s="131" customFormat="1" ht="13.5" thickBot="1">
      <c r="A691" s="139"/>
      <c r="B691" s="140"/>
      <c r="C691" s="141"/>
      <c r="D691" s="142"/>
      <c r="E691" s="143"/>
      <c r="F691" s="142"/>
      <c r="G691" s="142"/>
      <c r="H691" s="143"/>
      <c r="I691" s="143"/>
      <c r="J691" s="144"/>
      <c r="K691" s="144"/>
      <c r="L691" s="142"/>
      <c r="M691" s="145"/>
    </row>
    <row r="692" spans="1:13" ht="13.5" thickBot="1">
      <c r="A692" s="121" t="str">
        <f>'BM02'!A246</f>
        <v>2.9</v>
      </c>
      <c r="B692" s="122" t="str">
        <f>'BM02'!B246</f>
        <v>INSTALAÇÃO ELÉTRICA</v>
      </c>
      <c r="C692" s="122"/>
      <c r="D692" s="122"/>
      <c r="E692" s="122"/>
      <c r="F692" s="122"/>
      <c r="G692" s="122"/>
      <c r="H692" s="122"/>
      <c r="I692" s="122"/>
      <c r="J692" s="122"/>
      <c r="K692" s="122"/>
      <c r="L692" s="122"/>
      <c r="M692" s="123"/>
    </row>
    <row r="693" spans="1:13" ht="12.75">
      <c r="A693" s="124"/>
      <c r="B693" s="125"/>
      <c r="C693" s="125"/>
      <c r="D693" s="125"/>
      <c r="E693" s="125"/>
      <c r="F693" s="125"/>
      <c r="G693" s="125"/>
      <c r="H693" s="125"/>
      <c r="I693" s="125"/>
      <c r="J693" s="125"/>
      <c r="K693" s="126"/>
      <c r="L693" s="125"/>
      <c r="M693" s="127"/>
    </row>
    <row r="694" spans="1:13" ht="30" customHeight="1">
      <c r="A694" s="128" t="str">
        <f>'BM02'!A248</f>
        <v>2.9.1</v>
      </c>
      <c r="B694" s="211" t="str">
        <f>'BM02'!B248</f>
        <v>PONTO DE TOMADA RESIDENCIAL INCLUINDO TOMADA 10A/250V, CAIXA ELÉTRICA, ELETRODUTO, CABO, RASGO, QUEBRA E CHUMBAMENTO. AF_01/2016</v>
      </c>
      <c r="C694" s="212"/>
      <c r="D694" s="212"/>
      <c r="E694" s="212"/>
      <c r="F694" s="212"/>
      <c r="G694" s="212"/>
      <c r="H694" s="212"/>
      <c r="I694" s="212"/>
      <c r="J694" s="212"/>
      <c r="K694" s="213"/>
      <c r="L694" s="129">
        <f>L695</f>
        <v>4</v>
      </c>
      <c r="M694" s="130" t="str">
        <f>'BM02'!C248</f>
        <v>un</v>
      </c>
    </row>
    <row r="695" spans="1:13" s="131" customFormat="1" ht="12.75">
      <c r="A695" s="132"/>
      <c r="B695" s="209" t="s">
        <v>766</v>
      </c>
      <c r="C695" s="210"/>
      <c r="D695" s="134">
        <f>4</f>
        <v>4</v>
      </c>
      <c r="E695" s="134"/>
      <c r="F695" s="134"/>
      <c r="G695" s="134"/>
      <c r="H695" s="134"/>
      <c r="I695" s="134"/>
      <c r="J695" s="135"/>
      <c r="K695" s="135"/>
      <c r="L695" s="134">
        <f>D695</f>
        <v>4</v>
      </c>
      <c r="M695" s="136"/>
    </row>
    <row r="696" spans="1:13" s="131" customFormat="1" ht="12.75">
      <c r="A696" s="139"/>
      <c r="B696" s="140"/>
      <c r="C696" s="141"/>
      <c r="D696" s="142"/>
      <c r="E696" s="143"/>
      <c r="F696" s="142"/>
      <c r="G696" s="142"/>
      <c r="H696" s="143"/>
      <c r="I696" s="143"/>
      <c r="J696" s="144"/>
      <c r="K696" s="144"/>
      <c r="L696" s="142"/>
      <c r="M696" s="145"/>
    </row>
    <row r="697" spans="1:13" ht="30" customHeight="1">
      <c r="A697" s="128" t="str">
        <f>'BM02'!A249</f>
        <v>2.9.2</v>
      </c>
      <c r="B697" s="211" t="str">
        <f>'BM02'!B249</f>
        <v>PONTO DE ILUMINAÇÃO RESIDENCIAL INCLUINDO INTERRUPTOR SIMPLES, CAIXA ELÉTRICA, ELETRODUTO, CABO, RASGO, QUEBRA E CHUMBAMENTO (EXCLUINDO LUMINÁRIA E LÂMPADA). AF_01/2016</v>
      </c>
      <c r="C697" s="212"/>
      <c r="D697" s="212"/>
      <c r="E697" s="212"/>
      <c r="F697" s="212"/>
      <c r="G697" s="212"/>
      <c r="H697" s="212"/>
      <c r="I697" s="212"/>
      <c r="J697" s="212"/>
      <c r="K697" s="213"/>
      <c r="L697" s="129">
        <f>L698</f>
        <v>4</v>
      </c>
      <c r="M697" s="130" t="str">
        <f>'BM02'!C249</f>
        <v>un</v>
      </c>
    </row>
    <row r="698" spans="1:13" s="131" customFormat="1" ht="12.75">
      <c r="A698" s="132"/>
      <c r="B698" s="209" t="s">
        <v>772</v>
      </c>
      <c r="C698" s="210"/>
      <c r="D698" s="134">
        <v>4</v>
      </c>
      <c r="E698" s="134"/>
      <c r="F698" s="134"/>
      <c r="G698" s="134"/>
      <c r="H698" s="134"/>
      <c r="I698" s="134"/>
      <c r="J698" s="135"/>
      <c r="K698" s="135"/>
      <c r="L698" s="134">
        <f>D698</f>
        <v>4</v>
      </c>
      <c r="M698" s="136"/>
    </row>
    <row r="699" spans="1:13" s="131" customFormat="1" ht="12.75">
      <c r="A699" s="139"/>
      <c r="B699" s="140"/>
      <c r="C699" s="141"/>
      <c r="D699" s="142"/>
      <c r="E699" s="143"/>
      <c r="F699" s="142"/>
      <c r="G699" s="142"/>
      <c r="H699" s="143"/>
      <c r="I699" s="143"/>
      <c r="J699" s="144"/>
      <c r="K699" s="144"/>
      <c r="L699" s="142"/>
      <c r="M699" s="145"/>
    </row>
    <row r="700" spans="1:13" ht="12.6" customHeight="1">
      <c r="A700" s="128" t="str">
        <f>'BM02'!A250</f>
        <v>2.9.3</v>
      </c>
      <c r="B700" s="211" t="str">
        <f>'BM02'!B250</f>
        <v>Refletor Slim LED 150W de potência, branco Frio, 6500k, Autovolt, marca G-light ou similar - Rev 01</v>
      </c>
      <c r="C700" s="212"/>
      <c r="D700" s="212"/>
      <c r="E700" s="212"/>
      <c r="F700" s="212"/>
      <c r="G700" s="212"/>
      <c r="H700" s="212"/>
      <c r="I700" s="212"/>
      <c r="J700" s="212"/>
      <c r="K700" s="213"/>
      <c r="L700" s="129">
        <f>L701</f>
        <v>0</v>
      </c>
      <c r="M700" s="130" t="str">
        <f>'BM02'!C250</f>
        <v>un</v>
      </c>
    </row>
    <row r="701" spans="1:13" s="131" customFormat="1" ht="12.75">
      <c r="A701" s="132"/>
      <c r="B701" s="209"/>
      <c r="C701" s="210"/>
      <c r="D701" s="134"/>
      <c r="E701" s="134"/>
      <c r="F701" s="134"/>
      <c r="G701" s="134"/>
      <c r="H701" s="134"/>
      <c r="I701" s="134"/>
      <c r="J701" s="135"/>
      <c r="K701" s="135"/>
      <c r="L701" s="134">
        <f>ROUND(D701*K701,2)</f>
        <v>0</v>
      </c>
      <c r="M701" s="136"/>
    </row>
    <row r="702" spans="1:13" s="131" customFormat="1" ht="12.75">
      <c r="A702" s="139"/>
      <c r="B702" s="140"/>
      <c r="C702" s="141"/>
      <c r="D702" s="142"/>
      <c r="E702" s="143"/>
      <c r="F702" s="142"/>
      <c r="G702" s="142"/>
      <c r="H702" s="143"/>
      <c r="I702" s="143"/>
      <c r="J702" s="144"/>
      <c r="K702" s="144"/>
      <c r="L702" s="142"/>
      <c r="M702" s="145"/>
    </row>
    <row r="703" spans="1:13" ht="30" customHeight="1">
      <c r="A703" s="128" t="str">
        <f>'BM02'!A251</f>
        <v>2.9.4</v>
      </c>
      <c r="B703" s="211" t="str">
        <f>'BM02'!B251</f>
        <v>CAIXA RETANGULAR 4" X 4" MÉDIA (1,30 M DO PISO), PVC, INSTALADA EM PAREDE - FORNECIMENTO E INSTALAÇÃO. AF_12/2015</v>
      </c>
      <c r="C703" s="212"/>
      <c r="D703" s="212"/>
      <c r="E703" s="212"/>
      <c r="F703" s="212"/>
      <c r="G703" s="212"/>
      <c r="H703" s="212"/>
      <c r="I703" s="212"/>
      <c r="J703" s="212"/>
      <c r="K703" s="213"/>
      <c r="L703" s="129">
        <f>L704</f>
        <v>2</v>
      </c>
      <c r="M703" s="130" t="str">
        <f>'BM02'!C251</f>
        <v>un</v>
      </c>
    </row>
    <row r="704" spans="1:13" s="131" customFormat="1" ht="12.75">
      <c r="A704" s="132"/>
      <c r="B704" s="209"/>
      <c r="C704" s="210"/>
      <c r="D704" s="134">
        <f>2</f>
        <v>2</v>
      </c>
      <c r="E704" s="134"/>
      <c r="F704" s="134"/>
      <c r="G704" s="134"/>
      <c r="H704" s="134"/>
      <c r="I704" s="134"/>
      <c r="J704" s="135"/>
      <c r="K704" s="135"/>
      <c r="L704" s="134">
        <f>D704</f>
        <v>2</v>
      </c>
      <c r="M704" s="136"/>
    </row>
    <row r="705" spans="1:13" s="131" customFormat="1" ht="12.75">
      <c r="A705" s="139"/>
      <c r="B705" s="140"/>
      <c r="C705" s="141"/>
      <c r="D705" s="142"/>
      <c r="E705" s="143"/>
      <c r="F705" s="142"/>
      <c r="G705" s="142"/>
      <c r="H705" s="143"/>
      <c r="I705" s="143"/>
      <c r="J705" s="144"/>
      <c r="K705" s="144"/>
      <c r="L705" s="142"/>
      <c r="M705" s="145"/>
    </row>
    <row r="706" spans="1:13" ht="30" customHeight="1">
      <c r="A706" s="128" t="str">
        <f>'BM02'!A252</f>
        <v>2.9.5</v>
      </c>
      <c r="B706" s="211" t="str">
        <f>'BM02'!B252</f>
        <v>CABO DE COBRE FLEXÍVEL ISOLADO, 2,5 MM², ANTI-CHAMA 0,6/1,0 KV, PARA CIRCUITOS TERMINAIS - FORNECIMENTO E INSTALAÇÃO. AF_12/2015</v>
      </c>
      <c r="C706" s="212"/>
      <c r="D706" s="212"/>
      <c r="E706" s="212"/>
      <c r="F706" s="212"/>
      <c r="G706" s="212"/>
      <c r="H706" s="212"/>
      <c r="I706" s="212"/>
      <c r="J706" s="212"/>
      <c r="K706" s="213"/>
      <c r="L706" s="129">
        <f>L707</f>
        <v>19.48</v>
      </c>
      <c r="M706" s="130" t="str">
        <f>'BM02'!C252</f>
        <v>m²</v>
      </c>
    </row>
    <row r="707" spans="1:13" s="131" customFormat="1" ht="12.75">
      <c r="A707" s="132"/>
      <c r="B707" s="209" t="s">
        <v>773</v>
      </c>
      <c r="C707" s="210"/>
      <c r="D707" s="134">
        <f>19.48</f>
        <v>19.48</v>
      </c>
      <c r="E707" s="134"/>
      <c r="F707" s="134"/>
      <c r="G707" s="134"/>
      <c r="H707" s="134"/>
      <c r="I707" s="134"/>
      <c r="J707" s="135"/>
      <c r="K707" s="135"/>
      <c r="L707" s="134">
        <f>D707</f>
        <v>19.48</v>
      </c>
      <c r="M707" s="136"/>
    </row>
    <row r="708" spans="1:13" s="131" customFormat="1" ht="13.5" thickBot="1">
      <c r="A708" s="139"/>
      <c r="B708" s="140"/>
      <c r="C708" s="141"/>
      <c r="D708" s="142"/>
      <c r="E708" s="143"/>
      <c r="F708" s="142"/>
      <c r="G708" s="142"/>
      <c r="H708" s="143"/>
      <c r="I708" s="143"/>
      <c r="J708" s="144"/>
      <c r="K708" s="144"/>
      <c r="L708" s="142"/>
      <c r="M708" s="145"/>
    </row>
    <row r="709" spans="1:13" ht="13.5" thickBot="1">
      <c r="A709" s="121" t="str">
        <f>'BM04'!A283</f>
        <v>2.10</v>
      </c>
      <c r="B709" s="122" t="str">
        <f>'BM04'!B283</f>
        <v>PINTURA</v>
      </c>
      <c r="C709" s="122"/>
      <c r="D709" s="122"/>
      <c r="E709" s="122"/>
      <c r="F709" s="122"/>
      <c r="G709" s="122"/>
      <c r="H709" s="122"/>
      <c r="I709" s="122"/>
      <c r="J709" s="122"/>
      <c r="K709" s="122"/>
      <c r="L709" s="122"/>
      <c r="M709" s="123"/>
    </row>
    <row r="710" spans="1:13" ht="12.75">
      <c r="A710" s="124"/>
      <c r="B710" s="125"/>
      <c r="C710" s="125"/>
      <c r="D710" s="125"/>
      <c r="E710" s="125"/>
      <c r="F710" s="125"/>
      <c r="G710" s="125"/>
      <c r="H710" s="125"/>
      <c r="I710" s="125"/>
      <c r="J710" s="125"/>
      <c r="K710" s="126"/>
      <c r="L710" s="125"/>
      <c r="M710" s="127"/>
    </row>
    <row r="711" spans="1:13" ht="12.75">
      <c r="A711" s="128" t="str">
        <f>'BM04'!A285</f>
        <v>2.10.1</v>
      </c>
      <c r="B711" s="211" t="str">
        <f>'BM04'!B285</f>
        <v>APLICAÇÃO DE FUNDO SELADOR ACRÍLICO EM PAREDES, UMA DEMÃO. AF_06/2014</v>
      </c>
      <c r="C711" s="212"/>
      <c r="D711" s="212"/>
      <c r="E711" s="212"/>
      <c r="F711" s="212"/>
      <c r="G711" s="212"/>
      <c r="H711" s="212"/>
      <c r="I711" s="212"/>
      <c r="J711" s="212"/>
      <c r="K711" s="213"/>
      <c r="L711" s="129">
        <f>L712</f>
        <v>0</v>
      </c>
      <c r="M711" s="130" t="str">
        <f>'BM04'!C285</f>
        <v>M²</v>
      </c>
    </row>
    <row r="712" spans="1:13" s="131" customFormat="1" ht="12.75">
      <c r="A712" s="132"/>
      <c r="B712" s="209"/>
      <c r="C712" s="210"/>
      <c r="D712" s="134"/>
      <c r="E712" s="134"/>
      <c r="F712" s="134"/>
      <c r="G712" s="134"/>
      <c r="H712" s="134"/>
      <c r="I712" s="134"/>
      <c r="J712" s="135"/>
      <c r="K712" s="135"/>
      <c r="L712" s="134">
        <f>ROUND(D712*K712,2)</f>
        <v>0</v>
      </c>
      <c r="M712" s="136"/>
    </row>
    <row r="713" spans="1:13" s="131" customFormat="1" ht="12.75">
      <c r="A713" s="139"/>
      <c r="B713" s="140"/>
      <c r="C713" s="141"/>
      <c r="D713" s="142"/>
      <c r="E713" s="143"/>
      <c r="F713" s="142"/>
      <c r="G713" s="142"/>
      <c r="H713" s="143"/>
      <c r="I713" s="143"/>
      <c r="J713" s="144"/>
      <c r="K713" s="144"/>
      <c r="L713" s="142"/>
      <c r="M713" s="145"/>
    </row>
    <row r="714" spans="1:13" ht="30" customHeight="1">
      <c r="A714" s="128" t="str">
        <f>'BM04'!A286</f>
        <v>2.10.2</v>
      </c>
      <c r="B714" s="211" t="str">
        <f>'BM04'!B286</f>
        <v>APLICAÇÃO MANUAL DE MASSA ACRÍLICA EM PANOS DE FACHADA SEM PRESENÇA DE VÃOS, DE EDIFÍCIOS DE MÚLTIPLOS PAVIMENTOS, DUAS DEMÃOS. AF_05/2017</v>
      </c>
      <c r="C714" s="212"/>
      <c r="D714" s="212"/>
      <c r="E714" s="212"/>
      <c r="F714" s="212"/>
      <c r="G714" s="212"/>
      <c r="H714" s="212"/>
      <c r="I714" s="212"/>
      <c r="J714" s="212"/>
      <c r="K714" s="213"/>
      <c r="L714" s="129">
        <f>L715</f>
        <v>0</v>
      </c>
      <c r="M714" s="130" t="str">
        <f>'BM04'!C286</f>
        <v>M²</v>
      </c>
    </row>
    <row r="715" spans="1:13" s="131" customFormat="1" ht="12.75">
      <c r="A715" s="132"/>
      <c r="B715" s="209"/>
      <c r="C715" s="210"/>
      <c r="D715" s="134"/>
      <c r="E715" s="134"/>
      <c r="F715" s="134"/>
      <c r="G715" s="134"/>
      <c r="H715" s="134"/>
      <c r="I715" s="134"/>
      <c r="J715" s="135"/>
      <c r="K715" s="135"/>
      <c r="L715" s="134">
        <f>ROUND(D715*K715,2)</f>
        <v>0</v>
      </c>
      <c r="M715" s="136"/>
    </row>
    <row r="716" spans="1:13" s="131" customFormat="1" ht="12.75">
      <c r="A716" s="139"/>
      <c r="B716" s="140"/>
      <c r="C716" s="141"/>
      <c r="D716" s="142"/>
      <c r="E716" s="143"/>
      <c r="F716" s="142"/>
      <c r="G716" s="142"/>
      <c r="H716" s="143"/>
      <c r="I716" s="143"/>
      <c r="J716" s="144"/>
      <c r="K716" s="144"/>
      <c r="L716" s="142"/>
      <c r="M716" s="145"/>
    </row>
    <row r="717" spans="1:13" ht="12.6" customHeight="1">
      <c r="A717" s="128" t="str">
        <f>'BM04'!A287</f>
        <v>2.10.3</v>
      </c>
      <c r="B717" s="211" t="str">
        <f>'BM04'!B287</f>
        <v>APLICAÇÃO MANUAL DE PINTURA COM TINTA LÁTEX ACRÍLICA EM PAREDES, DUAS DEMÃOS. AF_06/2014</v>
      </c>
      <c r="C717" s="212"/>
      <c r="D717" s="212"/>
      <c r="E717" s="212"/>
      <c r="F717" s="212"/>
      <c r="G717" s="212"/>
      <c r="H717" s="212"/>
      <c r="I717" s="212"/>
      <c r="J717" s="212"/>
      <c r="K717" s="213"/>
      <c r="L717" s="129">
        <f>L718</f>
        <v>0</v>
      </c>
      <c r="M717" s="130" t="str">
        <f>'BM04'!C287</f>
        <v>M²</v>
      </c>
    </row>
    <row r="718" spans="1:13" s="131" customFormat="1" ht="12.75">
      <c r="A718" s="132"/>
      <c r="B718" s="209"/>
      <c r="C718" s="210"/>
      <c r="D718" s="134"/>
      <c r="E718" s="134"/>
      <c r="F718" s="134"/>
      <c r="G718" s="134"/>
      <c r="H718" s="134"/>
      <c r="I718" s="134"/>
      <c r="J718" s="135"/>
      <c r="K718" s="135"/>
      <c r="L718" s="134">
        <f>ROUND(D718*K718,2)</f>
        <v>0</v>
      </c>
      <c r="M718" s="136"/>
    </row>
    <row r="719" spans="1:13" s="131" customFormat="1" ht="12.75">
      <c r="A719" s="139"/>
      <c r="B719" s="140"/>
      <c r="C719" s="141"/>
      <c r="D719" s="142"/>
      <c r="E719" s="143"/>
      <c r="F719" s="142"/>
      <c r="G719" s="142"/>
      <c r="H719" s="143"/>
      <c r="I719" s="143"/>
      <c r="J719" s="144"/>
      <c r="K719" s="144"/>
      <c r="L719" s="142"/>
      <c r="M719" s="145"/>
    </row>
  </sheetData>
  <protectedRanges>
    <protectedRange sqref="L87" name="Intervalo1_1_3"/>
    <protectedRange sqref="L92" name="Intervalo1_1_4"/>
    <protectedRange sqref="L353 L328:L331 L325" name="Intervalo1_1_7"/>
    <protectedRange sqref="L628:L629 L631" name="Intervalo1_1_8"/>
    <protectedRange sqref="L225:L244 L250:L277" name="Intervalo1_1_2"/>
  </protectedRanges>
  <mergeCells count="480">
    <mergeCell ref="A339:A340"/>
    <mergeCell ref="B350:C350"/>
    <mergeCell ref="A341:A342"/>
    <mergeCell ref="B341:C342"/>
    <mergeCell ref="A343:A344"/>
    <mergeCell ref="B343:C344"/>
    <mergeCell ref="B328:C328"/>
    <mergeCell ref="B329:C329"/>
    <mergeCell ref="B330:C330"/>
    <mergeCell ref="B331:C331"/>
    <mergeCell ref="B336:C336"/>
    <mergeCell ref="B337:C337"/>
    <mergeCell ref="B338:C338"/>
    <mergeCell ref="B339:C340"/>
    <mergeCell ref="B333:K333"/>
    <mergeCell ref="B334:C334"/>
    <mergeCell ref="B278:C278"/>
    <mergeCell ref="B279:C279"/>
    <mergeCell ref="B280:C280"/>
    <mergeCell ref="B250:C251"/>
    <mergeCell ref="A250:A251"/>
    <mergeCell ref="A252:A253"/>
    <mergeCell ref="B252:C253"/>
    <mergeCell ref="A254:A255"/>
    <mergeCell ref="B254:C255"/>
    <mergeCell ref="A256:A257"/>
    <mergeCell ref="B256:C257"/>
    <mergeCell ref="B258:C265"/>
    <mergeCell ref="A258:A265"/>
    <mergeCell ref="B266:C269"/>
    <mergeCell ref="A266:A269"/>
    <mergeCell ref="A270:A271"/>
    <mergeCell ref="B270:C271"/>
    <mergeCell ref="B272:C272"/>
    <mergeCell ref="B273:C273"/>
    <mergeCell ref="B274:C274"/>
    <mergeCell ref="B275:C275"/>
    <mergeCell ref="B276:C276"/>
    <mergeCell ref="B277:C277"/>
    <mergeCell ref="B249:C249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A190:A191"/>
    <mergeCell ref="A192:A193"/>
    <mergeCell ref="B192:C193"/>
    <mergeCell ref="B195:C195"/>
    <mergeCell ref="B196:C196"/>
    <mergeCell ref="B197:C197"/>
    <mergeCell ref="B198:C198"/>
    <mergeCell ref="B202:C202"/>
    <mergeCell ref="B203:C203"/>
    <mergeCell ref="B712:C712"/>
    <mergeCell ref="B714:K714"/>
    <mergeCell ref="B715:C715"/>
    <mergeCell ref="B717:K717"/>
    <mergeCell ref="B718:C718"/>
    <mergeCell ref="B701:C701"/>
    <mergeCell ref="B703:K703"/>
    <mergeCell ref="B704:C704"/>
    <mergeCell ref="B706:K706"/>
    <mergeCell ref="B707:C707"/>
    <mergeCell ref="B711:K711"/>
    <mergeCell ref="B697:K697"/>
    <mergeCell ref="B698:C698"/>
    <mergeCell ref="B700:K700"/>
    <mergeCell ref="B680:C680"/>
    <mergeCell ref="B682:K682"/>
    <mergeCell ref="B683:C683"/>
    <mergeCell ref="B685:K685"/>
    <mergeCell ref="B686:C686"/>
    <mergeCell ref="B688:K688"/>
    <mergeCell ref="B689:C690"/>
    <mergeCell ref="B672:C672"/>
    <mergeCell ref="B674:K674"/>
    <mergeCell ref="B675:C675"/>
    <mergeCell ref="B679:K679"/>
    <mergeCell ref="B661:C661"/>
    <mergeCell ref="B665:K665"/>
    <mergeCell ref="B666:C666"/>
    <mergeCell ref="B694:K694"/>
    <mergeCell ref="B695:C695"/>
    <mergeCell ref="B668:K668"/>
    <mergeCell ref="B652:C652"/>
    <mergeCell ref="B654:K654"/>
    <mergeCell ref="B655:C655"/>
    <mergeCell ref="B657:K657"/>
    <mergeCell ref="B658:C658"/>
    <mergeCell ref="B660:K660"/>
    <mergeCell ref="B669:C669"/>
    <mergeCell ref="B671:K671"/>
    <mergeCell ref="B641:C641"/>
    <mergeCell ref="B645:K645"/>
    <mergeCell ref="B646:C646"/>
    <mergeCell ref="B648:K648"/>
    <mergeCell ref="B649:C649"/>
    <mergeCell ref="B651:K651"/>
    <mergeCell ref="B635:K635"/>
    <mergeCell ref="B636:C636"/>
    <mergeCell ref="B640:K640"/>
    <mergeCell ref="B627:K627"/>
    <mergeCell ref="B628:C628"/>
    <mergeCell ref="B630:K630"/>
    <mergeCell ref="B631:C631"/>
    <mergeCell ref="B616:K616"/>
    <mergeCell ref="B617:C617"/>
    <mergeCell ref="B621:K621"/>
    <mergeCell ref="B622:C622"/>
    <mergeCell ref="B624:K624"/>
    <mergeCell ref="B625:C625"/>
    <mergeCell ref="B602:C602"/>
    <mergeCell ref="A604:M604"/>
    <mergeCell ref="B608:K608"/>
    <mergeCell ref="B609:C609"/>
    <mergeCell ref="B613:K613"/>
    <mergeCell ref="B614:C614"/>
    <mergeCell ref="B591:C591"/>
    <mergeCell ref="B593:K593"/>
    <mergeCell ref="B594:C594"/>
    <mergeCell ref="B598:K598"/>
    <mergeCell ref="B599:C599"/>
    <mergeCell ref="B601:K601"/>
    <mergeCell ref="B582:C582"/>
    <mergeCell ref="B584:K584"/>
    <mergeCell ref="B585:C585"/>
    <mergeCell ref="B587:K587"/>
    <mergeCell ref="B588:C588"/>
    <mergeCell ref="B590:K590"/>
    <mergeCell ref="B571:C571"/>
    <mergeCell ref="B575:K575"/>
    <mergeCell ref="B576:C576"/>
    <mergeCell ref="B578:K578"/>
    <mergeCell ref="B579:C579"/>
    <mergeCell ref="B581:K581"/>
    <mergeCell ref="B562:C562"/>
    <mergeCell ref="B564:K564"/>
    <mergeCell ref="B565:C565"/>
    <mergeCell ref="B567:K567"/>
    <mergeCell ref="B568:C568"/>
    <mergeCell ref="B570:K570"/>
    <mergeCell ref="B553:C553"/>
    <mergeCell ref="B555:K555"/>
    <mergeCell ref="B556:C556"/>
    <mergeCell ref="B558:K558"/>
    <mergeCell ref="B559:C559"/>
    <mergeCell ref="B561:K561"/>
    <mergeCell ref="B544:C544"/>
    <mergeCell ref="B546:K546"/>
    <mergeCell ref="B547:C547"/>
    <mergeCell ref="B549:K549"/>
    <mergeCell ref="B550:C550"/>
    <mergeCell ref="B552:K552"/>
    <mergeCell ref="B535:C535"/>
    <mergeCell ref="B537:K537"/>
    <mergeCell ref="B538:C538"/>
    <mergeCell ref="B540:K540"/>
    <mergeCell ref="B541:C541"/>
    <mergeCell ref="B543:K543"/>
    <mergeCell ref="B526:C526"/>
    <mergeCell ref="B528:K528"/>
    <mergeCell ref="B529:C529"/>
    <mergeCell ref="B531:K531"/>
    <mergeCell ref="B532:C532"/>
    <mergeCell ref="B534:K534"/>
    <mergeCell ref="B517:C517"/>
    <mergeCell ref="B519:K519"/>
    <mergeCell ref="B520:C520"/>
    <mergeCell ref="B522:K522"/>
    <mergeCell ref="B523:C523"/>
    <mergeCell ref="B525:K525"/>
    <mergeCell ref="B508:C508"/>
    <mergeCell ref="B510:K510"/>
    <mergeCell ref="B511:C511"/>
    <mergeCell ref="B513:K513"/>
    <mergeCell ref="B514:C514"/>
    <mergeCell ref="B516:K516"/>
    <mergeCell ref="B499:C499"/>
    <mergeCell ref="B501:K501"/>
    <mergeCell ref="B502:C502"/>
    <mergeCell ref="B504:K504"/>
    <mergeCell ref="B505:C505"/>
    <mergeCell ref="B507:K507"/>
    <mergeCell ref="B488:C488"/>
    <mergeCell ref="B490:K490"/>
    <mergeCell ref="B491:C491"/>
    <mergeCell ref="B493:K493"/>
    <mergeCell ref="B494:C494"/>
    <mergeCell ref="B498:K498"/>
    <mergeCell ref="B479:C479"/>
    <mergeCell ref="B481:K481"/>
    <mergeCell ref="B482:C482"/>
    <mergeCell ref="B484:K484"/>
    <mergeCell ref="B485:C485"/>
    <mergeCell ref="B487:K487"/>
    <mergeCell ref="B470:C470"/>
    <mergeCell ref="B472:K472"/>
    <mergeCell ref="B473:C473"/>
    <mergeCell ref="B475:K475"/>
    <mergeCell ref="B476:C476"/>
    <mergeCell ref="B478:K478"/>
    <mergeCell ref="B459:C459"/>
    <mergeCell ref="B463:K463"/>
    <mergeCell ref="B464:C464"/>
    <mergeCell ref="B466:K466"/>
    <mergeCell ref="B467:C467"/>
    <mergeCell ref="B469:K469"/>
    <mergeCell ref="B450:C450"/>
    <mergeCell ref="B452:K452"/>
    <mergeCell ref="B453:C453"/>
    <mergeCell ref="B455:K455"/>
    <mergeCell ref="B456:C456"/>
    <mergeCell ref="B458:K458"/>
    <mergeCell ref="B441:C441"/>
    <mergeCell ref="B443:K443"/>
    <mergeCell ref="B444:C444"/>
    <mergeCell ref="B446:K446"/>
    <mergeCell ref="B447:C447"/>
    <mergeCell ref="B449:K449"/>
    <mergeCell ref="B432:C432"/>
    <mergeCell ref="B434:K434"/>
    <mergeCell ref="B435:C435"/>
    <mergeCell ref="B437:K437"/>
    <mergeCell ref="B438:C438"/>
    <mergeCell ref="B440:K440"/>
    <mergeCell ref="B423:C423"/>
    <mergeCell ref="B425:K425"/>
    <mergeCell ref="B426:C426"/>
    <mergeCell ref="B428:K428"/>
    <mergeCell ref="B429:C429"/>
    <mergeCell ref="B431:K431"/>
    <mergeCell ref="B414:C414"/>
    <mergeCell ref="B416:K416"/>
    <mergeCell ref="B417:C417"/>
    <mergeCell ref="B419:K419"/>
    <mergeCell ref="B420:C420"/>
    <mergeCell ref="B422:K422"/>
    <mergeCell ref="B401:C401"/>
    <mergeCell ref="B407:K407"/>
    <mergeCell ref="B408:C408"/>
    <mergeCell ref="B410:K410"/>
    <mergeCell ref="B411:C411"/>
    <mergeCell ref="B413:K413"/>
    <mergeCell ref="B402:C402"/>
    <mergeCell ref="B403:C403"/>
    <mergeCell ref="B404:C404"/>
    <mergeCell ref="B405:C405"/>
    <mergeCell ref="B386:C386"/>
    <mergeCell ref="B394:K394"/>
    <mergeCell ref="B395:C395"/>
    <mergeCell ref="B397:K397"/>
    <mergeCell ref="B398:C398"/>
    <mergeCell ref="B400:K400"/>
    <mergeCell ref="B372:C372"/>
    <mergeCell ref="B375:K375"/>
    <mergeCell ref="B376:C376"/>
    <mergeCell ref="B382:K382"/>
    <mergeCell ref="B383:C383"/>
    <mergeCell ref="B385:K385"/>
    <mergeCell ref="B373:C373"/>
    <mergeCell ref="B377:C377"/>
    <mergeCell ref="B378:C378"/>
    <mergeCell ref="B379:C379"/>
    <mergeCell ref="B380:C380"/>
    <mergeCell ref="B387:C387"/>
    <mergeCell ref="B388:C388"/>
    <mergeCell ref="B389:C389"/>
    <mergeCell ref="B390:C390"/>
    <mergeCell ref="B391:C391"/>
    <mergeCell ref="B392:C392"/>
    <mergeCell ref="B359:C359"/>
    <mergeCell ref="B361:K361"/>
    <mergeCell ref="B362:C362"/>
    <mergeCell ref="B366:K366"/>
    <mergeCell ref="B367:C367"/>
    <mergeCell ref="B371:K371"/>
    <mergeCell ref="B335:C335"/>
    <mergeCell ref="B352:K352"/>
    <mergeCell ref="B353:C353"/>
    <mergeCell ref="B355:K355"/>
    <mergeCell ref="B356:C356"/>
    <mergeCell ref="B358:K358"/>
    <mergeCell ref="B349:C349"/>
    <mergeCell ref="B345:C345"/>
    <mergeCell ref="B346:C346"/>
    <mergeCell ref="B347:C347"/>
    <mergeCell ref="B348:C348"/>
    <mergeCell ref="B368:C368"/>
    <mergeCell ref="B369:C369"/>
    <mergeCell ref="B327:K327"/>
    <mergeCell ref="B324:K324"/>
    <mergeCell ref="B325:C325"/>
    <mergeCell ref="B314:C314"/>
    <mergeCell ref="B316:K316"/>
    <mergeCell ref="B317:C317"/>
    <mergeCell ref="B321:K321"/>
    <mergeCell ref="B322:C322"/>
    <mergeCell ref="B303:C303"/>
    <mergeCell ref="B305:K305"/>
    <mergeCell ref="B306:C306"/>
    <mergeCell ref="B308:K308"/>
    <mergeCell ref="B309:C309"/>
    <mergeCell ref="B313:K313"/>
    <mergeCell ref="B294:C294"/>
    <mergeCell ref="B296:K296"/>
    <mergeCell ref="B297:C297"/>
    <mergeCell ref="B299:K299"/>
    <mergeCell ref="B300:C300"/>
    <mergeCell ref="B302:K302"/>
    <mergeCell ref="B310:C310"/>
    <mergeCell ref="B311:C311"/>
    <mergeCell ref="B282:K282"/>
    <mergeCell ref="B283:C283"/>
    <mergeCell ref="B285:K285"/>
    <mergeCell ref="B286:C286"/>
    <mergeCell ref="B293:K293"/>
    <mergeCell ref="B287:C287"/>
    <mergeCell ref="B288:C288"/>
    <mergeCell ref="B289:C289"/>
    <mergeCell ref="B290:C290"/>
    <mergeCell ref="B291:C291"/>
    <mergeCell ref="B218:C218"/>
    <mergeCell ref="B220:K220"/>
    <mergeCell ref="B221:C221"/>
    <mergeCell ref="B223:K223"/>
    <mergeCell ref="B224:C224"/>
    <mergeCell ref="B248:K248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14:K214"/>
    <mergeCell ref="B215:C215"/>
    <mergeCell ref="B217:K217"/>
    <mergeCell ref="B183:C183"/>
    <mergeCell ref="B185:K185"/>
    <mergeCell ref="B186:C186"/>
    <mergeCell ref="B209:K209"/>
    <mergeCell ref="B210:C210"/>
    <mergeCell ref="B187:C187"/>
    <mergeCell ref="B188:C188"/>
    <mergeCell ref="B189:C189"/>
    <mergeCell ref="B194:C194"/>
    <mergeCell ref="B199:C199"/>
    <mergeCell ref="B200:C200"/>
    <mergeCell ref="B201:C201"/>
    <mergeCell ref="B206:C206"/>
    <mergeCell ref="B207:C207"/>
    <mergeCell ref="B190:C191"/>
    <mergeCell ref="B204:C204"/>
    <mergeCell ref="B205:C205"/>
    <mergeCell ref="B174:C174"/>
    <mergeCell ref="B176:K176"/>
    <mergeCell ref="B177:C177"/>
    <mergeCell ref="B179:K179"/>
    <mergeCell ref="B180:C180"/>
    <mergeCell ref="B182:K182"/>
    <mergeCell ref="B167:K167"/>
    <mergeCell ref="B168:C168"/>
    <mergeCell ref="B170:K170"/>
    <mergeCell ref="B171:C171"/>
    <mergeCell ref="B173:K173"/>
    <mergeCell ref="B156:K156"/>
    <mergeCell ref="B157:C157"/>
    <mergeCell ref="B161:K161"/>
    <mergeCell ref="B162:C162"/>
    <mergeCell ref="B164:K164"/>
    <mergeCell ref="B165:C165"/>
    <mergeCell ref="B151:C151"/>
    <mergeCell ref="B153:K153"/>
    <mergeCell ref="B154:C154"/>
    <mergeCell ref="B142:C142"/>
    <mergeCell ref="B144:K144"/>
    <mergeCell ref="B145:C145"/>
    <mergeCell ref="B147:K147"/>
    <mergeCell ref="B148:C148"/>
    <mergeCell ref="B150:K150"/>
    <mergeCell ref="B133:C133"/>
    <mergeCell ref="B135:K135"/>
    <mergeCell ref="B136:C136"/>
    <mergeCell ref="B138:K138"/>
    <mergeCell ref="B139:C139"/>
    <mergeCell ref="B141:K141"/>
    <mergeCell ref="B132:K132"/>
    <mergeCell ref="B123:K123"/>
    <mergeCell ref="B124:C124"/>
    <mergeCell ref="B126:K126"/>
    <mergeCell ref="B127:C127"/>
    <mergeCell ref="B129:K129"/>
    <mergeCell ref="B130:C130"/>
    <mergeCell ref="B112:K112"/>
    <mergeCell ref="B113:C113"/>
    <mergeCell ref="B115:K115"/>
    <mergeCell ref="B116:C116"/>
    <mergeCell ref="B120:K120"/>
    <mergeCell ref="B121:C121"/>
    <mergeCell ref="B103:K103"/>
    <mergeCell ref="B104:C104"/>
    <mergeCell ref="B106:K106"/>
    <mergeCell ref="B107:C107"/>
    <mergeCell ref="B109:K109"/>
    <mergeCell ref="B110:C110"/>
    <mergeCell ref="B94:K94"/>
    <mergeCell ref="B95:C95"/>
    <mergeCell ref="B97:K97"/>
    <mergeCell ref="B98:C98"/>
    <mergeCell ref="B100:K100"/>
    <mergeCell ref="B101:C101"/>
    <mergeCell ref="B84:C84"/>
    <mergeCell ref="B86:K86"/>
    <mergeCell ref="B87:C87"/>
    <mergeCell ref="B91:K91"/>
    <mergeCell ref="B92:C92"/>
    <mergeCell ref="B72:K72"/>
    <mergeCell ref="B73:C73"/>
    <mergeCell ref="B77:K77"/>
    <mergeCell ref="B78:C78"/>
    <mergeCell ref="B80:K80"/>
    <mergeCell ref="B81:C81"/>
    <mergeCell ref="B63:K63"/>
    <mergeCell ref="B66:K66"/>
    <mergeCell ref="B69:K69"/>
    <mergeCell ref="B70:C70"/>
    <mergeCell ref="B60:K60"/>
    <mergeCell ref="B61:C61"/>
    <mergeCell ref="B53:C53"/>
    <mergeCell ref="B57:K57"/>
    <mergeCell ref="B39:C39"/>
    <mergeCell ref="B43:K43"/>
    <mergeCell ref="B44:C44"/>
    <mergeCell ref="B46:K46"/>
    <mergeCell ref="B47:C47"/>
    <mergeCell ref="B50:C50"/>
    <mergeCell ref="B32:K32"/>
    <mergeCell ref="B33:C33"/>
    <mergeCell ref="B35:K35"/>
    <mergeCell ref="B36:C36"/>
    <mergeCell ref="B38:K38"/>
    <mergeCell ref="B21:C21"/>
    <mergeCell ref="B23:K23"/>
    <mergeCell ref="B24:C24"/>
    <mergeCell ref="B26:K26"/>
    <mergeCell ref="B27:C27"/>
    <mergeCell ref="B29:K29"/>
    <mergeCell ref="A689:A690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A10:M10"/>
    <mergeCell ref="B14:K14"/>
    <mergeCell ref="B15:C15"/>
    <mergeCell ref="B17:K17"/>
    <mergeCell ref="B18:C18"/>
    <mergeCell ref="B20:K20"/>
    <mergeCell ref="A7:A8"/>
    <mergeCell ref="B7:C8"/>
    <mergeCell ref="D7:D8"/>
    <mergeCell ref="E7:J7"/>
    <mergeCell ref="K7:L7"/>
    <mergeCell ref="M7:M8"/>
    <mergeCell ref="B30:C30"/>
  </mergeCells>
  <printOptions horizontalCentered="1"/>
  <pageMargins left="0.70866141732283472" right="0.70866141732283472" top="0.92519685039370081" bottom="0.92519685039370081" header="0.31496062992125984" footer="0.31496062992125984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24</vt:i4>
      </vt:variant>
    </vt:vector>
  </HeadingPairs>
  <TitlesOfParts>
    <vt:vector size="36" baseType="lpstr">
      <vt:lpstr>MEMORIA BM 01</vt:lpstr>
      <vt:lpstr>BM01</vt:lpstr>
      <vt:lpstr>MEMORIA BM 02</vt:lpstr>
      <vt:lpstr>BM02</vt:lpstr>
      <vt:lpstr>MEMORIA BM 03</vt:lpstr>
      <vt:lpstr>BM03</vt:lpstr>
      <vt:lpstr>MEMORIA BM 04</vt:lpstr>
      <vt:lpstr>BM04</vt:lpstr>
      <vt:lpstr>MEMORIA BM 05</vt:lpstr>
      <vt:lpstr>BM05</vt:lpstr>
      <vt:lpstr>MEMORIA BM 06</vt:lpstr>
      <vt:lpstr>BM06</vt:lpstr>
      <vt:lpstr>'BM01'!Area_de_impressao</vt:lpstr>
      <vt:lpstr>'BM02'!Area_de_impressao</vt:lpstr>
      <vt:lpstr>'BM03'!Area_de_impressao</vt:lpstr>
      <vt:lpstr>'BM04'!Area_de_impressao</vt:lpstr>
      <vt:lpstr>'BM05'!Area_de_impressao</vt:lpstr>
      <vt:lpstr>'BM06'!Area_de_impressao</vt:lpstr>
      <vt:lpstr>'MEMORIA BM 01'!Area_de_impressao</vt:lpstr>
      <vt:lpstr>'MEMORIA BM 02'!Area_de_impressao</vt:lpstr>
      <vt:lpstr>'MEMORIA BM 03'!Area_de_impressao</vt:lpstr>
      <vt:lpstr>'MEMORIA BM 04'!Area_de_impressao</vt:lpstr>
      <vt:lpstr>'MEMORIA BM 05'!Area_de_impressao</vt:lpstr>
      <vt:lpstr>'MEMORIA BM 06'!Area_de_impressao</vt:lpstr>
      <vt:lpstr>'BM01'!Titulos_de_impressao</vt:lpstr>
      <vt:lpstr>'BM02'!Titulos_de_impressao</vt:lpstr>
      <vt:lpstr>'BM03'!Titulos_de_impressao</vt:lpstr>
      <vt:lpstr>'BM04'!Titulos_de_impressao</vt:lpstr>
      <vt:lpstr>'BM05'!Titulos_de_impressao</vt:lpstr>
      <vt:lpstr>'BM06'!Titulos_de_impressao</vt:lpstr>
      <vt:lpstr>'MEMORIA BM 01'!Titulos_de_impressao</vt:lpstr>
      <vt:lpstr>'MEMORIA BM 02'!Titulos_de_impressao</vt:lpstr>
      <vt:lpstr>'MEMORIA BM 03'!Titulos_de_impressao</vt:lpstr>
      <vt:lpstr>'MEMORIA BM 04'!Titulos_de_impressao</vt:lpstr>
      <vt:lpstr>'MEMORIA BM 05'!Titulos_de_impressao</vt:lpstr>
      <vt:lpstr>'MEMORIA BM 06'!Titulos_de_impressao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</dc:creator>
  <cp:lastModifiedBy>Cliente</cp:lastModifiedBy>
  <cp:lastPrinted>2023-08-16T19:07:13Z</cp:lastPrinted>
  <dcterms:created xsi:type="dcterms:W3CDTF">2017-03-09T12:17:25Z</dcterms:created>
  <dcterms:modified xsi:type="dcterms:W3CDTF">2023-08-16T19:13:05Z</dcterms:modified>
</cp:coreProperties>
</file>