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esktop\PREFEITURA_FISCALIZAÇÃO_2023\CENTRO ONCOLÓGICO\BM-06_CENTRO DE ONCOLOGIA_07.11.23\"/>
    </mc:Choice>
  </mc:AlternateContent>
  <xr:revisionPtr revIDLastSave="0" documentId="13_ncr:1_{AF55357E-BD49-4444-8845-FA308DF542DC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ORÇAMENTO" sheetId="3" state="hidden" r:id="rId1"/>
    <sheet name="REPROGRAMAÇÃO" sheetId="14" state="hidden" r:id="rId2"/>
    <sheet name="BM_06" sheetId="11" r:id="rId3"/>
    <sheet name="MEM" sheetId="15" r:id="rId4"/>
    <sheet name="relatório fotográfico" sheetId="17" r:id="rId5"/>
    <sheet name="MEM_" sheetId="13" state="hidden" r:id="rId6"/>
    <sheet name="MEM_05" sheetId="16" state="hidden" r:id="rId7"/>
  </sheets>
  <externalReferences>
    <externalReference r:id="rId8"/>
    <externalReference r:id="rId9"/>
  </externalReferences>
  <definedNames>
    <definedName name="_xlnm.Print_Area" localSheetId="2">BM_06!$A$1:$L$255</definedName>
    <definedName name="_xlnm.Print_Area" localSheetId="3">MEM!$A$1:$M$869</definedName>
    <definedName name="_xlnm.Print_Area" localSheetId="5">MEM_!$A$1:$M$636</definedName>
    <definedName name="_xlnm.Print_Area" localSheetId="6">MEM_05!$A$1:$M$350</definedName>
    <definedName name="_xlnm.Print_Area" localSheetId="4">'relatório fotográfico'!$A$1:$L$162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11" l="1"/>
  <c r="G57" i="11" l="1"/>
  <c r="B326" i="15"/>
  <c r="H94" i="11" l="1"/>
  <c r="B12" i="15" l="1"/>
  <c r="L114" i="15"/>
  <c r="L113" i="15"/>
  <c r="L106" i="15"/>
  <c r="G27" i="11" s="1"/>
  <c r="K113" i="15"/>
  <c r="K209" i="15"/>
  <c r="N178" i="15"/>
  <c r="N185" i="15"/>
  <c r="E153" i="15"/>
  <c r="E134" i="15" s="1"/>
  <c r="E170" i="15"/>
  <c r="G151" i="11"/>
  <c r="G149" i="11"/>
  <c r="G148" i="11"/>
  <c r="G147" i="11"/>
  <c r="G146" i="11"/>
  <c r="G144" i="11"/>
  <c r="G142" i="11"/>
  <c r="G140" i="11"/>
  <c r="G139" i="11"/>
  <c r="G137" i="11"/>
  <c r="G136" i="11"/>
  <c r="G133" i="11"/>
  <c r="G132" i="11"/>
  <c r="L213" i="15"/>
  <c r="L217" i="15"/>
  <c r="K210" i="15"/>
  <c r="L210" i="15" s="1"/>
  <c r="K211" i="15"/>
  <c r="L211" i="15" s="1"/>
  <c r="K212" i="15"/>
  <c r="L212" i="15" s="1"/>
  <c r="K213" i="15"/>
  <c r="K214" i="15"/>
  <c r="L214" i="15" s="1"/>
  <c r="K215" i="15"/>
  <c r="L215" i="15" s="1"/>
  <c r="K216" i="15"/>
  <c r="L216" i="15" s="1"/>
  <c r="K217" i="15"/>
  <c r="K218" i="15"/>
  <c r="L218" i="15" s="1"/>
  <c r="K219" i="15"/>
  <c r="L219" i="15" s="1"/>
  <c r="K223" i="15"/>
  <c r="L223" i="15" s="1"/>
  <c r="L209" i="15"/>
  <c r="L229" i="15" l="1"/>
  <c r="E222" i="15"/>
  <c r="K222" i="15" s="1"/>
  <c r="L222" i="15" s="1"/>
  <c r="L207" i="15" s="1"/>
  <c r="G41" i="11" s="1"/>
  <c r="H41" i="11" s="1"/>
  <c r="B226" i="15"/>
  <c r="B228" i="15"/>
  <c r="K162" i="15"/>
  <c r="L162" i="15" s="1"/>
  <c r="E161" i="15"/>
  <c r="K161" i="15" s="1"/>
  <c r="L161" i="15" s="1"/>
  <c r="K144" i="15"/>
  <c r="L144" i="15" s="1"/>
  <c r="E143" i="15"/>
  <c r="K143" i="15" s="1"/>
  <c r="L143" i="15" s="1"/>
  <c r="G180" i="15"/>
  <c r="K180" i="15" s="1"/>
  <c r="G179" i="15"/>
  <c r="E179" i="15"/>
  <c r="G173" i="15"/>
  <c r="K173" i="15" s="1"/>
  <c r="G176" i="15"/>
  <c r="K176" i="15" s="1"/>
  <c r="G175" i="15"/>
  <c r="K175" i="15" s="1"/>
  <c r="G174" i="15"/>
  <c r="K174" i="15" s="1"/>
  <c r="G172" i="15"/>
  <c r="K172" i="15" s="1"/>
  <c r="G171" i="15"/>
  <c r="K171" i="15" s="1"/>
  <c r="L171" i="15" s="1"/>
  <c r="G167" i="15"/>
  <c r="K167" i="15" s="1"/>
  <c r="G170" i="15"/>
  <c r="K170" i="15" s="1"/>
  <c r="L170" i="15" s="1"/>
  <c r="G169" i="15"/>
  <c r="K169" i="15" s="1"/>
  <c r="L169" i="15" s="1"/>
  <c r="G168" i="15"/>
  <c r="K168" i="15" s="1"/>
  <c r="G166" i="15"/>
  <c r="K166" i="15" s="1"/>
  <c r="H61" i="11"/>
  <c r="H62" i="11"/>
  <c r="H63" i="11"/>
  <c r="H59" i="11"/>
  <c r="K40" i="15"/>
  <c r="L40" i="15" s="1"/>
  <c r="K39" i="15"/>
  <c r="L39" i="15" s="1"/>
  <c r="K38" i="15"/>
  <c r="L38" i="15" s="1"/>
  <c r="K37" i="15"/>
  <c r="L37" i="15" s="1"/>
  <c r="K36" i="15"/>
  <c r="L36" i="15" s="1"/>
  <c r="K35" i="15"/>
  <c r="L35" i="15" s="1"/>
  <c r="K34" i="15"/>
  <c r="L34" i="15" s="1"/>
  <c r="K33" i="15"/>
  <c r="L33" i="15" s="1"/>
  <c r="K32" i="15"/>
  <c r="L32" i="15" s="1"/>
  <c r="K31" i="15"/>
  <c r="L31" i="15" s="1"/>
  <c r="K30" i="15"/>
  <c r="L30" i="15" s="1"/>
  <c r="K29" i="15"/>
  <c r="L29" i="15" s="1"/>
  <c r="K28" i="15"/>
  <c r="L28" i="15" s="1"/>
  <c r="K27" i="15"/>
  <c r="L27" i="15" s="1"/>
  <c r="K26" i="15"/>
  <c r="L26" i="15" s="1"/>
  <c r="K25" i="15"/>
  <c r="L25" i="15" s="1"/>
  <c r="K24" i="15"/>
  <c r="L24" i="15" s="1"/>
  <c r="K23" i="15"/>
  <c r="L23" i="15" s="1"/>
  <c r="K22" i="15"/>
  <c r="L22" i="15" s="1"/>
  <c r="K21" i="15"/>
  <c r="L21" i="15" s="1"/>
  <c r="K20" i="15"/>
  <c r="L20" i="15" s="1"/>
  <c r="K19" i="15"/>
  <c r="L19" i="15" s="1"/>
  <c r="K18" i="15"/>
  <c r="L18" i="15" s="1"/>
  <c r="K17" i="15"/>
  <c r="L17" i="15" s="1"/>
  <c r="K16" i="15"/>
  <c r="L16" i="15" s="1"/>
  <c r="B621" i="15"/>
  <c r="L869" i="15"/>
  <c r="L868" i="15"/>
  <c r="L867" i="15"/>
  <c r="L863" i="15"/>
  <c r="L862" i="15"/>
  <c r="L861" i="15"/>
  <c r="L860" i="15"/>
  <c r="L859" i="15"/>
  <c r="L858" i="15"/>
  <c r="L857" i="15"/>
  <c r="L856" i="15"/>
  <c r="L855" i="15"/>
  <c r="L854" i="15"/>
  <c r="L853" i="15"/>
  <c r="L852" i="15"/>
  <c r="L851" i="15"/>
  <c r="L850" i="15"/>
  <c r="L849" i="15"/>
  <c r="L848" i="15"/>
  <c r="L847" i="15"/>
  <c r="L846" i="15"/>
  <c r="L845" i="15"/>
  <c r="L844" i="15"/>
  <c r="L843" i="15"/>
  <c r="L842" i="15"/>
  <c r="L841" i="15"/>
  <c r="L840" i="15"/>
  <c r="L827" i="15"/>
  <c r="L826" i="15"/>
  <c r="L825" i="15"/>
  <c r="L824" i="15"/>
  <c r="L823" i="15"/>
  <c r="L822" i="15"/>
  <c r="L821" i="15"/>
  <c r="L820" i="15"/>
  <c r="L819" i="15"/>
  <c r="L818" i="15"/>
  <c r="L817" i="15"/>
  <c r="L816" i="15"/>
  <c r="L815" i="15"/>
  <c r="L814" i="15"/>
  <c r="L813" i="15"/>
  <c r="L812" i="15"/>
  <c r="L811" i="15"/>
  <c r="L810" i="15"/>
  <c r="L809" i="15"/>
  <c r="L808" i="15"/>
  <c r="L807" i="15"/>
  <c r="L806" i="15"/>
  <c r="L784" i="15"/>
  <c r="L783" i="15"/>
  <c r="L782" i="15"/>
  <c r="L781" i="15"/>
  <c r="L780" i="15"/>
  <c r="L779" i="15"/>
  <c r="L778" i="15"/>
  <c r="L777" i="15"/>
  <c r="L776" i="15"/>
  <c r="L775" i="15"/>
  <c r="L774" i="15"/>
  <c r="L773" i="15"/>
  <c r="L772" i="15"/>
  <c r="L771" i="15"/>
  <c r="L770" i="15"/>
  <c r="L769" i="15"/>
  <c r="L768" i="15"/>
  <c r="L767" i="15"/>
  <c r="L766" i="15"/>
  <c r="L765" i="15"/>
  <c r="L764" i="15"/>
  <c r="L763" i="15"/>
  <c r="L762" i="15"/>
  <c r="L761" i="15"/>
  <c r="L760" i="15"/>
  <c r="L747" i="15"/>
  <c r="L746" i="15"/>
  <c r="L745" i="15"/>
  <c r="L744" i="15"/>
  <c r="L743" i="15"/>
  <c r="L742" i="15"/>
  <c r="L741" i="15"/>
  <c r="L740" i="15"/>
  <c r="L739" i="15"/>
  <c r="L738" i="15"/>
  <c r="L737" i="15"/>
  <c r="L736" i="15"/>
  <c r="L735" i="15"/>
  <c r="L734" i="15"/>
  <c r="L733" i="15"/>
  <c r="L732" i="15"/>
  <c r="L731" i="15"/>
  <c r="L730" i="15"/>
  <c r="L729" i="15"/>
  <c r="L728" i="15"/>
  <c r="L727" i="15"/>
  <c r="L726" i="15"/>
  <c r="L714" i="15"/>
  <c r="L713" i="15"/>
  <c r="L712" i="15"/>
  <c r="L711" i="15"/>
  <c r="L710" i="15"/>
  <c r="L709" i="15"/>
  <c r="L708" i="15"/>
  <c r="L707" i="15"/>
  <c r="L706" i="15"/>
  <c r="L705" i="15"/>
  <c r="L704" i="15"/>
  <c r="L703" i="15"/>
  <c r="L702" i="15"/>
  <c r="L701" i="15"/>
  <c r="L700" i="15"/>
  <c r="L699" i="15"/>
  <c r="L698" i="15"/>
  <c r="L697" i="15"/>
  <c r="L696" i="15"/>
  <c r="L695" i="15"/>
  <c r="L694" i="15"/>
  <c r="L693" i="15"/>
  <c r="L692" i="15"/>
  <c r="L691" i="15"/>
  <c r="L679" i="15"/>
  <c r="L678" i="15"/>
  <c r="L677" i="15"/>
  <c r="L676" i="15"/>
  <c r="L675" i="15"/>
  <c r="L674" i="15"/>
  <c r="L673" i="15"/>
  <c r="L672" i="15"/>
  <c r="L671" i="15"/>
  <c r="L670" i="15"/>
  <c r="L669" i="15"/>
  <c r="L668" i="15"/>
  <c r="L667" i="15"/>
  <c r="L666" i="15"/>
  <c r="L665" i="15"/>
  <c r="L664" i="15"/>
  <c r="L663" i="15"/>
  <c r="L662" i="15"/>
  <c r="L661" i="15"/>
  <c r="L660" i="15"/>
  <c r="L656" i="15"/>
  <c r="L655" i="15"/>
  <c r="L654" i="15"/>
  <c r="L653" i="15"/>
  <c r="L652" i="15"/>
  <c r="L651" i="15"/>
  <c r="L650" i="15"/>
  <c r="L649" i="15"/>
  <c r="L648" i="15"/>
  <c r="L647" i="15"/>
  <c r="L646" i="15"/>
  <c r="L645" i="15"/>
  <c r="L644" i="15"/>
  <c r="L643" i="15"/>
  <c r="L642" i="15"/>
  <c r="L641" i="15"/>
  <c r="L640" i="15"/>
  <c r="L639" i="15"/>
  <c r="L638" i="15"/>
  <c r="L637" i="15"/>
  <c r="L636" i="15"/>
  <c r="L635" i="15"/>
  <c r="L634" i="15"/>
  <c r="L633" i="15"/>
  <c r="L632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L312" i="16" s="1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L232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L132" i="16" s="1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L40" i="16"/>
  <c r="K40" i="16"/>
  <c r="K39" i="16"/>
  <c r="L39" i="16" s="1"/>
  <c r="L38" i="16"/>
  <c r="K38" i="16"/>
  <c r="K37" i="16"/>
  <c r="L37" i="16" s="1"/>
  <c r="L36" i="16"/>
  <c r="K36" i="16"/>
  <c r="K35" i="16"/>
  <c r="L35" i="16" s="1"/>
  <c r="K34" i="16"/>
  <c r="L34" i="16" s="1"/>
  <c r="K33" i="16"/>
  <c r="L33" i="16" s="1"/>
  <c r="K32" i="16"/>
  <c r="L32" i="16" s="1"/>
  <c r="K31" i="16"/>
  <c r="L31" i="16" s="1"/>
  <c r="K30" i="16"/>
  <c r="L30" i="16" s="1"/>
  <c r="L29" i="16"/>
  <c r="K29" i="16"/>
  <c r="K28" i="16"/>
  <c r="L28" i="16" s="1"/>
  <c r="K27" i="16"/>
  <c r="L27" i="16" s="1"/>
  <c r="L26" i="16"/>
  <c r="K26" i="16"/>
  <c r="K25" i="16"/>
  <c r="L25" i="16" s="1"/>
  <c r="L24" i="16"/>
  <c r="K24" i="16"/>
  <c r="K23" i="16"/>
  <c r="L23" i="16" s="1"/>
  <c r="L22" i="16"/>
  <c r="K22" i="16"/>
  <c r="K21" i="16"/>
  <c r="L21" i="16" s="1"/>
  <c r="L20" i="16"/>
  <c r="K20" i="16"/>
  <c r="K19" i="16"/>
  <c r="L19" i="16" s="1"/>
  <c r="K18" i="16"/>
  <c r="L18" i="16" s="1"/>
  <c r="L17" i="16"/>
  <c r="K17" i="16"/>
  <c r="K16" i="16"/>
  <c r="L16" i="16" s="1"/>
  <c r="L13" i="16" s="1"/>
  <c r="L15" i="16" s="1"/>
  <c r="B12" i="16"/>
  <c r="L104" i="16" l="1"/>
  <c r="L278" i="16"/>
  <c r="L198" i="16"/>
  <c r="L339" i="16"/>
  <c r="L163" i="16"/>
  <c r="L759" i="15"/>
  <c r="G145" i="11" s="1"/>
  <c r="L866" i="15"/>
  <c r="K179" i="15"/>
  <c r="L179" i="15" s="1"/>
  <c r="L167" i="15"/>
  <c r="L174" i="15"/>
  <c r="L180" i="15"/>
  <c r="L725" i="15"/>
  <c r="G141" i="11" s="1"/>
  <c r="L172" i="15"/>
  <c r="L168" i="15"/>
  <c r="L176" i="15"/>
  <c r="L175" i="15"/>
  <c r="L173" i="15"/>
  <c r="L166" i="15"/>
  <c r="L805" i="15"/>
  <c r="G150" i="11" s="1"/>
  <c r="L690" i="15"/>
  <c r="L659" i="15"/>
  <c r="G135" i="11" s="1"/>
  <c r="L839" i="15"/>
  <c r="L631" i="15"/>
  <c r="L13" i="15"/>
  <c r="L15" i="15" s="1"/>
  <c r="H21" i="11" s="1"/>
  <c r="L54" i="16"/>
  <c r="L64" i="16"/>
  <c r="L66" i="16" s="1"/>
  <c r="L47" i="16"/>
  <c r="K590" i="15"/>
  <c r="L590" i="15" s="1"/>
  <c r="K589" i="15"/>
  <c r="L589" i="15" s="1"/>
  <c r="K588" i="15"/>
  <c r="L588" i="15" s="1"/>
  <c r="K587" i="15"/>
  <c r="L587" i="15" s="1"/>
  <c r="K586" i="15"/>
  <c r="L586" i="15" s="1"/>
  <c r="K585" i="15"/>
  <c r="L585" i="15" s="1"/>
  <c r="K584" i="15"/>
  <c r="L584" i="15" s="1"/>
  <c r="K583" i="15"/>
  <c r="L583" i="15" s="1"/>
  <c r="K582" i="15"/>
  <c r="L582" i="15" s="1"/>
  <c r="K581" i="15"/>
  <c r="L581" i="15" s="1"/>
  <c r="K580" i="15"/>
  <c r="L580" i="15" s="1"/>
  <c r="K579" i="15"/>
  <c r="L579" i="15" s="1"/>
  <c r="K578" i="15"/>
  <c r="L578" i="15" s="1"/>
  <c r="K577" i="15"/>
  <c r="L577" i="15" s="1"/>
  <c r="K576" i="15"/>
  <c r="L576" i="15" s="1"/>
  <c r="K575" i="15"/>
  <c r="L575" i="15" s="1"/>
  <c r="K574" i="15"/>
  <c r="L574" i="15" s="1"/>
  <c r="K573" i="15"/>
  <c r="L573" i="15" s="1"/>
  <c r="K572" i="15"/>
  <c r="L572" i="15" s="1"/>
  <c r="K571" i="15"/>
  <c r="L571" i="15" s="1"/>
  <c r="K570" i="15"/>
  <c r="L570" i="15" s="1"/>
  <c r="K569" i="15"/>
  <c r="L569" i="15" s="1"/>
  <c r="K568" i="15"/>
  <c r="L568" i="15" s="1"/>
  <c r="K567" i="15"/>
  <c r="L567" i="15" s="1"/>
  <c r="K566" i="15"/>
  <c r="L566" i="15" s="1"/>
  <c r="K556" i="15"/>
  <c r="L556" i="15" s="1"/>
  <c r="K555" i="15"/>
  <c r="L555" i="15" s="1"/>
  <c r="K554" i="15"/>
  <c r="L554" i="15" s="1"/>
  <c r="K553" i="15"/>
  <c r="L553" i="15" s="1"/>
  <c r="K552" i="15"/>
  <c r="L552" i="15" s="1"/>
  <c r="K551" i="15"/>
  <c r="L551" i="15" s="1"/>
  <c r="K550" i="15"/>
  <c r="L550" i="15" s="1"/>
  <c r="K549" i="15"/>
  <c r="L549" i="15" s="1"/>
  <c r="K548" i="15"/>
  <c r="L548" i="15" s="1"/>
  <c r="K547" i="15"/>
  <c r="L547" i="15" s="1"/>
  <c r="K546" i="15"/>
  <c r="L546" i="15" s="1"/>
  <c r="K545" i="15"/>
  <c r="L545" i="15" s="1"/>
  <c r="K544" i="15"/>
  <c r="L544" i="15" s="1"/>
  <c r="K543" i="15"/>
  <c r="L543" i="15" s="1"/>
  <c r="K542" i="15"/>
  <c r="L542" i="15" s="1"/>
  <c r="K541" i="15"/>
  <c r="L541" i="15" s="1"/>
  <c r="K540" i="15"/>
  <c r="L540" i="15" s="1"/>
  <c r="K539" i="15"/>
  <c r="L539" i="15" s="1"/>
  <c r="K538" i="15"/>
  <c r="L538" i="15" s="1"/>
  <c r="K537" i="15"/>
  <c r="L537" i="15" s="1"/>
  <c r="K536" i="15"/>
  <c r="L536" i="15" s="1"/>
  <c r="K535" i="15"/>
  <c r="L535" i="15" s="1"/>
  <c r="K534" i="15"/>
  <c r="L534" i="15" s="1"/>
  <c r="K533" i="15"/>
  <c r="L533" i="15" s="1"/>
  <c r="K532" i="15"/>
  <c r="L532" i="15" s="1"/>
  <c r="K531" i="15"/>
  <c r="L531" i="15" s="1"/>
  <c r="K530" i="15"/>
  <c r="L530" i="15" s="1"/>
  <c r="K529" i="15"/>
  <c r="L529" i="15" s="1"/>
  <c r="K528" i="15"/>
  <c r="L528" i="15" s="1"/>
  <c r="K527" i="15"/>
  <c r="F527" i="15"/>
  <c r="K526" i="15"/>
  <c r="L526" i="15" s="1"/>
  <c r="K525" i="15"/>
  <c r="L525" i="15" s="1"/>
  <c r="K524" i="15"/>
  <c r="F524" i="15"/>
  <c r="K523" i="15"/>
  <c r="F523" i="15"/>
  <c r="K522" i="15"/>
  <c r="L522" i="15" s="1"/>
  <c r="K521" i="15"/>
  <c r="L521" i="15" s="1"/>
  <c r="K520" i="15"/>
  <c r="L520" i="15" s="1"/>
  <c r="K519" i="15"/>
  <c r="L519" i="15" s="1"/>
  <c r="K518" i="15"/>
  <c r="F518" i="15"/>
  <c r="K517" i="15"/>
  <c r="F517" i="15"/>
  <c r="K516" i="15"/>
  <c r="L516" i="15" s="1"/>
  <c r="K515" i="15"/>
  <c r="L515" i="15" s="1"/>
  <c r="K514" i="15"/>
  <c r="L514" i="15" s="1"/>
  <c r="K513" i="15"/>
  <c r="L513" i="15" s="1"/>
  <c r="K512" i="15"/>
  <c r="L512" i="15" s="1"/>
  <c r="K511" i="15"/>
  <c r="L511" i="15" s="1"/>
  <c r="K510" i="15"/>
  <c r="F510" i="15"/>
  <c r="K509" i="15"/>
  <c r="L509" i="15" s="1"/>
  <c r="K508" i="15"/>
  <c r="L508" i="15" s="1"/>
  <c r="K507" i="15"/>
  <c r="L507" i="15" s="1"/>
  <c r="K506" i="15"/>
  <c r="F506" i="15"/>
  <c r="K505" i="15"/>
  <c r="L505" i="15" s="1"/>
  <c r="K504" i="15"/>
  <c r="L504" i="15" s="1"/>
  <c r="K503" i="15"/>
  <c r="L503" i="15" s="1"/>
  <c r="K502" i="15"/>
  <c r="L502" i="15" s="1"/>
  <c r="K501" i="15"/>
  <c r="L501" i="15" s="1"/>
  <c r="K500" i="15"/>
  <c r="L500" i="15" s="1"/>
  <c r="K499" i="15"/>
  <c r="L499" i="15" s="1"/>
  <c r="K498" i="15"/>
  <c r="L498" i="15" s="1"/>
  <c r="K497" i="15"/>
  <c r="L497" i="15" s="1"/>
  <c r="K496" i="15"/>
  <c r="L496" i="15" s="1"/>
  <c r="K495" i="15"/>
  <c r="F495" i="15"/>
  <c r="K494" i="15"/>
  <c r="F494" i="15"/>
  <c r="K493" i="15"/>
  <c r="L493" i="15" s="1"/>
  <c r="K492" i="15"/>
  <c r="L492" i="15" s="1"/>
  <c r="K491" i="15"/>
  <c r="L491" i="15" s="1"/>
  <c r="K490" i="15"/>
  <c r="L490" i="15" s="1"/>
  <c r="K489" i="15"/>
  <c r="F489" i="15"/>
  <c r="K488" i="15"/>
  <c r="L488" i="15" s="1"/>
  <c r="K487" i="15"/>
  <c r="L487" i="15" s="1"/>
  <c r="K486" i="15"/>
  <c r="L486" i="15" s="1"/>
  <c r="K485" i="15"/>
  <c r="L485" i="15" s="1"/>
  <c r="K484" i="15"/>
  <c r="L484" i="15" s="1"/>
  <c r="K483" i="15"/>
  <c r="F483" i="15"/>
  <c r="K482" i="15"/>
  <c r="L482" i="15" s="1"/>
  <c r="K481" i="15"/>
  <c r="L481" i="15" s="1"/>
  <c r="K480" i="15"/>
  <c r="L480" i="15" s="1"/>
  <c r="K479" i="15"/>
  <c r="L479" i="15" s="1"/>
  <c r="K478" i="15"/>
  <c r="L478" i="15" s="1"/>
  <c r="K477" i="15"/>
  <c r="F477" i="15"/>
  <c r="K476" i="15"/>
  <c r="L476" i="15" s="1"/>
  <c r="K475" i="15"/>
  <c r="L475" i="15" s="1"/>
  <c r="K474" i="15"/>
  <c r="L474" i="15" s="1"/>
  <c r="K473" i="15"/>
  <c r="L473" i="15" s="1"/>
  <c r="K472" i="15"/>
  <c r="L472" i="15" s="1"/>
  <c r="K471" i="15"/>
  <c r="L471" i="15" s="1"/>
  <c r="K470" i="15"/>
  <c r="L470" i="15" s="1"/>
  <c r="K469" i="15"/>
  <c r="L469" i="15" s="1"/>
  <c r="K468" i="15"/>
  <c r="L468" i="15" s="1"/>
  <c r="K467" i="15"/>
  <c r="L467" i="15" s="1"/>
  <c r="K466" i="15"/>
  <c r="L466" i="15" s="1"/>
  <c r="K465" i="15"/>
  <c r="L465" i="15" s="1"/>
  <c r="K464" i="15"/>
  <c r="L464" i="15" s="1"/>
  <c r="K463" i="15"/>
  <c r="F463" i="15"/>
  <c r="K462" i="15"/>
  <c r="L462" i="15" s="1"/>
  <c r="K461" i="15"/>
  <c r="F461" i="15"/>
  <c r="K460" i="15"/>
  <c r="L460" i="15" s="1"/>
  <c r="K459" i="15"/>
  <c r="F459" i="15"/>
  <c r="K458" i="15"/>
  <c r="L458" i="15" s="1"/>
  <c r="K457" i="15"/>
  <c r="L457" i="15" s="1"/>
  <c r="K456" i="15"/>
  <c r="L456" i="15" s="1"/>
  <c r="K448" i="15"/>
  <c r="L448" i="15" s="1"/>
  <c r="K447" i="15"/>
  <c r="L447" i="15" s="1"/>
  <c r="K446" i="15"/>
  <c r="L446" i="15" s="1"/>
  <c r="K445" i="15"/>
  <c r="L445" i="15" s="1"/>
  <c r="K444" i="15"/>
  <c r="L444" i="15" s="1"/>
  <c r="K443" i="15"/>
  <c r="L443" i="15" s="1"/>
  <c r="K442" i="15"/>
  <c r="L442" i="15" s="1"/>
  <c r="K441" i="15"/>
  <c r="L441" i="15" s="1"/>
  <c r="K440" i="15"/>
  <c r="L440" i="15" s="1"/>
  <c r="K439" i="15"/>
  <c r="L439" i="15" s="1"/>
  <c r="K438" i="15"/>
  <c r="L438" i="15" s="1"/>
  <c r="K437" i="15"/>
  <c r="L437" i="15" s="1"/>
  <c r="K436" i="15"/>
  <c r="L436" i="15" s="1"/>
  <c r="K435" i="15"/>
  <c r="L435" i="15" s="1"/>
  <c r="K434" i="15"/>
  <c r="L434" i="15" s="1"/>
  <c r="K433" i="15"/>
  <c r="L433" i="15" s="1"/>
  <c r="K432" i="15"/>
  <c r="L432" i="15" s="1"/>
  <c r="K431" i="15"/>
  <c r="L431" i="15" s="1"/>
  <c r="K430" i="15"/>
  <c r="L430" i="15" s="1"/>
  <c r="K429" i="15"/>
  <c r="L429" i="15" s="1"/>
  <c r="K428" i="15"/>
  <c r="L428" i="15" s="1"/>
  <c r="K427" i="15"/>
  <c r="L427" i="15" s="1"/>
  <c r="K426" i="15"/>
  <c r="L426" i="15" s="1"/>
  <c r="K425" i="15"/>
  <c r="L425" i="15" s="1"/>
  <c r="K424" i="15"/>
  <c r="L424" i="15" s="1"/>
  <c r="K423" i="15"/>
  <c r="L423" i="15" s="1"/>
  <c r="K422" i="15"/>
  <c r="L422" i="15" s="1"/>
  <c r="K421" i="15"/>
  <c r="L421" i="15" s="1"/>
  <c r="K420" i="15"/>
  <c r="L420" i="15" s="1"/>
  <c r="K419" i="15"/>
  <c r="F419" i="15"/>
  <c r="K418" i="15"/>
  <c r="L418" i="15" s="1"/>
  <c r="K417" i="15"/>
  <c r="L417" i="15" s="1"/>
  <c r="K416" i="15"/>
  <c r="F416" i="15"/>
  <c r="K415" i="15"/>
  <c r="F415" i="15"/>
  <c r="K414" i="15"/>
  <c r="L414" i="15" s="1"/>
  <c r="K413" i="15"/>
  <c r="L413" i="15" s="1"/>
  <c r="K412" i="15"/>
  <c r="L412" i="15" s="1"/>
  <c r="K411" i="15"/>
  <c r="L411" i="15" s="1"/>
  <c r="K410" i="15"/>
  <c r="F410" i="15"/>
  <c r="K409" i="15"/>
  <c r="F409" i="15"/>
  <c r="K408" i="15"/>
  <c r="L408" i="15" s="1"/>
  <c r="K407" i="15"/>
  <c r="L407" i="15" s="1"/>
  <c r="K406" i="15"/>
  <c r="L406" i="15" s="1"/>
  <c r="K405" i="15"/>
  <c r="L405" i="15" s="1"/>
  <c r="K404" i="15"/>
  <c r="L404" i="15" s="1"/>
  <c r="K403" i="15"/>
  <c r="L403" i="15" s="1"/>
  <c r="K402" i="15"/>
  <c r="F402" i="15"/>
  <c r="K401" i="15"/>
  <c r="L401" i="15" s="1"/>
  <c r="K400" i="15"/>
  <c r="L400" i="15" s="1"/>
  <c r="K399" i="15"/>
  <c r="L399" i="15" s="1"/>
  <c r="K398" i="15"/>
  <c r="F398" i="15"/>
  <c r="K397" i="15"/>
  <c r="L397" i="15" s="1"/>
  <c r="K396" i="15"/>
  <c r="L396" i="15" s="1"/>
  <c r="K395" i="15"/>
  <c r="L395" i="15" s="1"/>
  <c r="K394" i="15"/>
  <c r="L394" i="15" s="1"/>
  <c r="K393" i="15"/>
  <c r="L393" i="15" s="1"/>
  <c r="K392" i="15"/>
  <c r="L392" i="15" s="1"/>
  <c r="K391" i="15"/>
  <c r="L391" i="15" s="1"/>
  <c r="K390" i="15"/>
  <c r="L390" i="15" s="1"/>
  <c r="K389" i="15"/>
  <c r="L389" i="15" s="1"/>
  <c r="K388" i="15"/>
  <c r="L388" i="15" s="1"/>
  <c r="K387" i="15"/>
  <c r="F387" i="15"/>
  <c r="K386" i="15"/>
  <c r="F386" i="15"/>
  <c r="K385" i="15"/>
  <c r="L385" i="15" s="1"/>
  <c r="K384" i="15"/>
  <c r="L384" i="15" s="1"/>
  <c r="K383" i="15"/>
  <c r="L383" i="15" s="1"/>
  <c r="K382" i="15"/>
  <c r="L382" i="15" s="1"/>
  <c r="K381" i="15"/>
  <c r="F381" i="15"/>
  <c r="K380" i="15"/>
  <c r="L380" i="15" s="1"/>
  <c r="K379" i="15"/>
  <c r="L379" i="15" s="1"/>
  <c r="K378" i="15"/>
  <c r="L378" i="15" s="1"/>
  <c r="K377" i="15"/>
  <c r="L377" i="15" s="1"/>
  <c r="K376" i="15"/>
  <c r="L376" i="15" s="1"/>
  <c r="K375" i="15"/>
  <c r="F375" i="15"/>
  <c r="K374" i="15"/>
  <c r="L374" i="15" s="1"/>
  <c r="K373" i="15"/>
  <c r="L373" i="15" s="1"/>
  <c r="K372" i="15"/>
  <c r="L372" i="15" s="1"/>
  <c r="K371" i="15"/>
  <c r="L371" i="15" s="1"/>
  <c r="K370" i="15"/>
  <c r="L370" i="15" s="1"/>
  <c r="K369" i="15"/>
  <c r="F369" i="15"/>
  <c r="K368" i="15"/>
  <c r="L368" i="15" s="1"/>
  <c r="K367" i="15"/>
  <c r="L367" i="15" s="1"/>
  <c r="K366" i="15"/>
  <c r="L366" i="15" s="1"/>
  <c r="K365" i="15"/>
  <c r="L365" i="15" s="1"/>
  <c r="K364" i="15"/>
  <c r="L364" i="15" s="1"/>
  <c r="K363" i="15"/>
  <c r="L363" i="15" s="1"/>
  <c r="K362" i="15"/>
  <c r="L362" i="15" s="1"/>
  <c r="K361" i="15"/>
  <c r="L361" i="15" s="1"/>
  <c r="K360" i="15"/>
  <c r="L360" i="15" s="1"/>
  <c r="K359" i="15"/>
  <c r="L359" i="15" s="1"/>
  <c r="K358" i="15"/>
  <c r="L358" i="15" s="1"/>
  <c r="K357" i="15"/>
  <c r="L357" i="15" s="1"/>
  <c r="K356" i="15"/>
  <c r="L356" i="15" s="1"/>
  <c r="K355" i="15"/>
  <c r="F355" i="15"/>
  <c r="K354" i="15"/>
  <c r="L354" i="15" s="1"/>
  <c r="K353" i="15"/>
  <c r="F353" i="15"/>
  <c r="K352" i="15"/>
  <c r="L352" i="15" s="1"/>
  <c r="K351" i="15"/>
  <c r="F351" i="15"/>
  <c r="K350" i="15"/>
  <c r="L350" i="15" s="1"/>
  <c r="K349" i="15"/>
  <c r="L349" i="15" s="1"/>
  <c r="K348" i="15"/>
  <c r="L348" i="15" s="1"/>
  <c r="A450" i="15"/>
  <c r="B450" i="15"/>
  <c r="L322" i="15"/>
  <c r="L320" i="15" s="1"/>
  <c r="H57" i="11" s="1"/>
  <c r="L326" i="15"/>
  <c r="G58" i="11" s="1"/>
  <c r="H58" i="11" s="1"/>
  <c r="L164" i="15" l="1"/>
  <c r="H37" i="11" s="1"/>
  <c r="L355" i="15"/>
  <c r="L483" i="15"/>
  <c r="L563" i="15"/>
  <c r="L565" i="15" s="1"/>
  <c r="L562" i="15" s="1"/>
  <c r="G94" i="11" s="1"/>
  <c r="L375" i="15"/>
  <c r="L353" i="15"/>
  <c r="L381" i="15"/>
  <c r="L523" i="15"/>
  <c r="L369" i="15"/>
  <c r="L494" i="15"/>
  <c r="L510" i="15"/>
  <c r="L517" i="15"/>
  <c r="L351" i="15"/>
  <c r="L463" i="15"/>
  <c r="L527" i="15"/>
  <c r="L398" i="15"/>
  <c r="L410" i="15"/>
  <c r="L415" i="15"/>
  <c r="L461" i="15"/>
  <c r="L506" i="15"/>
  <c r="L419" i="15"/>
  <c r="L386" i="15"/>
  <c r="L402" i="15"/>
  <c r="L416" i="15"/>
  <c r="L459" i="15"/>
  <c r="L387" i="15"/>
  <c r="L477" i="15"/>
  <c r="L409" i="15"/>
  <c r="L489" i="15"/>
  <c r="L495" i="15"/>
  <c r="L518" i="15"/>
  <c r="L524" i="15"/>
  <c r="L452" i="15" l="1"/>
  <c r="L454" i="15" s="1"/>
  <c r="L450" i="15" s="1"/>
  <c r="G89" i="11" s="1"/>
  <c r="H89" i="11" s="1"/>
  <c r="L344" i="15"/>
  <c r="L346" i="15" s="1"/>
  <c r="L343" i="15" s="1"/>
  <c r="G88" i="11" s="1"/>
  <c r="H88" i="11" s="1"/>
  <c r="K259" i="15" l="1"/>
  <c r="L259" i="15" s="1"/>
  <c r="K258" i="15"/>
  <c r="L258" i="15" s="1"/>
  <c r="K257" i="15"/>
  <c r="L257" i="15" s="1"/>
  <c r="K256" i="15"/>
  <c r="L256" i="15" s="1"/>
  <c r="K255" i="15"/>
  <c r="L255" i="15" s="1"/>
  <c r="K254" i="15"/>
  <c r="L254" i="15" s="1"/>
  <c r="K253" i="15"/>
  <c r="L253" i="15" s="1"/>
  <c r="K252" i="15"/>
  <c r="L252" i="15" s="1"/>
  <c r="K251" i="15"/>
  <c r="F251" i="15"/>
  <c r="K250" i="15"/>
  <c r="L250" i="15" s="1"/>
  <c r="K249" i="15"/>
  <c r="L249" i="15" s="1"/>
  <c r="K248" i="15"/>
  <c r="L248" i="15" s="1"/>
  <c r="K247" i="15"/>
  <c r="F247" i="15"/>
  <c r="K246" i="15"/>
  <c r="L246" i="15" s="1"/>
  <c r="K245" i="15"/>
  <c r="L245" i="15" s="1"/>
  <c r="K244" i="15"/>
  <c r="F244" i="15"/>
  <c r="K243" i="15"/>
  <c r="L243" i="15" s="1"/>
  <c r="K242" i="15"/>
  <c r="L242" i="15" s="1"/>
  <c r="K241" i="15"/>
  <c r="L241" i="15" s="1"/>
  <c r="K240" i="15"/>
  <c r="L240" i="15" s="1"/>
  <c r="K239" i="15"/>
  <c r="L239" i="15" s="1"/>
  <c r="K238" i="15"/>
  <c r="L238" i="15" s="1"/>
  <c r="K237" i="15"/>
  <c r="L237" i="15" s="1"/>
  <c r="K236" i="15"/>
  <c r="L236" i="15" s="1"/>
  <c r="K235" i="15"/>
  <c r="L235" i="15" s="1"/>
  <c r="K234" i="15"/>
  <c r="F234" i="15"/>
  <c r="K233" i="15"/>
  <c r="L233" i="15" s="1"/>
  <c r="K232" i="15"/>
  <c r="L232" i="15" s="1"/>
  <c r="L244" i="15" l="1"/>
  <c r="L251" i="15"/>
  <c r="L234" i="15"/>
  <c r="L247" i="15"/>
  <c r="L231" i="15" l="1"/>
  <c r="L228" i="15" s="1"/>
  <c r="H48" i="11" s="1"/>
  <c r="G44" i="14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K166" i="13"/>
  <c r="L166" i="13" s="1"/>
  <c r="E166" i="13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L149" i="13"/>
  <c r="K149" i="13"/>
  <c r="K148" i="13"/>
  <c r="L148" i="13" s="1"/>
  <c r="K147" i="13"/>
  <c r="L147" i="13" s="1"/>
  <c r="L146" i="13"/>
  <c r="K146" i="13"/>
  <c r="K145" i="13"/>
  <c r="L145" i="13" s="1"/>
  <c r="K144" i="13"/>
  <c r="L144" i="13" s="1"/>
  <c r="K143" i="13"/>
  <c r="L143" i="13" s="1"/>
  <c r="K142" i="13"/>
  <c r="L142" i="13" s="1"/>
  <c r="L141" i="13"/>
  <c r="K141" i="13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L113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3" i="13" s="1"/>
  <c r="L45" i="13"/>
  <c r="A43" i="13"/>
  <c r="B43" i="13"/>
  <c r="K619" i="15"/>
  <c r="L619" i="15" s="1"/>
  <c r="K618" i="15"/>
  <c r="L618" i="15" s="1"/>
  <c r="K617" i="15"/>
  <c r="L617" i="15" s="1"/>
  <c r="K616" i="15"/>
  <c r="L616" i="15" s="1"/>
  <c r="K615" i="15"/>
  <c r="L615" i="15" s="1"/>
  <c r="K614" i="15"/>
  <c r="L614" i="15" s="1"/>
  <c r="K613" i="15"/>
  <c r="L613" i="15" s="1"/>
  <c r="K612" i="15"/>
  <c r="L612" i="15" s="1"/>
  <c r="K611" i="15"/>
  <c r="L611" i="15" s="1"/>
  <c r="K610" i="15"/>
  <c r="L610" i="15" s="1"/>
  <c r="K609" i="15"/>
  <c r="L609" i="15" s="1"/>
  <c r="K608" i="15"/>
  <c r="L608" i="15" s="1"/>
  <c r="K607" i="15"/>
  <c r="L607" i="15" s="1"/>
  <c r="K606" i="15"/>
  <c r="L606" i="15" s="1"/>
  <c r="K605" i="15"/>
  <c r="L605" i="15" s="1"/>
  <c r="K604" i="15"/>
  <c r="L604" i="15" s="1"/>
  <c r="K603" i="15"/>
  <c r="L603" i="15" s="1"/>
  <c r="K602" i="15"/>
  <c r="L602" i="15" s="1"/>
  <c r="K601" i="15"/>
  <c r="L601" i="15" s="1"/>
  <c r="K600" i="15"/>
  <c r="L600" i="15" s="1"/>
  <c r="K599" i="15"/>
  <c r="L599" i="15" s="1"/>
  <c r="K598" i="15"/>
  <c r="L598" i="15" s="1"/>
  <c r="K597" i="15"/>
  <c r="L597" i="15" s="1"/>
  <c r="K596" i="15"/>
  <c r="L596" i="15" s="1"/>
  <c r="K595" i="15"/>
  <c r="L595" i="15" s="1"/>
  <c r="B593" i="15"/>
  <c r="B560" i="15"/>
  <c r="A560" i="15"/>
  <c r="K557" i="15"/>
  <c r="F557" i="15"/>
  <c r="B343" i="15"/>
  <c r="A343" i="15"/>
  <c r="B341" i="15"/>
  <c r="L338" i="15"/>
  <c r="B336" i="15"/>
  <c r="L330" i="15"/>
  <c r="G60" i="11" s="1"/>
  <c r="H60" i="11" s="1"/>
  <c r="B330" i="15"/>
  <c r="B288" i="15"/>
  <c r="L285" i="15"/>
  <c r="L284" i="15"/>
  <c r="L283" i="15"/>
  <c r="L282" i="15"/>
  <c r="L281" i="15"/>
  <c r="L280" i="15"/>
  <c r="L279" i="15"/>
  <c r="L278" i="15"/>
  <c r="L277" i="15"/>
  <c r="L276" i="15"/>
  <c r="L275" i="15"/>
  <c r="L274" i="15"/>
  <c r="L273" i="15"/>
  <c r="L272" i="15"/>
  <c r="L270" i="15"/>
  <c r="L269" i="15"/>
  <c r="L268" i="15"/>
  <c r="L267" i="15"/>
  <c r="L266" i="15"/>
  <c r="L265" i="15"/>
  <c r="L264" i="15"/>
  <c r="B262" i="15"/>
  <c r="E205" i="15"/>
  <c r="K205" i="15" s="1"/>
  <c r="L205" i="15" s="1"/>
  <c r="E204" i="15"/>
  <c r="K204" i="15" s="1"/>
  <c r="L204" i="15" s="1"/>
  <c r="E203" i="15"/>
  <c r="K203" i="15" s="1"/>
  <c r="L203" i="15" s="1"/>
  <c r="E202" i="15"/>
  <c r="K202" i="15" s="1"/>
  <c r="L202" i="15" s="1"/>
  <c r="E201" i="15"/>
  <c r="K201" i="15" s="1"/>
  <c r="L201" i="15" s="1"/>
  <c r="E200" i="15"/>
  <c r="K200" i="15" s="1"/>
  <c r="L200" i="15" s="1"/>
  <c r="E199" i="15"/>
  <c r="K199" i="15" s="1"/>
  <c r="L199" i="15" s="1"/>
  <c r="E198" i="15"/>
  <c r="K198" i="15" s="1"/>
  <c r="L198" i="15" s="1"/>
  <c r="E197" i="15"/>
  <c r="K197" i="15" s="1"/>
  <c r="L197" i="15" s="1"/>
  <c r="E196" i="15"/>
  <c r="K196" i="15" s="1"/>
  <c r="L196" i="15" s="1"/>
  <c r="E195" i="15"/>
  <c r="K195" i="15" s="1"/>
  <c r="L195" i="15" s="1"/>
  <c r="B193" i="15"/>
  <c r="A193" i="15"/>
  <c r="F191" i="15"/>
  <c r="K191" i="15" s="1"/>
  <c r="L191" i="15" s="1"/>
  <c r="E190" i="15"/>
  <c r="K190" i="15" s="1"/>
  <c r="L190" i="15" s="1"/>
  <c r="E187" i="15"/>
  <c r="K187" i="15" s="1"/>
  <c r="L187" i="15" s="1"/>
  <c r="E186" i="15"/>
  <c r="K186" i="15" s="1"/>
  <c r="L186" i="15" s="1"/>
  <c r="E185" i="15"/>
  <c r="K185" i="15" s="1"/>
  <c r="L185" i="15" s="1"/>
  <c r="B183" i="15"/>
  <c r="A183" i="15"/>
  <c r="K159" i="15"/>
  <c r="L159" i="15" s="1"/>
  <c r="K158" i="15"/>
  <c r="L158" i="15" s="1"/>
  <c r="K157" i="15"/>
  <c r="L157" i="15" s="1"/>
  <c r="K156" i="15"/>
  <c r="L156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B147" i="15"/>
  <c r="A147" i="15"/>
  <c r="K140" i="15"/>
  <c r="L140" i="15" s="1"/>
  <c r="K139" i="15"/>
  <c r="L139" i="15" s="1"/>
  <c r="K138" i="15"/>
  <c r="L138" i="15" s="1"/>
  <c r="K137" i="15"/>
  <c r="L137" i="15" s="1"/>
  <c r="K136" i="15"/>
  <c r="L136" i="15" s="1"/>
  <c r="K135" i="15"/>
  <c r="L135" i="15" s="1"/>
  <c r="K134" i="15"/>
  <c r="L134" i="15" s="1"/>
  <c r="K133" i="15"/>
  <c r="L133" i="15" s="1"/>
  <c r="K132" i="15"/>
  <c r="L132" i="15" s="1"/>
  <c r="K131" i="15"/>
  <c r="L131" i="15" s="1"/>
  <c r="K130" i="15"/>
  <c r="L130" i="15" s="1"/>
  <c r="B128" i="15"/>
  <c r="A128" i="15"/>
  <c r="B126" i="15"/>
  <c r="K122" i="15"/>
  <c r="L122" i="15" s="1"/>
  <c r="K121" i="15"/>
  <c r="L121" i="15" s="1"/>
  <c r="K120" i="15"/>
  <c r="L120" i="15" s="1"/>
  <c r="K119" i="15"/>
  <c r="L119" i="15" s="1"/>
  <c r="K118" i="15"/>
  <c r="L118" i="15" s="1"/>
  <c r="B116" i="15"/>
  <c r="B106" i="15"/>
  <c r="K104" i="15"/>
  <c r="L104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B94" i="15"/>
  <c r="K92" i="15"/>
  <c r="L92" i="15" s="1"/>
  <c r="K91" i="15"/>
  <c r="L91" i="15" s="1"/>
  <c r="K90" i="15"/>
  <c r="L90" i="15" s="1"/>
  <c r="K89" i="15"/>
  <c r="L89" i="15" s="1"/>
  <c r="K88" i="15"/>
  <c r="L88" i="15" s="1"/>
  <c r="K87" i="15"/>
  <c r="L87" i="15" s="1"/>
  <c r="K86" i="15"/>
  <c r="L86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B72" i="15"/>
  <c r="L69" i="15"/>
  <c r="L68" i="15"/>
  <c r="L67" i="15"/>
  <c r="L66" i="15"/>
  <c r="L65" i="15"/>
  <c r="L64" i="15"/>
  <c r="L63" i="15"/>
  <c r="L62" i="15"/>
  <c r="L61" i="15"/>
  <c r="L60" i="15"/>
  <c r="L59" i="15"/>
  <c r="L58" i="15"/>
  <c r="L57" i="15"/>
  <c r="L56" i="15"/>
  <c r="L55" i="15"/>
  <c r="L54" i="15"/>
  <c r="L53" i="15"/>
  <c r="L52" i="15"/>
  <c r="L51" i="15"/>
  <c r="L50" i="15"/>
  <c r="L49" i="15"/>
  <c r="L48" i="15"/>
  <c r="L47" i="15"/>
  <c r="L46" i="15"/>
  <c r="L45" i="15"/>
  <c r="B43" i="15"/>
  <c r="B10" i="15"/>
  <c r="B98" i="11"/>
  <c r="F89" i="11"/>
  <c r="F88" i="11"/>
  <c r="F57" i="11"/>
  <c r="F53" i="14"/>
  <c r="B50" i="11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K203" i="14" s="1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K199" i="14" s="1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E98" i="11" s="1"/>
  <c r="G104" i="14"/>
  <c r="F98" i="11" s="1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E64" i="11" s="1"/>
  <c r="G60" i="14"/>
  <c r="F64" i="11" s="1"/>
  <c r="J59" i="14"/>
  <c r="E63" i="11" s="1"/>
  <c r="G59" i="14"/>
  <c r="I59" i="14" s="1"/>
  <c r="J58" i="14"/>
  <c r="E62" i="11" s="1"/>
  <c r="G58" i="14"/>
  <c r="J57" i="14"/>
  <c r="E61" i="11" s="1"/>
  <c r="J61" i="11" s="1"/>
  <c r="G57" i="14"/>
  <c r="I57" i="14" s="1"/>
  <c r="J56" i="14"/>
  <c r="E60" i="11" s="1"/>
  <c r="G56" i="14"/>
  <c r="F60" i="11" s="1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E50" i="11" s="1"/>
  <c r="G46" i="14"/>
  <c r="I46" i="14" s="1"/>
  <c r="J45" i="14"/>
  <c r="F45" i="14"/>
  <c r="E45" i="14"/>
  <c r="D45" i="14"/>
  <c r="C45" i="14"/>
  <c r="B45" i="14"/>
  <c r="A45" i="14"/>
  <c r="J44" i="14"/>
  <c r="L44" i="14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K40" i="14" s="1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K36" i="14" s="1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F36" i="11" s="1"/>
  <c r="E31" i="14"/>
  <c r="D31" i="14"/>
  <c r="C31" i="14"/>
  <c r="B31" i="14"/>
  <c r="A31" i="14"/>
  <c r="J30" i="14"/>
  <c r="F30" i="14"/>
  <c r="F35" i="11" s="1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L21" i="14" s="1"/>
  <c r="G21" i="14"/>
  <c r="I21" i="14" s="1"/>
  <c r="J20" i="14"/>
  <c r="E27" i="11" s="1"/>
  <c r="G20" i="14"/>
  <c r="J19" i="14"/>
  <c r="G19" i="14"/>
  <c r="I19" i="14" s="1"/>
  <c r="J18" i="14"/>
  <c r="E25" i="11" s="1"/>
  <c r="G18" i="14"/>
  <c r="F25" i="11" s="1"/>
  <c r="J17" i="14"/>
  <c r="E24" i="11" s="1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K12" i="14" s="1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A20" i="11"/>
  <c r="A21" i="11"/>
  <c r="A22" i="11"/>
  <c r="A23" i="11"/>
  <c r="K109" i="14" l="1"/>
  <c r="K117" i="14"/>
  <c r="K125" i="14"/>
  <c r="K133" i="14"/>
  <c r="K10" i="14"/>
  <c r="K14" i="14"/>
  <c r="K208" i="14"/>
  <c r="K212" i="14"/>
  <c r="L75" i="14"/>
  <c r="N87" i="14"/>
  <c r="K146" i="14"/>
  <c r="K154" i="14"/>
  <c r="K166" i="14"/>
  <c r="K174" i="14"/>
  <c r="K182" i="14"/>
  <c r="K209" i="14"/>
  <c r="K213" i="14"/>
  <c r="I34" i="14"/>
  <c r="N34" i="14" s="1"/>
  <c r="K108" i="14"/>
  <c r="K112" i="14"/>
  <c r="K116" i="14"/>
  <c r="K120" i="14"/>
  <c r="K124" i="14"/>
  <c r="K128" i="14"/>
  <c r="K132" i="14"/>
  <c r="K187" i="14"/>
  <c r="K191" i="14"/>
  <c r="K195" i="14"/>
  <c r="K202" i="14"/>
  <c r="K11" i="14"/>
  <c r="K49" i="14"/>
  <c r="L59" i="14"/>
  <c r="L137" i="13"/>
  <c r="K13" i="14"/>
  <c r="N17" i="14"/>
  <c r="K33" i="14"/>
  <c r="K39" i="14"/>
  <c r="K68" i="14"/>
  <c r="N81" i="14"/>
  <c r="K107" i="14"/>
  <c r="K115" i="14"/>
  <c r="K123" i="14"/>
  <c r="K138" i="14"/>
  <c r="K186" i="14"/>
  <c r="K194" i="14"/>
  <c r="K27" i="14"/>
  <c r="K29" i="14"/>
  <c r="K32" i="14"/>
  <c r="N76" i="14"/>
  <c r="N78" i="14"/>
  <c r="L81" i="14"/>
  <c r="K96" i="14"/>
  <c r="K141" i="14"/>
  <c r="K149" i="14"/>
  <c r="K157" i="14"/>
  <c r="K169" i="14"/>
  <c r="K177" i="14"/>
  <c r="K181" i="14"/>
  <c r="K189" i="14"/>
  <c r="K197" i="14"/>
  <c r="L16" i="14"/>
  <c r="L20" i="14"/>
  <c r="K26" i="14"/>
  <c r="K37" i="14"/>
  <c r="K45" i="14"/>
  <c r="L58" i="14"/>
  <c r="N64" i="14"/>
  <c r="F24" i="11"/>
  <c r="I24" i="11" s="1"/>
  <c r="L147" i="15"/>
  <c r="H35" i="11" s="1"/>
  <c r="L128" i="15"/>
  <c r="H34" i="11" s="1"/>
  <c r="J62" i="11"/>
  <c r="K62" i="11"/>
  <c r="K63" i="11"/>
  <c r="J60" i="11"/>
  <c r="K60" i="11"/>
  <c r="I98" i="11"/>
  <c r="I18" i="14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F37" i="11"/>
  <c r="I58" i="14"/>
  <c r="N58" i="14" s="1"/>
  <c r="N69" i="14"/>
  <c r="K119" i="14"/>
  <c r="F28" i="11"/>
  <c r="I28" i="11" s="1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F27" i="11"/>
  <c r="I27" i="11" s="1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F26" i="11"/>
  <c r="F50" i="11"/>
  <c r="I50" i="11" s="1"/>
  <c r="F63" i="11"/>
  <c r="I63" i="11" s="1"/>
  <c r="K28" i="14"/>
  <c r="L29" i="14"/>
  <c r="K34" i="14"/>
  <c r="L56" i="14"/>
  <c r="K143" i="14"/>
  <c r="K183" i="14"/>
  <c r="F39" i="11"/>
  <c r="F62" i="11"/>
  <c r="I62" i="11" s="1"/>
  <c r="K131" i="14"/>
  <c r="K190" i="14"/>
  <c r="K198" i="14"/>
  <c r="K211" i="14"/>
  <c r="F61" i="11"/>
  <c r="I61" i="11" s="1"/>
  <c r="L60" i="14"/>
  <c r="I75" i="14"/>
  <c r="N75" i="14" s="1"/>
  <c r="N82" i="14"/>
  <c r="K86" i="14"/>
  <c r="K114" i="14"/>
  <c r="K122" i="14"/>
  <c r="K130" i="14"/>
  <c r="K205" i="14"/>
  <c r="K210" i="14"/>
  <c r="I64" i="11"/>
  <c r="J63" i="11"/>
  <c r="L557" i="15"/>
  <c r="L116" i="15"/>
  <c r="G28" i="11" s="1"/>
  <c r="L336" i="15"/>
  <c r="G64" i="11" s="1"/>
  <c r="H64" i="11" s="1"/>
  <c r="K64" i="11" s="1"/>
  <c r="L594" i="15"/>
  <c r="L593" i="15" s="1"/>
  <c r="G98" i="11" s="1"/>
  <c r="H98" i="11" s="1"/>
  <c r="K98" i="11" s="1"/>
  <c r="L98" i="11" s="1"/>
  <c r="L262" i="15"/>
  <c r="G50" i="11" s="1"/>
  <c r="H50" i="11" s="1"/>
  <c r="K50" i="11" s="1"/>
  <c r="L43" i="15"/>
  <c r="G24" i="11" s="1"/>
  <c r="H27" i="11"/>
  <c r="K27" i="11" s="1"/>
  <c r="L94" i="15"/>
  <c r="G26" i="11" s="1"/>
  <c r="H26" i="11" s="1"/>
  <c r="L151" i="13"/>
  <c r="L161" i="13"/>
  <c r="L123" i="13"/>
  <c r="L93" i="13"/>
  <c r="L105" i="13"/>
  <c r="L71" i="13"/>
  <c r="L72" i="15"/>
  <c r="G25" i="11" s="1"/>
  <c r="H25" i="11" s="1"/>
  <c r="K25" i="11" s="1"/>
  <c r="L193" i="15"/>
  <c r="G39" i="11" s="1"/>
  <c r="H39" i="11" s="1"/>
  <c r="L183" i="15"/>
  <c r="G38" i="11" s="1"/>
  <c r="H38" i="11" s="1"/>
  <c r="K61" i="11"/>
  <c r="I60" i="11"/>
  <c r="I25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18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E26" i="11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J64" i="11" l="1"/>
  <c r="J25" i="11"/>
  <c r="J98" i="11"/>
  <c r="K235" i="14"/>
  <c r="J50" i="11"/>
  <c r="L50" i="11"/>
  <c r="L60" i="11"/>
  <c r="H28" i="11"/>
  <c r="K28" i="11" s="1"/>
  <c r="L28" i="11" s="1"/>
  <c r="J28" i="11"/>
  <c r="L25" i="11"/>
  <c r="J27" i="11"/>
  <c r="L62" i="11"/>
  <c r="L235" i="14"/>
  <c r="L61" i="11"/>
  <c r="N29" i="14"/>
  <c r="F34" i="11"/>
  <c r="L63" i="11"/>
  <c r="N33" i="14"/>
  <c r="F38" i="11"/>
  <c r="L64" i="11"/>
  <c r="N44" i="14"/>
  <c r="F48" i="11"/>
  <c r="L27" i="11"/>
  <c r="J26" i="11"/>
  <c r="K26" i="11"/>
  <c r="I26" i="11"/>
  <c r="N235" i="14" l="1"/>
  <c r="L26" i="11"/>
  <c r="H152" i="11" l="1"/>
  <c r="H151" i="11"/>
  <c r="H149" i="11"/>
  <c r="H148" i="11"/>
  <c r="H147" i="11"/>
  <c r="H146" i="11"/>
  <c r="H144" i="11"/>
  <c r="H142" i="11"/>
  <c r="H140" i="11"/>
  <c r="H139" i="11"/>
  <c r="H137" i="11"/>
  <c r="H136" i="11"/>
  <c r="H133" i="11"/>
  <c r="H143" i="11"/>
  <c r="H155" i="11"/>
  <c r="L627" i="13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H154" i="11" s="1"/>
  <c r="L418" i="13"/>
  <c r="H135" i="11" s="1"/>
  <c r="L340" i="13"/>
  <c r="L350" i="13"/>
  <c r="L352" i="13" s="1"/>
  <c r="L598" i="13"/>
  <c r="H153" i="11" s="1"/>
  <c r="L484" i="13"/>
  <c r="H141" i="11" s="1"/>
  <c r="L449" i="13"/>
  <c r="H138" i="11" s="1"/>
  <c r="L518" i="13"/>
  <c r="H145" i="11" s="1"/>
  <c r="L564" i="13"/>
  <c r="H150" i="11" s="1"/>
  <c r="L390" i="13"/>
  <c r="H134" i="11" s="1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B48" i="11"/>
  <c r="L16" i="13" l="1"/>
  <c r="L13" i="13" s="1"/>
  <c r="L15" i="13" s="1"/>
  <c r="K335" i="13" l="1"/>
  <c r="L335" i="13" s="1"/>
  <c r="K334" i="13"/>
  <c r="L334" i="13" l="1"/>
  <c r="B330" i="13"/>
  <c r="L333" i="13" l="1"/>
  <c r="H40" i="11"/>
  <c r="E89" i="11" l="1"/>
  <c r="E102" i="11"/>
  <c r="E153" i="11"/>
  <c r="A19" i="11" l="1"/>
  <c r="A29" i="11"/>
  <c r="A30" i="11"/>
  <c r="A31" i="11"/>
  <c r="A32" i="11"/>
  <c r="A33" i="11"/>
  <c r="A34" i="11"/>
  <c r="A123" i="13" s="1"/>
  <c r="A35" i="11"/>
  <c r="A36" i="11"/>
  <c r="A37" i="11"/>
  <c r="A38" i="11"/>
  <c r="A39" i="11"/>
  <c r="A40" i="11"/>
  <c r="A41" i="11"/>
  <c r="A207" i="15" s="1"/>
  <c r="A42" i="11"/>
  <c r="A43" i="11"/>
  <c r="A44" i="11"/>
  <c r="A45" i="11"/>
  <c r="A47" i="11"/>
  <c r="A48" i="11"/>
  <c r="A49" i="11"/>
  <c r="A52" i="11"/>
  <c r="A53" i="11"/>
  <c r="A54" i="11"/>
  <c r="A56" i="11"/>
  <c r="A330" i="13" s="1"/>
  <c r="A57" i="11"/>
  <c r="A332" i="13" s="1"/>
  <c r="A58" i="11"/>
  <c r="A59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9" i="11"/>
  <c r="A80" i="11"/>
  <c r="A81" i="11"/>
  <c r="A83" i="11"/>
  <c r="A84" i="11"/>
  <c r="A85" i="11"/>
  <c r="A87" i="11"/>
  <c r="A88" i="11"/>
  <c r="A89" i="11"/>
  <c r="A90" i="11"/>
  <c r="A91" i="11"/>
  <c r="A93" i="11"/>
  <c r="A347" i="13" s="1"/>
  <c r="A94" i="11"/>
  <c r="A348" i="13" s="1"/>
  <c r="A95" i="11"/>
  <c r="A96" i="11"/>
  <c r="A97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2" i="11"/>
  <c r="A203" i="11"/>
  <c r="A204" i="11"/>
  <c r="A205" i="11"/>
  <c r="A206" i="11"/>
  <c r="A207" i="11"/>
  <c r="A208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4" i="11"/>
  <c r="A225" i="11"/>
  <c r="A226" i="11"/>
  <c r="A227" i="11"/>
  <c r="A228" i="11"/>
  <c r="A229" i="11"/>
  <c r="A18" i="11"/>
  <c r="F20" i="11"/>
  <c r="F21" i="11"/>
  <c r="F22" i="11"/>
  <c r="F23" i="11"/>
  <c r="F30" i="11"/>
  <c r="F31" i="11"/>
  <c r="F32" i="11"/>
  <c r="F33" i="11"/>
  <c r="F40" i="11"/>
  <c r="F41" i="11"/>
  <c r="F42" i="11"/>
  <c r="F43" i="11"/>
  <c r="F44" i="11"/>
  <c r="F45" i="11"/>
  <c r="F49" i="11"/>
  <c r="F53" i="11"/>
  <c r="F54" i="11"/>
  <c r="F58" i="11"/>
  <c r="F59" i="11"/>
  <c r="F68" i="11"/>
  <c r="F69" i="11"/>
  <c r="F70" i="11"/>
  <c r="F71" i="11"/>
  <c r="F72" i="11"/>
  <c r="F73" i="11"/>
  <c r="F74" i="11"/>
  <c r="F75" i="11"/>
  <c r="F76" i="11"/>
  <c r="F77" i="11"/>
  <c r="F80" i="11"/>
  <c r="F81" i="11"/>
  <c r="F84" i="11"/>
  <c r="F85" i="11"/>
  <c r="I89" i="11"/>
  <c r="F90" i="11"/>
  <c r="F91" i="11"/>
  <c r="F94" i="11"/>
  <c r="F95" i="11"/>
  <c r="F96" i="11"/>
  <c r="F97" i="11"/>
  <c r="F102" i="11"/>
  <c r="I102" i="11" s="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I153" i="11" s="1"/>
  <c r="F154" i="11"/>
  <c r="F155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3" i="11"/>
  <c r="F204" i="11"/>
  <c r="F205" i="11"/>
  <c r="F206" i="11"/>
  <c r="F207" i="11"/>
  <c r="F208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5" i="11"/>
  <c r="F226" i="11"/>
  <c r="F227" i="11"/>
  <c r="F228" i="11"/>
  <c r="F229" i="11"/>
  <c r="F19" i="11"/>
  <c r="C20" i="11"/>
  <c r="C21" i="11"/>
  <c r="C22" i="11"/>
  <c r="C23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8" i="11"/>
  <c r="C49" i="11"/>
  <c r="C53" i="11"/>
  <c r="C54" i="11"/>
  <c r="C57" i="11"/>
  <c r="C58" i="11"/>
  <c r="C59" i="11"/>
  <c r="C68" i="11"/>
  <c r="C69" i="11"/>
  <c r="C70" i="11"/>
  <c r="C71" i="11"/>
  <c r="C72" i="11"/>
  <c r="C73" i="11"/>
  <c r="C74" i="11"/>
  <c r="C75" i="11"/>
  <c r="C76" i="11"/>
  <c r="C77" i="11"/>
  <c r="C80" i="11"/>
  <c r="C81" i="11"/>
  <c r="C84" i="11"/>
  <c r="C85" i="11"/>
  <c r="C88" i="11"/>
  <c r="C89" i="11"/>
  <c r="C90" i="11"/>
  <c r="C91" i="11"/>
  <c r="C94" i="11"/>
  <c r="C95" i="11"/>
  <c r="C96" i="11"/>
  <c r="C97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3" i="11"/>
  <c r="C204" i="11"/>
  <c r="C205" i="11"/>
  <c r="C206" i="11"/>
  <c r="C207" i="11"/>
  <c r="C208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5" i="11"/>
  <c r="C226" i="11"/>
  <c r="C227" i="11"/>
  <c r="C228" i="11"/>
  <c r="C229" i="11"/>
  <c r="C19" i="11"/>
  <c r="B21" i="11"/>
  <c r="B12" i="13" s="1"/>
  <c r="B22" i="11"/>
  <c r="B23" i="11"/>
  <c r="B30" i="11"/>
  <c r="B31" i="11"/>
  <c r="B32" i="11"/>
  <c r="B33" i="11"/>
  <c r="B34" i="11"/>
  <c r="B123" i="13" s="1"/>
  <c r="B35" i="11"/>
  <c r="B137" i="13" s="1"/>
  <c r="B36" i="11"/>
  <c r="B37" i="11"/>
  <c r="B164" i="15" s="1"/>
  <c r="B38" i="11"/>
  <c r="B151" i="13" s="1"/>
  <c r="B39" i="11"/>
  <c r="B161" i="13" s="1"/>
  <c r="B40" i="11"/>
  <c r="B41" i="11"/>
  <c r="B207" i="15" s="1"/>
  <c r="B42" i="11"/>
  <c r="B43" i="11"/>
  <c r="B44" i="11"/>
  <c r="B45" i="11"/>
  <c r="B49" i="11"/>
  <c r="B53" i="11"/>
  <c r="B54" i="11"/>
  <c r="B57" i="11"/>
  <c r="B58" i="11"/>
  <c r="B339" i="13" s="1"/>
  <c r="B59" i="11"/>
  <c r="B68" i="11"/>
  <c r="B69" i="11"/>
  <c r="B70" i="11"/>
  <c r="B71" i="11"/>
  <c r="B72" i="11"/>
  <c r="B73" i="11"/>
  <c r="B74" i="11"/>
  <c r="B75" i="11"/>
  <c r="B76" i="11"/>
  <c r="B77" i="11"/>
  <c r="B80" i="11"/>
  <c r="B81" i="11"/>
  <c r="B84" i="11"/>
  <c r="B85" i="11"/>
  <c r="B88" i="11"/>
  <c r="B89" i="11"/>
  <c r="B94" i="11"/>
  <c r="B95" i="11"/>
  <c r="B96" i="11"/>
  <c r="B97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19" i="11"/>
  <c r="B120" i="11"/>
  <c r="B121" i="11"/>
  <c r="B122" i="11"/>
  <c r="B123" i="11"/>
  <c r="B124" i="11"/>
  <c r="B125" i="11"/>
  <c r="B126" i="11"/>
  <c r="B127" i="11"/>
  <c r="B128" i="11"/>
  <c r="B129" i="11"/>
  <c r="B132" i="11"/>
  <c r="B133" i="11"/>
  <c r="B134" i="11"/>
  <c r="B135" i="11"/>
  <c r="B136" i="11"/>
  <c r="B137" i="11"/>
  <c r="B685" i="15" s="1"/>
  <c r="B138" i="11"/>
  <c r="B139" i="11"/>
  <c r="B140" i="11"/>
  <c r="B720" i="15" s="1"/>
  <c r="B141" i="11"/>
  <c r="B142" i="11"/>
  <c r="B143" i="11"/>
  <c r="B513" i="13" s="1"/>
  <c r="B144" i="11"/>
  <c r="B754" i="15" s="1"/>
  <c r="B145" i="11"/>
  <c r="B146" i="11"/>
  <c r="B147" i="11"/>
  <c r="B148" i="11"/>
  <c r="B149" i="11"/>
  <c r="B150" i="11"/>
  <c r="B151" i="11"/>
  <c r="B152" i="11"/>
  <c r="B153" i="11"/>
  <c r="B154" i="11"/>
  <c r="B155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3" i="11"/>
  <c r="B204" i="11"/>
  <c r="B205" i="11"/>
  <c r="B206" i="11"/>
  <c r="B207" i="11"/>
  <c r="B208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5" i="11"/>
  <c r="B226" i="11"/>
  <c r="B227" i="11"/>
  <c r="B228" i="11"/>
  <c r="B229" i="11"/>
  <c r="B19" i="11"/>
  <c r="B624" i="13" l="1"/>
  <c r="B865" i="15"/>
  <c r="B563" i="13"/>
  <c r="B804" i="15"/>
  <c r="B545" i="13"/>
  <c r="B786" i="15"/>
  <c r="B509" i="13"/>
  <c r="B750" i="15"/>
  <c r="B448" i="13"/>
  <c r="B689" i="15"/>
  <c r="B389" i="13"/>
  <c r="B630" i="15"/>
  <c r="A592" i="13"/>
  <c r="A833" i="15"/>
  <c r="A553" i="13"/>
  <c r="A794" i="15"/>
  <c r="A513" i="13"/>
  <c r="A754" i="15"/>
  <c r="A479" i="13"/>
  <c r="A720" i="15"/>
  <c r="A440" i="13"/>
  <c r="A681" i="15"/>
  <c r="A381" i="13"/>
  <c r="A622" i="15"/>
  <c r="B597" i="13"/>
  <c r="B838" i="15"/>
  <c r="B558" i="13"/>
  <c r="B799" i="15"/>
  <c r="B517" i="13"/>
  <c r="B758" i="15"/>
  <c r="B483" i="13"/>
  <c r="B724" i="15"/>
  <c r="B385" i="13"/>
  <c r="B626" i="15"/>
  <c r="B332" i="13"/>
  <c r="B320" i="15"/>
  <c r="A588" i="13"/>
  <c r="A829" i="15"/>
  <c r="A549" i="13"/>
  <c r="A790" i="15"/>
  <c r="A475" i="13"/>
  <c r="A716" i="15"/>
  <c r="A417" i="13"/>
  <c r="A658" i="15"/>
  <c r="B592" i="13"/>
  <c r="B833" i="15"/>
  <c r="B553" i="13"/>
  <c r="B794" i="15"/>
  <c r="B440" i="13"/>
  <c r="B681" i="15"/>
  <c r="B381" i="13"/>
  <c r="B622" i="15"/>
  <c r="B348" i="13"/>
  <c r="B562" i="15"/>
  <c r="A624" i="13"/>
  <c r="A865" i="15"/>
  <c r="A563" i="13"/>
  <c r="A804" i="15"/>
  <c r="A545" i="13"/>
  <c r="A786" i="15"/>
  <c r="A509" i="13"/>
  <c r="A750" i="15"/>
  <c r="A448" i="13"/>
  <c r="A689" i="15"/>
  <c r="A389" i="13"/>
  <c r="A630" i="15"/>
  <c r="B588" i="13"/>
  <c r="B829" i="15"/>
  <c r="B549" i="13"/>
  <c r="B790" i="15"/>
  <c r="B475" i="13"/>
  <c r="B716" i="15"/>
  <c r="B417" i="13"/>
  <c r="B658" i="15"/>
  <c r="A597" i="13"/>
  <c r="A838" i="15"/>
  <c r="A558" i="13"/>
  <c r="A799" i="15"/>
  <c r="A517" i="13"/>
  <c r="A758" i="15"/>
  <c r="A483" i="13"/>
  <c r="A724" i="15"/>
  <c r="A444" i="13"/>
  <c r="A685" i="15"/>
  <c r="A385" i="13"/>
  <c r="A626" i="15"/>
  <c r="B479" i="13"/>
  <c r="B444" i="13"/>
  <c r="J153" i="11"/>
  <c r="K153" i="11"/>
  <c r="L153" i="11" s="1"/>
  <c r="J89" i="11"/>
  <c r="K89" i="11"/>
  <c r="L89" i="11" s="1"/>
  <c r="J102" i="11"/>
  <c r="K102" i="11"/>
  <c r="L102" i="11" s="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E227" i="11"/>
  <c r="H201" i="3"/>
  <c r="E219" i="11"/>
  <c r="H193" i="3"/>
  <c r="E211" i="11"/>
  <c r="H189" i="3"/>
  <c r="E207" i="11"/>
  <c r="H181" i="3"/>
  <c r="E199" i="11"/>
  <c r="H173" i="3"/>
  <c r="E191" i="11"/>
  <c r="H165" i="3"/>
  <c r="E183" i="11"/>
  <c r="H149" i="3"/>
  <c r="E167" i="11"/>
  <c r="H141" i="3"/>
  <c r="E159" i="11"/>
  <c r="H133" i="3"/>
  <c r="E151" i="11"/>
  <c r="H125" i="3"/>
  <c r="E143" i="11"/>
  <c r="H117" i="3"/>
  <c r="E135" i="11"/>
  <c r="H105" i="3"/>
  <c r="E123" i="11"/>
  <c r="H97" i="3"/>
  <c r="E115" i="11"/>
  <c r="H85" i="3"/>
  <c r="E103" i="11"/>
  <c r="H73" i="3"/>
  <c r="E90" i="11"/>
  <c r="H57" i="3"/>
  <c r="E74" i="11"/>
  <c r="H41" i="3"/>
  <c r="E53" i="11"/>
  <c r="H33" i="3"/>
  <c r="E44" i="11"/>
  <c r="H25" i="3"/>
  <c r="E36" i="11"/>
  <c r="H13" i="3"/>
  <c r="E20" i="11"/>
  <c r="H208" i="3"/>
  <c r="E226" i="11"/>
  <c r="H200" i="3"/>
  <c r="E218" i="11"/>
  <c r="H188" i="3"/>
  <c r="E206" i="11"/>
  <c r="H180" i="3"/>
  <c r="E198" i="11"/>
  <c r="H172" i="3"/>
  <c r="E190" i="11"/>
  <c r="H164" i="3"/>
  <c r="E182" i="11"/>
  <c r="H148" i="3"/>
  <c r="E166" i="11"/>
  <c r="H140" i="3"/>
  <c r="E158" i="11"/>
  <c r="H132" i="3"/>
  <c r="E150" i="11"/>
  <c r="H124" i="3"/>
  <c r="E142" i="11"/>
  <c r="H116" i="3"/>
  <c r="E134" i="11"/>
  <c r="H108" i="3"/>
  <c r="E126" i="11"/>
  <c r="H100" i="3"/>
  <c r="E118" i="11"/>
  <c r="H92" i="3"/>
  <c r="E110" i="11"/>
  <c r="H60" i="3"/>
  <c r="E77" i="11"/>
  <c r="H56" i="3"/>
  <c r="E73" i="11"/>
  <c r="H32" i="3"/>
  <c r="E43" i="11"/>
  <c r="H24" i="3"/>
  <c r="E35" i="11"/>
  <c r="H16" i="3"/>
  <c r="E23" i="11"/>
  <c r="H211" i="3"/>
  <c r="E229" i="11"/>
  <c r="H207" i="3"/>
  <c r="E225" i="11"/>
  <c r="H203" i="3"/>
  <c r="E221" i="11"/>
  <c r="H199" i="3"/>
  <c r="E217" i="11"/>
  <c r="H195" i="3"/>
  <c r="E213" i="11"/>
  <c r="H187" i="3"/>
  <c r="E205" i="11"/>
  <c r="H179" i="3"/>
  <c r="E197" i="11"/>
  <c r="H175" i="3"/>
  <c r="E193" i="11"/>
  <c r="H171" i="3"/>
  <c r="E189" i="11"/>
  <c r="H167" i="3"/>
  <c r="E185" i="11"/>
  <c r="H163" i="3"/>
  <c r="E181" i="11"/>
  <c r="H159" i="3"/>
  <c r="E177" i="11"/>
  <c r="H155" i="3"/>
  <c r="E173" i="11"/>
  <c r="H151" i="3"/>
  <c r="E169" i="11"/>
  <c r="H147" i="3"/>
  <c r="E165" i="11"/>
  <c r="H143" i="3"/>
  <c r="E161" i="11"/>
  <c r="H131" i="3"/>
  <c r="E149" i="11"/>
  <c r="H127" i="3"/>
  <c r="E145" i="11"/>
  <c r="H123" i="3"/>
  <c r="E141" i="11"/>
  <c r="H119" i="3"/>
  <c r="E137" i="11"/>
  <c r="H115" i="3"/>
  <c r="E133" i="11"/>
  <c r="H111" i="3"/>
  <c r="E129" i="11"/>
  <c r="H107" i="3"/>
  <c r="E125" i="11"/>
  <c r="H103" i="3"/>
  <c r="E121" i="11"/>
  <c r="H99" i="3"/>
  <c r="E117" i="11"/>
  <c r="H95" i="3"/>
  <c r="E113" i="11"/>
  <c r="H91" i="3"/>
  <c r="E109" i="11"/>
  <c r="H87" i="3"/>
  <c r="E105" i="11"/>
  <c r="H79" i="3"/>
  <c r="E96" i="11"/>
  <c r="H71" i="3"/>
  <c r="E88" i="11"/>
  <c r="H67" i="3"/>
  <c r="E84" i="11"/>
  <c r="H63" i="3"/>
  <c r="E80" i="11"/>
  <c r="H59" i="3"/>
  <c r="E76" i="11"/>
  <c r="H55" i="3"/>
  <c r="E72" i="11"/>
  <c r="H197" i="3"/>
  <c r="E215" i="11"/>
  <c r="H185" i="3"/>
  <c r="E203" i="11"/>
  <c r="H177" i="3"/>
  <c r="E195" i="11"/>
  <c r="H169" i="3"/>
  <c r="E187" i="11"/>
  <c r="H161" i="3"/>
  <c r="E179" i="11"/>
  <c r="H153" i="3"/>
  <c r="E171" i="11"/>
  <c r="H145" i="3"/>
  <c r="E163" i="11"/>
  <c r="H137" i="3"/>
  <c r="E155" i="11"/>
  <c r="H129" i="3"/>
  <c r="E147" i="11"/>
  <c r="H121" i="3"/>
  <c r="E139" i="11"/>
  <c r="H109" i="3"/>
  <c r="E127" i="11"/>
  <c r="H101" i="3"/>
  <c r="E119" i="11"/>
  <c r="H93" i="3"/>
  <c r="E111" i="11"/>
  <c r="H89" i="3"/>
  <c r="E107" i="11"/>
  <c r="H77" i="3"/>
  <c r="E94" i="11"/>
  <c r="H53" i="3"/>
  <c r="E70" i="11"/>
  <c r="H45" i="3"/>
  <c r="E57" i="11"/>
  <c r="H37" i="3"/>
  <c r="E48" i="11"/>
  <c r="H29" i="3"/>
  <c r="E40" i="11"/>
  <c r="H21" i="3"/>
  <c r="E32" i="11"/>
  <c r="H12" i="3"/>
  <c r="E19" i="11"/>
  <c r="H204" i="3"/>
  <c r="E222" i="11"/>
  <c r="H196" i="3"/>
  <c r="E214" i="11"/>
  <c r="H176" i="3"/>
  <c r="E194" i="11"/>
  <c r="H168" i="3"/>
  <c r="E186" i="11"/>
  <c r="H160" i="3"/>
  <c r="E178" i="11"/>
  <c r="H152" i="3"/>
  <c r="E170" i="11"/>
  <c r="H144" i="3"/>
  <c r="E162" i="11"/>
  <c r="H136" i="3"/>
  <c r="E154" i="11"/>
  <c r="H128" i="3"/>
  <c r="E146" i="11"/>
  <c r="H120" i="3"/>
  <c r="E138" i="11"/>
  <c r="H104" i="3"/>
  <c r="E122" i="11"/>
  <c r="H96" i="3"/>
  <c r="E114" i="11"/>
  <c r="H88" i="3"/>
  <c r="E106" i="11"/>
  <c r="H80" i="3"/>
  <c r="E97" i="11"/>
  <c r="H68" i="3"/>
  <c r="E85" i="11"/>
  <c r="H64" i="3"/>
  <c r="E81" i="11"/>
  <c r="H52" i="3"/>
  <c r="E69" i="11"/>
  <c r="H28" i="3"/>
  <c r="E39" i="11"/>
  <c r="H20" i="3"/>
  <c r="E31" i="11"/>
  <c r="H210" i="3"/>
  <c r="E228" i="11"/>
  <c r="H202" i="3"/>
  <c r="E220" i="11"/>
  <c r="H198" i="3"/>
  <c r="E216" i="11"/>
  <c r="H194" i="3"/>
  <c r="H192" i="3" s="1"/>
  <c r="E212" i="11"/>
  <c r="H190" i="3"/>
  <c r="E208" i="11"/>
  <c r="H186" i="3"/>
  <c r="E204" i="11"/>
  <c r="H182" i="3"/>
  <c r="E200" i="11"/>
  <c r="H178" i="3"/>
  <c r="E196" i="11"/>
  <c r="H174" i="3"/>
  <c r="E192" i="11"/>
  <c r="H170" i="3"/>
  <c r="E188" i="11"/>
  <c r="H166" i="3"/>
  <c r="E184" i="11"/>
  <c r="H162" i="3"/>
  <c r="E180" i="11"/>
  <c r="H158" i="3"/>
  <c r="H157" i="3" s="1"/>
  <c r="E176" i="11"/>
  <c r="H154" i="3"/>
  <c r="E172" i="11"/>
  <c r="H150" i="3"/>
  <c r="E168" i="11"/>
  <c r="H146" i="3"/>
  <c r="E164" i="11"/>
  <c r="H142" i="3"/>
  <c r="E160" i="11"/>
  <c r="H134" i="3"/>
  <c r="E152" i="11"/>
  <c r="H130" i="3"/>
  <c r="E148" i="11"/>
  <c r="H126" i="3"/>
  <c r="E144" i="11"/>
  <c r="H122" i="3"/>
  <c r="E140" i="11"/>
  <c r="H118" i="3"/>
  <c r="E136" i="11"/>
  <c r="H114" i="3"/>
  <c r="E132" i="11"/>
  <c r="H110" i="3"/>
  <c r="E128" i="11"/>
  <c r="H106" i="3"/>
  <c r="E124" i="11"/>
  <c r="H102" i="3"/>
  <c r="E120" i="11"/>
  <c r="H98" i="3"/>
  <c r="E116" i="11"/>
  <c r="H94" i="3"/>
  <c r="E112" i="11"/>
  <c r="H90" i="3"/>
  <c r="E108" i="11"/>
  <c r="H86" i="3"/>
  <c r="H83" i="3" s="1"/>
  <c r="E104" i="11"/>
  <c r="H78" i="3"/>
  <c r="E95" i="11"/>
  <c r="H74" i="3"/>
  <c r="E91" i="11"/>
  <c r="H58" i="3"/>
  <c r="E75" i="11"/>
  <c r="H54" i="3"/>
  <c r="E71" i="11"/>
  <c r="H51" i="3"/>
  <c r="E68" i="11"/>
  <c r="H47" i="3"/>
  <c r="E59" i="11"/>
  <c r="H31" i="3"/>
  <c r="E42" i="11"/>
  <c r="H27" i="3"/>
  <c r="E38" i="11"/>
  <c r="H23" i="3"/>
  <c r="E34" i="11"/>
  <c r="H19" i="3"/>
  <c r="E30" i="11"/>
  <c r="H15" i="3"/>
  <c r="E22" i="11"/>
  <c r="H46" i="3"/>
  <c r="H44" i="3" s="1"/>
  <c r="E58" i="11"/>
  <c r="H42" i="3"/>
  <c r="E54" i="11"/>
  <c r="H38" i="3"/>
  <c r="E49" i="11"/>
  <c r="H34" i="3"/>
  <c r="E45" i="11"/>
  <c r="H30" i="3"/>
  <c r="E41" i="11"/>
  <c r="H26" i="3"/>
  <c r="E37" i="11"/>
  <c r="H22" i="3"/>
  <c r="E33" i="11"/>
  <c r="H14" i="3"/>
  <c r="H11" i="3" s="1"/>
  <c r="E21" i="11"/>
  <c r="H66" i="3"/>
  <c r="H62" i="3"/>
  <c r="H76" i="3"/>
  <c r="H50" i="3"/>
  <c r="H40" i="3"/>
  <c r="H36" i="3"/>
  <c r="H18" i="3" l="1"/>
  <c r="H184" i="3"/>
  <c r="H70" i="3"/>
  <c r="H139" i="3"/>
  <c r="H206" i="3"/>
  <c r="H113" i="3"/>
  <c r="I33" i="11"/>
  <c r="K33" i="11"/>
  <c r="J33" i="11"/>
  <c r="I49" i="11"/>
  <c r="K49" i="11"/>
  <c r="J49" i="11"/>
  <c r="I58" i="11"/>
  <c r="J58" i="11"/>
  <c r="K58" i="11"/>
  <c r="I38" i="11"/>
  <c r="K38" i="11"/>
  <c r="J38" i="11"/>
  <c r="I91" i="11"/>
  <c r="J91" i="11"/>
  <c r="K91" i="11"/>
  <c r="I112" i="11"/>
  <c r="K112" i="11"/>
  <c r="J112" i="11"/>
  <c r="I128" i="11"/>
  <c r="K128" i="11"/>
  <c r="J128" i="11"/>
  <c r="I136" i="11"/>
  <c r="J136" i="11"/>
  <c r="K136" i="11"/>
  <c r="I164" i="11"/>
  <c r="K164" i="11"/>
  <c r="J164" i="11"/>
  <c r="I172" i="11"/>
  <c r="K172" i="11"/>
  <c r="J172" i="11"/>
  <c r="I196" i="11"/>
  <c r="J196" i="11"/>
  <c r="K196" i="11"/>
  <c r="I204" i="11"/>
  <c r="K204" i="11"/>
  <c r="J204" i="11"/>
  <c r="I220" i="11"/>
  <c r="K220" i="11"/>
  <c r="J220" i="11"/>
  <c r="I69" i="11"/>
  <c r="J69" i="11"/>
  <c r="K69" i="11"/>
  <c r="I106" i="11"/>
  <c r="K106" i="11"/>
  <c r="J106" i="11"/>
  <c r="I122" i="11"/>
  <c r="K122" i="11"/>
  <c r="J122" i="11"/>
  <c r="I162" i="11"/>
  <c r="J162" i="11"/>
  <c r="K162" i="11"/>
  <c r="I178" i="11"/>
  <c r="K178" i="11"/>
  <c r="J178" i="11"/>
  <c r="I194" i="11"/>
  <c r="K194" i="11"/>
  <c r="J194" i="11"/>
  <c r="I32" i="11"/>
  <c r="J32" i="11"/>
  <c r="K32" i="11"/>
  <c r="I70" i="11"/>
  <c r="J70" i="11"/>
  <c r="K70" i="11"/>
  <c r="I119" i="11"/>
  <c r="J119" i="11"/>
  <c r="K119" i="11"/>
  <c r="I155" i="11"/>
  <c r="K155" i="11"/>
  <c r="J155" i="11"/>
  <c r="I187" i="11"/>
  <c r="K187" i="11"/>
  <c r="J187" i="11"/>
  <c r="I72" i="11"/>
  <c r="K72" i="11"/>
  <c r="J72" i="11"/>
  <c r="I88" i="11"/>
  <c r="J88" i="11"/>
  <c r="K88" i="11"/>
  <c r="I113" i="11"/>
  <c r="J113" i="11"/>
  <c r="K113" i="11"/>
  <c r="I129" i="11"/>
  <c r="K129" i="11"/>
  <c r="J129" i="11"/>
  <c r="I145" i="11"/>
  <c r="J145" i="11"/>
  <c r="K145" i="11"/>
  <c r="I169" i="11"/>
  <c r="K169" i="11"/>
  <c r="J169" i="11"/>
  <c r="I185" i="11"/>
  <c r="J185" i="11"/>
  <c r="K185" i="11"/>
  <c r="I205" i="11"/>
  <c r="K205" i="11"/>
  <c r="J205" i="11"/>
  <c r="I225" i="11"/>
  <c r="K225" i="11"/>
  <c r="J225" i="11"/>
  <c r="I43" i="11"/>
  <c r="J43" i="11"/>
  <c r="K43" i="11"/>
  <c r="I118" i="11"/>
  <c r="J118" i="11"/>
  <c r="K118" i="11"/>
  <c r="I150" i="11"/>
  <c r="K150" i="11"/>
  <c r="J150" i="11"/>
  <c r="I190" i="11"/>
  <c r="K190" i="11"/>
  <c r="J190" i="11"/>
  <c r="I226" i="11"/>
  <c r="J226" i="11"/>
  <c r="K226" i="11"/>
  <c r="I53" i="11"/>
  <c r="J53" i="11"/>
  <c r="K53" i="11"/>
  <c r="I115" i="11"/>
  <c r="J115" i="11"/>
  <c r="K115" i="11"/>
  <c r="I151" i="11"/>
  <c r="K151" i="11"/>
  <c r="J151" i="11"/>
  <c r="I191" i="11"/>
  <c r="J191" i="11"/>
  <c r="K191" i="11"/>
  <c r="I207" i="11"/>
  <c r="J207" i="11"/>
  <c r="K207" i="11"/>
  <c r="I37" i="11"/>
  <c r="K37" i="11"/>
  <c r="J37" i="11"/>
  <c r="I22" i="11"/>
  <c r="J22" i="11"/>
  <c r="K22" i="11"/>
  <c r="I42" i="11"/>
  <c r="K42" i="11"/>
  <c r="J42" i="11"/>
  <c r="I75" i="11"/>
  <c r="J75" i="11"/>
  <c r="K75" i="11"/>
  <c r="I108" i="11"/>
  <c r="K108" i="11"/>
  <c r="J108" i="11"/>
  <c r="I124" i="11"/>
  <c r="K124" i="11"/>
  <c r="J124" i="11"/>
  <c r="I140" i="11"/>
  <c r="K140" i="11"/>
  <c r="J140" i="11"/>
  <c r="I160" i="11"/>
  <c r="K160" i="11"/>
  <c r="J160" i="11"/>
  <c r="I176" i="11"/>
  <c r="K176" i="11"/>
  <c r="J176" i="11"/>
  <c r="I184" i="11"/>
  <c r="J184" i="11"/>
  <c r="K184" i="11"/>
  <c r="I192" i="11"/>
  <c r="K192" i="11"/>
  <c r="J192" i="11"/>
  <c r="I208" i="11"/>
  <c r="K208" i="11"/>
  <c r="J208" i="11"/>
  <c r="I216" i="11"/>
  <c r="J216" i="11"/>
  <c r="K216" i="11"/>
  <c r="I228" i="11"/>
  <c r="K228" i="11"/>
  <c r="J228" i="11"/>
  <c r="I39" i="11"/>
  <c r="K39" i="11"/>
  <c r="J39" i="11"/>
  <c r="I81" i="11"/>
  <c r="K81" i="11"/>
  <c r="J81" i="11"/>
  <c r="I97" i="11"/>
  <c r="K97" i="11"/>
  <c r="J97" i="11"/>
  <c r="I114" i="11"/>
  <c r="K114" i="11"/>
  <c r="J114" i="11"/>
  <c r="I138" i="11"/>
  <c r="K138" i="11"/>
  <c r="J138" i="11"/>
  <c r="I154" i="11"/>
  <c r="K154" i="11"/>
  <c r="J154" i="11"/>
  <c r="I170" i="11"/>
  <c r="J170" i="11"/>
  <c r="K170" i="11"/>
  <c r="I186" i="11"/>
  <c r="K186" i="11"/>
  <c r="J186" i="11"/>
  <c r="I214" i="11"/>
  <c r="K214" i="11"/>
  <c r="J214" i="11"/>
  <c r="I19" i="11"/>
  <c r="K19" i="11"/>
  <c r="J19" i="11"/>
  <c r="I40" i="11"/>
  <c r="J40" i="11"/>
  <c r="K40" i="11"/>
  <c r="I57" i="11"/>
  <c r="K57" i="11"/>
  <c r="J57" i="11"/>
  <c r="I94" i="11"/>
  <c r="J94" i="11"/>
  <c r="I111" i="11"/>
  <c r="J111" i="11"/>
  <c r="K111" i="11"/>
  <c r="I127" i="11"/>
  <c r="J127" i="11"/>
  <c r="K127" i="11"/>
  <c r="I147" i="11"/>
  <c r="J147" i="11"/>
  <c r="K147" i="11"/>
  <c r="I163" i="11"/>
  <c r="J163" i="11"/>
  <c r="K163" i="11"/>
  <c r="I179" i="11"/>
  <c r="K179" i="11"/>
  <c r="J179" i="11"/>
  <c r="I195" i="11"/>
  <c r="K195" i="11"/>
  <c r="J195" i="11"/>
  <c r="I215" i="11"/>
  <c r="K215" i="11"/>
  <c r="J215" i="11"/>
  <c r="I76" i="11"/>
  <c r="J76" i="11"/>
  <c r="K76" i="11"/>
  <c r="I84" i="11"/>
  <c r="K84" i="11"/>
  <c r="J84" i="11"/>
  <c r="I96" i="11"/>
  <c r="K96" i="11"/>
  <c r="J96" i="11"/>
  <c r="I109" i="11"/>
  <c r="K109" i="11"/>
  <c r="J109" i="11"/>
  <c r="I117" i="11"/>
  <c r="K117" i="11"/>
  <c r="J117" i="11"/>
  <c r="I125" i="11"/>
  <c r="K125" i="11"/>
  <c r="J125" i="11"/>
  <c r="I133" i="11"/>
  <c r="J133" i="11"/>
  <c r="K133" i="11"/>
  <c r="I141" i="11"/>
  <c r="J141" i="11"/>
  <c r="K141" i="11"/>
  <c r="I149" i="11"/>
  <c r="J149" i="11"/>
  <c r="K149" i="11"/>
  <c r="I165" i="11"/>
  <c r="J165" i="11"/>
  <c r="K165" i="11"/>
  <c r="I173" i="11"/>
  <c r="K173" i="11"/>
  <c r="J173" i="11"/>
  <c r="I181" i="11"/>
  <c r="J181" i="11"/>
  <c r="K181" i="11"/>
  <c r="I189" i="11"/>
  <c r="J189" i="11"/>
  <c r="K189" i="11"/>
  <c r="I197" i="11"/>
  <c r="J197" i="11"/>
  <c r="K197" i="11"/>
  <c r="I213" i="11"/>
  <c r="J213" i="11"/>
  <c r="K213" i="11"/>
  <c r="I221" i="11"/>
  <c r="J221" i="11"/>
  <c r="K221" i="11"/>
  <c r="I229" i="11"/>
  <c r="K229" i="11"/>
  <c r="J229" i="11"/>
  <c r="I35" i="11"/>
  <c r="J35" i="11"/>
  <c r="K35" i="11"/>
  <c r="I73" i="11"/>
  <c r="K73" i="11"/>
  <c r="J73" i="11"/>
  <c r="I110" i="11"/>
  <c r="J110" i="11"/>
  <c r="K110" i="11"/>
  <c r="I126" i="11"/>
  <c r="J126" i="11"/>
  <c r="K126" i="11"/>
  <c r="I142" i="11"/>
  <c r="K142" i="11"/>
  <c r="J142" i="11"/>
  <c r="I158" i="11"/>
  <c r="K158" i="11"/>
  <c r="J158" i="11"/>
  <c r="I182" i="11"/>
  <c r="K182" i="11"/>
  <c r="J182" i="11"/>
  <c r="I198" i="11"/>
  <c r="K198" i="11"/>
  <c r="J198" i="11"/>
  <c r="I218" i="11"/>
  <c r="K218" i="11"/>
  <c r="J218" i="11"/>
  <c r="I20" i="11"/>
  <c r="J20" i="11"/>
  <c r="K20" i="11"/>
  <c r="I44" i="11"/>
  <c r="J44" i="11"/>
  <c r="K44" i="11"/>
  <c r="I74" i="11"/>
  <c r="J74" i="11"/>
  <c r="K74" i="11"/>
  <c r="I103" i="11"/>
  <c r="J103" i="11"/>
  <c r="K103" i="11"/>
  <c r="I123" i="11"/>
  <c r="J123" i="11"/>
  <c r="K123" i="11"/>
  <c r="I143" i="11"/>
  <c r="K143" i="11"/>
  <c r="J143" i="11"/>
  <c r="I159" i="11"/>
  <c r="J159" i="11"/>
  <c r="K159" i="11"/>
  <c r="I183" i="11"/>
  <c r="J183" i="11"/>
  <c r="K183" i="11"/>
  <c r="I199" i="11"/>
  <c r="K199" i="11"/>
  <c r="J199" i="11"/>
  <c r="I211" i="11"/>
  <c r="J211" i="11"/>
  <c r="K211" i="11"/>
  <c r="I227" i="11"/>
  <c r="J227" i="11"/>
  <c r="K227" i="11"/>
  <c r="I41" i="11"/>
  <c r="J41" i="11"/>
  <c r="K41" i="11"/>
  <c r="I30" i="11"/>
  <c r="K30" i="11"/>
  <c r="J30" i="11"/>
  <c r="I59" i="11"/>
  <c r="J59" i="11"/>
  <c r="K59" i="11"/>
  <c r="I71" i="11"/>
  <c r="J71" i="11"/>
  <c r="K71" i="11"/>
  <c r="I104" i="11"/>
  <c r="K104" i="11"/>
  <c r="J104" i="11"/>
  <c r="I120" i="11"/>
  <c r="K120" i="11"/>
  <c r="J120" i="11"/>
  <c r="I144" i="11"/>
  <c r="J144" i="11"/>
  <c r="K144" i="11"/>
  <c r="I152" i="11"/>
  <c r="J152" i="11"/>
  <c r="K152" i="11"/>
  <c r="I180" i="11"/>
  <c r="J180" i="11"/>
  <c r="K180" i="11"/>
  <c r="I188" i="11"/>
  <c r="J188" i="11"/>
  <c r="K188" i="11"/>
  <c r="I212" i="11"/>
  <c r="K212" i="11"/>
  <c r="J212" i="11"/>
  <c r="I31" i="11"/>
  <c r="K31" i="11"/>
  <c r="J31" i="11"/>
  <c r="I85" i="11"/>
  <c r="K85" i="11"/>
  <c r="J85" i="11"/>
  <c r="I146" i="11"/>
  <c r="K146" i="11"/>
  <c r="J146" i="11"/>
  <c r="I222" i="11"/>
  <c r="K222" i="11"/>
  <c r="J222" i="11"/>
  <c r="I48" i="11"/>
  <c r="K48" i="11"/>
  <c r="J48" i="11"/>
  <c r="I107" i="11"/>
  <c r="J107" i="11"/>
  <c r="K107" i="11"/>
  <c r="I139" i="11"/>
  <c r="J139" i="11"/>
  <c r="K139" i="11"/>
  <c r="I171" i="11"/>
  <c r="J171" i="11"/>
  <c r="K171" i="11"/>
  <c r="I203" i="11"/>
  <c r="J203" i="11"/>
  <c r="K203" i="11"/>
  <c r="I80" i="11"/>
  <c r="K80" i="11"/>
  <c r="J80" i="11"/>
  <c r="I105" i="11"/>
  <c r="K105" i="11"/>
  <c r="J105" i="11"/>
  <c r="I121" i="11"/>
  <c r="J121" i="11"/>
  <c r="K121" i="11"/>
  <c r="I137" i="11"/>
  <c r="J137" i="11"/>
  <c r="K137" i="11"/>
  <c r="I161" i="11"/>
  <c r="K161" i="11"/>
  <c r="J161" i="11"/>
  <c r="I177" i="11"/>
  <c r="J177" i="11"/>
  <c r="K177" i="11"/>
  <c r="I193" i="11"/>
  <c r="J193" i="11"/>
  <c r="K193" i="11"/>
  <c r="I217" i="11"/>
  <c r="J217" i="11"/>
  <c r="K217" i="11"/>
  <c r="I23" i="11"/>
  <c r="K23" i="11"/>
  <c r="J23" i="11"/>
  <c r="I77" i="11"/>
  <c r="J77" i="11"/>
  <c r="K77" i="11"/>
  <c r="I134" i="11"/>
  <c r="K134" i="11"/>
  <c r="J134" i="11"/>
  <c r="I166" i="11"/>
  <c r="K166" i="11"/>
  <c r="J166" i="11"/>
  <c r="I206" i="11"/>
  <c r="J206" i="11"/>
  <c r="K206" i="11"/>
  <c r="I36" i="11"/>
  <c r="J36" i="11"/>
  <c r="K36" i="11"/>
  <c r="I90" i="11"/>
  <c r="K90" i="11"/>
  <c r="J90" i="11"/>
  <c r="I135" i="11"/>
  <c r="K135" i="11"/>
  <c r="J135" i="11"/>
  <c r="I167" i="11"/>
  <c r="J167" i="11"/>
  <c r="K167" i="11"/>
  <c r="I219" i="11"/>
  <c r="K219" i="11"/>
  <c r="J219" i="11"/>
  <c r="I21" i="11"/>
  <c r="K21" i="11"/>
  <c r="J21" i="11"/>
  <c r="I45" i="11"/>
  <c r="K45" i="11"/>
  <c r="J45" i="11"/>
  <c r="I54" i="11"/>
  <c r="K54" i="11"/>
  <c r="J54" i="11"/>
  <c r="I34" i="11"/>
  <c r="K34" i="11"/>
  <c r="J34" i="11"/>
  <c r="I68" i="11"/>
  <c r="K68" i="11"/>
  <c r="J68" i="11"/>
  <c r="I95" i="11"/>
  <c r="J95" i="11"/>
  <c r="K95" i="11"/>
  <c r="I116" i="11"/>
  <c r="K116" i="11"/>
  <c r="J116" i="11"/>
  <c r="I132" i="11"/>
  <c r="I148" i="11"/>
  <c r="J148" i="11"/>
  <c r="K148" i="11"/>
  <c r="I168" i="11"/>
  <c r="K168" i="11"/>
  <c r="J168" i="11"/>
  <c r="I200" i="11"/>
  <c r="J200" i="11"/>
  <c r="K200" i="11"/>
  <c r="H82" i="3"/>
  <c r="H49" i="3"/>
  <c r="L116" i="11" l="1"/>
  <c r="L23" i="11"/>
  <c r="L104" i="11"/>
  <c r="L155" i="11"/>
  <c r="L106" i="11"/>
  <c r="L128" i="11"/>
  <c r="L154" i="11"/>
  <c r="L80" i="11"/>
  <c r="L85" i="11"/>
  <c r="L218" i="11"/>
  <c r="L84" i="11"/>
  <c r="L208" i="11"/>
  <c r="L77" i="11"/>
  <c r="L20" i="11"/>
  <c r="L127" i="11"/>
  <c r="L170" i="11"/>
  <c r="L216" i="11"/>
  <c r="L115" i="11"/>
  <c r="L222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108" i="11"/>
  <c r="L22" i="11"/>
  <c r="L145" i="11"/>
  <c r="L187" i="11"/>
  <c r="L70" i="11"/>
  <c r="L122" i="11"/>
  <c r="L91" i="11"/>
  <c r="L136" i="11"/>
  <c r="L105" i="11"/>
  <c r="L146" i="11"/>
  <c r="L120" i="11"/>
  <c r="L199" i="11"/>
  <c r="L73" i="11"/>
  <c r="L173" i="11"/>
  <c r="L96" i="11"/>
  <c r="L205" i="11"/>
  <c r="L36" i="11"/>
  <c r="L177" i="11"/>
  <c r="L139" i="11"/>
  <c r="L188" i="11"/>
  <c r="L123" i="11"/>
  <c r="L213" i="11"/>
  <c r="L133" i="11"/>
  <c r="L40" i="11"/>
  <c r="L148" i="11"/>
  <c r="L121" i="11"/>
  <c r="L144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43" i="11"/>
  <c r="L182" i="11"/>
  <c r="L215" i="11"/>
  <c r="L57" i="11"/>
  <c r="L114" i="11"/>
  <c r="L190" i="11"/>
  <c r="L220" i="11"/>
  <c r="L32" i="11"/>
  <c r="L34" i="11"/>
  <c r="L30" i="11"/>
  <c r="L158" i="11"/>
  <c r="L195" i="11"/>
  <c r="L97" i="11"/>
  <c r="L176" i="11"/>
  <c r="L37" i="11"/>
  <c r="L150" i="11"/>
  <c r="L129" i="11"/>
  <c r="L204" i="11"/>
  <c r="L38" i="11"/>
  <c r="L19" i="11"/>
  <c r="I230" i="11"/>
  <c r="G13" i="11" s="1"/>
  <c r="L95" i="11"/>
  <c r="L68" i="11"/>
  <c r="L21" i="11"/>
  <c r="L90" i="11"/>
  <c r="L134" i="11"/>
  <c r="L217" i="11"/>
  <c r="L137" i="11"/>
  <c r="L203" i="11"/>
  <c r="L152" i="11"/>
  <c r="L71" i="11"/>
  <c r="L227" i="11"/>
  <c r="L159" i="11"/>
  <c r="L74" i="11"/>
  <c r="L126" i="11"/>
  <c r="L189" i="11"/>
  <c r="L149" i="11"/>
  <c r="L76" i="11"/>
  <c r="L163" i="11"/>
  <c r="L191" i="11"/>
  <c r="L226" i="11"/>
  <c r="L43" i="11"/>
  <c r="L88" i="11"/>
  <c r="L119" i="11"/>
  <c r="L69" i="11"/>
  <c r="L200" i="11"/>
  <c r="L168" i="11"/>
  <c r="L45" i="11"/>
  <c r="L167" i="11"/>
  <c r="L135" i="11"/>
  <c r="L206" i="11"/>
  <c r="L166" i="11"/>
  <c r="L107" i="11"/>
  <c r="L48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214" i="11"/>
  <c r="L138" i="11"/>
  <c r="L39" i="11"/>
  <c r="L192" i="11"/>
  <c r="L140" i="11"/>
  <c r="L75" i="11"/>
  <c r="L42" i="11"/>
  <c r="L207" i="11"/>
  <c r="L53" i="11"/>
  <c r="L118" i="11"/>
  <c r="L185" i="11"/>
  <c r="L169" i="11"/>
  <c r="L113" i="11"/>
  <c r="L178" i="11"/>
  <c r="L196" i="11"/>
  <c r="L172" i="11"/>
  <c r="L112" i="11"/>
  <c r="L58" i="11"/>
  <c r="L49" i="11"/>
  <c r="H213" i="3"/>
  <c r="H214" i="3" l="1"/>
  <c r="H215" i="3" s="1"/>
  <c r="J24" i="11" l="1"/>
  <c r="H24" i="11"/>
  <c r="K24" i="11" s="1"/>
  <c r="L24" i="11" l="1"/>
  <c r="H132" i="11"/>
  <c r="K132" i="11" s="1"/>
  <c r="J132" i="11"/>
  <c r="J230" i="11"/>
  <c r="I13" i="11" s="1"/>
  <c r="L132" i="11" l="1"/>
  <c r="K230" i="11" l="1"/>
  <c r="L230" i="11" s="1"/>
  <c r="M94" i="11"/>
  <c r="K94" i="11"/>
  <c r="L94" i="11" s="1"/>
</calcChain>
</file>

<file path=xl/sharedStrings.xml><?xml version="1.0" encoding="utf-8"?>
<sst xmlns="http://schemas.openxmlformats.org/spreadsheetml/2006/main" count="2204" uniqueCount="650">
  <si>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</si>
  <si>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</si>
  <si>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</si>
  <si>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</si>
  <si>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</si>
  <si>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</si>
  <si>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</si>
  <si>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</si>
  <si>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</si>
  <si>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</si>
  <si>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</si>
  <si>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</si>
  <si>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</si>
  <si>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</si>
  <si>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</si>
  <si>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</si>
  <si>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</si>
  <si>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</si>
  <si>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</si>
  <si>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</si>
  <si>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</si>
  <si>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</si>
  <si>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</si>
  <si>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</si>
  <si>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</si>
  <si>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</si>
  <si>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</si>
  <si>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</si>
  <si>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</si>
  <si>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</si>
  <si>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</si>
  <si>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</si>
  <si>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</si>
  <si>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</si>
  <si>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</si>
  <si>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</si>
  <si>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</si>
  <si>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</si>
  <si>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</si>
  <si>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</si>
  <si>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</si>
  <si>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</si>
  <si>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</si>
  <si>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</si>
  <si>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</si>
  <si>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</si>
  <si>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</si>
  <si>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</si>
  <si>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</si>
  <si>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</si>
  <si>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</si>
  <si>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</si>
  <si>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</si>
  <si>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</si>
  <si>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</si>
  <si>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</si>
  <si>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</si>
  <si>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</si>
  <si>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</si>
  <si>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</si>
  <si>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</si>
  <si>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</si>
  <si>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</si>
  <si>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</si>
  <si>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</si>
  <si>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</si>
  <si>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</si>
  <si>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</si>
  <si>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</si>
  <si>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</si>
  <si>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</si>
  <si>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</si>
  <si>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</si>
  <si>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</si>
  <si>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</si>
  <si>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</si>
  <si>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</si>
  <si>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</si>
  <si>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</si>
  <si>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</si>
  <si>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</si>
  <si>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</si>
  <si>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</si>
  <si>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</si>
  <si>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</si>
  <si>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</si>
  <si>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</si>
  <si>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</si>
  <si>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</si>
  <si>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</si>
  <si>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</si>
  <si>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</si>
  <si>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</si>
  <si>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</si>
  <si>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</si>
  <si>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</si>
  <si>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</si>
  <si>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</si>
  <si>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</si>
  <si>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</si>
  <si>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</si>
  <si>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</si>
  <si>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</si>
  <si>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</si>
  <si>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</si>
  <si>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</si>
  <si>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</si>
  <si>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</si>
  <si>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</si>
  <si>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</si>
  <si>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</si>
  <si>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</si>
  <si>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</si>
  <si>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</si>
  <si>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</si>
  <si>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</si>
  <si>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</si>
  <si>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</si>
  <si>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</si>
  <si>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</si>
  <si>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</si>
  <si>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</si>
  <si>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</si>
  <si>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</si>
  <si>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</si>
  <si>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</si>
  <si>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</si>
  <si>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</si>
  <si>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</si>
  <si>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</si>
  <si>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</si>
  <si>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</si>
  <si>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</si>
  <si>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</si>
  <si>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</si>
  <si>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</si>
  <si>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</si>
  <si>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</si>
  <si>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</si>
  <si>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</si>
  <si>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</si>
  <si>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</si>
  <si>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</si>
  <si>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</si>
  <si>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</si>
  <si>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</si>
  <si>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</si>
  <si>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</si>
  <si>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</si>
  <si>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</si>
  <si>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</si>
  <si>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</si>
  <si>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</si>
  <si>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</si>
  <si>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</si>
  <si>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</si>
  <si>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</si>
  <si>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</si>
  <si>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</si>
  <si>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</si>
  <si>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</si>
  <si>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</si>
  <si>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</si>
  <si>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</si>
  <si>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</si>
  <si>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</si>
  <si>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</si>
  <si>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</si>
  <si>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</si>
  <si>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</si>
  <si>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</si>
  <si>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</si>
  <si>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</si>
  <si>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</si>
  <si>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</si>
  <si>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</si>
  <si>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</si>
  <si>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</si>
  <si>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</si>
  <si>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</si>
  <si>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</si>
  <si>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</si>
  <si>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</si>
  <si>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</si>
  <si>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</si>
  <si>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</si>
  <si>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</si>
  <si>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</si>
  <si>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</si>
  <si>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</si>
  <si>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</si>
  <si>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</si>
  <si>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</si>
  <si>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</si>
  <si>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</si>
  <si>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</si>
  <si>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</si>
  <si>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</si>
  <si>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</si>
  <si>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</si>
  <si>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</si>
  <si>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</si>
  <si>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</si>
  <si>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</si>
  <si>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</si>
  <si>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</si>
  <si>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</si>
  <si>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</si>
  <si>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</si>
  <si>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</si>
  <si>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</si>
  <si>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</si>
  <si>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</si>
  <si>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</si>
  <si>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</si>
  <si>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</si>
  <si>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</si>
  <si>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</si>
  <si>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</si>
  <si>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</si>
  <si>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</si>
  <si>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</si>
  <si>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</si>
  <si>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</si>
  <si>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</si>
  <si>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</si>
  <si>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</si>
  <si>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</si>
  <si>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</si>
  <si>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</si>
  <si>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</si>
  <si>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</si>
  <si>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</si>
  <si>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</si>
  <si>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</si>
  <si>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</si>
  <si>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</si>
  <si>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</si>
  <si>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</si>
  <si>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</si>
  <si>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</si>
  <si>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</si>
  <si>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</si>
  <si>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</si>
  <si>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</si>
  <si>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</si>
  <si>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</si>
  <si>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</si>
  <si>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</si>
  <si>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</si>
  <si>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</si>
  <si>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</si>
  <si>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</si>
  <si>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</si>
  <si>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</si>
  <si>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</si>
  <si>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</si>
  <si>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</si>
  <si>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</si>
  <si>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</si>
  <si>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</si>
  <si>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</si>
  <si>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</si>
  <si>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</si>
  <si>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</si>
  <si>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</si>
  <si>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</si>
  <si>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</si>
  <si>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</si>
  <si>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</si>
  <si>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</si>
  <si>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</si>
  <si>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</si>
  <si>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</si>
  <si>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</si>
  <si>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</si>
  <si>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</si>
  <si>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</si>
  <si>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</si>
  <si>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</si>
  <si>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</si>
  <si>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</si>
  <si>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</si>
  <si>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</si>
  <si>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</si>
  <si>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</si>
  <si>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</si>
  <si>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</si>
  <si>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</si>
  <si>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</si>
  <si>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</si>
  <si>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</si>
  <si>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</si>
  <si>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</si>
  <si>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</si>
  <si>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</si>
  <si>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</si>
  <si>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</si>
  <si>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</si>
  <si>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</si>
  <si>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</si>
  <si>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</si>
  <si>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</si>
  <si>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</si>
  <si>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</si>
  <si>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</si>
  <si>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</si>
  <si>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</si>
  <si>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</si>
  <si>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</si>
  <si>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</si>
  <si>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</si>
  <si>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</si>
  <si>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</si>
  <si>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</si>
  <si>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</si>
  <si>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</si>
  <si>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</si>
  <si>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</si>
  <si>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</si>
  <si>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</si>
  <si>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</si>
  <si>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</si>
  <si>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</si>
  <si>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</si>
  <si>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</si>
  <si>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</si>
  <si>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</si>
  <si>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</si>
  <si>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</si>
  <si>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</si>
  <si>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</si>
  <si>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</si>
  <si>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</si>
  <si>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</si>
  <si>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</si>
  <si>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</si>
  <si>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</si>
  <si>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</si>
  <si>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</si>
  <si>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</si>
  <si>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</si>
  <si>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</si>
  <si>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</si>
  <si>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</si>
  <si>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</si>
  <si>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</si>
  <si>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</si>
  <si>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</si>
  <si>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</si>
  <si>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</si>
  <si>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</si>
  <si>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</si>
  <si>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</si>
  <si>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</si>
  <si>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</si>
  <si>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</si>
  <si>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</si>
  <si>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</si>
  <si>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</si>
  <si>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</si>
  <si>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</si>
  <si>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</si>
  <si>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</si>
  <si>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</si>
  <si>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</si>
  <si>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</si>
  <si>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</si>
  <si>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</si>
  <si>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</si>
  <si>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</si>
  <si>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</si>
  <si>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</si>
  <si>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</si>
  <si>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</si>
  <si>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</si>
  <si>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</si>
  <si>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</si>
  <si>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</si>
  <si>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</si>
  <si>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</si>
  <si>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</si>
  <si>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</si>
  <si>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</si>
  <si>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</si>
  <si>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</si>
  <si>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</si>
  <si>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</si>
  <si>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</si>
  <si>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</si>
  <si>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</si>
  <si>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</si>
  <si>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</si>
  <si>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</si>
  <si>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</si>
  <si>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</si>
  <si>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</si>
  <si>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</si>
  <si>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</si>
  <si>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</si>
  <si>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</si>
  <si>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</si>
  <si>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</si>
  <si>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</si>
  <si>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</si>
  <si>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</si>
  <si>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</si>
  <si>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</si>
  <si>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</si>
  <si>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</si>
  <si>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</si>
  <si>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</si>
  <si>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</si>
  <si>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</si>
  <si>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</si>
  <si>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</si>
  <si>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</si>
  <si>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</si>
  <si>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</si>
  <si>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</si>
  <si>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</si>
  <si>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</si>
  <si>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</si>
  <si>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</si>
  <si>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</si>
  <si>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</si>
  <si>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</si>
  <si>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</si>
  <si>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</si>
  <si>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</si>
  <si>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</si>
  <si>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</si>
  <si>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</si>
  <si>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</si>
  <si>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OBSERVAÇÕES: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</si>
  <si>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</si>
  <si>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</si>
  <si>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</si>
  <si>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</si>
  <si>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</si>
  <si>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</si>
  <si>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</si>
  <si>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</si>
  <si>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</si>
  <si>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</si>
  <si>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</si>
  <si>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</si>
  <si>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</si>
  <si>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</si>
  <si>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</si>
  <si>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</si>
  <si>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</si>
  <si>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</si>
  <si>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</si>
  <si>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</si>
  <si>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</si>
  <si>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</si>
  <si>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</si>
  <si>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</si>
  <si>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</si>
  <si>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</si>
  <si>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</si>
  <si>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</si>
  <si>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</si>
  <si>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</si>
  <si>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</si>
  <si>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</si>
  <si>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</si>
  <si>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</si>
  <si>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</si>
  <si>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</si>
  <si>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</si>
  <si>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</si>
  <si>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</si>
  <si>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</si>
  <si>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</si>
  <si>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</si>
  <si>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</si>
  <si>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</si>
  <si>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</si>
  <si>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</si>
  <si>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</si>
  <si>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</si>
  <si>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</si>
  <si>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BM 06 - Boletim de Medição</t>
  </si>
  <si>
    <t>06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</si>
  <si>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</si>
  <si>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</si>
  <si>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</si>
  <si>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</si>
  <si>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</si>
  <si>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</si>
  <si>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</si>
  <si>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</si>
  <si>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</si>
  <si>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</si>
  <si>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</si>
  <si>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</si>
  <si>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</si>
  <si>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</si>
  <si>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</si>
  <si>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</si>
  <si>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</si>
  <si>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</si>
  <si>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</si>
  <si>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</si>
  <si>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</si>
  <si>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</si>
  <si>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</si>
  <si>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</si>
  <si>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</si>
  <si>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</si>
  <si>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</si>
  <si>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</si>
  <si>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</si>
  <si>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</si>
  <si>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</si>
  <si>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</si>
  <si>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</si>
  <si>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</si>
  <si>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</si>
  <si>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</si>
  <si>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</si>
  <si>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</si>
  <si>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</si>
  <si>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</si>
  <si>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</si>
  <si>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</si>
  <si>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</si>
  <si>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</si>
  <si>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</si>
  <si>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</si>
  <si>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</si>
  <si>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</si>
  <si>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</si>
  <si>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</si>
  <si>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</si>
  <si>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</si>
  <si>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</si>
  <si>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</si>
  <si>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</si>
  <si>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</si>
  <si>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</si>
  <si>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</si>
  <si>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</si>
  <si>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</si>
  <si>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</si>
  <si>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</si>
  <si>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</si>
  <si>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</si>
  <si>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</si>
  <si>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</si>
  <si>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</si>
  <si>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</si>
  <si>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</si>
  <si>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</si>
  <si>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</si>
  <si>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</si>
  <si>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</si>
  <si>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</si>
  <si>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</si>
  <si>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</si>
  <si>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</si>
  <si>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</si>
  <si>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</si>
  <si>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</si>
  <si>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</si>
  <si>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</si>
  <si>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</si>
  <si>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</si>
  <si>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</si>
  <si>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</si>
  <si>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</si>
  <si>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</si>
  <si>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</si>
  <si>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</si>
  <si>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</si>
  <si>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</si>
  <si>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</si>
  <si>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</si>
  <si>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</si>
  <si>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>UND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</si>
  <si>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</si>
  <si>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</si>
  <si>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</si>
  <si>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</si>
  <si>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</si>
  <si>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</si>
  <si>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</si>
  <si>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</si>
  <si>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</si>
  <si>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</si>
  <si>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</si>
  <si>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</si>
  <si>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</si>
  <si>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</si>
  <si>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</si>
  <si>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</si>
  <si>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</si>
  <si>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</si>
  <si>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</si>
  <si>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</si>
  <si>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</si>
  <si>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</si>
  <si>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</si>
  <si>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</si>
  <si>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</si>
  <si>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</si>
  <si>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</si>
  <si>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SALA DE FISIOTERAPIA BANHEIRO</t>
  </si>
  <si>
    <t xml:space="preserve">SALA DE QUIMIOTERAPIA </t>
  </si>
  <si>
    <t>BANHEIRO CIRC. DIREITO</t>
  </si>
  <si>
    <t>FACHADA</t>
  </si>
  <si>
    <t>COMPRIMENTO</t>
  </si>
  <si>
    <t xml:space="preserve">CIRCULAÇÃO DE TRAS </t>
  </si>
  <si>
    <t>VIGA BALDRAME</t>
  </si>
  <si>
    <t>V20</t>
  </si>
  <si>
    <t>V21</t>
  </si>
  <si>
    <t>V23</t>
  </si>
  <si>
    <t>V24</t>
  </si>
  <si>
    <t>V25</t>
  </si>
  <si>
    <t>V28</t>
  </si>
  <si>
    <t>5.0</t>
  </si>
  <si>
    <t>COBERTA B</t>
  </si>
  <si>
    <t>COBERTA D</t>
  </si>
  <si>
    <t xml:space="preserve">POSTO DE ENFERMAGEM </t>
  </si>
  <si>
    <t>acumulado</t>
  </si>
  <si>
    <t>coberta B</t>
  </si>
  <si>
    <t>coberta c</t>
  </si>
  <si>
    <t>PORTA</t>
  </si>
  <si>
    <t>BANHEIRO CIRC. LADO ESQ. MASC.</t>
  </si>
  <si>
    <t>BANHEIRO CIRC. LADO ESQ. FEM.</t>
  </si>
  <si>
    <t>UTILIDADES</t>
  </si>
  <si>
    <t>FINANCEIRO</t>
  </si>
  <si>
    <t>reforço</t>
  </si>
  <si>
    <t>TOTAL DESTA MEDIÇÃO - BM 06</t>
  </si>
  <si>
    <t>obs: todas as vigas sem apoios em parede</t>
  </si>
  <si>
    <t>QUIMIOTERAPIA/ENFERMAGEM, BARREIRA E MAINPULAÇÃO</t>
  </si>
  <si>
    <t>RECEPÇÃO E CORREDOR CENTRAL</t>
  </si>
  <si>
    <t>SEM ACABAMENTO</t>
  </si>
  <si>
    <t>Inicio da obra: 20/10/2022</t>
  </si>
  <si>
    <t>2- Possibilidade real de não conclusão no tempo previsto;</t>
  </si>
  <si>
    <t>3- Verificar as Cláusula de Contrato, quanto ao cumprimento de prazos;</t>
  </si>
  <si>
    <t>4- Solicita-se ao setor de convênios/contrato para análise e tomada das medidas administrativas cabíveis;</t>
  </si>
  <si>
    <t>Ricardo Lima Rodrigues</t>
  </si>
  <si>
    <t>Eng. Fiscal</t>
  </si>
  <si>
    <t xml:space="preserve">1- Obra com atraso na execução cima do aceitável, evolução atual para 28% do total. </t>
  </si>
  <si>
    <t>Sousa,  10 de novembro de 2023</t>
  </si>
  <si>
    <t>Previsão de Término da Obra( cronograma licitado):20/04/2024</t>
  </si>
  <si>
    <t>RELATÓRIO FOTOGRÁFICO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</si>
</sst>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3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</cellStyleXfs>
  <cellXfs count="447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0" fontId="9" fillId="5" borderId="12" xfId="7" applyNumberFormat="1" applyFont="1" applyFill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0" fontId="8" fillId="5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 wrapText="1"/>
    </xf>
    <xf numFmtId="4" fontId="8" fillId="4" borderId="1" xfId="7" applyNumberFormat="1" applyFont="1" applyFill="1" applyBorder="1" applyAlignment="1">
      <alignment horizontal="center" vertical="center" wrapText="1"/>
    </xf>
    <xf numFmtId="10" fontId="8" fillId="4" borderId="1" xfId="7" applyNumberFormat="1" applyFont="1" applyFill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43" fontId="0" fillId="0" borderId="1" xfId="13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8" fillId="4" borderId="1" xfId="7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9" fillId="6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Fill="1" applyBorder="1" applyAlignment="1">
      <alignment horizontal="center"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Fill="1" applyBorder="1" applyAlignment="1">
      <alignment horizontal="center"/>
    </xf>
    <xf numFmtId="43" fontId="22" fillId="0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0" borderId="37" xfId="13" applyFont="1" applyFill="1" applyBorder="1" applyAlignment="1">
      <alignment horizontal="center" vertical="center"/>
    </xf>
    <xf numFmtId="0" fontId="0" fillId="0" borderId="0" xfId="0"/>
    <xf numFmtId="4" fontId="0" fillId="0" borderId="1" xfId="0" applyNumberFormat="1" applyFill="1" applyBorder="1" applyAlignment="1">
      <alignment horizontal="center" vertical="center"/>
    </xf>
    <xf numFmtId="10" fontId="9" fillId="5" borderId="12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4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4" fontId="0" fillId="5" borderId="1" xfId="0" applyNumberFormat="1" applyFill="1" applyBorder="1"/>
    <xf numFmtId="44" fontId="0" fillId="5" borderId="1" xfId="14" applyFont="1" applyFill="1" applyBorder="1"/>
    <xf numFmtId="44" fontId="12" fillId="8" borderId="1" xfId="14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0" fontId="8" fillId="0" borderId="1" xfId="7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0" fontId="0" fillId="0" borderId="0" xfId="0" applyFill="1"/>
    <xf numFmtId="0" fontId="22" fillId="0" borderId="1" xfId="15" applyFont="1" applyFill="1" applyBorder="1" applyAlignment="1">
      <alignment horizontal="left" vertical="center" wrapText="1"/>
    </xf>
    <xf numFmtId="0" fontId="22" fillId="0" borderId="1" xfId="15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2" fillId="0" borderId="1" xfId="17" applyFont="1" applyFill="1" applyBorder="1" applyAlignment="1">
      <alignment horizontal="left"/>
    </xf>
    <xf numFmtId="0" fontId="22" fillId="0" borderId="1" xfId="17" applyFont="1" applyFill="1" applyBorder="1" applyAlignment="1">
      <alignment horizontal="center"/>
    </xf>
    <xf numFmtId="43" fontId="0" fillId="0" borderId="0" xfId="0" applyNumberFormat="1" applyFill="1"/>
    <xf numFmtId="43" fontId="18" fillId="0" borderId="15" xfId="13" applyFont="1" applyFill="1" applyBorder="1" applyAlignment="1">
      <alignment vertical="center"/>
    </xf>
    <xf numFmtId="43" fontId="18" fillId="0" borderId="16" xfId="13" applyFont="1" applyFill="1" applyBorder="1" applyAlignment="1">
      <alignment vertical="center"/>
    </xf>
    <xf numFmtId="43" fontId="18" fillId="0" borderId="23" xfId="13" applyFont="1" applyFill="1" applyBorder="1" applyAlignment="1">
      <alignment vertical="center"/>
    </xf>
    <xf numFmtId="43" fontId="18" fillId="0" borderId="25" xfId="13" applyFont="1" applyFill="1" applyBorder="1" applyAlignment="1">
      <alignment vertical="center"/>
    </xf>
    <xf numFmtId="43" fontId="15" fillId="0" borderId="20" xfId="13" applyFont="1" applyFill="1" applyBorder="1" applyAlignment="1">
      <alignment horizontal="left"/>
    </xf>
    <xf numFmtId="43" fontId="15" fillId="0" borderId="0" xfId="13" applyFont="1" applyFill="1" applyBorder="1" applyAlignment="1">
      <alignment horizontal="left"/>
    </xf>
    <xf numFmtId="43" fontId="15" fillId="0" borderId="21" xfId="13" applyFont="1" applyFill="1" applyBorder="1" applyAlignment="1">
      <alignment horizontal="left"/>
    </xf>
    <xf numFmtId="43" fontId="19" fillId="0" borderId="1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19" fillId="0" borderId="21" xfId="13" applyFont="1" applyFill="1" applyBorder="1" applyAlignment="1">
      <alignment horizontal="center" vertical="center"/>
    </xf>
    <xf numFmtId="43" fontId="19" fillId="0" borderId="1" xfId="13" applyFont="1" applyFill="1" applyBorder="1" applyAlignment="1">
      <alignment vertical="center"/>
    </xf>
    <xf numFmtId="0" fontId="0" fillId="0" borderId="1" xfId="0" applyFill="1" applyBorder="1"/>
    <xf numFmtId="43" fontId="20" fillId="0" borderId="1" xfId="13" applyFont="1" applyFill="1" applyBorder="1" applyAlignment="1">
      <alignment vertical="center"/>
    </xf>
    <xf numFmtId="43" fontId="19" fillId="0" borderId="11" xfId="13" applyFont="1" applyFill="1" applyBorder="1" applyAlignment="1">
      <alignment vertical="center"/>
    </xf>
    <xf numFmtId="43" fontId="19" fillId="0" borderId="3" xfId="13" applyFont="1" applyFill="1" applyBorder="1" applyAlignment="1">
      <alignment horizontal="center" vertical="center"/>
    </xf>
    <xf numFmtId="43" fontId="19" fillId="0" borderId="5" xfId="13" applyFont="1" applyFill="1" applyBorder="1" applyAlignment="1">
      <alignment horizontal="center" vertical="center"/>
    </xf>
    <xf numFmtId="43" fontId="19" fillId="0" borderId="8" xfId="13" applyFont="1" applyFill="1" applyBorder="1" applyAlignment="1">
      <alignment horizontal="center" vertical="center"/>
    </xf>
    <xf numFmtId="43" fontId="19" fillId="0" borderId="10" xfId="13" applyFont="1" applyFill="1" applyBorder="1" applyAlignment="1">
      <alignment horizontal="center" vertical="center"/>
    </xf>
    <xf numFmtId="43" fontId="22" fillId="0" borderId="1" xfId="13" applyFont="1" applyFill="1" applyBorder="1"/>
    <xf numFmtId="0" fontId="0" fillId="0" borderId="0" xfId="0" applyFill="1" applyAlignment="1">
      <alignment horizontal="left" vertical="center"/>
    </xf>
    <xf numFmtId="43" fontId="0" fillId="0" borderId="1" xfId="13" applyFont="1" applyFill="1" applyBorder="1"/>
    <xf numFmtId="0" fontId="22" fillId="0" borderId="1" xfId="0" applyFont="1" applyFill="1" applyBorder="1" applyAlignment="1">
      <alignment horizontal="center"/>
    </xf>
    <xf numFmtId="43" fontId="0" fillId="0" borderId="8" xfId="13" applyFont="1" applyFill="1" applyBorder="1" applyAlignment="1">
      <alignment horizontal="center" vertical="center"/>
    </xf>
    <xf numFmtId="43" fontId="0" fillId="0" borderId="10" xfId="13" applyFont="1" applyFill="1" applyBorder="1" applyAlignment="1">
      <alignment horizontal="center" vertical="center"/>
    </xf>
    <xf numFmtId="43" fontId="19" fillId="0" borderId="1" xfId="13" applyFont="1" applyFill="1" applyBorder="1" applyAlignment="1">
      <alignment horizontal="center" vertical="center" wrapText="1"/>
    </xf>
    <xf numFmtId="167" fontId="19" fillId="0" borderId="1" xfId="13" applyNumberFormat="1" applyFont="1" applyFill="1" applyBorder="1" applyAlignment="1"/>
    <xf numFmtId="0" fontId="12" fillId="0" borderId="0" xfId="0" applyFont="1" applyFill="1" applyAlignment="1">
      <alignment horizontal="center"/>
    </xf>
    <xf numFmtId="43" fontId="21" fillId="0" borderId="1" xfId="0" applyNumberFormat="1" applyFont="1" applyFill="1" applyBorder="1" applyAlignment="1">
      <alignment horizontal="center" vertical="center"/>
    </xf>
    <xf numFmtId="43" fontId="12" fillId="0" borderId="1" xfId="13" applyFont="1" applyFill="1" applyBorder="1" applyAlignment="1">
      <alignment horizontal="center" vertical="center"/>
    </xf>
    <xf numFmtId="43" fontId="19" fillId="0" borderId="15" xfId="13" applyFont="1" applyFill="1" applyBorder="1" applyAlignment="1">
      <alignment horizontal="center" vertical="center"/>
    </xf>
    <xf numFmtId="43" fontId="0" fillId="0" borderId="9" xfId="13" applyFont="1" applyFill="1" applyBorder="1" applyAlignment="1">
      <alignment horizontal="center" vertical="center"/>
    </xf>
    <xf numFmtId="43" fontId="19" fillId="0" borderId="22" xfId="13" applyFont="1" applyFill="1" applyBorder="1" applyAlignment="1">
      <alignment vertical="center"/>
    </xf>
    <xf numFmtId="43" fontId="19" fillId="0" borderId="19" xfId="13" applyFont="1" applyFill="1" applyBorder="1" applyAlignment="1">
      <alignment vertical="center"/>
    </xf>
    <xf numFmtId="43" fontId="19" fillId="0" borderId="16" xfId="13" applyFont="1" applyFill="1" applyBorder="1" applyAlignment="1">
      <alignment vertical="center"/>
    </xf>
    <xf numFmtId="0" fontId="0" fillId="0" borderId="0" xfId="0" applyFill="1" applyAlignment="1">
      <alignment horizontal="center"/>
    </xf>
    <xf numFmtId="43" fontId="0" fillId="0" borderId="0" xfId="13" applyFont="1" applyFill="1"/>
    <xf numFmtId="43" fontId="21" fillId="0" borderId="0" xfId="0" applyNumberFormat="1" applyFont="1" applyFill="1"/>
    <xf numFmtId="43" fontId="0" fillId="0" borderId="0" xfId="13" applyFont="1" applyFill="1" applyAlignment="1">
      <alignment horizontal="center" vertical="center"/>
    </xf>
    <xf numFmtId="43" fontId="22" fillId="0" borderId="0" xfId="13" applyFont="1" applyFill="1" applyAlignment="1">
      <alignment horizontal="center" vertical="center"/>
    </xf>
    <xf numFmtId="4" fontId="9" fillId="5" borderId="1" xfId="7" applyNumberFormat="1" applyFont="1" applyFill="1" applyBorder="1" applyAlignment="1">
      <alignment horizontal="left" vertical="distributed"/>
    </xf>
    <xf numFmtId="43" fontId="19" fillId="0" borderId="1" xfId="13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left" vertical="distributed"/>
    </xf>
    <xf numFmtId="4" fontId="9" fillId="5" borderId="9" xfId="7" applyNumberFormat="1" applyFont="1" applyFill="1" applyBorder="1" applyAlignment="1">
      <alignment horizontal="left" vertical="distributed"/>
    </xf>
    <xf numFmtId="4" fontId="9" fillId="5" borderId="10" xfId="7" applyNumberFormat="1" applyFont="1" applyFill="1" applyBorder="1" applyAlignment="1">
      <alignment horizontal="left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14" fontId="9" fillId="0" borderId="1" xfId="7" applyNumberFormat="1" applyFont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left" vertical="distributed"/>
    </xf>
    <xf numFmtId="166" fontId="9" fillId="0" borderId="5" xfId="7" applyNumberFormat="1" applyFont="1" applyBorder="1" applyAlignment="1">
      <alignment horizontal="left" vertical="distributed"/>
    </xf>
    <xf numFmtId="166" fontId="9" fillId="0" borderId="13" xfId="7" applyNumberFormat="1" applyFont="1" applyBorder="1" applyAlignment="1">
      <alignment horizontal="left" vertical="distributed"/>
    </xf>
    <xf numFmtId="166" fontId="9" fillId="0" borderId="14" xfId="7" applyNumberFormat="1" applyFont="1" applyBorder="1" applyAlignment="1">
      <alignment horizontal="left" vertical="distributed"/>
    </xf>
    <xf numFmtId="166" fontId="14" fillId="0" borderId="1" xfId="7" applyNumberFormat="1" applyFont="1" applyBorder="1" applyAlignment="1">
      <alignment horizontal="left" vertical="distributed"/>
    </xf>
    <xf numFmtId="10" fontId="8" fillId="5" borderId="1" xfId="7" applyNumberFormat="1" applyFont="1" applyFill="1" applyBorder="1" applyAlignment="1">
      <alignment horizontal="center" vertical="center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left" vertical="distributed"/>
    </xf>
    <xf numFmtId="14" fontId="9" fillId="0" borderId="1" xfId="7" applyNumberFormat="1" applyFont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left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0" fillId="0" borderId="6" xfId="0" applyFill="1" applyBorder="1" applyAlignment="1">
      <alignment horizontal="left"/>
    </xf>
    <xf numFmtId="43" fontId="19" fillId="0" borderId="8" xfId="13" applyFont="1" applyFill="1" applyBorder="1" applyAlignment="1">
      <alignment horizontal="left" vertical="center" wrapText="1"/>
    </xf>
    <xf numFmtId="43" fontId="19" fillId="0" borderId="10" xfId="13" applyFont="1" applyFill="1" applyBorder="1" applyAlignment="1">
      <alignment horizontal="left" vertical="center" wrapText="1"/>
    </xf>
    <xf numFmtId="43" fontId="19" fillId="0" borderId="8" xfId="13" applyFont="1" applyFill="1" applyBorder="1" applyAlignment="1">
      <alignment horizontal="center" vertical="center"/>
    </xf>
    <xf numFmtId="43" fontId="19" fillId="0" borderId="10" xfId="13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3" fontId="19" fillId="0" borderId="11" xfId="13" applyFont="1" applyFill="1" applyBorder="1" applyAlignment="1">
      <alignment horizontal="left" vertical="center" wrapText="1"/>
    </xf>
    <xf numFmtId="43" fontId="19" fillId="0" borderId="1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19" fillId="0" borderId="1" xfId="13" applyFont="1" applyFill="1" applyBorder="1" applyAlignment="1">
      <alignment horizontal="center" vertical="center" wrapText="1"/>
    </xf>
    <xf numFmtId="43" fontId="19" fillId="0" borderId="17" xfId="13" applyFont="1" applyFill="1" applyBorder="1" applyAlignment="1">
      <alignment horizontal="left" vertical="center" wrapText="1"/>
    </xf>
    <xf numFmtId="43" fontId="19" fillId="0" borderId="18" xfId="13" applyFont="1" applyFill="1" applyBorder="1" applyAlignment="1">
      <alignment horizontal="left" vertical="center" wrapText="1"/>
    </xf>
    <xf numFmtId="43" fontId="19" fillId="0" borderId="39" xfId="13" applyFont="1" applyFill="1" applyBorder="1" applyAlignment="1">
      <alignment horizontal="left" vertical="center" wrapText="1"/>
    </xf>
    <xf numFmtId="43" fontId="19" fillId="0" borderId="31" xfId="13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43" fontId="19" fillId="0" borderId="9" xfId="13" applyFont="1" applyFill="1" applyBorder="1" applyAlignment="1">
      <alignment horizontal="left" vertical="center" wrapText="1"/>
    </xf>
    <xf numFmtId="43" fontId="19" fillId="0" borderId="8" xfId="13" applyFont="1" applyFill="1" applyBorder="1" applyAlignment="1">
      <alignment horizontal="center" vertical="center" wrapText="1"/>
    </xf>
    <xf numFmtId="43" fontId="19" fillId="0" borderId="9" xfId="13" applyFont="1" applyFill="1" applyBorder="1" applyAlignment="1">
      <alignment horizontal="center" vertical="center" wrapText="1"/>
    </xf>
    <xf numFmtId="43" fontId="19" fillId="0" borderId="10" xfId="1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3" fontId="19" fillId="0" borderId="1" xfId="13" applyFont="1" applyFill="1" applyBorder="1" applyAlignment="1">
      <alignment horizontal="left" vertical="center" wrapText="1"/>
    </xf>
    <xf numFmtId="43" fontId="0" fillId="0" borderId="1" xfId="13" applyFont="1" applyFill="1" applyBorder="1" applyAlignment="1">
      <alignment horizontal="center" vertical="center"/>
    </xf>
    <xf numFmtId="43" fontId="0" fillId="0" borderId="8" xfId="13" applyFont="1" applyFill="1" applyBorder="1" applyAlignment="1">
      <alignment horizontal="center" vertical="center"/>
    </xf>
    <xf numFmtId="43" fontId="0" fillId="0" borderId="10" xfId="13" applyFont="1" applyFill="1" applyBorder="1" applyAlignment="1">
      <alignment horizontal="center" vertical="center"/>
    </xf>
    <xf numFmtId="43" fontId="19" fillId="0" borderId="1" xfId="13" applyFont="1" applyFill="1" applyBorder="1" applyAlignment="1">
      <alignment horizontal="left" vertical="center"/>
    </xf>
    <xf numFmtId="43" fontId="19" fillId="0" borderId="8" xfId="13" applyFont="1" applyFill="1" applyBorder="1" applyAlignment="1">
      <alignment horizontal="left" vertical="center"/>
    </xf>
    <xf numFmtId="43" fontId="19" fillId="0" borderId="10" xfId="13" applyFont="1" applyFill="1" applyBorder="1" applyAlignment="1">
      <alignment horizontal="left" vertical="center"/>
    </xf>
    <xf numFmtId="43" fontId="19" fillId="0" borderId="26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5" fillId="0" borderId="15" xfId="13" applyFont="1" applyFill="1" applyBorder="1" applyAlignment="1">
      <alignment horizontal="center"/>
    </xf>
    <xf numFmtId="43" fontId="15" fillId="0" borderId="16" xfId="13" applyFont="1" applyFill="1" applyBorder="1" applyAlignment="1">
      <alignment horizontal="center"/>
    </xf>
    <xf numFmtId="43" fontId="15" fillId="0" borderId="20" xfId="13" applyFont="1" applyFill="1" applyBorder="1" applyAlignment="1">
      <alignment horizontal="center"/>
    </xf>
    <xf numFmtId="43" fontId="15" fillId="0" borderId="21" xfId="13" applyFont="1" applyFill="1" applyBorder="1" applyAlignment="1">
      <alignment horizontal="center"/>
    </xf>
    <xf numFmtId="43" fontId="15" fillId="0" borderId="23" xfId="13" applyFont="1" applyFill="1" applyBorder="1" applyAlignment="1">
      <alignment horizontal="center"/>
    </xf>
    <xf numFmtId="43" fontId="15" fillId="0" borderId="25" xfId="13" applyFont="1" applyFill="1" applyBorder="1" applyAlignment="1">
      <alignment horizontal="center"/>
    </xf>
    <xf numFmtId="43" fontId="16" fillId="0" borderId="17" xfId="13" applyFont="1" applyFill="1" applyBorder="1" applyAlignment="1">
      <alignment horizontal="center" vertical="center" wrapText="1"/>
    </xf>
    <xf numFmtId="43" fontId="16" fillId="0" borderId="18" xfId="13" applyFont="1" applyFill="1" applyBorder="1" applyAlignment="1">
      <alignment horizontal="center" vertical="center" wrapText="1"/>
    </xf>
    <xf numFmtId="43" fontId="16" fillId="0" borderId="19" xfId="13" applyFont="1" applyFill="1" applyBorder="1" applyAlignment="1">
      <alignment horizontal="center" vertical="center" wrapText="1"/>
    </xf>
    <xf numFmtId="43" fontId="15" fillId="0" borderId="15" xfId="13" applyFont="1" applyFill="1" applyBorder="1" applyAlignment="1">
      <alignment horizontal="left"/>
    </xf>
    <xf numFmtId="43" fontId="15" fillId="0" borderId="22" xfId="13" applyFont="1" applyFill="1" applyBorder="1" applyAlignment="1">
      <alignment horizontal="left"/>
    </xf>
    <xf numFmtId="43" fontId="15" fillId="0" borderId="16" xfId="13" applyFont="1" applyFill="1" applyBorder="1" applyAlignment="1">
      <alignment horizontal="left"/>
    </xf>
    <xf numFmtId="43" fontId="17" fillId="0" borderId="23" xfId="13" applyFont="1" applyFill="1" applyBorder="1" applyAlignment="1">
      <alignment horizontal="center"/>
    </xf>
    <xf numFmtId="43" fontId="17" fillId="0" borderId="24" xfId="13" applyFont="1" applyFill="1" applyBorder="1" applyAlignment="1">
      <alignment horizontal="center"/>
    </xf>
    <xf numFmtId="43" fontId="17" fillId="0" borderId="25" xfId="13" applyFont="1" applyFill="1" applyBorder="1" applyAlignment="1">
      <alignment horizontal="center"/>
    </xf>
    <xf numFmtId="43" fontId="18" fillId="0" borderId="23" xfId="13" applyFont="1" applyFill="1" applyBorder="1" applyAlignment="1">
      <alignment horizontal="left"/>
    </xf>
    <xf numFmtId="43" fontId="18" fillId="0" borderId="24" xfId="13" applyFont="1" applyFill="1" applyBorder="1" applyAlignment="1">
      <alignment horizontal="left"/>
    </xf>
    <xf numFmtId="43" fontId="18" fillId="0" borderId="25" xfId="13" applyFont="1" applyFill="1" applyBorder="1" applyAlignment="1">
      <alignment horizontal="left"/>
    </xf>
    <xf numFmtId="43" fontId="15" fillId="0" borderId="15" xfId="13" applyFont="1" applyFill="1" applyBorder="1" applyAlignment="1">
      <alignment horizontal="left" vertical="center"/>
    </xf>
    <xf numFmtId="43" fontId="15" fillId="0" borderId="22" xfId="13" applyFont="1" applyFill="1" applyBorder="1" applyAlignment="1">
      <alignment horizontal="left" vertical="center"/>
    </xf>
    <xf numFmtId="43" fontId="15" fillId="0" borderId="16" xfId="13" applyFont="1" applyFill="1" applyBorder="1" applyAlignment="1">
      <alignment horizontal="left" vertical="center"/>
    </xf>
    <xf numFmtId="43" fontId="18" fillId="0" borderId="23" xfId="13" applyFont="1" applyFill="1" applyBorder="1" applyAlignment="1">
      <alignment horizontal="left" vertical="top" wrapText="1"/>
    </xf>
    <xf numFmtId="43" fontId="18" fillId="0" borderId="24" xfId="13" applyFont="1" applyFill="1" applyBorder="1" applyAlignment="1">
      <alignment horizontal="left" vertical="top" wrapText="1"/>
    </xf>
    <xf numFmtId="43" fontId="18" fillId="0" borderId="25" xfId="13" applyFont="1" applyFill="1" applyBorder="1" applyAlignment="1">
      <alignment horizontal="left" vertical="top" wrapText="1"/>
    </xf>
    <xf numFmtId="43" fontId="18" fillId="0" borderId="23" xfId="13" applyFont="1" applyFill="1" applyBorder="1" applyAlignment="1">
      <alignment horizontal="left" vertical="center" wrapText="1"/>
    </xf>
    <xf numFmtId="43" fontId="18" fillId="0" borderId="24" xfId="13" applyFont="1" applyFill="1" applyBorder="1" applyAlignment="1">
      <alignment horizontal="left" vertical="center" wrapText="1"/>
    </xf>
    <xf numFmtId="43" fontId="18" fillId="0" borderId="25" xfId="13" applyFont="1" applyFill="1" applyBorder="1" applyAlignment="1">
      <alignment horizontal="left" vertical="center" wrapText="1"/>
    </xf>
    <xf numFmtId="0" fontId="30" fillId="0" borderId="41" xfId="0" applyFont="1" applyFill="1" applyBorder="1" applyAlignment="1">
      <alignment horizontal="left" vertical="center"/>
    </xf>
    <xf numFmtId="0" fontId="30" fillId="0" borderId="42" xfId="0" applyFont="1" applyFill="1" applyBorder="1" applyAlignment="1">
      <alignment horizontal="left" vertical="center"/>
    </xf>
    <xf numFmtId="0" fontId="30" fillId="0" borderId="43" xfId="0" applyFont="1" applyFill="1" applyBorder="1" applyAlignment="1">
      <alignment horizontal="left" vertical="center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Alignment="1">
      <alignment horizontal="center" vertical="distributed"/>
    </xf>
    <xf numFmtId="0" fontId="9" fillId="0" borderId="0" xfId="7" applyFont="1" applyBorder="1" applyAlignment="1">
      <alignment horizontal="center" vertical="distributed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19" fillId="6" borderId="1" xfId="13" applyFont="1" applyFill="1" applyBorder="1" applyAlignment="1">
      <alignment horizontal="center" vertical="center" wrapText="1"/>
    </xf>
    <xf numFmtId="43" fontId="19" fillId="4" borderId="1" xfId="13" applyFont="1" applyFill="1" applyBorder="1" applyAlignment="1">
      <alignment horizontal="center" vertical="center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11" xfId="13" applyFont="1" applyFill="1" applyBorder="1" applyAlignment="1">
      <alignment horizontal="left" vertical="center" wrapText="1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4" borderId="11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</cellXfs>
  <cellStyles count="18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5" xfId="16" xr:uid="{00000000-0005-0000-0000-00000C000000}"/>
    <cellStyle name="Normal 6" xfId="17" xr:uid="{00000000-0005-0000-0000-00000D000000}"/>
    <cellStyle name="Porcentagem" xfId="1" builtinId="5"/>
    <cellStyle name="Separador de milhares 2_ORÇAMENTO matureia corrigido (DEZ 2009)" xfId="3" xr:uid="{00000000-0005-0000-0000-00000F000000}"/>
    <cellStyle name="Vírgula" xfId="13" builtinId="3"/>
    <cellStyle name="Vírgula 2" xfId="10" xr:uid="{00000000-0005-0000-0000-00001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289</xdr:row>
          <xdr:rowOff>19050</xdr:rowOff>
        </xdr:from>
        <xdr:to>
          <xdr:col>11</xdr:col>
          <xdr:colOff>419100</xdr:colOff>
          <xdr:row>317</xdr:row>
          <xdr:rowOff>142875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111125</xdr:rowOff>
    </xdr:from>
    <xdr:to>
      <xdr:col>10</xdr:col>
      <xdr:colOff>367500</xdr:colOff>
      <xdr:row>35</xdr:row>
      <xdr:rowOff>91625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22625"/>
          <a:ext cx="64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37</xdr:row>
      <xdr:rowOff>79375</xdr:rowOff>
    </xdr:from>
    <xdr:to>
      <xdr:col>10</xdr:col>
      <xdr:colOff>558000</xdr:colOff>
      <xdr:row>56</xdr:row>
      <xdr:rowOff>59875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191375"/>
          <a:ext cx="64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71</xdr:row>
      <xdr:rowOff>79375</xdr:rowOff>
    </xdr:from>
    <xdr:to>
      <xdr:col>5</xdr:col>
      <xdr:colOff>1250</xdr:colOff>
      <xdr:row>90</xdr:row>
      <xdr:rowOff>59875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73</xdr:row>
      <xdr:rowOff>127000</xdr:rowOff>
    </xdr:from>
    <xdr:to>
      <xdr:col>10</xdr:col>
      <xdr:colOff>278750</xdr:colOff>
      <xdr:row>92</xdr:row>
      <xdr:rowOff>107500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0" y="14097000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396875</xdr:colOff>
      <xdr:row>96</xdr:row>
      <xdr:rowOff>95250</xdr:rowOff>
    </xdr:from>
    <xdr:to>
      <xdr:col>11</xdr:col>
      <xdr:colOff>161125</xdr:colOff>
      <xdr:row>115</xdr:row>
      <xdr:rowOff>75750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75" y="18446750"/>
          <a:ext cx="64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141</xdr:row>
      <xdr:rowOff>95250</xdr:rowOff>
    </xdr:from>
    <xdr:to>
      <xdr:col>11</xdr:col>
      <xdr:colOff>50000</xdr:colOff>
      <xdr:row>160</xdr:row>
      <xdr:rowOff>75750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7019250"/>
          <a:ext cx="64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317500</xdr:colOff>
      <xdr:row>121</xdr:row>
      <xdr:rowOff>95250</xdr:rowOff>
    </xdr:from>
    <xdr:to>
      <xdr:col>9</xdr:col>
      <xdr:colOff>291500</xdr:colOff>
      <xdr:row>140</xdr:row>
      <xdr:rowOff>75750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750" y="23209250"/>
          <a:ext cx="4800000" cy="360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D9" t="str">
            <v>Remoção de caixão de madeira (aduela)</v>
          </cell>
          <cell r="I9">
            <v>8.09</v>
          </cell>
        </row>
        <row r="10">
          <cell r="D10" t="str">
            <v>REMOÇÃO DE JANELAS, DE FORMA MANUAL, SEM REAPROVEITAMENTO. AF_12/2017</v>
          </cell>
          <cell r="I10">
            <v>29.919999999999998</v>
          </cell>
        </row>
        <row r="11">
          <cell r="D11" t="str">
            <v>REMOÇÃO DE FORRO DE GESSO, DE FORMA MANUAL, SEM REAPROVEITAMENTO. AF_12/2017</v>
          </cell>
          <cell r="I11">
            <v>4.0599999999999996</v>
          </cell>
        </row>
        <row r="12">
          <cell r="D12" t="str">
            <v>DEMOLIÇÃO DE LAJES, DE FORMA MANUAL, SEM REAPROVEITAMENTO. AF_12/2017</v>
          </cell>
          <cell r="I12">
            <v>229.97000000000003</v>
          </cell>
        </row>
        <row r="15">
          <cell r="D15" t="str">
            <v>REMOÇÃO DE TELHAS, DE FIBROCIMENTO, METÁLICA E CERÂMICA, DE FORMA MANUAL, SEM REAPROVEITAMENTO. AF_12/2017</v>
          </cell>
          <cell r="I15">
            <v>2.7899999999999996</v>
          </cell>
        </row>
        <row r="16">
          <cell r="D16" t="str">
            <v>Retelhamento em cobertura com telha ceramica tipo canal comum, Itabaiana ou similar.</v>
          </cell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D21" t="str">
            <v>LASTRO DE CONCRETO MAGRO, APLICADO EM PISOS, LAJES SOBRE SOLO OU RADIERS, ESPESSURA DE 5 CM. AF_07/2016</v>
          </cell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D34" t="str">
            <v>CUMEEIRA E ESPIGÃO PARA TELHA CERÂMICA EMBOÇADA COM ARGAMASSA TRAÇO 1:2:9 (CIMENTO, CAL E AREIA), PARA TELHADOS COM MAIS DE 2 ÁGUAS, INCLUSO TRANSPORTE VERTICAL. AF_07/2019</v>
          </cell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30">
          <cell r="A30" t="str">
            <v>2.5</v>
          </cell>
          <cell r="C30" t="str">
            <v>CONCRETO FCK = 30MPA, TRAÇO 1:2,1:2,5 (EM MASSA SECA DE CIMENTO/ AREIA MÉDIA/ BRITA 1) - PREPARO MECÂNICO COM BETONEIRA 600 L. AF_05/2021</v>
          </cell>
        </row>
        <row r="31">
          <cell r="A31" t="str">
            <v>2.6</v>
          </cell>
          <cell r="C31" t="str">
            <v>LANÇAMENTO COM USO DE BALDES, ADENSAMENTO E ACABAMENTO DE CONCRETO EM ESTRUTURAS. AF_12/2015</v>
          </cell>
        </row>
        <row r="34">
          <cell r="A34" t="str">
            <v>2.9</v>
          </cell>
          <cell r="C34" t="str">
            <v>ARMAÇÃO DE PILAR OU VIGA DE UMA ESTRUTURA CONVENCIONAL DE CONCRETO ARMADO EM UM EDIFÍCIO DE MÚLTIPLOS PAVIMENTOS UTILIZANDO AÇO CA-50 DE 12,5 MM - MONTAGEM. AF_12/2015</v>
          </cell>
        </row>
        <row r="35">
          <cell r="A35" t="str">
            <v>2.10</v>
          </cell>
          <cell r="C35" t="str">
            <v>ARMAÇÃO DE PILAR OU VIGA DE UMA ESTRUTURA CONVENCIONAL DE CONCRETO ARMADO EM UM EDIFÍCIO DE MÚLTIPLOS PAVIMENTOS UTILIZANDO AÇO CA-50 DE 10,0 MM - MONTAGEM. AF_12/2015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  <row r="95">
          <cell r="A95" t="str">
            <v>7.1</v>
          </cell>
          <cell r="C95" t="str">
            <v>MASSA ÚNICA, PARA RECEBIMENTO DE PINTURA, EM ARGAMASSA TRAÇO 1:2:8, PREPARO MECÂNICO COM BETONEIRA 400L, APLICADA MANUALMENTE EM FACES INTERNAS DE PAREDES, ESPESSURA DE 20MM, COM EXECUÇÃO DE TALISCAS. AF_06/2014</v>
          </cell>
        </row>
        <row r="96">
          <cell r="A96" t="str">
            <v>7.2</v>
          </cell>
          <cell r="C96" t="str">
            <v>CHAPISCO APLICADO EM ALVENARIAS E ESTRUTURAS DE CONCRETO INTERNAS, COM COLHER DE PEDREIRO.  ARGAMASSA TRAÇO 1:3 COM PREPARO EM BETONEIRA 400L. AF_06/2014</v>
          </cell>
        </row>
        <row r="100">
          <cell r="A100">
            <v>8</v>
          </cell>
          <cell r="C100" t="str">
            <v>PAVIMENTAÇÃO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8269&amp;peri_nr_ano=2022&amp;peri_nr_mes=2&amp;peri_nr_ordem=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265" t="s">
        <v>343</v>
      </c>
      <c r="B2" s="266"/>
      <c r="C2" s="266"/>
      <c r="D2" s="266"/>
      <c r="E2" s="266"/>
      <c r="F2" s="266"/>
      <c r="G2" s="266"/>
      <c r="H2" s="267"/>
    </row>
    <row r="3" spans="1:16" ht="18">
      <c r="A3" s="262" t="s">
        <v>378</v>
      </c>
      <c r="B3" s="263"/>
      <c r="C3" s="263"/>
      <c r="D3" s="263"/>
      <c r="E3" s="263"/>
      <c r="F3" s="263"/>
      <c r="G3" s="263"/>
      <c r="H3" s="264"/>
    </row>
    <row r="4" spans="1:16" ht="15">
      <c r="A4" s="259" t="s">
        <v>377</v>
      </c>
      <c r="B4" s="260"/>
      <c r="C4" s="260"/>
      <c r="D4" s="260"/>
      <c r="E4" s="260"/>
      <c r="F4" s="260"/>
      <c r="G4" s="260"/>
      <c r="H4" s="261"/>
    </row>
    <row r="5" spans="1:16" ht="15">
      <c r="A5" s="259" t="s">
        <v>376</v>
      </c>
      <c r="B5" s="260"/>
      <c r="C5" s="260"/>
      <c r="D5" s="260"/>
      <c r="E5" s="260"/>
      <c r="F5" s="260"/>
      <c r="G5" s="260"/>
      <c r="H5" s="261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256" t="s">
        <v>344</v>
      </c>
      <c r="B7" s="257"/>
      <c r="C7" s="257"/>
      <c r="D7" s="257"/>
      <c r="E7" s="257"/>
      <c r="F7" s="257"/>
      <c r="G7" s="257"/>
      <c r="H7" s="258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256" t="s">
        <v>345</v>
      </c>
      <c r="B8" s="257"/>
      <c r="C8" s="257"/>
      <c r="D8" s="257"/>
      <c r="E8" s="257"/>
      <c r="F8" s="257"/>
      <c r="G8" s="257"/>
      <c r="H8" s="258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269" t="s">
        <v>335</v>
      </c>
      <c r="B9" s="269" t="s">
        <v>336</v>
      </c>
      <c r="C9" s="269" t="s">
        <v>337</v>
      </c>
      <c r="D9" s="270" t="s">
        <v>338</v>
      </c>
      <c r="E9" s="269" t="s">
        <v>339</v>
      </c>
      <c r="F9" s="271" t="s">
        <v>340</v>
      </c>
      <c r="G9" s="268" t="s">
        <v>341</v>
      </c>
      <c r="H9" s="268" t="s">
        <v>342</v>
      </c>
      <c r="I9" s="3"/>
      <c r="J9" s="3"/>
      <c r="K9" s="3"/>
      <c r="L9" s="3"/>
    </row>
    <row r="10" spans="1:16">
      <c r="A10" s="269"/>
      <c r="B10" s="269"/>
      <c r="C10" s="269"/>
      <c r="D10" s="270"/>
      <c r="E10" s="269"/>
      <c r="F10" s="271"/>
      <c r="G10" s="268"/>
      <c r="H10" s="268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28.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28.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254" t="s">
        <v>380</v>
      </c>
      <c r="B213" s="254"/>
      <c r="C213" s="254"/>
      <c r="D213" s="254"/>
      <c r="E213" s="254"/>
      <c r="F213" s="254"/>
      <c r="G213" s="254"/>
      <c r="H213" s="9">
        <f>H11+H18+H36+H40+H44+H49+H70+H76+H82+H157+H184+H192+H206</f>
        <v>781718.71000000008</v>
      </c>
    </row>
    <row r="214" spans="1:12" ht="15">
      <c r="A214" s="254" t="s">
        <v>381</v>
      </c>
      <c r="B214" s="254"/>
      <c r="C214" s="254"/>
      <c r="D214" s="254"/>
      <c r="E214" s="254"/>
      <c r="F214" s="254"/>
      <c r="G214" s="254"/>
      <c r="H214" s="9" t="e">
        <f>#REF!</f>
        <v>#REF!</v>
      </c>
    </row>
    <row r="215" spans="1:12" ht="15">
      <c r="A215" s="254" t="s">
        <v>379</v>
      </c>
      <c r="B215" s="254"/>
      <c r="C215" s="254"/>
      <c r="D215" s="254"/>
      <c r="E215" s="254"/>
      <c r="F215" s="254"/>
      <c r="G215" s="254"/>
      <c r="H215" s="9" t="e">
        <f>H213+H214</f>
        <v>#REF!</v>
      </c>
    </row>
    <row r="217" spans="1:12">
      <c r="A217" s="255" t="s">
        <v>382</v>
      </c>
      <c r="B217" s="255"/>
      <c r="C217" s="255"/>
      <c r="D217" s="255"/>
      <c r="E217" s="255"/>
      <c r="F217" s="255"/>
      <c r="G217" s="255"/>
      <c r="H217" s="255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277" t="s">
        <v>383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</row>
    <row r="2" spans="1:14" ht="15.75">
      <c r="A2" s="280" t="s">
        <v>343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2"/>
    </row>
    <row r="3" spans="1:14">
      <c r="A3" s="283" t="s">
        <v>499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5"/>
    </row>
    <row r="4" spans="1:14">
      <c r="A4" s="283" t="s">
        <v>377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5"/>
    </row>
    <row r="5" spans="1:14">
      <c r="A5" s="110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2"/>
    </row>
    <row r="6" spans="1:14" ht="23.25">
      <c r="A6" s="286" t="s">
        <v>500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8"/>
    </row>
    <row r="7" spans="1:14">
      <c r="A7" s="289" t="s">
        <v>501</v>
      </c>
      <c r="B7" s="275" t="s">
        <v>502</v>
      </c>
      <c r="C7" s="289" t="s">
        <v>503</v>
      </c>
      <c r="D7" s="275" t="s">
        <v>504</v>
      </c>
      <c r="E7" s="275" t="s">
        <v>505</v>
      </c>
      <c r="F7" s="272" t="s">
        <v>506</v>
      </c>
      <c r="G7" s="273"/>
      <c r="H7" s="273"/>
      <c r="I7" s="274"/>
      <c r="J7" s="275" t="s">
        <v>507</v>
      </c>
      <c r="K7" s="272" t="s">
        <v>508</v>
      </c>
      <c r="L7" s="273"/>
      <c r="M7" s="273"/>
      <c r="N7" s="274"/>
    </row>
    <row r="8" spans="1:14" ht="16.5">
      <c r="A8" s="290"/>
      <c r="B8" s="276"/>
      <c r="C8" s="290"/>
      <c r="D8" s="276"/>
      <c r="E8" s="276"/>
      <c r="F8" s="113" t="s">
        <v>509</v>
      </c>
      <c r="G8" s="113" t="s">
        <v>510</v>
      </c>
      <c r="H8" s="113" t="s">
        <v>511</v>
      </c>
      <c r="I8" s="113" t="s">
        <v>512</v>
      </c>
      <c r="J8" s="276"/>
      <c r="K8" s="113" t="s">
        <v>513</v>
      </c>
      <c r="L8" s="113" t="s">
        <v>510</v>
      </c>
      <c r="M8" s="113" t="s">
        <v>511</v>
      </c>
      <c r="N8" s="113" t="s">
        <v>514</v>
      </c>
    </row>
    <row r="9" spans="1:14">
      <c r="A9" s="114"/>
      <c r="B9" s="114"/>
      <c r="C9" s="115" t="str">
        <f>[1]ORÇAMENTO!B11</f>
        <v>SERVIÇOS PRELIMINARES</v>
      </c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</row>
    <row r="10" spans="1:14">
      <c r="A10" s="116" t="str">
        <f>[1]ORÇAMENTO!A12</f>
        <v>1.1</v>
      </c>
      <c r="B10" s="116">
        <f>[1]ORÇAMENTO!C12</f>
        <v>51</v>
      </c>
      <c r="C10" s="117" t="str">
        <f>[1]ORÇAMENTO!D12</f>
        <v>Placa de Obra em chapa de aço galvanizado, instalada - Rev 02 01/2022</v>
      </c>
      <c r="D10" s="116" t="str">
        <f>[1]ORÇAMENTO!B12</f>
        <v>ORSE</v>
      </c>
      <c r="E10" s="116" t="str">
        <f>[1]ORÇAMENTO!E12</f>
        <v>m²</v>
      </c>
      <c r="F10" s="118">
        <f>[1]ORÇAMENTO!F12</f>
        <v>4.5</v>
      </c>
      <c r="G10" s="116"/>
      <c r="H10" s="116"/>
      <c r="I10" s="116"/>
      <c r="J10" s="109">
        <f>[1]ORÇAMENTO!G12*26.63%+[1]ORÇAMENTO!G12</f>
        <v>423.12148199999996</v>
      </c>
      <c r="K10" s="109">
        <f>ROUND(F10*J10,2)</f>
        <v>1904.05</v>
      </c>
      <c r="L10" s="109"/>
      <c r="M10" s="109"/>
      <c r="N10" s="109"/>
    </row>
    <row r="11" spans="1:14" ht="30">
      <c r="A11" s="116" t="str">
        <f>[1]ORÇAMENTO!A13</f>
        <v>1.2</v>
      </c>
      <c r="B11" s="116">
        <f>[1]ORÇAMENTO!C13</f>
        <v>97622</v>
      </c>
      <c r="C11" s="117" t="str">
        <f>[1]ORÇAMENTO!D13</f>
        <v>DEMOLIÇÃO DE ALVENARIA DE BLOCOFURADO, DE FORMA MANUAL, SEM REAPROVEITAMENTO</v>
      </c>
      <c r="D11" s="116" t="str">
        <f>[1]ORÇAMENTO!B13</f>
        <v>SINAPI</v>
      </c>
      <c r="E11" s="116" t="str">
        <f>[1]ORÇAMENTO!E13</f>
        <v>m³</v>
      </c>
      <c r="F11" s="118">
        <f>[1]ORÇAMENTO!F13</f>
        <v>63.41</v>
      </c>
      <c r="G11" s="116"/>
      <c r="H11" s="116"/>
      <c r="I11" s="116"/>
      <c r="J11" s="109">
        <f>[1]ORÇAMENTO!G13*26.63%+[1]ORÇAMENTO!G13</f>
        <v>46.473210000000002</v>
      </c>
      <c r="K11" s="109">
        <f t="shared" ref="K11:K97" si="0">ROUND(F11*J11,2)</f>
        <v>2946.87</v>
      </c>
      <c r="L11" s="109"/>
      <c r="M11" s="109"/>
      <c r="N11" s="109"/>
    </row>
    <row r="12" spans="1:14">
      <c r="A12" s="116" t="str">
        <f>[1]ORÇAMENTO!A14</f>
        <v>1.3</v>
      </c>
      <c r="B12" s="116">
        <f>[1]ORÇAMENTO!C14</f>
        <v>3240</v>
      </c>
      <c r="C12" s="117" t="str">
        <f>[1]ORÇAMENTO!D14</f>
        <v>Demolição de piso de alta resistência</v>
      </c>
      <c r="D12" s="116" t="str">
        <f>[1]ORÇAMENTO!B14</f>
        <v>ORSE</v>
      </c>
      <c r="E12" s="116" t="str">
        <f>[1]ORÇAMENTO!E14</f>
        <v>m²</v>
      </c>
      <c r="F12" s="118">
        <f>[1]ORÇAMENTO!F14</f>
        <v>774.83</v>
      </c>
      <c r="G12" s="116"/>
      <c r="H12" s="116"/>
      <c r="I12" s="116"/>
      <c r="J12" s="109">
        <f>[1]ORÇAMENTO!G14*26.63%+[1]ORÇAMENTO!G14</f>
        <v>20.817972000000001</v>
      </c>
      <c r="K12" s="109">
        <f t="shared" si="0"/>
        <v>16130.39</v>
      </c>
      <c r="L12" s="109"/>
      <c r="M12" s="109"/>
      <c r="N12" s="109"/>
    </row>
    <row r="13" spans="1:14" ht="30">
      <c r="A13" s="116" t="str">
        <f>[1]ORÇAMENTO!A15</f>
        <v>1.4</v>
      </c>
      <c r="B13" s="116">
        <f>[1]ORÇAMENTO!C15</f>
        <v>97650</v>
      </c>
      <c r="C13" s="117" t="str">
        <f>[1]ORÇAMENTO!D15</f>
        <v>REMOÇÃO DE TRAMA DE MADEIRA PARA COBERTURA, DE FORMA MANUAL, SEM REAPROVEITAMENTO. AF 12/2017</v>
      </c>
      <c r="D13" s="116" t="str">
        <f>[1]ORÇAMENTO!B15</f>
        <v>SINAPI</v>
      </c>
      <c r="E13" s="116" t="str">
        <f>[1]ORÇAMENTO!E15</f>
        <v>m²</v>
      </c>
      <c r="F13" s="118">
        <f>[1]ORÇAMENTO!F15</f>
        <v>309.93</v>
      </c>
      <c r="G13" s="116"/>
      <c r="H13" s="116"/>
      <c r="I13" s="116"/>
      <c r="J13" s="109">
        <f>[1]ORÇAMENTO!G15*26.63%+[1]ORÇAMENTO!G15</f>
        <v>6.0149249999999999</v>
      </c>
      <c r="K13" s="109">
        <f t="shared" si="0"/>
        <v>1864.21</v>
      </c>
      <c r="L13" s="109"/>
      <c r="M13" s="109"/>
      <c r="N13" s="109"/>
    </row>
    <row r="14" spans="1:14" ht="45">
      <c r="A14" s="119" t="str">
        <f>[1]ORÇAMENTO!A16</f>
        <v>1.5</v>
      </c>
      <c r="B14" s="116">
        <f>[1]ORÇAMENTO!C16</f>
        <v>100981</v>
      </c>
      <c r="C14" s="117" t="str">
        <f>[1]ORÇAMENTO!D16</f>
        <v>CARGA, MANOBRA E DESCARGA DE ENTULHO EM CAMINHÃO BASCULANTE 6 M³ - CARGA COM ESCAVADEIRA HIDRÁULICA (CAÇAMBA DE 0,80 M³/111 HP) E DESCARGA LIVRE (UNIDADE: M³). AF 07/2020</v>
      </c>
      <c r="D14" s="116" t="str">
        <f>[1]ORÇAMENTO!B16</f>
        <v>SINAPI</v>
      </c>
      <c r="E14" s="116" t="str">
        <f>[1]ORÇAMENTO!E16</f>
        <v>m³</v>
      </c>
      <c r="F14" s="118">
        <f>[1]ORÇAMENTO!F16</f>
        <v>102.15</v>
      </c>
      <c r="G14" s="116"/>
      <c r="H14" s="116"/>
      <c r="I14" s="120"/>
      <c r="J14" s="109">
        <f>[1]ORÇAMENTO!G16*26.63%+[1]ORÇAMENTO!G16</f>
        <v>9.1173599999999997</v>
      </c>
      <c r="K14" s="109">
        <f t="shared" si="0"/>
        <v>931.34</v>
      </c>
      <c r="L14" s="109"/>
      <c r="M14" s="109"/>
      <c r="N14" s="109"/>
    </row>
    <row r="15" spans="1:14">
      <c r="A15" s="119" t="s">
        <v>491</v>
      </c>
      <c r="B15" s="107">
        <v>7725</v>
      </c>
      <c r="C15" s="105" t="s">
        <v>515</v>
      </c>
      <c r="D15" s="121" t="s">
        <v>1</v>
      </c>
      <c r="E15" s="107" t="s">
        <v>516</v>
      </c>
      <c r="F15" s="118"/>
      <c r="G15" s="120">
        <f>[1]MEM!L12</f>
        <v>1218.7839999999999</v>
      </c>
      <c r="H15" s="116"/>
      <c r="I15" s="120">
        <v>2115</v>
      </c>
      <c r="J15" s="109">
        <f>'[1]ITENS NOVOS'!I7</f>
        <v>7.46</v>
      </c>
      <c r="K15" s="109"/>
      <c r="L15" s="109">
        <f>G15*J15</f>
        <v>9092.128639999999</v>
      </c>
      <c r="M15" s="109"/>
      <c r="N15" s="109">
        <f>I15*J15</f>
        <v>15777.9</v>
      </c>
    </row>
    <row r="16" spans="1:14" ht="30">
      <c r="A16" s="119" t="s">
        <v>492</v>
      </c>
      <c r="B16" s="108" t="s">
        <v>517</v>
      </c>
      <c r="C16" s="106" t="s">
        <v>518</v>
      </c>
      <c r="D16" s="121" t="s">
        <v>7</v>
      </c>
      <c r="E16" s="108" t="s">
        <v>519</v>
      </c>
      <c r="F16" s="118"/>
      <c r="G16" s="120">
        <f>[1]MEM!L43</f>
        <v>247.3</v>
      </c>
      <c r="H16" s="116"/>
      <c r="I16" s="120">
        <f t="shared" ref="I16:I21" si="1">G16</f>
        <v>247.3</v>
      </c>
      <c r="J16" s="109">
        <f>'[1]ITENS NOVOS'!I8</f>
        <v>5.4499999999999993</v>
      </c>
      <c r="K16" s="109"/>
      <c r="L16" s="109">
        <f t="shared" ref="L16:L22" si="2">G16*J16</f>
        <v>1347.7849999999999</v>
      </c>
      <c r="M16" s="109"/>
      <c r="N16" s="109">
        <f t="shared" ref="N16:N22" si="3">I16*J16</f>
        <v>1347.7849999999999</v>
      </c>
    </row>
    <row r="17" spans="1:14">
      <c r="A17" s="119" t="s">
        <v>493</v>
      </c>
      <c r="B17" s="107">
        <v>3141</v>
      </c>
      <c r="C17" s="105" t="s">
        <v>486</v>
      </c>
      <c r="D17" s="121" t="s">
        <v>1</v>
      </c>
      <c r="E17" s="107" t="s">
        <v>497</v>
      </c>
      <c r="F17" s="118"/>
      <c r="G17" s="120">
        <f>[1]MEM!L74</f>
        <v>36</v>
      </c>
      <c r="H17" s="116"/>
      <c r="I17" s="120">
        <f t="shared" si="1"/>
        <v>36</v>
      </c>
      <c r="J17" s="109">
        <f>'[1]ITENS NOVOS'!I9</f>
        <v>8.09</v>
      </c>
      <c r="K17" s="109"/>
      <c r="L17" s="109">
        <f t="shared" si="2"/>
        <v>291.24</v>
      </c>
      <c r="M17" s="109"/>
      <c r="N17" s="109">
        <f t="shared" si="3"/>
        <v>291.24</v>
      </c>
    </row>
    <row r="18" spans="1:14" ht="30">
      <c r="A18" s="119" t="s">
        <v>494</v>
      </c>
      <c r="B18" s="108" t="s">
        <v>520</v>
      </c>
      <c r="C18" s="106" t="s">
        <v>487</v>
      </c>
      <c r="D18" s="121" t="s">
        <v>7</v>
      </c>
      <c r="E18" s="108" t="s">
        <v>429</v>
      </c>
      <c r="F18" s="118"/>
      <c r="G18" s="120">
        <f>[1]MEM!L103</f>
        <v>14</v>
      </c>
      <c r="H18" s="116"/>
      <c r="I18" s="120">
        <f t="shared" si="1"/>
        <v>14</v>
      </c>
      <c r="J18" s="109">
        <f>'[1]ITENS NOVOS'!I10</f>
        <v>29.919999999999998</v>
      </c>
      <c r="K18" s="109"/>
      <c r="L18" s="109">
        <f t="shared" si="2"/>
        <v>418.88</v>
      </c>
      <c r="M18" s="109"/>
      <c r="N18" s="109">
        <f t="shared" si="3"/>
        <v>418.88</v>
      </c>
    </row>
    <row r="19" spans="1:14" ht="30">
      <c r="A19" s="119" t="s">
        <v>495</v>
      </c>
      <c r="B19" s="108" t="s">
        <v>521</v>
      </c>
      <c r="C19" s="106" t="s">
        <v>488</v>
      </c>
      <c r="D19" s="121" t="s">
        <v>7</v>
      </c>
      <c r="E19" s="108" t="s">
        <v>429</v>
      </c>
      <c r="F19" s="118"/>
      <c r="G19" s="120">
        <f>[1]MEM!L125</f>
        <v>396.84</v>
      </c>
      <c r="H19" s="116"/>
      <c r="I19" s="120">
        <f t="shared" si="1"/>
        <v>396.84</v>
      </c>
      <c r="J19" s="109">
        <f>'[1]ITENS NOVOS'!I11</f>
        <v>4.0599999999999996</v>
      </c>
      <c r="K19" s="109"/>
      <c r="L19" s="109">
        <f t="shared" si="2"/>
        <v>1611.1703999999997</v>
      </c>
      <c r="M19" s="109"/>
      <c r="N19" s="109">
        <f t="shared" si="3"/>
        <v>1611.1703999999997</v>
      </c>
    </row>
    <row r="20" spans="1:14" ht="30">
      <c r="A20" s="119" t="s">
        <v>496</v>
      </c>
      <c r="B20" s="108" t="s">
        <v>522</v>
      </c>
      <c r="C20" s="106" t="s">
        <v>489</v>
      </c>
      <c r="D20" s="121" t="s">
        <v>7</v>
      </c>
      <c r="E20" s="108" t="s">
        <v>498</v>
      </c>
      <c r="F20" s="118"/>
      <c r="G20" s="120">
        <f>[1]MEM!L137</f>
        <v>35.363999999999997</v>
      </c>
      <c r="H20" s="116"/>
      <c r="I20" s="120">
        <f t="shared" si="1"/>
        <v>35.363999999999997</v>
      </c>
      <c r="J20" s="109">
        <f>'[1]ITENS NOVOS'!I12</f>
        <v>229.97000000000003</v>
      </c>
      <c r="K20" s="109"/>
      <c r="L20" s="109">
        <f t="shared" si="2"/>
        <v>8132.6590800000004</v>
      </c>
      <c r="M20" s="109"/>
      <c r="N20" s="109">
        <f t="shared" si="3"/>
        <v>8132.6590800000004</v>
      </c>
    </row>
    <row r="21" spans="1:14" ht="30">
      <c r="A21" s="119" t="s">
        <v>523</v>
      </c>
      <c r="B21" s="108" t="s">
        <v>524</v>
      </c>
      <c r="C21" s="106" t="s">
        <v>490</v>
      </c>
      <c r="D21" s="121" t="s">
        <v>7</v>
      </c>
      <c r="E21" s="108" t="s">
        <v>429</v>
      </c>
      <c r="F21" s="118"/>
      <c r="G21" s="120">
        <f>[1]MEM!L164</f>
        <v>636.83999999999992</v>
      </c>
      <c r="H21" s="116"/>
      <c r="I21" s="120">
        <f t="shared" si="1"/>
        <v>636.83999999999992</v>
      </c>
      <c r="J21" s="109">
        <f>'[1]ITENS NOVOS'!I15</f>
        <v>2.7899999999999996</v>
      </c>
      <c r="K21" s="109"/>
      <c r="L21" s="109">
        <f t="shared" si="2"/>
        <v>1776.7835999999995</v>
      </c>
      <c r="M21" s="109"/>
      <c r="N21" s="109">
        <f t="shared" si="3"/>
        <v>1776.7835999999995</v>
      </c>
    </row>
    <row r="22" spans="1:14">
      <c r="A22" s="119" t="s">
        <v>525</v>
      </c>
      <c r="B22" s="122">
        <v>26</v>
      </c>
      <c r="C22" s="123" t="s">
        <v>526</v>
      </c>
      <c r="D22" s="122" t="s">
        <v>1</v>
      </c>
      <c r="E22" s="108" t="s">
        <v>498</v>
      </c>
      <c r="F22" s="118"/>
      <c r="G22" s="120">
        <f>[1]MEM!L172</f>
        <v>165.39639999999997</v>
      </c>
      <c r="H22" s="116"/>
      <c r="I22" s="120">
        <f>G22</f>
        <v>165.39639999999997</v>
      </c>
      <c r="J22" s="109">
        <f>'[1]ITENS NOVOS'!I35</f>
        <v>18.649999999999999</v>
      </c>
      <c r="K22" s="109"/>
      <c r="L22" s="109">
        <f t="shared" si="2"/>
        <v>3084.642859999999</v>
      </c>
      <c r="M22" s="109"/>
      <c r="N22" s="109">
        <f t="shared" si="3"/>
        <v>3084.642859999999</v>
      </c>
    </row>
    <row r="23" spans="1:14">
      <c r="A23" s="119"/>
      <c r="B23" s="116"/>
      <c r="C23" s="117"/>
      <c r="D23" s="116"/>
      <c r="E23" s="116"/>
      <c r="F23" s="118"/>
      <c r="G23" s="116"/>
      <c r="H23" s="116"/>
      <c r="I23" s="116"/>
      <c r="J23" s="109"/>
      <c r="K23" s="109"/>
      <c r="L23" s="109"/>
      <c r="M23" s="109"/>
      <c r="N23" s="109"/>
    </row>
    <row r="24" spans="1:14">
      <c r="A24" s="124">
        <f>[1]ORÇAMENTO!A18</f>
        <v>2</v>
      </c>
      <c r="B24" s="124"/>
      <c r="C24" s="125" t="str">
        <f>[1]ORÇAMENTO!B18</f>
        <v>INFRA ESTRUTURA E SUPERESTRUTURA</v>
      </c>
      <c r="D24" s="124"/>
      <c r="E24" s="124"/>
      <c r="F24" s="126"/>
      <c r="G24" s="124"/>
      <c r="H24" s="124"/>
      <c r="I24" s="124"/>
      <c r="J24" s="127"/>
      <c r="K24" s="127"/>
      <c r="L24" s="127"/>
      <c r="M24" s="127"/>
      <c r="N24" s="128"/>
    </row>
    <row r="25" spans="1:14" ht="30">
      <c r="A25" s="119" t="str">
        <f>[1]ORÇAMENTO!A19</f>
        <v>2.1</v>
      </c>
      <c r="B25" s="116">
        <f>[1]ORÇAMENTO!C19</f>
        <v>96523</v>
      </c>
      <c r="C25" s="117" t="str">
        <f>[1]ORÇAMENTO!D19</f>
        <v>ESCAVAÇÃO MANUAL PARA BLOCO DE COROAMENTO OU SAPATA (INCLUINDO ESCAVAÇÃO PARA COLOCAÇÃO DE FÔRMAS). AF_06/2017</v>
      </c>
      <c r="D25" s="116" t="str">
        <f>[1]ORÇAMENTO!B19</f>
        <v>SINAPI</v>
      </c>
      <c r="E25" s="116" t="str">
        <f>[1]ORÇAMENTO!E19</f>
        <v>m³</v>
      </c>
      <c r="F25" s="118">
        <f>[1]ORÇAMENTO!F19</f>
        <v>28.86</v>
      </c>
      <c r="G25" s="116"/>
      <c r="H25" s="116"/>
      <c r="I25" s="116"/>
      <c r="J25" s="109">
        <f>[1]ORÇAMENTO!G19*26.63%+[1]ORÇAMENTO!G19</f>
        <v>80.865917999999994</v>
      </c>
      <c r="K25" s="109">
        <f t="shared" si="0"/>
        <v>2333.79</v>
      </c>
      <c r="L25" s="109"/>
      <c r="M25" s="109"/>
      <c r="N25" s="109"/>
    </row>
    <row r="26" spans="1:14" ht="45">
      <c r="A26" s="119" t="str">
        <f>[1]ORÇAMENTO!A20</f>
        <v>2.2</v>
      </c>
      <c r="B26" s="116">
        <f>[1]ORÇAMENTO!C20</f>
        <v>101964</v>
      </c>
      <c r="C26" s="117" t="str">
        <f>[1]ORÇAMENTO!D20</f>
        <v>LAJE PRÉ-MOLDADA UNIDIRECIONAL, BIAPOIADA, PARA FORRO, ENCHIMENTO EM CERÂMICA, VIGOTA CONVENCIONAL, ALTURA TOTAL DA LAJE (ENCHIMENTO+CAPA) = (8+3). AF_11/2020</v>
      </c>
      <c r="D26" s="116" t="str">
        <f>[1]ORÇAMENTO!B20</f>
        <v>SINAPI</v>
      </c>
      <c r="E26" s="116" t="str">
        <f>[1]ORÇAMENTO!E20</f>
        <v>m²</v>
      </c>
      <c r="F26" s="118">
        <f>[1]ORÇAMENTO!F20</f>
        <v>57.88</v>
      </c>
      <c r="G26" s="116"/>
      <c r="H26" s="116"/>
      <c r="I26" s="116"/>
      <c r="J26" s="109">
        <f>[1]ORÇAMENTO!G20*26.63%+[1]ORÇAMENTO!G20</f>
        <v>179.38405799999998</v>
      </c>
      <c r="K26" s="109">
        <f t="shared" si="0"/>
        <v>10382.75</v>
      </c>
      <c r="L26" s="109"/>
      <c r="M26" s="109"/>
      <c r="N26" s="109"/>
    </row>
    <row r="27" spans="1:14" ht="30">
      <c r="A27" s="119" t="str">
        <f>[1]ORÇAMENTO!A21</f>
        <v>2.3</v>
      </c>
      <c r="B27" s="116">
        <f>[1]ORÇAMENTO!C21</f>
        <v>96619</v>
      </c>
      <c r="C27" s="117" t="str">
        <f>[1]ORÇAMENTO!D21</f>
        <v>LASTRO DE CONCRETO MAGRO, APLICADO EM BLOCOS DE COROAMENTO OU SAPATAS, ESPESSURA DE 5 CM. AF_08/2017</v>
      </c>
      <c r="D27" s="116" t="str">
        <f>[1]ORÇAMENTO!B21</f>
        <v>SINAPI</v>
      </c>
      <c r="E27" s="116" t="str">
        <f>[1]ORÇAMENTO!E21</f>
        <v>m²</v>
      </c>
      <c r="F27" s="118">
        <f>[1]ORÇAMENTO!F21</f>
        <v>19.239999999999998</v>
      </c>
      <c r="G27" s="116"/>
      <c r="H27" s="116"/>
      <c r="I27" s="116"/>
      <c r="J27" s="109">
        <f>[1]ORÇAMENTO!G21*26.63%+[1]ORÇAMENTO!G21</f>
        <v>28.808325</v>
      </c>
      <c r="K27" s="109">
        <f t="shared" si="0"/>
        <v>554.27</v>
      </c>
      <c r="L27" s="109"/>
      <c r="M27" s="109"/>
      <c r="N27" s="109"/>
    </row>
    <row r="28" spans="1:14" ht="45">
      <c r="A28" s="119" t="str">
        <f>[1]ORÇAMENTO!A22</f>
        <v>2.4</v>
      </c>
      <c r="B28" s="116">
        <f>[1]ORÇAMENTO!C22</f>
        <v>94971</v>
      </c>
      <c r="C28" s="117" t="str">
        <f>[1]ORÇAMENTO!D22</f>
        <v>CONCRETO FCK = 25MPA, TRAÇO 1:2,3:2,7 (EM MASSA SECA DE CIMENTO/ AREIA MÉDIA/ BRITA 1) - PREPARO MECÂNICO COM BETONEIRA 600 L. AF_05/2021</v>
      </c>
      <c r="D28" s="116" t="str">
        <f>[1]ORÇAMENTO!B22</f>
        <v>SINAPI</v>
      </c>
      <c r="E28" s="116" t="str">
        <f>[1]ORÇAMENTO!E22</f>
        <v>m³</v>
      </c>
      <c r="F28" s="118">
        <f>[1]ORÇAMENTO!F22</f>
        <v>5.8</v>
      </c>
      <c r="G28" s="116"/>
      <c r="H28" s="116"/>
      <c r="I28" s="116"/>
      <c r="J28" s="109">
        <f>[1]ORÇAMENTO!G22*26.63%+[1]ORÇAMENTO!G22</f>
        <v>447.371127</v>
      </c>
      <c r="K28" s="109">
        <f t="shared" si="0"/>
        <v>2594.75</v>
      </c>
      <c r="L28" s="109"/>
      <c r="M28" s="109"/>
      <c r="N28" s="109"/>
    </row>
    <row r="29" spans="1:14" ht="45">
      <c r="A29" s="119" t="str">
        <f>[1]ORÇAMENTO!A23</f>
        <v>2.5</v>
      </c>
      <c r="B29" s="116">
        <f>[1]ORÇAMENTO!C23</f>
        <v>94972</v>
      </c>
      <c r="C29" s="117" t="str">
        <f>[1]ORÇAMENTO!D23</f>
        <v>CONCRETO FCK = 30MPA, TRAÇO 1:2,1:2,5 (EM MASSA SECA DE CIMENTO/ AREIA MÉDIA/ BRITA 1) - PREPARO MECÂNICO COM BETONEIRA 600 L. AF_05/2021</v>
      </c>
      <c r="D29" s="116" t="str">
        <f>[1]ORÇAMENTO!B23</f>
        <v>SINAPI</v>
      </c>
      <c r="E29" s="116" t="str">
        <f>[1]ORÇAMENTO!E23</f>
        <v>m³</v>
      </c>
      <c r="F29" s="118">
        <f>[1]ORÇAMENTO!F23</f>
        <v>30.1</v>
      </c>
      <c r="G29" s="120">
        <f>[1]MEM!L221</f>
        <v>12.295800000000003</v>
      </c>
      <c r="H29" s="116"/>
      <c r="I29" s="118">
        <f>F29+G29</f>
        <v>42.395800000000008</v>
      </c>
      <c r="J29" s="109">
        <f>[1]ORÇAMENTO!G23*26.63%+[1]ORÇAMENTO!G23</f>
        <v>461.95890299999996</v>
      </c>
      <c r="K29" s="109">
        <f t="shared" si="0"/>
        <v>13904.96</v>
      </c>
      <c r="L29" s="109">
        <f>G29*J29</f>
        <v>5680.154279507401</v>
      </c>
      <c r="M29" s="109"/>
      <c r="N29" s="109">
        <f>I29*J29</f>
        <v>19585.117259807401</v>
      </c>
    </row>
    <row r="30" spans="1:14" ht="30">
      <c r="A30" s="119" t="str">
        <f>[1]ORÇAMENTO!A24</f>
        <v>2.6</v>
      </c>
      <c r="B30" s="116">
        <f>[1]ORÇAMENTO!C24</f>
        <v>92873</v>
      </c>
      <c r="C30" s="117" t="str">
        <f>[1]ORÇAMENTO!D24</f>
        <v>LANÇAMENTO COM USO DE BALDES, ADENSAMENTO E ACABAMENTO DE CONCRETO EM ESTRUTURAS. AF_12/2015</v>
      </c>
      <c r="D30" s="116" t="str">
        <f>[1]ORÇAMENTO!B24</f>
        <v>SINAPI</v>
      </c>
      <c r="E30" s="116" t="str">
        <f>[1]ORÇAMENTO!E24</f>
        <v>m³</v>
      </c>
      <c r="F30" s="118">
        <f>[1]ORÇAMENTO!F24</f>
        <v>35.9</v>
      </c>
      <c r="G30" s="116"/>
      <c r="H30" s="116"/>
      <c r="I30" s="116"/>
      <c r="J30" s="109">
        <f>[1]ORÇAMENTO!G24*26.63%+[1]ORÇAMENTO!G24</f>
        <v>242.28117900000001</v>
      </c>
      <c r="K30" s="109">
        <f t="shared" si="0"/>
        <v>8697.89</v>
      </c>
      <c r="L30" s="109"/>
      <c r="M30" s="109"/>
      <c r="N30" s="109"/>
    </row>
    <row r="31" spans="1:14">
      <c r="A31" s="119" t="str">
        <f>[1]ORÇAMENTO!A25</f>
        <v>2.7</v>
      </c>
      <c r="B31" s="116">
        <f>[1]ORÇAMENTO!C25</f>
        <v>90</v>
      </c>
      <c r="C31" s="117" t="str">
        <f>[1]ORÇAMENTO!D25</f>
        <v>Forma plana para fundações, em tábua de pinho, 07 usos.</v>
      </c>
      <c r="D31" s="116" t="str">
        <f>[1]ORÇAMENTO!B25</f>
        <v>ORSE</v>
      </c>
      <c r="E31" s="116" t="str">
        <f>[1]ORÇAMENTO!E25</f>
        <v>m²</v>
      </c>
      <c r="F31" s="118">
        <f>[1]ORÇAMENTO!F25</f>
        <v>19.3</v>
      </c>
      <c r="G31" s="116"/>
      <c r="H31" s="116"/>
      <c r="I31" s="116"/>
      <c r="J31" s="109">
        <f>[1]ORÇAMENTO!G25*26.63%+[1]ORÇAMENTO!G25</f>
        <v>82.765367999999995</v>
      </c>
      <c r="K31" s="109">
        <f t="shared" si="0"/>
        <v>1597.37</v>
      </c>
      <c r="L31" s="109"/>
      <c r="M31" s="109"/>
      <c r="N31" s="109"/>
    </row>
    <row r="32" spans="1:14" ht="30">
      <c r="A32" s="119" t="str">
        <f>[1]ORÇAMENTO!A26</f>
        <v>2.8</v>
      </c>
      <c r="B32" s="116">
        <f>[1]ORÇAMENTO!C26</f>
        <v>3366</v>
      </c>
      <c r="C32" s="117" t="str">
        <f>[1]ORÇAMENTO!D26</f>
        <v>Forma plana para estruturas, em compensado plastificado de 12mm, 07 usos.</v>
      </c>
      <c r="D32" s="116" t="str">
        <f>[1]ORÇAMENTO!B26</f>
        <v>ORSE</v>
      </c>
      <c r="E32" s="116" t="str">
        <f>[1]ORÇAMENTO!E26</f>
        <v>m²</v>
      </c>
      <c r="F32" s="118">
        <f>[1]ORÇAMENTO!F26</f>
        <v>421.3</v>
      </c>
      <c r="G32" s="116"/>
      <c r="H32" s="116"/>
      <c r="I32" s="116"/>
      <c r="J32" s="109">
        <f>[1]ORÇAMENTO!G26*26.63%+[1]ORÇAMENTO!G26</f>
        <v>69.874433999999994</v>
      </c>
      <c r="K32" s="109">
        <f t="shared" si="0"/>
        <v>29438.1</v>
      </c>
      <c r="L32" s="109"/>
      <c r="M32" s="109"/>
      <c r="N32" s="109"/>
    </row>
    <row r="33" spans="1:14" ht="45">
      <c r="A33" s="119" t="str">
        <f>[1]ORÇAMENTO!A27</f>
        <v>2.9</v>
      </c>
      <c r="B33" s="116">
        <f>[1]ORÇAMENTO!C27</f>
        <v>92763</v>
      </c>
      <c r="C33" s="117" t="str">
        <f>[1]ORÇAMENTO!D27</f>
        <v>ARMAÇÃO DE PILAR OU VIGA DE UMA ESTRUTURA CONVENCIONAL DE CONCRETO ARMADO EM UM EDIFÍCIO DE MÚLTIPLOS PAVIMENTOS UTILIZANDO AÇO CA-50 DE 12,5 MM - MONTAGEM. AF_12/2015</v>
      </c>
      <c r="D33" s="116" t="str">
        <f>[1]ORÇAMENTO!B27</f>
        <v>SINAPI</v>
      </c>
      <c r="E33" s="116" t="str">
        <f>[1]ORÇAMENTO!E27</f>
        <v>kg</v>
      </c>
      <c r="F33" s="118">
        <f>[1]ORÇAMENTO!F27</f>
        <v>480.3</v>
      </c>
      <c r="G33" s="120">
        <f>[1]MEM!L249</f>
        <v>99.050000000000011</v>
      </c>
      <c r="H33" s="116"/>
      <c r="I33" s="118">
        <f>F33+G33</f>
        <v>579.35</v>
      </c>
      <c r="J33" s="109">
        <f>[1]ORÇAMENTO!G27*26.63%+[1]ORÇAMENTO!G27</f>
        <v>13.068216</v>
      </c>
      <c r="K33" s="109">
        <f t="shared" si="0"/>
        <v>6276.66</v>
      </c>
      <c r="L33" s="109">
        <f>G33*J33</f>
        <v>1294.4067948000002</v>
      </c>
      <c r="M33" s="109"/>
      <c r="N33" s="109">
        <f>I33*J33</f>
        <v>7571.0709396000002</v>
      </c>
    </row>
    <row r="34" spans="1:14" ht="45">
      <c r="A34" s="119" t="str">
        <f>[1]ORÇAMENTO!A28</f>
        <v>2.10</v>
      </c>
      <c r="B34" s="116">
        <f>[1]ORÇAMENTO!C28</f>
        <v>92762</v>
      </c>
      <c r="C34" s="117" t="str">
        <f>[1]ORÇAMENTO!D28</f>
        <v>ARMAÇÃO DE PILAR OU VIGA DE UMA ESTRUTURA CONVENCIONAL DE CONCRETO ARMADO EM UM EDIFÍCIO DE MÚLTIPLOS PAVIMENTOS UTILIZANDO AÇO CA-50 DE 10,0 MM - MONTAGEM. AF_12/2015</v>
      </c>
      <c r="D34" s="116" t="str">
        <f>[1]ORÇAMENTO!B28</f>
        <v>SINAPI</v>
      </c>
      <c r="E34" s="116" t="str">
        <f>[1]ORÇAMENTO!E28</f>
        <v>kg</v>
      </c>
      <c r="F34" s="118">
        <f>[1]ORÇAMENTO!F28</f>
        <v>1608.2</v>
      </c>
      <c r="G34" s="120">
        <f>[1]MEM!L259</f>
        <v>446.57226000000009</v>
      </c>
      <c r="H34" s="116"/>
      <c r="I34" s="118">
        <f>F34+G34</f>
        <v>2054.7722600000002</v>
      </c>
      <c r="J34" s="109">
        <f>[1]ORÇAMENTO!G28*26.63%+[1]ORÇAMENTO!G28</f>
        <v>15.309566999999999</v>
      </c>
      <c r="K34" s="109">
        <f t="shared" si="0"/>
        <v>24620.85</v>
      </c>
      <c r="L34" s="109">
        <f>G34*J34</f>
        <v>6836.8279348114211</v>
      </c>
      <c r="M34" s="109"/>
      <c r="N34" s="109">
        <f>I34*J34</f>
        <v>31457.673584211421</v>
      </c>
    </row>
    <row r="35" spans="1:14" ht="45">
      <c r="A35" s="119" t="str">
        <f>[1]ORÇAMENTO!A29</f>
        <v>2.11</v>
      </c>
      <c r="B35" s="116">
        <f>[1]ORÇAMENTO!C29</f>
        <v>92764</v>
      </c>
      <c r="C35" s="117" t="str">
        <f>[1]ORÇAMENTO!D29</f>
        <v>ARMAÇÃO DE PILAR OU VIGA DE UMA ESTRUTURA CONVENCIONAL DE CONCRETO ARMADO EM UM EDIFÍCIO DE MÚLTIPLOS PAVIMENTOS UTILIZANDO AÇO CA-50 DE 16,0 MM - MONTAGEM. AF_12/2015</v>
      </c>
      <c r="D35" s="116" t="str">
        <f>[1]ORÇAMENTO!B29</f>
        <v>SINAPI</v>
      </c>
      <c r="E35" s="116" t="str">
        <f>[1]ORÇAMENTO!E29</f>
        <v>kg</v>
      </c>
      <c r="F35" s="118">
        <f>[1]ORÇAMENTO!F29</f>
        <v>63.1</v>
      </c>
      <c r="G35" s="116"/>
      <c r="H35" s="116"/>
      <c r="I35" s="116"/>
      <c r="J35" s="109">
        <f>[1]ORÇAMENTO!G29*26.63%+[1]ORÇAMENTO!G29</f>
        <v>12.625011000000001</v>
      </c>
      <c r="K35" s="109">
        <f t="shared" si="0"/>
        <v>796.64</v>
      </c>
      <c r="L35" s="109"/>
      <c r="M35" s="109"/>
      <c r="N35" s="109"/>
    </row>
    <row r="36" spans="1:14" ht="45">
      <c r="A36" s="119" t="str">
        <f>[1]ORÇAMENTO!A30</f>
        <v>2.12</v>
      </c>
      <c r="B36" s="116">
        <f>[1]ORÇAMENTO!C30</f>
        <v>92759</v>
      </c>
      <c r="C36" s="117" t="str">
        <f>[1]ORÇAMENTO!D30</f>
        <v>ARMAÇÃO DE PILAR OU VIGA DE UMA ESTRUTURA CONVENCIONAL DE CONCRETO ARMADO EM UM EDIFÍCIO DE MÚLTIPLOS PAVIMENTOS UTILIZANDO AÇO CA-60 DE 5,0 MM - MONTAGEM. AF_12/2015</v>
      </c>
      <c r="D36" s="116" t="str">
        <f>[1]ORÇAMENTO!B30</f>
        <v>SINAPI</v>
      </c>
      <c r="E36" s="116" t="str">
        <f>[1]ORÇAMENTO!E30</f>
        <v>kg</v>
      </c>
      <c r="F36" s="118">
        <f>[1]ORÇAMENTO!F30</f>
        <v>651.9</v>
      </c>
      <c r="G36" s="116"/>
      <c r="H36" s="116"/>
      <c r="I36" s="116"/>
      <c r="J36" s="109">
        <f>[1]ORÇAMENTO!G30*26.63%+[1]ORÇAMENTO!G30</f>
        <v>17.715537000000001</v>
      </c>
      <c r="K36" s="109">
        <f t="shared" si="0"/>
        <v>11548.76</v>
      </c>
      <c r="L36" s="109"/>
      <c r="M36" s="109"/>
      <c r="N36" s="109"/>
    </row>
    <row r="37" spans="1:14">
      <c r="A37" s="119" t="str">
        <f>[1]ORÇAMENTO!A31</f>
        <v>2.13</v>
      </c>
      <c r="B37" s="116">
        <f>[1]ORÇAMENTO!C31</f>
        <v>96995</v>
      </c>
      <c r="C37" s="117" t="str">
        <f>[1]ORÇAMENTO!D31</f>
        <v>REATERRO MANUAL APILOADO COM SOQUETE. AF_10/2017</v>
      </c>
      <c r="D37" s="116" t="str">
        <f>[1]ORÇAMENTO!B31</f>
        <v>SINAPI</v>
      </c>
      <c r="E37" s="116" t="str">
        <f>[1]ORÇAMENTO!E31</f>
        <v>m³</v>
      </c>
      <c r="F37" s="118">
        <f>[1]ORÇAMENTO!F31</f>
        <v>24.3</v>
      </c>
      <c r="G37" s="116"/>
      <c r="H37" s="116"/>
      <c r="I37" s="116"/>
      <c r="J37" s="109">
        <f>[1]ORÇAMENTO!G31*26.63%+[1]ORÇAMENTO!G31</f>
        <v>42.775614000000004</v>
      </c>
      <c r="K37" s="109">
        <f t="shared" si="0"/>
        <v>1039.45</v>
      </c>
      <c r="L37" s="109"/>
      <c r="M37" s="109"/>
      <c r="N37" s="109"/>
    </row>
    <row r="38" spans="1:14">
      <c r="A38" s="119" t="str">
        <f>[1]ORÇAMENTO!A32</f>
        <v>2.14</v>
      </c>
      <c r="B38" s="116">
        <f>[1]ORÇAMENTO!C32</f>
        <v>93184</v>
      </c>
      <c r="C38" s="117" t="str">
        <f>[1]ORÇAMENTO!D32</f>
        <v>VERGA PRÉ-MOLDADA PARA PORTAS COM ATÉ 1,5 M DE VÃO. AF_03/2016</v>
      </c>
      <c r="D38" s="116" t="str">
        <f>[1]ORÇAMENTO!B32</f>
        <v>SINAPI</v>
      </c>
      <c r="E38" s="116" t="str">
        <f>[1]ORÇAMENTO!E32</f>
        <v>m</v>
      </c>
      <c r="F38" s="118">
        <f>[1]ORÇAMENTO!F32</f>
        <v>58.14</v>
      </c>
      <c r="G38" s="116"/>
      <c r="H38" s="116"/>
      <c r="I38" s="116"/>
      <c r="J38" s="109">
        <f>[1]ORÇAMENTO!G32*26.63%+[1]ORÇAMENTO!G32</f>
        <v>37.786391999999999</v>
      </c>
      <c r="K38" s="109">
        <f t="shared" si="0"/>
        <v>2196.9</v>
      </c>
      <c r="L38" s="109"/>
      <c r="M38" s="109"/>
      <c r="N38" s="109"/>
    </row>
    <row r="39" spans="1:14">
      <c r="A39" s="119" t="str">
        <f>[1]ORÇAMENTO!A33</f>
        <v>2.15</v>
      </c>
      <c r="B39" s="116">
        <f>[1]ORÇAMENTO!C33</f>
        <v>93182</v>
      </c>
      <c r="C39" s="117" t="str">
        <f>[1]ORÇAMENTO!D33</f>
        <v>VERGA PRÉ-MOLDADA PARA JANELAS COM ATÉ 1,5 M DE VÃO. AF_03/2016</v>
      </c>
      <c r="D39" s="116" t="str">
        <f>[1]ORÇAMENTO!B33</f>
        <v>SINAPI</v>
      </c>
      <c r="E39" s="116" t="str">
        <f>[1]ORÇAMENTO!E33</f>
        <v>m</v>
      </c>
      <c r="F39" s="118">
        <f>[1]ORÇAMENTO!F33</f>
        <v>16.899999999999999</v>
      </c>
      <c r="G39" s="116"/>
      <c r="H39" s="116"/>
      <c r="I39" s="116"/>
      <c r="J39" s="109">
        <f>[1]ORÇAMENTO!G33*26.63%+[1]ORÇAMENTO!G33</f>
        <v>52.184223000000003</v>
      </c>
      <c r="K39" s="109">
        <f t="shared" si="0"/>
        <v>881.91</v>
      </c>
      <c r="L39" s="109"/>
      <c r="M39" s="109"/>
      <c r="N39" s="109"/>
    </row>
    <row r="40" spans="1:14" ht="30">
      <c r="A40" s="119" t="str">
        <f>[1]ORÇAMENTO!A34</f>
        <v>2.16</v>
      </c>
      <c r="B40" s="116">
        <f>[1]ORÇAMENTO!C34</f>
        <v>93194</v>
      </c>
      <c r="C40" s="117" t="str">
        <f>[1]ORÇAMENTO!D34</f>
        <v>CONTRAVERGA PRÉ-MOLDADA PARA VÃOS DE ATÉ 1,5 M DE COMPRIMENTO. AF_03/2016</v>
      </c>
      <c r="D40" s="116" t="str">
        <f>[1]ORÇAMENTO!B34</f>
        <v>SINAPI</v>
      </c>
      <c r="E40" s="116" t="str">
        <f>[1]ORÇAMENTO!E34</f>
        <v>m</v>
      </c>
      <c r="F40" s="118">
        <f>[1]ORÇAMENTO!F34</f>
        <v>16.899999999999999</v>
      </c>
      <c r="G40" s="116"/>
      <c r="H40" s="116"/>
      <c r="I40" s="116"/>
      <c r="J40" s="109">
        <f>[1]ORÇAMENTO!G34*26.63%+[1]ORÇAMENTO!G34</f>
        <v>50.322762000000004</v>
      </c>
      <c r="K40" s="109">
        <f t="shared" si="0"/>
        <v>850.45</v>
      </c>
      <c r="L40" s="109"/>
      <c r="M40" s="109"/>
      <c r="N40" s="109"/>
    </row>
    <row r="41" spans="1:14">
      <c r="A41" s="119" t="s">
        <v>527</v>
      </c>
      <c r="B41" s="129" t="s">
        <v>528</v>
      </c>
      <c r="C41" s="130" t="s">
        <v>529</v>
      </c>
      <c r="D41" s="116" t="s">
        <v>7</v>
      </c>
      <c r="E41" s="129" t="s">
        <v>429</v>
      </c>
      <c r="F41" s="118"/>
      <c r="G41" s="120">
        <f>[1]MEM!L274</f>
        <v>29.880000000000006</v>
      </c>
      <c r="H41" s="116"/>
      <c r="I41" s="120">
        <f>G41</f>
        <v>29.880000000000006</v>
      </c>
      <c r="J41" s="109">
        <f>'[1]ITENS NOVOS'!I36</f>
        <v>5.1800000000000006</v>
      </c>
      <c r="K41" s="109"/>
      <c r="L41" s="109">
        <f>G41*J41</f>
        <v>154.77840000000006</v>
      </c>
      <c r="M41" s="109"/>
      <c r="N41" s="109">
        <f>I41*J41</f>
        <v>154.77840000000006</v>
      </c>
    </row>
    <row r="42" spans="1:14">
      <c r="A42" s="116"/>
      <c r="B42" s="116"/>
      <c r="C42" s="117"/>
      <c r="D42" s="116"/>
      <c r="E42" s="116"/>
      <c r="F42" s="118"/>
      <c r="G42" s="116"/>
      <c r="H42" s="116"/>
      <c r="I42" s="116"/>
      <c r="J42" s="109"/>
      <c r="K42" s="109"/>
      <c r="L42" s="109"/>
      <c r="M42" s="109"/>
      <c r="N42" s="109"/>
    </row>
    <row r="43" spans="1:14">
      <c r="A43" s="124">
        <f>[1]ORÇAMENTO!A36</f>
        <v>3</v>
      </c>
      <c r="B43" s="124"/>
      <c r="C43" s="125" t="str">
        <f>[1]ORÇAMENTO!B36</f>
        <v>ALVENARIA E VEDAÇÕES</v>
      </c>
      <c r="D43" s="124"/>
      <c r="E43" s="124"/>
      <c r="F43" s="126"/>
      <c r="G43" s="124"/>
      <c r="H43" s="124"/>
      <c r="I43" s="124"/>
      <c r="J43" s="127"/>
      <c r="K43" s="127"/>
      <c r="L43" s="127"/>
      <c r="M43" s="128"/>
      <c r="N43" s="128"/>
    </row>
    <row r="44" spans="1:14" ht="45">
      <c r="A44" s="119" t="str">
        <f>[1]ORÇAMENTO!A37</f>
        <v>3.1</v>
      </c>
      <c r="B44" s="116">
        <f>[1]ORÇAMENTO!C37</f>
        <v>103326</v>
      </c>
      <c r="C44" s="75" t="str">
        <f>[2]ORÇAMENTO!$AD$36</f>
        <v>ALVENARIA DE VEDAÇÃO DE BLOCOS CERÂMICOS FURADOS NA HORIZONTAL DE 9X19X19 CM (ESPESSURA 9 CM) E ARGAMASSA DE ASSENTAMENTO COM PREPARO EM BETONEIRA.</v>
      </c>
      <c r="D44" s="116" t="str">
        <f>[1]ORÇAMENTO!B37</f>
        <v>SINAPI</v>
      </c>
      <c r="E44" s="116" t="str">
        <f>[1]ORÇAMENTO!E37</f>
        <v>m²</v>
      </c>
      <c r="F44" s="118">
        <f>[1]ORÇAMENTO!F37</f>
        <v>209.45</v>
      </c>
      <c r="G44" s="120">
        <f>[1]MEM!L317</f>
        <v>239.29999999999998</v>
      </c>
      <c r="H44" s="116"/>
      <c r="I44" s="118">
        <f>F44+G44</f>
        <v>448.75</v>
      </c>
      <c r="J44" s="109">
        <f>[1]ORÇAMENTO!G37*26.63%+[1]ORÇAMENTO!G37</f>
        <v>78.459947999999997</v>
      </c>
      <c r="K44" s="109">
        <f t="shared" si="0"/>
        <v>16433.439999999999</v>
      </c>
      <c r="L44" s="109">
        <f>G44*J44</f>
        <v>18775.465556399999</v>
      </c>
      <c r="M44" s="109"/>
      <c r="N44" s="109">
        <f>I44*J44</f>
        <v>35208.901664999998</v>
      </c>
    </row>
    <row r="45" spans="1:14" ht="30">
      <c r="A45" s="116" t="str">
        <f>[1]ORÇAMENTO!A38</f>
        <v>3.2</v>
      </c>
      <c r="B45" s="116">
        <f>[1]ORÇAMENTO!C38</f>
        <v>191</v>
      </c>
      <c r="C45" s="117" t="str">
        <f>[1]ORÇAMENTO!D38</f>
        <v>Divisória em granito cinza andorinha polido, e=2cm, inclusive com montagem em ferragem - Rev 02.</v>
      </c>
      <c r="D45" s="116" t="str">
        <f>[1]ORÇAMENTO!B38</f>
        <v>ORSE</v>
      </c>
      <c r="E45" s="116" t="str">
        <f>[1]ORÇAMENTO!E38</f>
        <v>m²</v>
      </c>
      <c r="F45" s="118">
        <f>[1]ORÇAMENTO!F38</f>
        <v>53.89</v>
      </c>
      <c r="G45" s="116"/>
      <c r="H45" s="116"/>
      <c r="I45" s="116"/>
      <c r="J45" s="109">
        <f>[1]ORÇAMENTO!G38*26.63%+[1]ORÇAMENTO!G38</f>
        <v>712.59766200000001</v>
      </c>
      <c r="K45" s="109">
        <f t="shared" si="0"/>
        <v>38401.89</v>
      </c>
      <c r="L45" s="109"/>
      <c r="M45" s="109"/>
      <c r="N45" s="109"/>
    </row>
    <row r="46" spans="1:14" ht="30">
      <c r="A46" s="119" t="s">
        <v>530</v>
      </c>
      <c r="B46" s="131" t="s">
        <v>531</v>
      </c>
      <c r="C46" s="132" t="s">
        <v>532</v>
      </c>
      <c r="D46" s="133" t="s">
        <v>533</v>
      </c>
      <c r="E46" s="134" t="s">
        <v>429</v>
      </c>
      <c r="F46" s="118"/>
      <c r="G46" s="120">
        <f>[1]MEM!L338</f>
        <v>85.483000000000004</v>
      </c>
      <c r="H46" s="116"/>
      <c r="I46" s="120">
        <f>G46</f>
        <v>85.483000000000004</v>
      </c>
      <c r="J46" s="109">
        <f>'[1]ITENS NOVOS'!I17</f>
        <v>128.24</v>
      </c>
      <c r="K46" s="109"/>
      <c r="L46" s="109">
        <f>G46*J46</f>
        <v>10962.339920000002</v>
      </c>
      <c r="M46" s="109"/>
      <c r="N46" s="109">
        <f>I46*J46</f>
        <v>10962.339920000002</v>
      </c>
    </row>
    <row r="47" spans="1:14">
      <c r="A47" s="116"/>
      <c r="B47" s="116"/>
      <c r="C47" s="117"/>
      <c r="D47" s="116"/>
      <c r="E47" s="116"/>
      <c r="F47" s="118"/>
      <c r="G47" s="116"/>
      <c r="H47" s="116"/>
      <c r="I47" s="116"/>
      <c r="J47" s="109"/>
      <c r="K47" s="109"/>
      <c r="L47" s="109"/>
      <c r="M47" s="109"/>
      <c r="N47" s="109"/>
    </row>
    <row r="48" spans="1:14">
      <c r="A48" s="135">
        <f>[1]ORÇAMENTO!A40</f>
        <v>4</v>
      </c>
      <c r="B48" s="135"/>
      <c r="C48" s="136" t="str">
        <f>[1]ORÇAMENTO!B40</f>
        <v>IMPERMEABILIZAÇÕES</v>
      </c>
      <c r="D48" s="135"/>
      <c r="E48" s="135"/>
      <c r="F48" s="137"/>
      <c r="G48" s="135"/>
      <c r="H48" s="135"/>
      <c r="I48" s="135"/>
      <c r="J48" s="138"/>
      <c r="K48" s="138"/>
      <c r="L48" s="128"/>
      <c r="M48" s="128"/>
      <c r="N48" s="128"/>
    </row>
    <row r="49" spans="1:14" ht="30">
      <c r="A49" s="116" t="str">
        <f>[1]ORÇAMENTO!A41</f>
        <v>4.1</v>
      </c>
      <c r="B49" s="116">
        <f>[1]ORÇAMENTO!C41</f>
        <v>98557</v>
      </c>
      <c r="C49" s="117" t="str">
        <f>[1]ORÇAMENTO!D41</f>
        <v>IMPERMEABILIZAÇÃO DE SUPERFÍCIE COM EMULSÃO ASFÁLTICA, 2 DEMÃOS AF_06/2018</v>
      </c>
      <c r="D49" s="116" t="str">
        <f>[1]ORÇAMENTO!B41</f>
        <v>SINAPI</v>
      </c>
      <c r="E49" s="116" t="str">
        <f>[1]ORÇAMENTO!E41</f>
        <v>m²</v>
      </c>
      <c r="F49" s="118">
        <f>[1]ORÇAMENTO!F41</f>
        <v>25.12</v>
      </c>
      <c r="G49" s="116"/>
      <c r="H49" s="116"/>
      <c r="I49" s="116"/>
      <c r="J49" s="109">
        <f>[1]ORÇAMENTO!G41*26.63%+[1]ORÇAMENTO!G41</f>
        <v>48.777876000000006</v>
      </c>
      <c r="K49" s="109">
        <f t="shared" si="0"/>
        <v>1225.3</v>
      </c>
      <c r="L49" s="109"/>
      <c r="M49" s="109"/>
      <c r="N49" s="109"/>
    </row>
    <row r="50" spans="1:14" ht="45">
      <c r="A50" s="116" t="str">
        <f>[1]ORÇAMENTO!A42</f>
        <v>4.2</v>
      </c>
      <c r="B50" s="116">
        <f>[1]ORÇAMENTO!C42</f>
        <v>98546</v>
      </c>
      <c r="C50" s="117" t="str">
        <f>[1]ORÇAMENTO!D42</f>
        <v>IMPERMEABILIZAÇÃO DE SUPERFÍCIE COM MANTA ASFÁLTICA, UMA CAMADA, INCLUSIVE APLICAÇÃO DE PRIMER ASFÁLTICO, E=3MM. AF_06/2018</v>
      </c>
      <c r="D50" s="116" t="str">
        <f>[1]ORÇAMENTO!B42</f>
        <v>SINAPI</v>
      </c>
      <c r="E50" s="116" t="str">
        <f>[1]ORÇAMENTO!E42</f>
        <v>m²</v>
      </c>
      <c r="F50" s="118">
        <f>[1]ORÇAMENTO!F42</f>
        <v>57.88</v>
      </c>
      <c r="G50" s="116"/>
      <c r="H50" s="116"/>
      <c r="I50" s="116"/>
      <c r="J50" s="109">
        <f>[1]ORÇAMENTO!G42*26.63%+[1]ORÇAMENTO!G42</f>
        <v>121.108932</v>
      </c>
      <c r="K50" s="109">
        <f t="shared" si="0"/>
        <v>7009.78</v>
      </c>
      <c r="L50" s="109"/>
      <c r="M50" s="109"/>
      <c r="N50" s="109"/>
    </row>
    <row r="51" spans="1:14">
      <c r="A51" s="116"/>
      <c r="B51" s="116"/>
      <c r="C51" s="117"/>
      <c r="D51" s="116"/>
      <c r="E51" s="116"/>
      <c r="F51" s="118"/>
      <c r="G51" s="116"/>
      <c r="H51" s="116"/>
      <c r="I51" s="116"/>
      <c r="J51" s="109"/>
      <c r="K51" s="109"/>
      <c r="L51" s="109"/>
      <c r="M51" s="109"/>
      <c r="N51" s="109"/>
    </row>
    <row r="52" spans="1:14">
      <c r="A52" s="124">
        <f>[1]ORÇAMENTO!A44</f>
        <v>5</v>
      </c>
      <c r="B52" s="124"/>
      <c r="C52" s="125" t="str">
        <f>[1]ORÇAMENTO!B44</f>
        <v>COBERTURAS E PROTEÇÕES</v>
      </c>
      <c r="D52" s="124"/>
      <c r="E52" s="124"/>
      <c r="F52" s="126"/>
      <c r="G52" s="124"/>
      <c r="H52" s="124"/>
      <c r="I52" s="124"/>
      <c r="J52" s="127"/>
      <c r="K52" s="127"/>
      <c r="L52" s="128"/>
      <c r="M52" s="128"/>
      <c r="N52" s="128"/>
    </row>
    <row r="53" spans="1:14" ht="45">
      <c r="A53" s="116" t="str">
        <f>[1]ORÇAMENTO!A45</f>
        <v>5.1</v>
      </c>
      <c r="B53" s="116">
        <f>[1]ORÇAMENTO!C45</f>
        <v>92539</v>
      </c>
      <c r="C53" s="117" t="str">
        <f>[1]ORÇAMENTO!D45</f>
        <v>TRAMA DE MADEIRA COMPOSTA POR RIPAS, CAIBROS E TERÇAS PARA TELHADOS DE ATÉ 2 ÁGUAS PARA TELHA DE ENCAIXE DE CERÂMICA OU DE CONCRETO, INCLUSO TRANSPORTE VERTICAL. AF_07/2019</v>
      </c>
      <c r="D53" s="116" t="str">
        <f>[1]ORÇAMENTO!B45</f>
        <v>SINAPI</v>
      </c>
      <c r="E53" s="116" t="str">
        <f>[1]ORÇAMENTO!E45</f>
        <v>m²</v>
      </c>
      <c r="F53" s="118">
        <f>309.93+106</f>
        <v>415.93</v>
      </c>
      <c r="G53" s="116">
        <f>774.83-309+121</f>
        <v>586.83000000000004</v>
      </c>
      <c r="H53" s="116">
        <v>309.93</v>
      </c>
      <c r="I53" s="116">
        <f>G53</f>
        <v>586.83000000000004</v>
      </c>
      <c r="J53" s="109">
        <f>[1]ORÇAMENTO!G45*26.63%+[1]ORÇAMENTO!G45</f>
        <v>76.573160999999999</v>
      </c>
      <c r="K53" s="109">
        <f t="shared" si="0"/>
        <v>31849.07</v>
      </c>
      <c r="L53" s="109">
        <f>G53*J53</f>
        <v>44935.428069630005</v>
      </c>
      <c r="M53" s="109"/>
      <c r="N53" s="109">
        <f>I53*J53</f>
        <v>44935.428069630005</v>
      </c>
    </row>
    <row r="54" spans="1:14" ht="30">
      <c r="A54" s="116" t="str">
        <f>[1]ORÇAMENTO!A46</f>
        <v>5.2</v>
      </c>
      <c r="B54" s="116">
        <f>[1]ORÇAMENTO!C46</f>
        <v>94201</v>
      </c>
      <c r="C54" s="117" t="str">
        <f>[1]ORÇAMENTO!D46</f>
        <v>TELHAMENTO COM TELHA CERÂMICA CAPA-CANAL, TIPO COLONIAL, COM ATÉ 2 ÁGUAS, INCLUSO TRANSPORTE VERTICAL. AF_07/2019</v>
      </c>
      <c r="D54" s="116" t="str">
        <f>[1]ORÇAMENTO!B46</f>
        <v>SINAPI</v>
      </c>
      <c r="E54" s="116" t="str">
        <f>[1]ORÇAMENTO!E46</f>
        <v>m²</v>
      </c>
      <c r="F54" s="118">
        <f>[1]ORÇAMENTO!F46</f>
        <v>309.93</v>
      </c>
      <c r="G54" s="116"/>
      <c r="H54" s="116"/>
      <c r="I54" s="116"/>
      <c r="J54" s="109">
        <f>[1]ORÇAMENTO!G46*26.63%+[1]ORÇAMENTO!G46</f>
        <v>37.495142999999999</v>
      </c>
      <c r="K54" s="109">
        <f t="shared" si="0"/>
        <v>11620.87</v>
      </c>
      <c r="L54" s="109"/>
      <c r="M54" s="109"/>
      <c r="N54" s="109"/>
    </row>
    <row r="55" spans="1:14" ht="30">
      <c r="A55" s="116" t="str">
        <f>[1]ORÇAMENTO!A47</f>
        <v>5.3</v>
      </c>
      <c r="B55" s="116">
        <f>[1]ORÇAMENTO!C47</f>
        <v>96113</v>
      </c>
      <c r="C55" s="117" t="str">
        <f>[1]ORÇAMENTO!D47</f>
        <v>FORRO EM PLACAS DE GESSO, PARA AMBIENTES COMERCIAIS. AF_05/2017_P</v>
      </c>
      <c r="D55" s="116" t="str">
        <f>[1]ORÇAMENTO!B47</f>
        <v>SINAPI</v>
      </c>
      <c r="E55" s="116" t="str">
        <f>[1]ORÇAMENTO!E47</f>
        <v>m²</v>
      </c>
      <c r="F55" s="118">
        <f>[1]ORÇAMENTO!F47</f>
        <v>774.83</v>
      </c>
      <c r="G55" s="116"/>
      <c r="H55" s="116">
        <v>309.93</v>
      </c>
      <c r="I55" s="116"/>
      <c r="J55" s="109">
        <f>[1]ORÇAMENTO!G47*26.63%+[1]ORÇAMENTO!G47</f>
        <v>38.153618999999999</v>
      </c>
      <c r="K55" s="109">
        <f t="shared" si="0"/>
        <v>29562.57</v>
      </c>
      <c r="L55" s="109"/>
      <c r="M55" s="109"/>
      <c r="N55" s="109"/>
    </row>
    <row r="56" spans="1:14" ht="30">
      <c r="A56" s="116" t="s">
        <v>534</v>
      </c>
      <c r="B56" s="107">
        <v>12625</v>
      </c>
      <c r="C56" s="105" t="s">
        <v>535</v>
      </c>
      <c r="D56" s="107" t="s">
        <v>1</v>
      </c>
      <c r="E56" s="116" t="s">
        <v>9</v>
      </c>
      <c r="F56" s="118"/>
      <c r="G56" s="120">
        <f>[1]MEM!L396</f>
        <v>250</v>
      </c>
      <c r="H56" s="116"/>
      <c r="I56" s="120">
        <f>G56</f>
        <v>250</v>
      </c>
      <c r="J56" s="109">
        <f>'[1]ITENS NOVOS'!I16</f>
        <v>11.57</v>
      </c>
      <c r="K56" s="109"/>
      <c r="L56" s="109">
        <f>G56*J56</f>
        <v>2892.5</v>
      </c>
      <c r="M56" s="109"/>
      <c r="N56" s="109">
        <f>I56*J56</f>
        <v>2892.5</v>
      </c>
    </row>
    <row r="57" spans="1:14">
      <c r="A57" s="116" t="s">
        <v>536</v>
      </c>
      <c r="B57" s="139" t="s">
        <v>537</v>
      </c>
      <c r="C57" s="140" t="s">
        <v>538</v>
      </c>
      <c r="D57" s="133" t="s">
        <v>7</v>
      </c>
      <c r="E57" s="139" t="s">
        <v>429</v>
      </c>
      <c r="F57" s="118"/>
      <c r="G57" s="120">
        <f>[1]MEM!L401</f>
        <v>211.57</v>
      </c>
      <c r="H57" s="116"/>
      <c r="I57" s="120">
        <f>G57</f>
        <v>211.57</v>
      </c>
      <c r="J57" s="141">
        <f>'[1]ITENS NOVOS'!I31</f>
        <v>23.29</v>
      </c>
      <c r="K57" s="109"/>
      <c r="L57" s="109">
        <f>G57*J57</f>
        <v>4927.4652999999998</v>
      </c>
      <c r="M57" s="109"/>
      <c r="N57" s="109">
        <f>I57*J57</f>
        <v>4927.4652999999998</v>
      </c>
    </row>
    <row r="58" spans="1:14">
      <c r="A58" s="116" t="s">
        <v>539</v>
      </c>
      <c r="B58" s="139" t="s">
        <v>540</v>
      </c>
      <c r="C58" s="140" t="s">
        <v>541</v>
      </c>
      <c r="D58" s="133" t="s">
        <v>7</v>
      </c>
      <c r="E58" s="139" t="s">
        <v>429</v>
      </c>
      <c r="F58" s="118"/>
      <c r="G58" s="120">
        <f>[1]MEM!L405</f>
        <v>211.57</v>
      </c>
      <c r="H58" s="116"/>
      <c r="I58" s="120">
        <f>G58</f>
        <v>211.57</v>
      </c>
      <c r="J58" s="141">
        <f>'[1]ITENS NOVOS'!I32</f>
        <v>72.739999999999995</v>
      </c>
      <c r="K58" s="109"/>
      <c r="L58" s="109">
        <f>G58*J58</f>
        <v>15389.601799999999</v>
      </c>
      <c r="M58" s="109"/>
      <c r="N58" s="109">
        <f>I58*J58</f>
        <v>15389.601799999999</v>
      </c>
    </row>
    <row r="59" spans="1:14" ht="30">
      <c r="A59" s="116" t="s">
        <v>542</v>
      </c>
      <c r="B59" s="107">
        <v>8269</v>
      </c>
      <c r="C59" s="105" t="s">
        <v>543</v>
      </c>
      <c r="D59" s="116" t="s">
        <v>1</v>
      </c>
      <c r="E59" s="107" t="s">
        <v>38</v>
      </c>
      <c r="F59" s="118"/>
      <c r="G59" s="120">
        <f>[1]MEM!L409</f>
        <v>118.97</v>
      </c>
      <c r="H59" s="116"/>
      <c r="I59" s="120">
        <f>G59</f>
        <v>118.97</v>
      </c>
      <c r="J59" s="141">
        <f>'[1]ITENS NOVOS'!I33</f>
        <v>173.19</v>
      </c>
      <c r="K59" s="109"/>
      <c r="L59" s="109">
        <f>G59*J59</f>
        <v>20604.4143</v>
      </c>
      <c r="M59" s="109"/>
      <c r="N59" s="109">
        <f>I59*J59</f>
        <v>20604.4143</v>
      </c>
    </row>
    <row r="60" spans="1:14">
      <c r="A60" s="116" t="s">
        <v>544</v>
      </c>
      <c r="B60" s="139" t="s">
        <v>545</v>
      </c>
      <c r="C60" s="140" t="s">
        <v>546</v>
      </c>
      <c r="D60" s="133" t="s">
        <v>7</v>
      </c>
      <c r="E60" s="139" t="s">
        <v>519</v>
      </c>
      <c r="F60" s="118"/>
      <c r="G60" s="120">
        <f>[1]MEM!L417</f>
        <v>25.08</v>
      </c>
      <c r="H60" s="116"/>
      <c r="I60" s="120">
        <f>G60</f>
        <v>25.08</v>
      </c>
      <c r="J60" s="141">
        <f>'[1]ITENS NOVOS'!I34</f>
        <v>25.88</v>
      </c>
      <c r="K60" s="109"/>
      <c r="L60" s="109">
        <f>G60*J60</f>
        <v>649.07039999999995</v>
      </c>
      <c r="M60" s="109"/>
      <c r="N60" s="109">
        <f>I60*J60</f>
        <v>649.07039999999995</v>
      </c>
    </row>
    <row r="61" spans="1:14">
      <c r="A61" s="116"/>
      <c r="B61" s="116"/>
      <c r="C61" s="117"/>
      <c r="D61" s="116"/>
      <c r="E61" s="116"/>
      <c r="F61" s="118"/>
      <c r="G61" s="116"/>
      <c r="H61" s="116"/>
      <c r="I61" s="116"/>
      <c r="J61" s="109"/>
      <c r="K61" s="109"/>
      <c r="L61" s="109"/>
      <c r="M61" s="109"/>
      <c r="N61" s="109"/>
    </row>
    <row r="62" spans="1:14">
      <c r="A62" s="124">
        <f>[1]ORÇAMENTO!A49</f>
        <v>6</v>
      </c>
      <c r="B62" s="124"/>
      <c r="C62" s="125" t="str">
        <f>[1]ORÇAMENTO!B49</f>
        <v>ESQUADRIAS</v>
      </c>
      <c r="D62" s="124"/>
      <c r="E62" s="124"/>
      <c r="F62" s="126"/>
      <c r="G62" s="124"/>
      <c r="H62" s="124"/>
      <c r="I62" s="124"/>
      <c r="J62" s="127"/>
      <c r="K62" s="127"/>
      <c r="L62" s="128"/>
      <c r="M62" s="128"/>
      <c r="N62" s="128"/>
    </row>
    <row r="63" spans="1:14">
      <c r="A63" s="142" t="str">
        <f>[1]ORÇAMENTO!A50</f>
        <v>6.1</v>
      </c>
      <c r="B63" s="142"/>
      <c r="C63" s="143" t="str">
        <f>[1]ORÇAMENTO!B50</f>
        <v>METÁLICA, ALUMÍNIO C/ VIDRO E MADEIRA</v>
      </c>
      <c r="D63" s="142"/>
      <c r="E63" s="142"/>
      <c r="F63" s="144"/>
      <c r="G63" s="142"/>
      <c r="H63" s="142"/>
      <c r="I63" s="142"/>
      <c r="J63" s="145"/>
      <c r="K63" s="145"/>
      <c r="L63" s="145"/>
      <c r="M63" s="145"/>
      <c r="N63" s="145"/>
    </row>
    <row r="64" spans="1:14" ht="60">
      <c r="A64" s="116" t="str">
        <f>[1]ORÇAMENTO!A51</f>
        <v>6.1.1</v>
      </c>
      <c r="B64" s="116">
        <f>[1]ORÇAMENTO!C51</f>
        <v>94570</v>
      </c>
      <c r="C64" s="117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16" t="str">
        <f>[1]ORÇAMENTO!B51</f>
        <v>SINAPI</v>
      </c>
      <c r="E64" s="116" t="str">
        <f>[1]ORÇAMENTO!E51</f>
        <v>m²</v>
      </c>
      <c r="F64" s="118">
        <f>[1]ORÇAMENTO!F51</f>
        <v>16.559999999999999</v>
      </c>
      <c r="G64" s="116">
        <v>6</v>
      </c>
      <c r="H64" s="116"/>
      <c r="I64" s="118">
        <f>F64+G64</f>
        <v>22.56</v>
      </c>
      <c r="J64" s="109">
        <f>[1]ORÇAMENTO!G51*26.63%+[1]ORÇAMENTO!G51</f>
        <v>771.53126399999996</v>
      </c>
      <c r="K64" s="109">
        <f t="shared" si="0"/>
        <v>12776.56</v>
      </c>
      <c r="L64" s="109">
        <f>G64*J64</f>
        <v>4629.1875839999993</v>
      </c>
      <c r="M64" s="109"/>
      <c r="N64" s="109">
        <f>I64*J64</f>
        <v>17405.745315839999</v>
      </c>
    </row>
    <row r="65" spans="1:14" ht="45">
      <c r="A65" s="116" t="str">
        <f>[1]ORÇAMENTO!A52</f>
        <v>6.1.2</v>
      </c>
      <c r="B65" s="116">
        <f>[1]ORÇAMENTO!C52</f>
        <v>94569</v>
      </c>
      <c r="C65" s="117" t="str">
        <f>[1]ORÇAMENTO!D52</f>
        <v>JANELA DE ALUMÍNIO TIPO MAXIM-AR, COM VIDROS, BATENTE E FERRAGENS. EXCLUSIVE ALIZAR, ACABAMENTO E CONTRAMARCO. FORNECIMENTO E INSTALAÇÃO. AF_12/2019</v>
      </c>
      <c r="D65" s="116" t="str">
        <f>[1]ORÇAMENTO!B52</f>
        <v>SINAPI</v>
      </c>
      <c r="E65" s="116" t="str">
        <f>[1]ORÇAMENTO!E52</f>
        <v>m²</v>
      </c>
      <c r="F65" s="118">
        <f>[1]ORÇAMENTO!F52</f>
        <v>2.5</v>
      </c>
      <c r="G65" s="116">
        <v>8</v>
      </c>
      <c r="H65" s="116"/>
      <c r="I65" s="118">
        <f>F65+G65</f>
        <v>10.5</v>
      </c>
      <c r="J65" s="109">
        <f>[1]ORÇAMENTO!G52*26.63%+[1]ORÇAMENTO!G52</f>
        <v>1448.938449</v>
      </c>
      <c r="K65" s="109">
        <f t="shared" si="0"/>
        <v>3622.35</v>
      </c>
      <c r="L65" s="109">
        <f>G65*J65</f>
        <v>11591.507592</v>
      </c>
      <c r="M65" s="109"/>
      <c r="N65" s="109">
        <f>I65*J65</f>
        <v>15213.853714499999</v>
      </c>
    </row>
    <row r="66" spans="1:14" ht="30">
      <c r="A66" s="116" t="str">
        <f>[1]ORÇAMENTO!A53</f>
        <v>6.1.3</v>
      </c>
      <c r="B66" s="116">
        <f>[1]ORÇAMENTO!C53</f>
        <v>91341</v>
      </c>
      <c r="C66" s="117" t="str">
        <f>[1]ORÇAMENTO!D53</f>
        <v>PORTA EM ALUMÍNIO DE ABRIR TIPO VENEZIANA COM GUARNIÇÃO, FIXAÇÃO COM PARAFUSOS - FORNECIMENTO E INSTALAÇÃO. AF_12/2019</v>
      </c>
      <c r="D66" s="116" t="str">
        <f>[1]ORÇAMENTO!B53</f>
        <v>SINAPI</v>
      </c>
      <c r="E66" s="116" t="str">
        <f>[1]ORÇAMENTO!E53</f>
        <v>m²</v>
      </c>
      <c r="F66" s="118">
        <f>[1]ORÇAMENTO!F53</f>
        <v>7.92</v>
      </c>
      <c r="G66" s="116"/>
      <c r="H66" s="116"/>
      <c r="I66" s="116"/>
      <c r="J66" s="109">
        <f>[1]ORÇAMENTO!G53*26.63%+[1]ORÇAMENTO!G53</f>
        <v>969.51726899999994</v>
      </c>
      <c r="K66" s="109">
        <f t="shared" si="0"/>
        <v>7678.58</v>
      </c>
      <c r="L66" s="109"/>
      <c r="M66" s="109"/>
      <c r="N66" s="109"/>
    </row>
    <row r="67" spans="1:14" ht="30">
      <c r="A67" s="116" t="str">
        <f>[1]ORÇAMENTO!A54</f>
        <v>6.1.4</v>
      </c>
      <c r="B67" s="116">
        <f>[1]ORÇAMENTO!C54</f>
        <v>100701</v>
      </c>
      <c r="C67" s="117" t="str">
        <f>[1]ORÇAMENTO!D54</f>
        <v>PORTA DE FERRO, DE ABRIR, TIPO GRADE COM CHAPA, COM GUARNIÇÕES. AF_12/2019</v>
      </c>
      <c r="D67" s="116" t="str">
        <f>[1]ORÇAMENTO!B54</f>
        <v>SINAPI</v>
      </c>
      <c r="E67" s="116" t="str">
        <f>[1]ORÇAMENTO!E54</f>
        <v>m²</v>
      </c>
      <c r="F67" s="118">
        <f>[1]ORÇAMENTO!F54</f>
        <v>5.31</v>
      </c>
      <c r="G67" s="116"/>
      <c r="H67" s="116"/>
      <c r="I67" s="116"/>
      <c r="J67" s="109">
        <f>[1]ORÇAMENTO!G54*26.63%+[1]ORÇAMENTO!G54</f>
        <v>724.120992</v>
      </c>
      <c r="K67" s="109">
        <f t="shared" si="0"/>
        <v>3845.08</v>
      </c>
      <c r="L67" s="109"/>
      <c r="M67" s="109"/>
      <c r="N67" s="109"/>
    </row>
    <row r="68" spans="1:14" ht="30">
      <c r="A68" s="116" t="str">
        <f>[1]ORÇAMENTO!A55</f>
        <v>6.1.5</v>
      </c>
      <c r="B68" s="116">
        <f>[1]ORÇAMENTO!C55</f>
        <v>12036</v>
      </c>
      <c r="C68" s="117" t="str">
        <f>[1]ORÇAMENTO!D55</f>
        <v>Portão em ferro, em tubo de aço galvanizado 2" e tela ondulada, malha 3/8".</v>
      </c>
      <c r="D68" s="116" t="str">
        <f>[1]ORÇAMENTO!B55</f>
        <v>ORSE</v>
      </c>
      <c r="E68" s="116" t="str">
        <f>[1]ORÇAMENTO!E55</f>
        <v>m²</v>
      </c>
      <c r="F68" s="118">
        <f>[1]ORÇAMENTO!F55</f>
        <v>6.62</v>
      </c>
      <c r="G68" s="116"/>
      <c r="H68" s="116"/>
      <c r="I68" s="116"/>
      <c r="J68" s="109">
        <f>[1]ORÇAMENTO!G55*26.63%+[1]ORÇAMENTO!G55</f>
        <v>940.87356299999999</v>
      </c>
      <c r="K68" s="109">
        <f t="shared" si="0"/>
        <v>6228.58</v>
      </c>
      <c r="L68" s="109"/>
      <c r="M68" s="109"/>
      <c r="N68" s="109"/>
    </row>
    <row r="69" spans="1:14" ht="60">
      <c r="A69" s="116" t="str">
        <f>[1]ORÇAMENTO!A56</f>
        <v>6.1.6</v>
      </c>
      <c r="B69" s="116">
        <f>[1]ORÇAMENTO!C56</f>
        <v>90841</v>
      </c>
      <c r="C69" s="117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16" t="str">
        <f>[1]ORÇAMENTO!B56</f>
        <v>SINAPI</v>
      </c>
      <c r="E69" s="116" t="str">
        <f>[1]ORÇAMENTO!E56</f>
        <v>unid</v>
      </c>
      <c r="F69" s="118">
        <f>[1]ORÇAMENTO!F56</f>
        <v>8</v>
      </c>
      <c r="G69" s="116">
        <v>-8</v>
      </c>
      <c r="H69" s="116"/>
      <c r="I69" s="116">
        <v>-8</v>
      </c>
      <c r="J69" s="109">
        <f>[1]ORÇAMENTO!G56*26.63%+[1]ORÇAMENTO!G56</f>
        <v>1013.951736</v>
      </c>
      <c r="K69" s="109">
        <f t="shared" si="0"/>
        <v>8111.61</v>
      </c>
      <c r="L69" s="109">
        <f>G69*J69</f>
        <v>-8111.6138879999999</v>
      </c>
      <c r="M69" s="109"/>
      <c r="N69" s="109">
        <f>I69*J69</f>
        <v>-8111.6138879999999</v>
      </c>
    </row>
    <row r="70" spans="1:14" ht="60">
      <c r="A70" s="116" t="str">
        <f>[1]ORÇAMENTO!A57</f>
        <v>6.1.7</v>
      </c>
      <c r="B70" s="116">
        <f>[1]ORÇAMENTO!C57</f>
        <v>90842</v>
      </c>
      <c r="C70" s="117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16" t="str">
        <f>[1]ORÇAMENTO!B57</f>
        <v>SINAPI</v>
      </c>
      <c r="E70" s="116" t="str">
        <f>[1]ORÇAMENTO!E57</f>
        <v>unid</v>
      </c>
      <c r="F70" s="118">
        <f>[1]ORÇAMENTO!F57</f>
        <v>3</v>
      </c>
      <c r="G70" s="116">
        <v>-3</v>
      </c>
      <c r="H70" s="116"/>
      <c r="I70" s="116">
        <v>-3</v>
      </c>
      <c r="J70" s="109">
        <f>[1]ORÇAMENTO!G57*26.63%+[1]ORÇAMENTO!G57</f>
        <v>1022.170023</v>
      </c>
      <c r="K70" s="109">
        <f t="shared" si="0"/>
        <v>3066.51</v>
      </c>
      <c r="L70" s="109">
        <f>G70*J70</f>
        <v>-3066.5100689999999</v>
      </c>
      <c r="M70" s="109"/>
      <c r="N70" s="109">
        <f>I70*J70</f>
        <v>-3066.5100689999999</v>
      </c>
    </row>
    <row r="71" spans="1:14" ht="60">
      <c r="A71" s="116" t="str">
        <f>[1]ORÇAMENTO!A58</f>
        <v>6.1.8</v>
      </c>
      <c r="B71" s="116">
        <f>[1]ORÇAMENTO!C58</f>
        <v>90843</v>
      </c>
      <c r="C71" s="117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16" t="str">
        <f>[1]ORÇAMENTO!B58</f>
        <v>SINAPI</v>
      </c>
      <c r="E71" s="116" t="str">
        <f>[1]ORÇAMENTO!E58</f>
        <v>unid</v>
      </c>
      <c r="F71" s="118">
        <f>[1]ORÇAMENTO!F58</f>
        <v>2</v>
      </c>
      <c r="G71" s="116">
        <v>6</v>
      </c>
      <c r="H71" s="116"/>
      <c r="I71" s="118">
        <f>F71+G71</f>
        <v>8</v>
      </c>
      <c r="J71" s="109">
        <f>[1]ORÇAMENTO!G58*26.63%+[1]ORÇAMENTO!G58</f>
        <v>1068.073398</v>
      </c>
      <c r="K71" s="109">
        <f t="shared" si="0"/>
        <v>2136.15</v>
      </c>
      <c r="L71" s="109">
        <f>G71*J71</f>
        <v>6408.440388</v>
      </c>
      <c r="M71" s="109"/>
      <c r="N71" s="109">
        <f>I71*J71</f>
        <v>8544.587184</v>
      </c>
    </row>
    <row r="72" spans="1:14" ht="60">
      <c r="A72" s="116" t="str">
        <f>[1]ORÇAMENTO!A59</f>
        <v>6.1.9</v>
      </c>
      <c r="B72" s="116">
        <f>[1]ORÇAMENTO!C59</f>
        <v>90844</v>
      </c>
      <c r="C72" s="117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16" t="str">
        <f>[1]ORÇAMENTO!B59</f>
        <v>SINAPI</v>
      </c>
      <c r="E72" s="116" t="str">
        <f>[1]ORÇAMENTO!E59</f>
        <v>unid</v>
      </c>
      <c r="F72" s="118">
        <f>[1]ORÇAMENTO!F59</f>
        <v>22</v>
      </c>
      <c r="G72" s="116">
        <v>12</v>
      </c>
      <c r="H72" s="116"/>
      <c r="I72" s="118">
        <f>F72+G72</f>
        <v>34</v>
      </c>
      <c r="J72" s="109">
        <f>[1]ORÇAMENTO!G59*26.63%+[1]ORÇAMENTO!G59</f>
        <v>1149.268554</v>
      </c>
      <c r="K72" s="109">
        <f t="shared" si="0"/>
        <v>25283.91</v>
      </c>
      <c r="L72" s="109">
        <f>G72*J72</f>
        <v>13791.222647999999</v>
      </c>
      <c r="M72" s="109"/>
      <c r="N72" s="109">
        <f>I72*J72</f>
        <v>39075.130835999997</v>
      </c>
    </row>
    <row r="73" spans="1:14" ht="30">
      <c r="A73" s="116" t="str">
        <f>[1]ORÇAMENTO!A60</f>
        <v>6.1.10</v>
      </c>
      <c r="B73" s="116">
        <f>[1]ORÇAMENTO!C60</f>
        <v>3629</v>
      </c>
      <c r="C73" s="117" t="str">
        <f>[1]ORÇAMENTO!D60</f>
        <v>Porta em madeira compensada (canela), lisa e semi-oca, 1,00 x 2,10 m, inclusive batentes e ferragens.</v>
      </c>
      <c r="D73" s="116" t="str">
        <f>[1]ORÇAMENTO!B60</f>
        <v>ORSE</v>
      </c>
      <c r="E73" s="116" t="str">
        <f>[1]ORÇAMENTO!E60</f>
        <v>unid</v>
      </c>
      <c r="F73" s="118">
        <f>[1]ORÇAMENTO!F60</f>
        <v>11</v>
      </c>
      <c r="G73" s="116">
        <v>-11</v>
      </c>
      <c r="H73" s="116"/>
      <c r="I73" s="116">
        <v>-11</v>
      </c>
      <c r="J73" s="109">
        <f>[1]ORÇAMENTO!G60*26.63%+[1]ORÇAMENTO!G60</f>
        <v>1016.1044459999999</v>
      </c>
      <c r="K73" s="109">
        <f t="shared" si="0"/>
        <v>11177.15</v>
      </c>
      <c r="L73" s="109">
        <f>G73*J73</f>
        <v>-11177.148905999999</v>
      </c>
      <c r="M73" s="109"/>
      <c r="N73" s="109">
        <f>I73*J73</f>
        <v>-11177.148905999999</v>
      </c>
    </row>
    <row r="74" spans="1:14" ht="45">
      <c r="A74" s="116" t="s">
        <v>547</v>
      </c>
      <c r="B74" s="146" t="s">
        <v>548</v>
      </c>
      <c r="C74" s="147" t="s">
        <v>549</v>
      </c>
      <c r="D74" s="133" t="s">
        <v>7</v>
      </c>
      <c r="E74" s="146" t="s">
        <v>429</v>
      </c>
      <c r="F74" s="118"/>
      <c r="G74" s="120">
        <f>[1]MEM!L428</f>
        <v>17.490000000000002</v>
      </c>
      <c r="H74" s="116"/>
      <c r="I74" s="120">
        <f>G74</f>
        <v>17.490000000000002</v>
      </c>
      <c r="J74" s="109">
        <f>'[1]ITENS NOVOS'!I22</f>
        <v>1647.3500000000001</v>
      </c>
      <c r="K74" s="109"/>
      <c r="L74" s="109">
        <f t="shared" ref="L74:L82" si="4">G74*J74</f>
        <v>28812.151500000007</v>
      </c>
      <c r="M74" s="109"/>
      <c r="N74" s="109">
        <f t="shared" ref="N74:N82" si="5">I74*J74</f>
        <v>28812.151500000007</v>
      </c>
    </row>
    <row r="75" spans="1:14" ht="60">
      <c r="A75" s="116" t="s">
        <v>550</v>
      </c>
      <c r="B75" s="131">
        <v>12093</v>
      </c>
      <c r="C75" s="132" t="s">
        <v>551</v>
      </c>
      <c r="D75" s="148" t="s">
        <v>1</v>
      </c>
      <c r="E75" s="131" t="s">
        <v>516</v>
      </c>
      <c r="F75" s="118"/>
      <c r="G75" s="120">
        <f>[1]MEM!L433</f>
        <v>5.5</v>
      </c>
      <c r="H75" s="116"/>
      <c r="I75" s="120">
        <f t="shared" ref="I75:I82" si="6">G75</f>
        <v>5.5</v>
      </c>
      <c r="J75" s="109">
        <f>'[1]ITENS NOVOS'!I23</f>
        <v>592.45000000000005</v>
      </c>
      <c r="K75" s="109"/>
      <c r="L75" s="109">
        <f t="shared" si="4"/>
        <v>3258.4750000000004</v>
      </c>
      <c r="M75" s="109"/>
      <c r="N75" s="109">
        <f t="shared" si="5"/>
        <v>3258.4750000000004</v>
      </c>
    </row>
    <row r="76" spans="1:14" ht="30">
      <c r="A76" s="116" t="s">
        <v>552</v>
      </c>
      <c r="B76" s="131">
        <v>11955</v>
      </c>
      <c r="C76" s="132" t="s">
        <v>553</v>
      </c>
      <c r="D76" s="148" t="s">
        <v>1</v>
      </c>
      <c r="E76" s="131" t="s">
        <v>516</v>
      </c>
      <c r="F76" s="118"/>
      <c r="G76" s="120">
        <f>[1]MEM!L439</f>
        <v>14.775</v>
      </c>
      <c r="H76" s="116"/>
      <c r="I76" s="120">
        <f t="shared" si="6"/>
        <v>14.775</v>
      </c>
      <c r="J76" s="109">
        <f>'[1]ITENS NOVOS'!I24</f>
        <v>401.54</v>
      </c>
      <c r="K76" s="109"/>
      <c r="L76" s="109">
        <f t="shared" si="4"/>
        <v>5932.7535000000007</v>
      </c>
      <c r="M76" s="109"/>
      <c r="N76" s="109">
        <f t="shared" si="5"/>
        <v>5932.7535000000007</v>
      </c>
    </row>
    <row r="77" spans="1:14" ht="30">
      <c r="A77" s="116" t="s">
        <v>554</v>
      </c>
      <c r="B77" s="149">
        <v>1924</v>
      </c>
      <c r="C77" s="150" t="s">
        <v>555</v>
      </c>
      <c r="D77" s="148" t="s">
        <v>1</v>
      </c>
      <c r="E77" s="149" t="s">
        <v>516</v>
      </c>
      <c r="F77" s="118"/>
      <c r="G77" s="120">
        <f>[1]MEM!L445</f>
        <v>112.77000000000001</v>
      </c>
      <c r="H77" s="116"/>
      <c r="I77" s="120">
        <f t="shared" si="6"/>
        <v>112.77000000000001</v>
      </c>
      <c r="J77" s="109">
        <f>'[1]ITENS NOVOS'!I28</f>
        <v>105.72</v>
      </c>
      <c r="K77" s="109"/>
      <c r="L77" s="109">
        <f t="shared" si="4"/>
        <v>11922.044400000001</v>
      </c>
      <c r="M77" s="109"/>
      <c r="N77" s="109">
        <f t="shared" si="5"/>
        <v>11922.044400000001</v>
      </c>
    </row>
    <row r="78" spans="1:14">
      <c r="A78" s="116" t="s">
        <v>556</v>
      </c>
      <c r="B78" s="131">
        <v>1770</v>
      </c>
      <c r="C78" s="132" t="s">
        <v>557</v>
      </c>
      <c r="D78" s="148" t="s">
        <v>1</v>
      </c>
      <c r="E78" s="131" t="s">
        <v>38</v>
      </c>
      <c r="F78" s="118"/>
      <c r="G78" s="120">
        <f>[1]MEM!L455</f>
        <v>23.799999999999997</v>
      </c>
      <c r="H78" s="116"/>
      <c r="I78" s="120">
        <f t="shared" si="6"/>
        <v>23.799999999999997</v>
      </c>
      <c r="J78" s="109">
        <f>'[1]ITENS NOVOS'!I29</f>
        <v>80.109999999999985</v>
      </c>
      <c r="K78" s="109"/>
      <c r="L78" s="109">
        <f t="shared" si="4"/>
        <v>1906.6179999999995</v>
      </c>
      <c r="M78" s="109"/>
      <c r="N78" s="109">
        <f t="shared" si="5"/>
        <v>1906.6179999999995</v>
      </c>
    </row>
    <row r="79" spans="1:14" s="158" customFormat="1">
      <c r="A79" s="151" t="s">
        <v>558</v>
      </c>
      <c r="B79" s="152" t="s">
        <v>559</v>
      </c>
      <c r="C79" s="153" t="s">
        <v>560</v>
      </c>
      <c r="D79" s="154" t="s">
        <v>7</v>
      </c>
      <c r="E79" s="152" t="s">
        <v>429</v>
      </c>
      <c r="F79" s="155"/>
      <c r="G79" s="156">
        <f>[1]MEM!L462</f>
        <v>4.9799999999999995</v>
      </c>
      <c r="H79" s="151"/>
      <c r="I79" s="120">
        <f t="shared" si="6"/>
        <v>4.9799999999999995</v>
      </c>
      <c r="J79" s="109">
        <f>'[1]ITENS NOVOS'!I30</f>
        <v>270.79000000000002</v>
      </c>
      <c r="K79" s="109"/>
      <c r="L79" s="109">
        <f t="shared" si="4"/>
        <v>1348.5342000000001</v>
      </c>
      <c r="M79" s="157"/>
      <c r="N79" s="109">
        <f t="shared" si="5"/>
        <v>1348.5342000000001</v>
      </c>
    </row>
    <row r="80" spans="1:14" ht="30">
      <c r="A80" s="159" t="s">
        <v>561</v>
      </c>
      <c r="B80" s="160">
        <v>4723</v>
      </c>
      <c r="C80" s="160" t="s">
        <v>562</v>
      </c>
      <c r="D80" s="148" t="s">
        <v>1</v>
      </c>
      <c r="E80" s="107" t="s">
        <v>497</v>
      </c>
      <c r="F80" s="161"/>
      <c r="G80" s="162">
        <v>3</v>
      </c>
      <c r="H80" s="159"/>
      <c r="I80" s="120">
        <f t="shared" si="6"/>
        <v>3</v>
      </c>
      <c r="J80" s="163">
        <f>'[1]ITENS NOVOS'!I25</f>
        <v>1767.96</v>
      </c>
      <c r="K80" s="109"/>
      <c r="L80" s="109">
        <f t="shared" si="4"/>
        <v>5303.88</v>
      </c>
      <c r="M80" s="163"/>
      <c r="N80" s="109">
        <f t="shared" si="5"/>
        <v>5303.88</v>
      </c>
    </row>
    <row r="81" spans="1:16" ht="30">
      <c r="A81" s="159" t="s">
        <v>563</v>
      </c>
      <c r="B81" s="160">
        <v>7149</v>
      </c>
      <c r="C81" s="160" t="s">
        <v>564</v>
      </c>
      <c r="D81" s="148" t="s">
        <v>1</v>
      </c>
      <c r="E81" s="107" t="s">
        <v>497</v>
      </c>
      <c r="F81" s="161"/>
      <c r="G81" s="162">
        <v>4</v>
      </c>
      <c r="H81" s="159"/>
      <c r="I81" s="120">
        <f t="shared" si="6"/>
        <v>4</v>
      </c>
      <c r="J81" s="163">
        <f>'[1]ITENS NOVOS'!I26</f>
        <v>1561.3099999999997</v>
      </c>
      <c r="K81" s="109"/>
      <c r="L81" s="109">
        <f t="shared" si="4"/>
        <v>6245.2399999999989</v>
      </c>
      <c r="M81" s="163"/>
      <c r="N81" s="109">
        <f t="shared" si="5"/>
        <v>6245.2399999999989</v>
      </c>
    </row>
    <row r="82" spans="1:16" ht="30">
      <c r="A82" s="159" t="s">
        <v>565</v>
      </c>
      <c r="B82" s="160">
        <v>7148</v>
      </c>
      <c r="C82" s="160" t="s">
        <v>566</v>
      </c>
      <c r="D82" s="148" t="s">
        <v>1</v>
      </c>
      <c r="E82" s="107" t="s">
        <v>497</v>
      </c>
      <c r="F82" s="161"/>
      <c r="G82" s="162">
        <v>3</v>
      </c>
      <c r="H82" s="159"/>
      <c r="I82" s="120">
        <f t="shared" si="6"/>
        <v>3</v>
      </c>
      <c r="J82" s="163">
        <f>'[1]ITENS NOVOS'!I27</f>
        <v>1445.62</v>
      </c>
      <c r="K82" s="109"/>
      <c r="L82" s="109">
        <f t="shared" si="4"/>
        <v>4336.8599999999997</v>
      </c>
      <c r="M82" s="163"/>
      <c r="N82" s="109">
        <f t="shared" si="5"/>
        <v>4336.8599999999997</v>
      </c>
    </row>
    <row r="83" spans="1:16">
      <c r="A83" s="116"/>
      <c r="B83" s="116"/>
      <c r="C83" s="117"/>
      <c r="D83" s="116"/>
      <c r="E83" s="116"/>
      <c r="F83" s="118"/>
      <c r="G83" s="116"/>
      <c r="H83" s="116"/>
      <c r="I83" s="116"/>
      <c r="J83" s="109"/>
      <c r="K83" s="109"/>
      <c r="L83" s="109"/>
      <c r="M83" s="109"/>
      <c r="N83" s="109"/>
    </row>
    <row r="84" spans="1:16">
      <c r="A84" s="124" t="str">
        <f>[1]ORÇAMENTO!A62</f>
        <v>6.2</v>
      </c>
      <c r="B84" s="124"/>
      <c r="C84" s="125" t="str">
        <f>[1]ORÇAMENTO!B62</f>
        <v>VIDRO</v>
      </c>
      <c r="D84" s="114"/>
      <c r="E84" s="114"/>
      <c r="F84" s="164"/>
      <c r="G84" s="114"/>
      <c r="H84" s="114"/>
      <c r="I84" s="114"/>
      <c r="J84" s="128"/>
      <c r="K84" s="128"/>
      <c r="L84" s="128"/>
      <c r="M84" s="128"/>
      <c r="N84" s="128"/>
    </row>
    <row r="85" spans="1:16" ht="30">
      <c r="A85" s="116" t="str">
        <f>[1]ORÇAMENTO!A63</f>
        <v>6.2.1</v>
      </c>
      <c r="B85" s="116">
        <f>[1]ORÇAMENTO!C63</f>
        <v>13096</v>
      </c>
      <c r="C85" s="117" t="str">
        <f>[1]ORÇAMENTO!D63</f>
        <v>Porta em vidro temperado 10mm, incolor,inclusive ferragens de fixação e instalação, exclusive puxador.</v>
      </c>
      <c r="D85" s="116" t="str">
        <f>[1]ORÇAMENTO!B63</f>
        <v>ORSE</v>
      </c>
      <c r="E85" s="116" t="str">
        <f>[1]ORÇAMENTO!E63</f>
        <v>m²</v>
      </c>
      <c r="F85" s="118">
        <f>[1]ORÇAMENTO!F63</f>
        <v>23.1</v>
      </c>
      <c r="G85" s="116"/>
      <c r="H85" s="116"/>
      <c r="I85" s="116"/>
      <c r="J85" s="109">
        <f>[1]ORÇAMENTO!G63*26.63%+[1]ORÇAMENTO!G63</f>
        <v>668.37846600000012</v>
      </c>
      <c r="K85" s="109">
        <f t="shared" si="0"/>
        <v>15439.54</v>
      </c>
      <c r="L85" s="109"/>
      <c r="M85" s="109"/>
      <c r="N85" s="109"/>
    </row>
    <row r="86" spans="1:16" ht="45">
      <c r="A86" s="116" t="str">
        <f>[1]ORÇAMENTO!A64</f>
        <v>6.2.2</v>
      </c>
      <c r="B86" s="116">
        <f>[1]ORÇAMENTO!C64</f>
        <v>100702</v>
      </c>
      <c r="C86" s="117" t="str">
        <f>[1]ORÇAMENTO!D64</f>
        <v>PORTA DE CORRER DE ALUMÍNIO, COM DUAS FOLHAS PARA VIDRO, INCLUSO VIDRO LISO INCOLOR, FECHADURA E PUXADOR, SEM ALIZAR. AF_12/2019</v>
      </c>
      <c r="D86" s="116" t="str">
        <f>[1]ORÇAMENTO!B64</f>
        <v>SINAPI</v>
      </c>
      <c r="E86" s="116" t="str">
        <f>[1]ORÇAMENTO!E64</f>
        <v>m²</v>
      </c>
      <c r="F86" s="118">
        <f>[1]ORÇAMENTO!F64</f>
        <v>25.08</v>
      </c>
      <c r="G86" s="116"/>
      <c r="H86" s="116"/>
      <c r="I86" s="116"/>
      <c r="J86" s="109">
        <f>[1]ORÇAMENTO!G64*26.63%+[1]ORÇAMENTO!G64</f>
        <v>591.96992399999999</v>
      </c>
      <c r="K86" s="109">
        <f t="shared" si="0"/>
        <v>14846.61</v>
      </c>
      <c r="L86" s="109"/>
      <c r="M86" s="109"/>
      <c r="N86" s="109"/>
    </row>
    <row r="87" spans="1:16" ht="30">
      <c r="A87" s="116" t="s">
        <v>567</v>
      </c>
      <c r="B87" s="107">
        <v>11347</v>
      </c>
      <c r="C87" s="105" t="s">
        <v>568</v>
      </c>
      <c r="D87" s="107" t="s">
        <v>1</v>
      </c>
      <c r="E87" s="116" t="s">
        <v>9</v>
      </c>
      <c r="F87" s="118"/>
      <c r="G87" s="120">
        <v>16.149999999999999</v>
      </c>
      <c r="H87" s="116"/>
      <c r="I87" s="120">
        <f>G87</f>
        <v>16.149999999999999</v>
      </c>
      <c r="J87" s="109">
        <f>'[1]ITENS NOVOS'!I18</f>
        <v>1850.25</v>
      </c>
      <c r="K87" s="109"/>
      <c r="L87" s="109">
        <f>G87*J87</f>
        <v>29881.537499999999</v>
      </c>
      <c r="M87" s="109"/>
      <c r="N87" s="109">
        <f>I87*J87</f>
        <v>29881.537499999999</v>
      </c>
    </row>
    <row r="88" spans="1:16">
      <c r="A88" s="116"/>
      <c r="B88" s="116"/>
      <c r="C88" s="117"/>
      <c r="D88" s="116"/>
      <c r="E88" s="116"/>
      <c r="F88" s="118"/>
      <c r="G88" s="116"/>
      <c r="H88" s="116"/>
      <c r="I88" s="116"/>
      <c r="J88" s="109"/>
      <c r="K88" s="109"/>
      <c r="L88" s="109"/>
      <c r="M88" s="109"/>
      <c r="N88" s="109"/>
    </row>
    <row r="89" spans="1:16">
      <c r="A89" s="124" t="str">
        <f>[1]ORÇAMENTO!A66</f>
        <v>6.3</v>
      </c>
      <c r="B89" s="124"/>
      <c r="C89" s="125" t="str">
        <f>[1]ORÇAMENTO!B66</f>
        <v>FERRAGENS</v>
      </c>
      <c r="D89" s="114"/>
      <c r="E89" s="114"/>
      <c r="F89" s="164"/>
      <c r="G89" s="114"/>
      <c r="H89" s="114"/>
      <c r="I89" s="114"/>
      <c r="J89" s="128"/>
      <c r="K89" s="128"/>
      <c r="L89" s="128"/>
      <c r="M89" s="128"/>
      <c r="N89" s="128"/>
    </row>
    <row r="90" spans="1:16" ht="30">
      <c r="A90" s="116" t="str">
        <f>[1]ORÇAMENTO!A67</f>
        <v>6.3.1</v>
      </c>
      <c r="B90" s="116">
        <f>[1]ORÇAMENTO!C67</f>
        <v>9733</v>
      </c>
      <c r="C90" s="117" t="str">
        <f>[1]ORÇAMENTO!D67</f>
        <v>Puxador duplo para porta, em alumínio polido, d = 1", I = 40mm, ref. 3008, Vesfer</v>
      </c>
      <c r="D90" s="116" t="str">
        <f>[1]ORÇAMENTO!B67</f>
        <v>ORSE</v>
      </c>
      <c r="E90" s="116" t="str">
        <f>[1]ORÇAMENTO!E67</f>
        <v>unid</v>
      </c>
      <c r="F90" s="118">
        <f>[1]ORÇAMENTO!F67</f>
        <v>2</v>
      </c>
      <c r="G90" s="116"/>
      <c r="H90" s="116"/>
      <c r="I90" s="116"/>
      <c r="J90" s="109">
        <f>[1]ORÇAMENTO!G67*26.63%+[1]ORÇAMENTO!G67</f>
        <v>254.336355</v>
      </c>
      <c r="K90" s="109">
        <f t="shared" si="0"/>
        <v>508.67</v>
      </c>
      <c r="L90" s="109"/>
      <c r="M90" s="109"/>
      <c r="N90" s="109"/>
    </row>
    <row r="91" spans="1:16">
      <c r="A91" s="116" t="str">
        <f>[1]ORÇAMENTO!A68</f>
        <v>6.3.2</v>
      </c>
      <c r="B91" s="116">
        <f>[1]ORÇAMENTO!C68</f>
        <v>100705</v>
      </c>
      <c r="C91" s="117" t="str">
        <f>[1]ORÇAMENTO!D68</f>
        <v>TARJETA TIPO LIVRE/OCUPADO PARA PORTA DE BANHEIRO. AF_12/2019</v>
      </c>
      <c r="D91" s="116" t="str">
        <f>[1]ORÇAMENTO!B68</f>
        <v>SINAPI</v>
      </c>
      <c r="E91" s="116" t="str">
        <f>[1]ORÇAMENTO!E68</f>
        <v>unid</v>
      </c>
      <c r="F91" s="118">
        <f>[1]ORÇAMENTO!F68</f>
        <v>6</v>
      </c>
      <c r="G91" s="116"/>
      <c r="H91" s="116"/>
      <c r="I91" s="116"/>
      <c r="J91" s="109">
        <f>[1]ORÇAMENTO!G68*26.63%+[1]ORÇAMENTO!G68</f>
        <v>83.449170000000009</v>
      </c>
      <c r="K91" s="109">
        <f t="shared" si="0"/>
        <v>500.7</v>
      </c>
      <c r="L91" s="109"/>
      <c r="M91" s="109"/>
      <c r="N91" s="109"/>
    </row>
    <row r="92" spans="1:16">
      <c r="A92" s="116"/>
      <c r="B92" s="116"/>
      <c r="C92" s="117"/>
      <c r="D92" s="116"/>
      <c r="E92" s="116"/>
      <c r="F92" s="118"/>
      <c r="G92" s="116"/>
      <c r="H92" s="116"/>
      <c r="I92" s="116"/>
      <c r="J92" s="109"/>
      <c r="K92" s="109"/>
      <c r="L92" s="109"/>
      <c r="M92" s="109"/>
      <c r="N92" s="109"/>
    </row>
    <row r="93" spans="1:16">
      <c r="A93" s="124">
        <f>[1]ORÇAMENTO!A70</f>
        <v>7</v>
      </c>
      <c r="B93" s="124"/>
      <c r="C93" s="125" t="str">
        <f>[1]ORÇAMENTO!B70</f>
        <v>REVESTIMENTO</v>
      </c>
      <c r="D93" s="124"/>
      <c r="E93" s="124"/>
      <c r="F93" s="126"/>
      <c r="G93" s="124"/>
      <c r="H93" s="124"/>
      <c r="I93" s="124"/>
      <c r="J93" s="127"/>
      <c r="K93" s="127"/>
      <c r="L93" s="128"/>
      <c r="M93" s="128"/>
      <c r="N93" s="128"/>
    </row>
    <row r="94" spans="1:16" ht="60">
      <c r="A94" s="116" t="str">
        <f>[1]ORÇAMENTO!A71</f>
        <v>7.1</v>
      </c>
      <c r="B94" s="116">
        <f>[1]ORÇAMENTO!C71</f>
        <v>87529</v>
      </c>
      <c r="C94" s="117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16" t="str">
        <f>[1]ORÇAMENTO!B71</f>
        <v>SINAPI</v>
      </c>
      <c r="E94" s="116" t="str">
        <f>[1]ORÇAMENTO!E71</f>
        <v>m²</v>
      </c>
      <c r="F94" s="118">
        <f>[1]ORÇAMENTO!F71</f>
        <v>418.9</v>
      </c>
      <c r="G94" s="120">
        <f>[1]MEM!L476</f>
        <v>610.58999999999992</v>
      </c>
      <c r="H94" s="116"/>
      <c r="I94" s="118">
        <f>F94+G94</f>
        <v>1029.4899999999998</v>
      </c>
      <c r="J94" s="109">
        <f>[1]ORÇAMENTO!G71*26.63%+[1]ORÇAMENTO!G71</f>
        <v>31.619510999999999</v>
      </c>
      <c r="K94" s="109">
        <f t="shared" si="0"/>
        <v>13245.41</v>
      </c>
      <c r="L94" s="109">
        <f>G94*J94</f>
        <v>19306.557221489998</v>
      </c>
      <c r="M94" s="109"/>
      <c r="N94" s="109">
        <f>I94*J94</f>
        <v>32551.970379389993</v>
      </c>
      <c r="P94" s="1"/>
    </row>
    <row r="95" spans="1:16" ht="45">
      <c r="A95" s="116" t="str">
        <f>[1]ORÇAMENTO!A72</f>
        <v>7.2</v>
      </c>
      <c r="B95" s="116">
        <f>[1]ORÇAMENTO!C72</f>
        <v>87879</v>
      </c>
      <c r="C95" s="117" t="str">
        <f>[1]ORÇAMENTO!D72</f>
        <v>CHAPISCO APLICADO EM ALVENARIAS E ESTRUTURAS DE CONCRETO INTERNAS, COM COLHER DE PEDREIRO.  ARGAMASSA TRAÇO 1:3 COM PREPARO EM BETONEIRA 400L. AF_06/2014</v>
      </c>
      <c r="D95" s="116" t="str">
        <f>[1]ORÇAMENTO!B72</f>
        <v>SINAPI</v>
      </c>
      <c r="E95" s="116" t="str">
        <f>[1]ORÇAMENTO!E72</f>
        <v>m²</v>
      </c>
      <c r="F95" s="118">
        <f>[1]ORÇAMENTO!F72</f>
        <v>418.9</v>
      </c>
      <c r="G95" s="120">
        <f>[1]MEM!L538</f>
        <v>610.58999999999992</v>
      </c>
      <c r="H95" s="116"/>
      <c r="I95" s="118">
        <f>F95+G95</f>
        <v>1029.4899999999998</v>
      </c>
      <c r="J95" s="109">
        <f>[1]ORÇAMENTO!G72*26.63%+[1]ORÇAMENTO!G72</f>
        <v>3.7862370000000003</v>
      </c>
      <c r="K95" s="109">
        <f t="shared" si="0"/>
        <v>1586.05</v>
      </c>
      <c r="L95" s="109">
        <f>G95*J95</f>
        <v>2311.8384498299997</v>
      </c>
      <c r="M95" s="109"/>
      <c r="N95" s="109">
        <f>I95*J95</f>
        <v>3897.8931291299996</v>
      </c>
    </row>
    <row r="96" spans="1:16" ht="45">
      <c r="A96" s="116" t="str">
        <f>[1]ORÇAMENTO!A73</f>
        <v>7.3</v>
      </c>
      <c r="B96" s="116">
        <f>[1]ORÇAMENTO!C73</f>
        <v>87273</v>
      </c>
      <c r="C96" s="117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16" t="str">
        <f>[1]ORÇAMENTO!B73</f>
        <v>SINAPI</v>
      </c>
      <c r="E96" s="116" t="str">
        <f>[1]ORÇAMENTO!E73</f>
        <v>m²</v>
      </c>
      <c r="F96" s="118">
        <f>[1]ORÇAMENTO!F73</f>
        <v>423.52</v>
      </c>
      <c r="G96" s="116"/>
      <c r="H96" s="116"/>
      <c r="I96" s="116"/>
      <c r="J96" s="109">
        <f>[1]ORÇAMENTO!G73*26.63%+[1]ORÇAMENTO!G73</f>
        <v>77.712830999999994</v>
      </c>
      <c r="K96" s="109">
        <f t="shared" si="0"/>
        <v>32912.94</v>
      </c>
      <c r="L96" s="109"/>
      <c r="M96" s="109"/>
      <c r="N96" s="109"/>
    </row>
    <row r="97" spans="1:14">
      <c r="A97" s="116" t="str">
        <f>[1]ORÇAMENTO!A74</f>
        <v>7.4</v>
      </c>
      <c r="B97" s="116">
        <f>[1]ORÇAMENTO!C74</f>
        <v>12420</v>
      </c>
      <c r="C97" s="117">
        <f>[1]ORÇAMENTO!D74</f>
        <v>0</v>
      </c>
      <c r="D97" s="116" t="str">
        <f>[1]ORÇAMENTO!B74</f>
        <v>ORSE</v>
      </c>
      <c r="E97" s="116" t="str">
        <f>[1]ORÇAMENTO!E74</f>
        <v>m²</v>
      </c>
      <c r="F97" s="118">
        <f>[1]ORÇAMENTO!F74</f>
        <v>99.65</v>
      </c>
      <c r="G97" s="116"/>
      <c r="H97" s="116"/>
      <c r="I97" s="116"/>
      <c r="J97" s="109">
        <f>[1]ORÇAMENTO!G74*26.63%+[1]ORÇAMENTO!G74</f>
        <v>507.91293000000002</v>
      </c>
      <c r="K97" s="109">
        <f t="shared" si="0"/>
        <v>50613.52</v>
      </c>
      <c r="L97" s="109"/>
      <c r="M97" s="109"/>
      <c r="N97" s="109"/>
    </row>
    <row r="98" spans="1:14">
      <c r="A98" s="116"/>
      <c r="B98" s="116"/>
      <c r="C98" s="117"/>
      <c r="D98" s="116"/>
      <c r="E98" s="116"/>
      <c r="F98" s="118"/>
      <c r="G98" s="116"/>
      <c r="H98" s="116"/>
      <c r="I98" s="116"/>
      <c r="J98" s="109"/>
      <c r="K98" s="109"/>
      <c r="L98" s="109"/>
      <c r="M98" s="109"/>
      <c r="N98" s="109"/>
    </row>
    <row r="99" spans="1:14">
      <c r="A99" s="124">
        <f>[1]ORÇAMENTO!A76</f>
        <v>8</v>
      </c>
      <c r="B99" s="124"/>
      <c r="C99" s="125" t="str">
        <f>[1]ORÇAMENTO!B76</f>
        <v>PAVIMENTAÇÃO</v>
      </c>
      <c r="D99" s="124"/>
      <c r="E99" s="124"/>
      <c r="F99" s="126"/>
      <c r="G99" s="124"/>
      <c r="H99" s="124"/>
      <c r="I99" s="124"/>
      <c r="J99" s="127"/>
      <c r="K99" s="127"/>
      <c r="L99" s="128"/>
      <c r="M99" s="128"/>
      <c r="N99" s="128"/>
    </row>
    <row r="100" spans="1:14" ht="45">
      <c r="A100" s="116" t="str">
        <f>[1]ORÇAMENTO!A77</f>
        <v>8.1</v>
      </c>
      <c r="B100" s="116">
        <f>[1]ORÇAMENTO!C77</f>
        <v>87620</v>
      </c>
      <c r="C100" s="117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16" t="str">
        <f>[1]ORÇAMENTO!B77</f>
        <v>SINAPI</v>
      </c>
      <c r="E100" s="116" t="str">
        <f>[1]ORÇAMENTO!E77</f>
        <v>m²</v>
      </c>
      <c r="F100" s="118">
        <f>[1]ORÇAMENTO!F77</f>
        <v>774.83</v>
      </c>
      <c r="G100" s="116"/>
      <c r="H100" s="116"/>
      <c r="I100" s="116"/>
      <c r="J100" s="109">
        <f>[1]ORÇAMENTO!G77*26.63%+[1]ORÇAMENTO!G77</f>
        <v>28.238489999999999</v>
      </c>
      <c r="K100" s="109">
        <f t="shared" ref="K100:K163" si="7">ROUND(F100*J100,2)</f>
        <v>21880.03</v>
      </c>
      <c r="L100" s="109"/>
      <c r="M100" s="109"/>
      <c r="N100" s="109"/>
    </row>
    <row r="101" spans="1:14" ht="45">
      <c r="A101" s="116" t="str">
        <f>[1]ORÇAMENTO!A78</f>
        <v>8.2</v>
      </c>
      <c r="B101" s="116">
        <f>[1]ORÇAMENTO!C78</f>
        <v>87263</v>
      </c>
      <c r="C101" s="117" t="str">
        <f>[1]ORÇAMENTO!D78</f>
        <v>REVESTIMENTO CERÂMICO PARA PISO COM PLACAS TIPO PORCELANATO DE DIMENSÕES 60X60 CM APLICADA EM AMBIENTES DE ÁREA MAIOR QUE 10 M². AF_06/2014</v>
      </c>
      <c r="D101" s="116" t="str">
        <f>[1]ORÇAMENTO!B78</f>
        <v>SINAPI</v>
      </c>
      <c r="E101" s="116" t="str">
        <f>[1]ORÇAMENTO!E78</f>
        <v>m²</v>
      </c>
      <c r="F101" s="118">
        <f>[1]ORÇAMENTO!F78</f>
        <v>774.83</v>
      </c>
      <c r="G101" s="116"/>
      <c r="H101" s="116"/>
      <c r="I101" s="116"/>
      <c r="J101" s="109">
        <f>[1]ORÇAMENTO!G78*26.63%+[1]ORÇAMENTO!G78</f>
        <v>184.01871599999998</v>
      </c>
      <c r="K101" s="109">
        <f t="shared" si="7"/>
        <v>142583.22</v>
      </c>
      <c r="L101" s="109"/>
      <c r="M101" s="109"/>
      <c r="N101" s="109"/>
    </row>
    <row r="102" spans="1:14">
      <c r="A102" s="116" t="str">
        <f>[1]ORÇAMENTO!A79</f>
        <v>8.3</v>
      </c>
      <c r="B102" s="116">
        <f>[1]ORÇAMENTO!C79</f>
        <v>98504</v>
      </c>
      <c r="C102" s="117" t="str">
        <f>[1]ORÇAMENTO!D79</f>
        <v>PLANTIO DE GRAMA EM PLACAS. AF_05/2018</v>
      </c>
      <c r="D102" s="116" t="str">
        <f>[1]ORÇAMENTO!B79</f>
        <v>SINAPI</v>
      </c>
      <c r="E102" s="116" t="str">
        <f>[1]ORÇAMENTO!E79</f>
        <v>m²</v>
      </c>
      <c r="F102" s="118">
        <f>[1]ORÇAMENTO!F79</f>
        <v>176.89</v>
      </c>
      <c r="G102" s="116"/>
      <c r="H102" s="116"/>
      <c r="I102" s="116"/>
      <c r="J102" s="109">
        <f>[1]ORÇAMENTO!G79*26.63%+[1]ORÇAMENTO!G79</f>
        <v>16.550540999999999</v>
      </c>
      <c r="K102" s="109">
        <f t="shared" si="7"/>
        <v>2927.63</v>
      </c>
      <c r="L102" s="109"/>
      <c r="M102" s="109"/>
      <c r="N102" s="109"/>
    </row>
    <row r="103" spans="1:14" ht="60">
      <c r="A103" s="116" t="str">
        <f>[1]ORÇAMENTO!A80</f>
        <v>8.4</v>
      </c>
      <c r="B103" s="116">
        <f>[1]ORÇAMENTO!C80</f>
        <v>101819</v>
      </c>
      <c r="C103" s="117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16" t="str">
        <f>[1]ORÇAMENTO!B80</f>
        <v>SINAPI</v>
      </c>
      <c r="E103" s="116" t="str">
        <f>[1]ORÇAMENTO!E80</f>
        <v>m²</v>
      </c>
      <c r="F103" s="118">
        <f>[1]ORÇAMENTO!F80</f>
        <v>155.13</v>
      </c>
      <c r="G103" s="116"/>
      <c r="H103" s="116"/>
      <c r="I103" s="116"/>
      <c r="J103" s="109">
        <f>[1]ORÇAMENTO!G80*26.63%+[1]ORÇAMENTO!G80</f>
        <v>57.312737999999996</v>
      </c>
      <c r="K103" s="109">
        <f t="shared" si="7"/>
        <v>8890.93</v>
      </c>
      <c r="L103" s="109"/>
      <c r="M103" s="109"/>
      <c r="N103" s="109"/>
    </row>
    <row r="104" spans="1:14" ht="30">
      <c r="A104" s="119" t="s">
        <v>569</v>
      </c>
      <c r="B104" s="131">
        <v>95241</v>
      </c>
      <c r="C104" s="165" t="s">
        <v>570</v>
      </c>
      <c r="D104" s="116" t="s">
        <v>7</v>
      </c>
      <c r="E104" s="148" t="s">
        <v>9</v>
      </c>
      <c r="F104" s="118"/>
      <c r="G104" s="120">
        <f>[1]MEM!L603</f>
        <v>736.73</v>
      </c>
      <c r="H104" s="116"/>
      <c r="I104" s="120">
        <f>G104</f>
        <v>736.73</v>
      </c>
      <c r="J104" s="109">
        <f>'[1]ITENS NOVOS'!I21</f>
        <v>27.809999999999995</v>
      </c>
      <c r="K104" s="109"/>
      <c r="L104" s="109">
        <f>G104*J104</f>
        <v>20488.461299999995</v>
      </c>
      <c r="M104" s="109"/>
      <c r="N104" s="109">
        <f>I104*J104</f>
        <v>20488.461299999995</v>
      </c>
    </row>
    <row r="105" spans="1:14">
      <c r="A105" s="124">
        <f>[1]ORÇAMENTO!A82</f>
        <v>9</v>
      </c>
      <c r="B105" s="124"/>
      <c r="C105" s="125" t="str">
        <f>[1]ORÇAMENTO!B82</f>
        <v>INSTALAÇÕES HIDRO-SANITÁRIAS-PLUVIAL-INCÊNDIO</v>
      </c>
      <c r="D105" s="124"/>
      <c r="E105" s="124"/>
      <c r="F105" s="126"/>
      <c r="G105" s="124"/>
      <c r="H105" s="124"/>
      <c r="I105" s="124"/>
      <c r="J105" s="127"/>
      <c r="K105" s="127"/>
      <c r="L105" s="128"/>
      <c r="M105" s="128"/>
      <c r="N105" s="128"/>
    </row>
    <row r="106" spans="1:14">
      <c r="A106" s="142" t="str">
        <f>[1]ORÇAMENTO!A83</f>
        <v>9.1</v>
      </c>
      <c r="B106" s="142"/>
      <c r="C106" s="143" t="str">
        <f>[1]ORÇAMENTO!B83</f>
        <v xml:space="preserve">SISTEMA PREDIAL DE ESGOTO SANITÁRIO -NBR 9160 </v>
      </c>
      <c r="D106" s="142"/>
      <c r="E106" s="142"/>
      <c r="F106" s="144"/>
      <c r="G106" s="142"/>
      <c r="H106" s="142"/>
      <c r="I106" s="142"/>
      <c r="J106" s="145"/>
      <c r="K106" s="145"/>
      <c r="L106" s="145"/>
      <c r="M106" s="145"/>
      <c r="N106" s="145"/>
    </row>
    <row r="107" spans="1:14" ht="45">
      <c r="A107" s="116" t="str">
        <f>[1]ORÇAMENTO!A84</f>
        <v>9.1.1</v>
      </c>
      <c r="B107" s="116">
        <f>[1]ORÇAMENTO!C84</f>
        <v>89707</v>
      </c>
      <c r="C107" s="117" t="str">
        <f>[1]ORÇAMENTO!D84</f>
        <v>CAIXA SIFONADA, PVC, DN 100 X 100 X 50 MM, JUNTA ELÁSTICA, FORNECIDA E INSTALADA EM RAMAL DE DESCARGA OU EM RAMAL DE ESGOTO SANITÁRIO. AF_12/2014</v>
      </c>
      <c r="D107" s="116" t="str">
        <f>[1]ORÇAMENTO!B84</f>
        <v>SINAPI</v>
      </c>
      <c r="E107" s="116" t="str">
        <f>[1]ORÇAMENTO!E84</f>
        <v>unid</v>
      </c>
      <c r="F107" s="118">
        <f>[1]ORÇAMENTO!F84</f>
        <v>28</v>
      </c>
      <c r="G107" s="116"/>
      <c r="H107" s="116"/>
      <c r="I107" s="116"/>
      <c r="J107" s="109">
        <f>[1]ORÇAMENTO!G84*26.63%+[1]ORÇAMENTO!G84</f>
        <v>41.040782999999998</v>
      </c>
      <c r="K107" s="109">
        <f t="shared" si="7"/>
        <v>1149.1400000000001</v>
      </c>
      <c r="L107" s="109"/>
      <c r="M107" s="109"/>
      <c r="N107" s="109"/>
    </row>
    <row r="108" spans="1:14" ht="45">
      <c r="A108" s="116" t="str">
        <f>[1]ORÇAMENTO!A85</f>
        <v>9.1.2</v>
      </c>
      <c r="B108" s="116">
        <f>[1]ORÇAMENTO!C85</f>
        <v>89744</v>
      </c>
      <c r="C108" s="117" t="str">
        <f>[1]ORÇAMENTO!D85</f>
        <v>JOELHO 90 GRAUS, PVC, SERIE NORMAL, ESGOTO PREDIAL, DN 100 MM, JUNTA ELÁSTICA, FORNECIDO E INSTALADO EM RAMAL DE DESCARGA OU RAMAL DE ESGOTO SANITÁRIO. AF_12/2014</v>
      </c>
      <c r="D108" s="116" t="str">
        <f>[1]ORÇAMENTO!B85</f>
        <v>SINAPI</v>
      </c>
      <c r="E108" s="116" t="str">
        <f>[1]ORÇAMENTO!E85</f>
        <v>unid</v>
      </c>
      <c r="F108" s="118">
        <f>[1]ORÇAMENTO!F85</f>
        <v>13</v>
      </c>
      <c r="G108" s="116"/>
      <c r="H108" s="116"/>
      <c r="I108" s="116"/>
      <c r="J108" s="109">
        <f>[1]ORÇAMENTO!G85*26.63%+[1]ORÇAMENTO!G85</f>
        <v>26.592300000000002</v>
      </c>
      <c r="K108" s="109">
        <f t="shared" si="7"/>
        <v>345.7</v>
      </c>
      <c r="L108" s="109"/>
      <c r="M108" s="109"/>
      <c r="N108" s="109"/>
    </row>
    <row r="109" spans="1:14" ht="45">
      <c r="A109" s="116" t="str">
        <f>[1]ORÇAMENTO!A86</f>
        <v>9.1.3</v>
      </c>
      <c r="B109" s="116">
        <f>[1]ORÇAMENTO!C86</f>
        <v>89724</v>
      </c>
      <c r="C109" s="117" t="str">
        <f>[1]ORÇAMENTO!D86</f>
        <v>JOELHO 90 GRAUS, PVC, SERIE NORMAL, ESGOTO PREDIAL, DN 40 MM, JUNTA SOLDÁVEL, FORNECIDO E INSTALADO EM RAMAL DE DESCARGA OU RAMAL DE ESGOTO SANITÁRIO. AF_12/2014</v>
      </c>
      <c r="D109" s="116" t="str">
        <f>[1]ORÇAMENTO!B86</f>
        <v>SINAPI</v>
      </c>
      <c r="E109" s="116" t="str">
        <f>[1]ORÇAMENTO!E86</f>
        <v>unid</v>
      </c>
      <c r="F109" s="118">
        <f>[1]ORÇAMENTO!F86</f>
        <v>63</v>
      </c>
      <c r="G109" s="116"/>
      <c r="H109" s="116"/>
      <c r="I109" s="116"/>
      <c r="J109" s="109">
        <f>[1]ORÇAMENTO!G86*26.63%+[1]ORÇAMENTO!G86</f>
        <v>10.712898000000001</v>
      </c>
      <c r="K109" s="109">
        <f t="shared" si="7"/>
        <v>674.91</v>
      </c>
      <c r="L109" s="109"/>
      <c r="M109" s="109"/>
      <c r="N109" s="109"/>
    </row>
    <row r="110" spans="1:14" ht="45">
      <c r="A110" s="116" t="str">
        <f>[1]ORÇAMENTO!A87</f>
        <v>9.1.4</v>
      </c>
      <c r="B110" s="116">
        <f>[1]ORÇAMENTO!C87</f>
        <v>89731</v>
      </c>
      <c r="C110" s="117" t="str">
        <f>[1]ORÇAMENTO!D87</f>
        <v>JOELHO 90 GRAUS, PVC, SERIE NORMAL, ESGOTO PREDIAL, DN 50 MM, JUNTA ELÁSTICA, FORNECIDO E INSTALADO EM RAMAL DE DESCARGA OU RAMAL DE ESGOTO SANITÁRIO. AF_12/2014</v>
      </c>
      <c r="D110" s="116" t="str">
        <f>[1]ORÇAMENTO!B87</f>
        <v>SINAPI</v>
      </c>
      <c r="E110" s="116" t="str">
        <f>[1]ORÇAMENTO!E87</f>
        <v>unid</v>
      </c>
      <c r="F110" s="118">
        <f>[1]ORÇAMENTO!F87</f>
        <v>38</v>
      </c>
      <c r="G110" s="116"/>
      <c r="H110" s="116"/>
      <c r="I110" s="116"/>
      <c r="J110" s="109">
        <f>[1]ORÇAMENTO!G87*26.63%+[1]ORÇAMENTO!G87</f>
        <v>11.295396</v>
      </c>
      <c r="K110" s="109">
        <f t="shared" si="7"/>
        <v>429.23</v>
      </c>
      <c r="L110" s="109"/>
      <c r="M110" s="109"/>
      <c r="N110" s="109"/>
    </row>
    <row r="111" spans="1:14" ht="45">
      <c r="A111" s="116" t="str">
        <f>[1]ORÇAMENTO!A88</f>
        <v>9.1.5</v>
      </c>
      <c r="B111" s="116">
        <f>[1]ORÇAMENTO!C88</f>
        <v>89726</v>
      </c>
      <c r="C111" s="117" t="str">
        <f>[1]ORÇAMENTO!D88</f>
        <v>JOELHO 45 GRAUS, PVC, SERIE NORMAL, ESGOTO PREDIAL, DN 40 MM, JUNTA SOLDÁVEL, FORNECIDO E INSTALADO EM RAMAL DE DESCARGA OU RAMAL DE ESGOTO SANITÁRIO. AF_12/2014</v>
      </c>
      <c r="D111" s="116" t="str">
        <f>[1]ORÇAMENTO!B88</f>
        <v>SINAPI</v>
      </c>
      <c r="E111" s="116" t="str">
        <f>[1]ORÇAMENTO!E88</f>
        <v>unid</v>
      </c>
      <c r="F111" s="118">
        <f>[1]ORÇAMENTO!F88</f>
        <v>30</v>
      </c>
      <c r="G111" s="116"/>
      <c r="H111" s="116"/>
      <c r="I111" s="116"/>
      <c r="J111" s="109">
        <f>[1]ORÇAMENTO!G88*26.63%+[1]ORÇAMENTO!G88</f>
        <v>6.9646499999999998</v>
      </c>
      <c r="K111" s="109">
        <f t="shared" si="7"/>
        <v>208.94</v>
      </c>
      <c r="L111" s="109"/>
      <c r="M111" s="109"/>
      <c r="N111" s="109"/>
    </row>
    <row r="112" spans="1:14" ht="45">
      <c r="A112" s="116" t="str">
        <f>[1]ORÇAMENTO!A89</f>
        <v>9.1.6</v>
      </c>
      <c r="B112" s="116">
        <f>[1]ORÇAMENTO!C89</f>
        <v>89732</v>
      </c>
      <c r="C112" s="117" t="str">
        <f>[1]ORÇAMENTO!D89</f>
        <v>JOELHO 45 GRAUS, PVC, SERIE NORMAL, ESGOTO PREDIAL, DN 50 MM, JUNTA ELÁSTICA, FORNECIDO E INSTALADO EM RAMAL DE DESCARGA OU RAMAL DE ESGOTO SANITÁRIO. AF_12/2014</v>
      </c>
      <c r="D112" s="116" t="str">
        <f>[1]ORÇAMENTO!B89</f>
        <v>SINAPI</v>
      </c>
      <c r="E112" s="116" t="str">
        <f>[1]ORÇAMENTO!E89</f>
        <v>unid</v>
      </c>
      <c r="F112" s="118">
        <f>[1]ORÇAMENTO!F89</f>
        <v>25</v>
      </c>
      <c r="G112" s="116"/>
      <c r="H112" s="116"/>
      <c r="I112" s="116"/>
      <c r="J112" s="109">
        <f>[1]ORÇAMENTO!G89*26.63%+[1]ORÇAMENTO!G89</f>
        <v>12.181805999999998</v>
      </c>
      <c r="K112" s="109">
        <f t="shared" si="7"/>
        <v>304.55</v>
      </c>
      <c r="L112" s="109"/>
      <c r="M112" s="109"/>
      <c r="N112" s="109"/>
    </row>
    <row r="113" spans="1:14" ht="45">
      <c r="A113" s="116" t="str">
        <f>[1]ORÇAMENTO!A90</f>
        <v>9.1.7</v>
      </c>
      <c r="B113" s="116">
        <f>[1]ORÇAMENTO!C90</f>
        <v>89746</v>
      </c>
      <c r="C113" s="117" t="str">
        <f>[1]ORÇAMENTO!D90</f>
        <v>JOELHO 45 GRAUS, PVC, SERIE NORMAL, ESGOTO PREDIAL, DN 100 MM, JUNTA ELÁSTICA, FORNECIDO E INSTALADO EM RAMAL DE DESCARGA OU RAMAL DE ESGOTO SANITÁRIO. AF_12/2014</v>
      </c>
      <c r="D113" s="116" t="str">
        <f>[1]ORÇAMENTO!B90</f>
        <v>SINAPI</v>
      </c>
      <c r="E113" s="116" t="str">
        <f>[1]ORÇAMENTO!E90</f>
        <v>unid</v>
      </c>
      <c r="F113" s="118">
        <f>[1]ORÇAMENTO!F90</f>
        <v>11</v>
      </c>
      <c r="G113" s="116"/>
      <c r="H113" s="116"/>
      <c r="I113" s="116"/>
      <c r="J113" s="109">
        <f>[1]ORÇAMENTO!G90*26.63%+[1]ORÇAMENTO!G90</f>
        <v>26.503658999999999</v>
      </c>
      <c r="K113" s="109">
        <f t="shared" si="7"/>
        <v>291.54000000000002</v>
      </c>
      <c r="L113" s="109"/>
      <c r="M113" s="109"/>
      <c r="N113" s="109"/>
    </row>
    <row r="114" spans="1:14" ht="45">
      <c r="A114" s="116" t="str">
        <f>[1]ORÇAMENTO!A91</f>
        <v>9.1.8</v>
      </c>
      <c r="B114" s="116">
        <f>[1]ORÇAMENTO!C91</f>
        <v>89797</v>
      </c>
      <c r="C114" s="117" t="str">
        <f>[1]ORÇAMENTO!D91</f>
        <v>JUNÇÃO SIMPLES, PVC, SERIE NORMAL, ESGOTO PREDIAL, DN 100 X 100 MM, JUNTA ELÁSTICA, FORNECIDO E INSTALADO EM RAMAL DE DESCARGA OU RAMAL DE ESGOTO SANITÁRIO. AF_12/2014</v>
      </c>
      <c r="D114" s="116" t="str">
        <f>[1]ORÇAMENTO!B91</f>
        <v>SINAPI</v>
      </c>
      <c r="E114" s="116" t="str">
        <f>[1]ORÇAMENTO!E91</f>
        <v>unid</v>
      </c>
      <c r="F114" s="118">
        <f>[1]ORÇAMENTO!F91</f>
        <v>2</v>
      </c>
      <c r="G114" s="116"/>
      <c r="H114" s="116"/>
      <c r="I114" s="116"/>
      <c r="J114" s="109">
        <f>[1]ORÇAMENTO!G91*26.63%+[1]ORÇAMENTO!G91</f>
        <v>53.817749999999997</v>
      </c>
      <c r="K114" s="109">
        <f t="shared" si="7"/>
        <v>107.64</v>
      </c>
      <c r="L114" s="109"/>
      <c r="M114" s="109"/>
      <c r="N114" s="109"/>
    </row>
    <row r="115" spans="1:14" ht="30">
      <c r="A115" s="116" t="str">
        <f>[1]ORÇAMENTO!A92</f>
        <v>9.1.9</v>
      </c>
      <c r="B115" s="116">
        <f>[1]ORÇAMENTO!C92</f>
        <v>1560</v>
      </c>
      <c r="C115" s="117" t="str">
        <f>[1]ORÇAMENTO!D92</f>
        <v>Junção simples em pvc rígido soldável, para esgoto primário, diâm = 75 x 50 mm.</v>
      </c>
      <c r="D115" s="116" t="str">
        <f>[1]ORÇAMENTO!B92</f>
        <v>ORSE</v>
      </c>
      <c r="E115" s="116" t="str">
        <f>[1]ORÇAMENTO!E92</f>
        <v>unid</v>
      </c>
      <c r="F115" s="118">
        <f>[1]ORÇAMENTO!F92</f>
        <v>3</v>
      </c>
      <c r="G115" s="116"/>
      <c r="H115" s="116"/>
      <c r="I115" s="116"/>
      <c r="J115" s="109">
        <f>[1]ORÇAMENTO!G92*26.63%+[1]ORÇAMENTO!G92</f>
        <v>41.749910999999997</v>
      </c>
      <c r="K115" s="109">
        <f t="shared" si="7"/>
        <v>125.25</v>
      </c>
      <c r="L115" s="109"/>
      <c r="M115" s="109"/>
      <c r="N115" s="109"/>
    </row>
    <row r="116" spans="1:14" ht="30">
      <c r="A116" s="116" t="str">
        <f>[1]ORÇAMENTO!A93</f>
        <v>9.1.10</v>
      </c>
      <c r="B116" s="116">
        <f>[1]ORÇAMENTO!C93</f>
        <v>1562</v>
      </c>
      <c r="C116" s="117" t="str">
        <f>[1]ORÇAMENTO!D93</f>
        <v>Junção simples em pvc rígido soldável, para esgoto primário, diâm = 100 x 50 mm.</v>
      </c>
      <c r="D116" s="116" t="str">
        <f>[1]ORÇAMENTO!B93</f>
        <v>ORSE</v>
      </c>
      <c r="E116" s="116" t="str">
        <f>[1]ORÇAMENTO!E93</f>
        <v>unid</v>
      </c>
      <c r="F116" s="118">
        <f>[1]ORÇAMENTO!F93</f>
        <v>17</v>
      </c>
      <c r="G116" s="116"/>
      <c r="H116" s="116"/>
      <c r="I116" s="116"/>
      <c r="J116" s="109">
        <f>[1]ORÇAMENTO!G93*26.63%+[1]ORÇAMENTO!G93</f>
        <v>52.310853000000002</v>
      </c>
      <c r="K116" s="109">
        <f t="shared" si="7"/>
        <v>889.28</v>
      </c>
      <c r="L116" s="109"/>
      <c r="M116" s="109"/>
      <c r="N116" s="109"/>
    </row>
    <row r="117" spans="1:14" ht="45">
      <c r="A117" s="116" t="str">
        <f>[1]ORÇAMENTO!A94</f>
        <v>9.1.11</v>
      </c>
      <c r="B117" s="116">
        <f>[1]ORÇAMENTO!C94</f>
        <v>89784</v>
      </c>
      <c r="C117" s="117" t="str">
        <f>[1]ORÇAMENTO!D94</f>
        <v>TE, PVC, SERIE NORMAL, ESGOTO PREDIAL, DN 50 X 50 MM, JUNTA ELÁSTICA, FORNECIDO E INSTALADO EM RAMAL DE DESCARGA OU RAMAL DE ESGOTO SANITÁRIO. AF_12/2014</v>
      </c>
      <c r="D117" s="116" t="str">
        <f>[1]ORÇAMENTO!B94</f>
        <v>SINAPI</v>
      </c>
      <c r="E117" s="116" t="str">
        <f>[1]ORÇAMENTO!E94</f>
        <v>unid</v>
      </c>
      <c r="F117" s="118">
        <f>[1]ORÇAMENTO!F94</f>
        <v>28</v>
      </c>
      <c r="G117" s="116"/>
      <c r="H117" s="116"/>
      <c r="I117" s="116"/>
      <c r="J117" s="109">
        <f>[1]ORÇAMENTO!G94*26.63%+[1]ORÇAMENTO!G94</f>
        <v>22.096934999999998</v>
      </c>
      <c r="K117" s="109">
        <f t="shared" si="7"/>
        <v>618.71</v>
      </c>
      <c r="L117" s="109"/>
      <c r="M117" s="109"/>
      <c r="N117" s="109"/>
    </row>
    <row r="118" spans="1:14" ht="45">
      <c r="A118" s="116" t="str">
        <f>[1]ORÇAMENTO!A95</f>
        <v>9.1.12</v>
      </c>
      <c r="B118" s="116">
        <f>[1]ORÇAMENTO!C95</f>
        <v>89796</v>
      </c>
      <c r="C118" s="117" t="str">
        <f>[1]ORÇAMENTO!D95</f>
        <v>TE, PVC, SERIE NORMAL, ESGOTO PREDIAL, DN 100 X 100 MM, JUNTA ELÁSTICA, FORNECIDO E INSTALADO EM RAMAL DE DESCARGA OU RAMAL DE ESGOTO SANITÁRIO. AF_12/2014</v>
      </c>
      <c r="D118" s="116" t="str">
        <f>[1]ORÇAMENTO!B95</f>
        <v>SINAPI</v>
      </c>
      <c r="E118" s="116" t="str">
        <f>[1]ORÇAMENTO!E95</f>
        <v>unid</v>
      </c>
      <c r="F118" s="118">
        <f>[1]ORÇAMENTO!F95</f>
        <v>5</v>
      </c>
      <c r="G118" s="116"/>
      <c r="H118" s="116"/>
      <c r="I118" s="116"/>
      <c r="J118" s="109">
        <f>[1]ORÇAMENTO!G95*26.63%+[1]ORÇAMENTO!G95</f>
        <v>45.662778000000003</v>
      </c>
      <c r="K118" s="109">
        <f t="shared" si="7"/>
        <v>228.31</v>
      </c>
      <c r="L118" s="109"/>
      <c r="M118" s="109"/>
      <c r="N118" s="109"/>
    </row>
    <row r="119" spans="1:14" ht="45">
      <c r="A119" s="116" t="str">
        <f>[1]ORÇAMENTO!A96</f>
        <v>9.1.13</v>
      </c>
      <c r="B119" s="116">
        <f>[1]ORÇAMENTO!C96</f>
        <v>89714</v>
      </c>
      <c r="C119" s="117" t="str">
        <f>[1]ORÇAMENTO!D96</f>
        <v>TUBO PVC, SERIE NORMAL, ESGOTO PREDIAL, DN 100 MM, FORNECIDO E INSTALADO EM RAMAL DE DESCARGA OU RAMAL DE ESGOTO SANITÁRIO. AF_12/2014</v>
      </c>
      <c r="D119" s="116" t="str">
        <f>[1]ORÇAMENTO!B96</f>
        <v>SINAPI</v>
      </c>
      <c r="E119" s="116" t="str">
        <f>[1]ORÇAMENTO!E96</f>
        <v>m</v>
      </c>
      <c r="F119" s="118">
        <f>[1]ORÇAMENTO!F96</f>
        <v>190</v>
      </c>
      <c r="G119" s="116"/>
      <c r="H119" s="116"/>
      <c r="I119" s="116"/>
      <c r="J119" s="109">
        <f>[1]ORÇAMENTO!G96*26.63%+[1]ORÇAMENTO!G96</f>
        <v>57.287412000000003</v>
      </c>
      <c r="K119" s="109">
        <f t="shared" si="7"/>
        <v>10884.61</v>
      </c>
      <c r="L119" s="109"/>
      <c r="M119" s="109"/>
      <c r="N119" s="109"/>
    </row>
    <row r="120" spans="1:14" ht="45">
      <c r="A120" s="116" t="str">
        <f>[1]ORÇAMENTO!A97</f>
        <v>9.1.14</v>
      </c>
      <c r="B120" s="116">
        <f>[1]ORÇAMENTO!C97</f>
        <v>89712</v>
      </c>
      <c r="C120" s="117" t="str">
        <f>[1]ORÇAMENTO!D97</f>
        <v>TUBO PVC, SERIE NORMAL, ESGOTO PREDIAL, DN 50 MM, FORNECIDO E INSTALADO EM RAMAL DE DESCARGA OU RAMAL DE ESGOTO SANITÁRIO. AF_12/2014</v>
      </c>
      <c r="D120" s="116" t="str">
        <f>[1]ORÇAMENTO!B97</f>
        <v>SINAPI</v>
      </c>
      <c r="E120" s="116" t="str">
        <f>[1]ORÇAMENTO!E97</f>
        <v>m</v>
      </c>
      <c r="F120" s="118">
        <f>[1]ORÇAMENTO!F97</f>
        <v>100</v>
      </c>
      <c r="G120" s="116"/>
      <c r="H120" s="116"/>
      <c r="I120" s="116"/>
      <c r="J120" s="109">
        <f>[1]ORÇAMENTO!G97*26.63%+[1]ORÇAMENTO!G97</f>
        <v>30.201255000000003</v>
      </c>
      <c r="K120" s="109">
        <f t="shared" si="7"/>
        <v>3020.13</v>
      </c>
      <c r="L120" s="109"/>
      <c r="M120" s="109"/>
      <c r="N120" s="109"/>
    </row>
    <row r="121" spans="1:14" ht="45">
      <c r="A121" s="116" t="str">
        <f>[1]ORÇAMENTO!A98</f>
        <v>9.1.15</v>
      </c>
      <c r="B121" s="116">
        <f>[1]ORÇAMENTO!C98</f>
        <v>89711</v>
      </c>
      <c r="C121" s="117" t="str">
        <f>[1]ORÇAMENTO!D98</f>
        <v>TUBO PVC, SERIE NORMAL, ESGOTO PREDIAL, DN 40 MM, FORNECIDO E INSTALADO EM RAMAL DE DESCARGA OU RAMAL DE ESGOTO SANITÁRIO. AF_12/2014</v>
      </c>
      <c r="D121" s="116" t="str">
        <f>[1]ORÇAMENTO!B98</f>
        <v>SINAPI</v>
      </c>
      <c r="E121" s="116" t="str">
        <f>[1]ORÇAMENTO!E98</f>
        <v>m</v>
      </c>
      <c r="F121" s="118">
        <f>[1]ORÇAMENTO!F98</f>
        <v>18</v>
      </c>
      <c r="G121" s="116"/>
      <c r="H121" s="116"/>
      <c r="I121" s="116"/>
      <c r="J121" s="109">
        <f>[1]ORÇAMENTO!G98*26.63%+[1]ORÇAMENTO!G98</f>
        <v>19.766942999999998</v>
      </c>
      <c r="K121" s="109">
        <f t="shared" si="7"/>
        <v>355.8</v>
      </c>
      <c r="L121" s="109"/>
      <c r="M121" s="109"/>
      <c r="N121" s="109"/>
    </row>
    <row r="122" spans="1:14" ht="45">
      <c r="A122" s="116" t="str">
        <f>[1]ORÇAMENTO!A99</f>
        <v>9.1.16</v>
      </c>
      <c r="B122" s="116">
        <f>[1]ORÇAMENTO!C99</f>
        <v>89709</v>
      </c>
      <c r="C122" s="117" t="str">
        <f>[1]ORÇAMENTO!D99</f>
        <v>RALO SIFONADO, PVC, DN 100 X 40 MM, JUNTA SOLDÁVEL, FORNECIDO E INSTALADO EM RAMAL DE DESCARGA OU EM RAMAL DE ESGOTO SANITÁRIO. AF_12/2014</v>
      </c>
      <c r="D122" s="116" t="str">
        <f>[1]ORÇAMENTO!B99</f>
        <v>SINAPI</v>
      </c>
      <c r="E122" s="116" t="str">
        <f>[1]ORÇAMENTO!E99</f>
        <v>unid</v>
      </c>
      <c r="F122" s="118">
        <f>[1]ORÇAMENTO!F99</f>
        <v>2</v>
      </c>
      <c r="G122" s="116"/>
      <c r="H122" s="116"/>
      <c r="I122" s="116"/>
      <c r="J122" s="109">
        <f>[1]ORÇAMENTO!G99*26.63%+[1]ORÇAMENTO!G99</f>
        <v>15.930054</v>
      </c>
      <c r="K122" s="109">
        <f t="shared" si="7"/>
        <v>31.86</v>
      </c>
      <c r="L122" s="109"/>
      <c r="M122" s="109"/>
      <c r="N122" s="109"/>
    </row>
    <row r="123" spans="1:14" ht="45">
      <c r="A123" s="116" t="str">
        <f>[1]ORÇAMENTO!A100</f>
        <v>9.1.17</v>
      </c>
      <c r="B123" s="116">
        <f>[1]ORÇAMENTO!C100</f>
        <v>97902</v>
      </c>
      <c r="C123" s="117" t="str">
        <f>[1]ORÇAMENTO!D100</f>
        <v>CAIXA ENTERRADA HIDRÁULICA RETANGULAR EM ALVENARIA COM TIJOLOS CERÂMICOS MACIÇOS, DIMENSÕES INTERNAS: 0,6X0,6X0,6 M PARA REDE DE ESGOTO. AF_12/2020</v>
      </c>
      <c r="D123" s="116" t="str">
        <f>[1]ORÇAMENTO!B100</f>
        <v>SINAPI</v>
      </c>
      <c r="E123" s="116" t="str">
        <f>[1]ORÇAMENTO!E100</f>
        <v>unid</v>
      </c>
      <c r="F123" s="118">
        <f>[1]ORÇAMENTO!F100</f>
        <v>18</v>
      </c>
      <c r="G123" s="116"/>
      <c r="H123" s="116"/>
      <c r="I123" s="116"/>
      <c r="J123" s="109">
        <f>[1]ORÇAMENTO!G100*26.63%+[1]ORÇAMENTO!G100</f>
        <v>579.61083600000006</v>
      </c>
      <c r="K123" s="109">
        <f t="shared" si="7"/>
        <v>10433</v>
      </c>
      <c r="L123" s="109"/>
      <c r="M123" s="109"/>
      <c r="N123" s="109"/>
    </row>
    <row r="124" spans="1:14" ht="30">
      <c r="A124" s="116" t="str">
        <f>[1]ORÇAMENTO!A101</f>
        <v>9.1.18</v>
      </c>
      <c r="B124" s="116">
        <f>[1]ORÇAMENTO!C101</f>
        <v>89849</v>
      </c>
      <c r="C124" s="117" t="str">
        <f>[1]ORÇAMENTO!D101</f>
        <v>TUBO PVC, SERIE NORMAL, ESGOTO PREDIAL, DN 150 MM, FORNECIDO E INSTALADO EM SUBCOLETOR AÉREO DE ESGOTO SANITÁRIO. AF_12/2014</v>
      </c>
      <c r="D124" s="116" t="str">
        <f>[1]ORÇAMENTO!B101</f>
        <v>SINAPI</v>
      </c>
      <c r="E124" s="116" t="str">
        <f>[1]ORÇAMENTO!E101</f>
        <v>m</v>
      </c>
      <c r="F124" s="118">
        <f>[1]ORÇAMENTO!F101</f>
        <v>12</v>
      </c>
      <c r="G124" s="116"/>
      <c r="H124" s="116"/>
      <c r="I124" s="116"/>
      <c r="J124" s="109">
        <f>[1]ORÇAMENTO!G101*26.63%+[1]ORÇAMENTO!G101</f>
        <v>74.027897999999993</v>
      </c>
      <c r="K124" s="109">
        <f t="shared" si="7"/>
        <v>888.33</v>
      </c>
      <c r="L124" s="109"/>
      <c r="M124" s="109"/>
      <c r="N124" s="109"/>
    </row>
    <row r="125" spans="1:14" ht="45">
      <c r="A125" s="116" t="str">
        <f>[1]ORÇAMENTO!A102</f>
        <v>9.1.19</v>
      </c>
      <c r="B125" s="116">
        <f>[1]ORÇAMENTO!C102</f>
        <v>89713</v>
      </c>
      <c r="C125" s="117" t="str">
        <f>[1]ORÇAMENTO!D102</f>
        <v>TUBO PVC, SERIE NORMAL, ESGOTO PREDIAL, DN 75 MM, FORNECIDO E INSTALADO EM RAMAL DE DESCARGA OU RAMAL DE ESGOTO SANITÁRIO. AF_12/2014</v>
      </c>
      <c r="D125" s="116" t="str">
        <f>[1]ORÇAMENTO!B102</f>
        <v>SINAPI</v>
      </c>
      <c r="E125" s="116" t="str">
        <f>[1]ORÇAMENTO!E102</f>
        <v>m</v>
      </c>
      <c r="F125" s="118">
        <f>[1]ORÇAMENTO!F102</f>
        <v>14</v>
      </c>
      <c r="G125" s="116"/>
      <c r="H125" s="116"/>
      <c r="I125" s="116"/>
      <c r="J125" s="109">
        <f>[1]ORÇAMENTO!G102*26.63%+[1]ORÇAMENTO!G102</f>
        <v>45.612126000000004</v>
      </c>
      <c r="K125" s="109">
        <f t="shared" si="7"/>
        <v>638.57000000000005</v>
      </c>
      <c r="L125" s="109"/>
      <c r="M125" s="109"/>
      <c r="N125" s="109"/>
    </row>
    <row r="126" spans="1:14" ht="30">
      <c r="A126" s="116" t="str">
        <f>[1]ORÇAMENTO!A103</f>
        <v>9.1.20</v>
      </c>
      <c r="B126" s="116">
        <f>[1]ORÇAMENTO!C103</f>
        <v>4282</v>
      </c>
      <c r="C126" s="117" t="str">
        <f>[1]ORÇAMENTO!D103</f>
        <v>Caixa sifonada em pvc, 150 x150 x50 mm, com tampa cega, acabamento branco, akros ou similar.</v>
      </c>
      <c r="D126" s="116" t="str">
        <f>[1]ORÇAMENTO!B103</f>
        <v>ORSE</v>
      </c>
      <c r="E126" s="116" t="str">
        <f>[1]ORÇAMENTO!E103</f>
        <v>unid</v>
      </c>
      <c r="F126" s="118">
        <f>[1]ORÇAMENTO!F103</f>
        <v>2</v>
      </c>
      <c r="G126" s="116"/>
      <c r="H126" s="116"/>
      <c r="I126" s="116"/>
      <c r="J126" s="109">
        <f>[1]ORÇAMENTO!G103*26.63%+[1]ORÇAMENTO!G103</f>
        <v>58.768982999999992</v>
      </c>
      <c r="K126" s="109">
        <f t="shared" si="7"/>
        <v>117.54</v>
      </c>
      <c r="L126" s="109"/>
      <c r="M126" s="109"/>
      <c r="N126" s="109"/>
    </row>
    <row r="127" spans="1:14" ht="45">
      <c r="A127" s="116" t="str">
        <f>[1]ORÇAMENTO!A104</f>
        <v>9.1.21</v>
      </c>
      <c r="B127" s="116">
        <f>[1]ORÇAMENTO!C104</f>
        <v>89739</v>
      </c>
      <c r="C127" s="117" t="str">
        <f>[1]ORÇAMENTO!D104</f>
        <v>JOELHO 45 GRAUS, PVC, SERIE NORMAL, ESGOTO PREDIAL, DN 75 MM, JUNTA ELÁSTICA, FORNECIDO E INSTALADO EM RAMAL DE DESCARGA OU RAMAL DE ESGOTO SANITÁRIO. AF_12/2014</v>
      </c>
      <c r="D127" s="116" t="str">
        <f>[1]ORÇAMENTO!B104</f>
        <v>SINAPI</v>
      </c>
      <c r="E127" s="116" t="str">
        <f>[1]ORÇAMENTO!E104</f>
        <v>unid</v>
      </c>
      <c r="F127" s="118">
        <f>[1]ORÇAMENTO!F104</f>
        <v>1</v>
      </c>
      <c r="G127" s="116"/>
      <c r="H127" s="116"/>
      <c r="I127" s="116"/>
      <c r="J127" s="109">
        <f>[1]ORÇAMENTO!G104*26.63%+[1]ORÇAMENTO!G104</f>
        <v>21.919652999999997</v>
      </c>
      <c r="K127" s="109">
        <f t="shared" si="7"/>
        <v>21.92</v>
      </c>
      <c r="L127" s="109"/>
      <c r="M127" s="109"/>
      <c r="N127" s="109"/>
    </row>
    <row r="128" spans="1:14" ht="45">
      <c r="A128" s="116" t="str">
        <f>[1]ORÇAMENTO!A105</f>
        <v>9.1.22</v>
      </c>
      <c r="B128" s="116">
        <f>[1]ORÇAMENTO!C105</f>
        <v>89785</v>
      </c>
      <c r="C128" s="117" t="str">
        <f>[1]ORÇAMENTO!D105</f>
        <v>JUNÇÃO SIMPLES, PVC, SERIE NORMAL, ESGOTO PREDIAL, DN 50 X 50 MM, JUNTA ELÁSTICA, FORNECIDO E INSTALADO EM RAMAL DE DESCARGA OU RAMAL DE ESGOTO SANITÁRIO. AF_12/2014</v>
      </c>
      <c r="D128" s="116" t="str">
        <f>[1]ORÇAMENTO!B105</f>
        <v>SINAPI</v>
      </c>
      <c r="E128" s="116" t="str">
        <f>[1]ORÇAMENTO!E105</f>
        <v>unid</v>
      </c>
      <c r="F128" s="118">
        <f>[1]ORÇAMENTO!F105</f>
        <v>11</v>
      </c>
      <c r="G128" s="116"/>
      <c r="H128" s="116"/>
      <c r="I128" s="116"/>
      <c r="J128" s="109">
        <f>[1]ORÇAMENTO!G105*26.63%+[1]ORÇAMENTO!G105</f>
        <v>24.616872000000001</v>
      </c>
      <c r="K128" s="109">
        <f t="shared" si="7"/>
        <v>270.79000000000002</v>
      </c>
      <c r="L128" s="109"/>
      <c r="M128" s="109"/>
      <c r="N128" s="109"/>
    </row>
    <row r="129" spans="1:14" ht="45">
      <c r="A129" s="116" t="str">
        <f>[1]ORÇAMENTO!A106</f>
        <v>9.1.23</v>
      </c>
      <c r="B129" s="116">
        <f>[1]ORÇAMENTO!C106</f>
        <v>89774</v>
      </c>
      <c r="C129" s="117" t="str">
        <f>[1]ORÇAMENTO!D106</f>
        <v>LUVA SIMPLES, PVC, SERIE NORMAL, ESGOTO PREDIAL, DN 75 MM, JUNTA ELÁSTICA, FORNECIDO E INSTALADO EM RAMAL DE DESCARGA OU RAMAL DE ESGOTO SANITÁRIO. AF_12/2014</v>
      </c>
      <c r="D129" s="116" t="str">
        <f>[1]ORÇAMENTO!B106</f>
        <v>SINAPI</v>
      </c>
      <c r="E129" s="116" t="str">
        <f>[1]ORÇAMENTO!E106</f>
        <v>unid</v>
      </c>
      <c r="F129" s="118">
        <f>[1]ORÇAMENTO!F106</f>
        <v>4</v>
      </c>
      <c r="G129" s="116"/>
      <c r="H129" s="116"/>
      <c r="I129" s="116"/>
      <c r="J129" s="109">
        <f>[1]ORÇAMENTO!G106*26.63%+[1]ORÇAMENTO!G106</f>
        <v>16.803801</v>
      </c>
      <c r="K129" s="109">
        <f t="shared" si="7"/>
        <v>67.22</v>
      </c>
      <c r="L129" s="109"/>
      <c r="M129" s="109"/>
      <c r="N129" s="109"/>
    </row>
    <row r="130" spans="1:14" ht="45">
      <c r="A130" s="116" t="str">
        <f>[1]ORÇAMENTO!A107</f>
        <v>9.1.24</v>
      </c>
      <c r="B130" s="116">
        <f>[1]ORÇAMENTO!C107</f>
        <v>89778</v>
      </c>
      <c r="C130" s="117" t="str">
        <f>[1]ORÇAMENTO!D107</f>
        <v>LUVA SIMPLES, PVC, SERIE NORMAL, ESGOTO PREDIAL, DN 100 MM, JUNTA ELÁSTICA, FORNECIDO E INSTALADO EM RAMAL DE DESCARGA OU RAMAL DE ESGOTO SANITÁRIO. AF_12/2014</v>
      </c>
      <c r="D130" s="116" t="str">
        <f>[1]ORÇAMENTO!B107</f>
        <v>SINAPI</v>
      </c>
      <c r="E130" s="116" t="str">
        <f>[1]ORÇAMENTO!E107</f>
        <v>unid</v>
      </c>
      <c r="F130" s="118">
        <f>[1]ORÇAMENTO!F107</f>
        <v>39</v>
      </c>
      <c r="G130" s="116"/>
      <c r="H130" s="116"/>
      <c r="I130" s="116"/>
      <c r="J130" s="109">
        <f>[1]ORÇAMENTO!G107*26.63%+[1]ORÇAMENTO!G107</f>
        <v>20.640689999999999</v>
      </c>
      <c r="K130" s="109">
        <f t="shared" si="7"/>
        <v>804.99</v>
      </c>
      <c r="L130" s="109"/>
      <c r="M130" s="109"/>
      <c r="N130" s="109"/>
    </row>
    <row r="131" spans="1:14" ht="45">
      <c r="A131" s="116" t="str">
        <f>[1]ORÇAMENTO!A108</f>
        <v>9.1.25</v>
      </c>
      <c r="B131" s="116">
        <f>[1]ORÇAMENTO!C108</f>
        <v>89753</v>
      </c>
      <c r="C131" s="117" t="str">
        <f>[1]ORÇAMENTO!D108</f>
        <v>LUVA SIMPLES, PVC, SERIE NORMAL, ESGOTO PREDIAL, DN 50 MM, JUNTA ELÁSTICA, FORNECIDO E INSTALADO EM RAMAL DE DESCARGA OU RAMAL DE ESGOTO SANITÁRIO. AF_12/2014</v>
      </c>
      <c r="D131" s="116" t="str">
        <f>[1]ORÇAMENTO!B108</f>
        <v>SINAPI</v>
      </c>
      <c r="E131" s="116" t="str">
        <f>[1]ORÇAMENTO!E108</f>
        <v>unid</v>
      </c>
      <c r="F131" s="118">
        <f>[1]ORÇAMENTO!F108</f>
        <v>46</v>
      </c>
      <c r="G131" s="116"/>
      <c r="H131" s="116"/>
      <c r="I131" s="116"/>
      <c r="J131" s="109">
        <f>[1]ORÇAMENTO!G108*26.63%+[1]ORÇAMENTO!G108</f>
        <v>9.9024660000000004</v>
      </c>
      <c r="K131" s="109">
        <f t="shared" si="7"/>
        <v>455.51</v>
      </c>
      <c r="L131" s="109"/>
      <c r="M131" s="109"/>
      <c r="N131" s="109"/>
    </row>
    <row r="132" spans="1:14">
      <c r="A132" s="116" t="str">
        <f>[1]ORÇAMENTO!A109</f>
        <v>9.1.26</v>
      </c>
      <c r="B132" s="116">
        <f>[1]ORÇAMENTO!C109</f>
        <v>11551</v>
      </c>
      <c r="C132" s="117" t="str">
        <f>[1]ORÇAMENTO!D109</f>
        <v>Caixa de espuma em alvenaria 40x40x50cm - Rer 01.</v>
      </c>
      <c r="D132" s="116" t="str">
        <f>[1]ORÇAMENTO!B109</f>
        <v>ORSE</v>
      </c>
      <c r="E132" s="116" t="str">
        <f>[1]ORÇAMENTO!E109</f>
        <v>unid</v>
      </c>
      <c r="F132" s="118">
        <f>[1]ORÇAMENTO!F109</f>
        <v>1</v>
      </c>
      <c r="G132" s="116"/>
      <c r="H132" s="116"/>
      <c r="I132" s="116"/>
      <c r="J132" s="109">
        <f>[1]ORÇAMENTO!G109*26.63%+[1]ORÇAMENTO!G109</f>
        <v>216.73990799999999</v>
      </c>
      <c r="K132" s="109">
        <f t="shared" si="7"/>
        <v>216.74</v>
      </c>
      <c r="L132" s="109"/>
      <c r="M132" s="109"/>
      <c r="N132" s="109"/>
    </row>
    <row r="133" spans="1:14" ht="45">
      <c r="A133" s="116" t="str">
        <f>[1]ORÇAMENTO!A110</f>
        <v>9.1.27</v>
      </c>
      <c r="B133" s="116">
        <f>[1]ORÇAMENTO!C110</f>
        <v>98104</v>
      </c>
      <c r="C133" s="117" t="str">
        <f>[1]ORÇAMENTO!D110</f>
        <v>CAIXA DE GORDURA SIMPLES (CAPACIDADE: 36L), RETANGULAR, EM ALVENARIA COM TIJOLOS CERÂMICOS MACIÇOS, DIMENSÕES INTERNAS = 0,2X0,4 M, ALTURA INTERNA = 0,8 M. AF_12/2020</v>
      </c>
      <c r="D133" s="116" t="str">
        <f>[1]ORÇAMENTO!B110</f>
        <v>SINAPI</v>
      </c>
      <c r="E133" s="116" t="str">
        <f>[1]ORÇAMENTO!E110</f>
        <v>unid</v>
      </c>
      <c r="F133" s="118">
        <f>[1]ORÇAMENTO!F110</f>
        <v>1</v>
      </c>
      <c r="G133" s="116"/>
      <c r="H133" s="116"/>
      <c r="I133" s="116"/>
      <c r="J133" s="109">
        <f>[1]ORÇAMENTO!G110*26.63%+[1]ORÇAMENTO!G110</f>
        <v>391.90718700000002</v>
      </c>
      <c r="K133" s="109">
        <f t="shared" si="7"/>
        <v>391.91</v>
      </c>
      <c r="L133" s="109"/>
      <c r="M133" s="109"/>
      <c r="N133" s="109"/>
    </row>
    <row r="134" spans="1:14" ht="45">
      <c r="A134" s="116" t="str">
        <f>[1]ORÇAMENTO!A111</f>
        <v>9.1.28</v>
      </c>
      <c r="B134" s="116">
        <f>[1]ORÇAMENTO!C111</f>
        <v>89549</v>
      </c>
      <c r="C134" s="117" t="str">
        <f>[1]ORÇAMENTO!D111</f>
        <v>REDUÇÃO EXCÊNTRICA, PVC, SERIE R, ÁGUA PLUVIAL, DN 75 X 50 MM, JUNTA ELÁSTICA, FORNECIDO E INSTALADO EM RAMAL DE ENCAMINHAMENTO. AF_12/2014</v>
      </c>
      <c r="D134" s="116" t="str">
        <f>[1]ORÇAMENTO!B111</f>
        <v>SINAPI</v>
      </c>
      <c r="E134" s="116" t="str">
        <f>[1]ORÇAMENTO!E111</f>
        <v>unid</v>
      </c>
      <c r="F134" s="118">
        <f>[1]ORÇAMENTO!F111</f>
        <v>3</v>
      </c>
      <c r="G134" s="116"/>
      <c r="H134" s="116"/>
      <c r="I134" s="116"/>
      <c r="J134" s="109">
        <f>[1]ORÇAMENTO!G111*26.63%+[1]ORÇAMENTO!G111</f>
        <v>17.778852000000001</v>
      </c>
      <c r="K134" s="109">
        <f t="shared" si="7"/>
        <v>53.34</v>
      </c>
      <c r="L134" s="109"/>
      <c r="M134" s="109"/>
      <c r="N134" s="109"/>
    </row>
    <row r="135" spans="1:14">
      <c r="A135" s="116"/>
      <c r="B135" s="116"/>
      <c r="C135" s="117"/>
      <c r="D135" s="116"/>
      <c r="E135" s="116"/>
      <c r="F135" s="118"/>
      <c r="G135" s="116"/>
      <c r="H135" s="116"/>
      <c r="I135" s="116"/>
      <c r="J135" s="109"/>
      <c r="K135" s="109"/>
      <c r="L135" s="109"/>
      <c r="M135" s="109"/>
      <c r="N135" s="109"/>
    </row>
    <row r="136" spans="1:14">
      <c r="A136" s="124" t="str">
        <f>[1]ORÇAMENTO!A113</f>
        <v>9.2</v>
      </c>
      <c r="B136" s="124"/>
      <c r="C136" s="125" t="str">
        <f>[1]ORÇAMENTO!B113</f>
        <v>SISTEMA PREDIAL DE ÁGUA FRIA - NBR 5626</v>
      </c>
      <c r="D136" s="114"/>
      <c r="E136" s="114"/>
      <c r="F136" s="164"/>
      <c r="G136" s="114"/>
      <c r="H136" s="114"/>
      <c r="I136" s="114"/>
      <c r="J136" s="128"/>
      <c r="K136" s="128"/>
      <c r="L136" s="128"/>
      <c r="M136" s="128"/>
      <c r="N136" s="128"/>
    </row>
    <row r="137" spans="1:14" ht="30">
      <c r="A137" s="116" t="str">
        <f>[1]ORÇAMENTO!A114</f>
        <v>9.2.1</v>
      </c>
      <c r="B137" s="116">
        <f>[1]ORÇAMENTO!C114</f>
        <v>89450</v>
      </c>
      <c r="C137" s="117" t="str">
        <f>[1]ORÇAMENTO!D114</f>
        <v>TUBO, PVC, SOLDÁVEL, DN 60MM, INSTALADO EM PRUMADA DE ÁGUA - FORNECIMENTO E INSTALAÇÃO. AF_12/2014</v>
      </c>
      <c r="D137" s="116" t="str">
        <f>[1]ORÇAMENTO!B114</f>
        <v>SINAPI</v>
      </c>
      <c r="E137" s="116" t="str">
        <f>[1]ORÇAMENTO!E114</f>
        <v>m</v>
      </c>
      <c r="F137" s="118">
        <f>[1]ORÇAMENTO!F114</f>
        <v>23</v>
      </c>
      <c r="G137" s="116"/>
      <c r="H137" s="116"/>
      <c r="I137" s="116"/>
      <c r="J137" s="109">
        <f>[1]ORÇAMENTO!G114*26.63%+[1]ORÇAMENTO!G114</f>
        <v>40.141709999999996</v>
      </c>
      <c r="K137" s="109">
        <f t="shared" si="7"/>
        <v>923.26</v>
      </c>
      <c r="L137" s="109"/>
      <c r="M137" s="109"/>
      <c r="N137" s="109"/>
    </row>
    <row r="138" spans="1:14" ht="30">
      <c r="A138" s="116" t="str">
        <f>[1]ORÇAMENTO!A115</f>
        <v>9.2.2</v>
      </c>
      <c r="B138" s="116">
        <f>[1]ORÇAMENTO!C115</f>
        <v>89449</v>
      </c>
      <c r="C138" s="117" t="str">
        <f>[1]ORÇAMENTO!D115</f>
        <v>TUBO, PVC, SOLDÁVEL, DN 50MM, INSTALADO EM PRUMADA DE ÁGUA - FORNECIMENTO E INSTALAÇÃO. AF_12/2014</v>
      </c>
      <c r="D138" s="116" t="str">
        <f>[1]ORÇAMENTO!B115</f>
        <v>SINAPI</v>
      </c>
      <c r="E138" s="116" t="str">
        <f>[1]ORÇAMENTO!E115</f>
        <v>m</v>
      </c>
      <c r="F138" s="118">
        <f>[1]ORÇAMENTO!F115</f>
        <v>166</v>
      </c>
      <c r="G138" s="116"/>
      <c r="H138" s="116"/>
      <c r="I138" s="116"/>
      <c r="J138" s="109">
        <f>[1]ORÇAMENTO!G115*26.63%+[1]ORÇAMENTO!G115</f>
        <v>24.123015000000002</v>
      </c>
      <c r="K138" s="109">
        <f t="shared" si="7"/>
        <v>4004.42</v>
      </c>
      <c r="L138" s="109"/>
      <c r="M138" s="109"/>
      <c r="N138" s="109"/>
    </row>
    <row r="139" spans="1:14" ht="30">
      <c r="A139" s="116" t="str">
        <f>[1]ORÇAMENTO!A116</f>
        <v>9.2.3</v>
      </c>
      <c r="B139" s="116">
        <f>[1]ORÇAMENTO!C116</f>
        <v>89356</v>
      </c>
      <c r="C139" s="117" t="str">
        <f>[1]ORÇAMENTO!D116</f>
        <v>TUBO, PVC, SOLDÁVEL, DN 25MM, INSTALADO EM RAMAL OU SUB-RAMAL DE ÁGUA - FORNECIMENTO E INSTALAÇÃO. AF_12/2014</v>
      </c>
      <c r="D139" s="116" t="str">
        <f>[1]ORÇAMENTO!B116</f>
        <v>SINAPI</v>
      </c>
      <c r="E139" s="116" t="str">
        <f>[1]ORÇAMENTO!E116</f>
        <v>m</v>
      </c>
      <c r="F139" s="118">
        <f>[1]ORÇAMENTO!F116</f>
        <v>169</v>
      </c>
      <c r="G139" s="116"/>
      <c r="H139" s="116"/>
      <c r="I139" s="116"/>
      <c r="J139" s="109">
        <f>[1]ORÇAMENTO!G116*26.63%+[1]ORÇAMENTO!G116</f>
        <v>20.628026999999999</v>
      </c>
      <c r="K139" s="109">
        <f t="shared" si="7"/>
        <v>3486.14</v>
      </c>
      <c r="L139" s="109"/>
      <c r="M139" s="109"/>
      <c r="N139" s="109"/>
    </row>
    <row r="140" spans="1:14" ht="45">
      <c r="A140" s="116" t="str">
        <f>[1]ORÇAMENTO!A117</f>
        <v>9.2.4</v>
      </c>
      <c r="B140" s="116">
        <f>[1]ORÇAMENTO!C117</f>
        <v>89383</v>
      </c>
      <c r="C140" s="117" t="str">
        <f>[1]ORÇAMENTO!D117</f>
        <v>ADAPTADOR CURTO COM BOLSA E ROSCA PARA REGISTRO, PVC, SOLDÁVEL, DN 25MM X 3/4, INSTALADO EM RAMAL OU SUB-RAMAL DE ÁGUA - FORNECIMENTO E INSTALAÇÃO. AF_12/2014</v>
      </c>
      <c r="D140" s="116" t="str">
        <f>[1]ORÇAMENTO!B117</f>
        <v>SINAPI</v>
      </c>
      <c r="E140" s="116" t="str">
        <f>[1]ORÇAMENTO!E117</f>
        <v>unid</v>
      </c>
      <c r="F140" s="118">
        <f>[1]ORÇAMENTO!F117</f>
        <v>69</v>
      </c>
      <c r="G140" s="116"/>
      <c r="H140" s="116"/>
      <c r="I140" s="116"/>
      <c r="J140" s="109">
        <f>[1]ORÇAMENTO!G117*26.63%+[1]ORÇAMENTO!G117</f>
        <v>6.2555220000000009</v>
      </c>
      <c r="K140" s="109">
        <f t="shared" si="7"/>
        <v>431.63</v>
      </c>
      <c r="L140" s="109"/>
      <c r="M140" s="109"/>
      <c r="N140" s="109"/>
    </row>
    <row r="141" spans="1:14" ht="30">
      <c r="A141" s="116" t="str">
        <f>[1]ORÇAMENTO!A118</f>
        <v>9.2.5</v>
      </c>
      <c r="B141" s="116">
        <f>[1]ORÇAMENTO!C118</f>
        <v>89605</v>
      </c>
      <c r="C141" s="117" t="str">
        <f>[1]ORÇAMENTO!D118</f>
        <v>LUVA DE REDUÇÃO, PVC, SOLDÁVEL, DN 60MM X 50MM, INSTALADO EM PRUMADA DE ÁGUA - FORNECIMENTO E INSTALAÇÃO. AF_12/2014</v>
      </c>
      <c r="D141" s="116" t="str">
        <f>[1]ORÇAMENTO!B118</f>
        <v>SINAPI</v>
      </c>
      <c r="E141" s="116" t="str">
        <f>[1]ORÇAMENTO!E118</f>
        <v>unid</v>
      </c>
      <c r="F141" s="118">
        <f>[1]ORÇAMENTO!F118</f>
        <v>1</v>
      </c>
      <c r="G141" s="116"/>
      <c r="H141" s="116"/>
      <c r="I141" s="116"/>
      <c r="J141" s="109">
        <f>[1]ORÇAMENTO!G118*26.63%+[1]ORÇAMENTO!G118</f>
        <v>24.69285</v>
      </c>
      <c r="K141" s="109">
        <f t="shared" si="7"/>
        <v>24.69</v>
      </c>
      <c r="L141" s="109"/>
      <c r="M141" s="109"/>
      <c r="N141" s="109"/>
    </row>
    <row r="142" spans="1:14" ht="30">
      <c r="A142" s="116" t="str">
        <f>[1]ORÇAMENTO!A119</f>
        <v>9.2.6</v>
      </c>
      <c r="B142" s="116">
        <f>[1]ORÇAMENTO!C119</f>
        <v>89579</v>
      </c>
      <c r="C142" s="117" t="str">
        <f>[1]ORÇAMENTO!D119</f>
        <v>LUVA DE REDUÇÃO, PVC, SOLDÁVEL, DN 50MM X 25MM, INSTALADO EM PRUMADA DE ÁGUA   FORNECIMENTO E INSTALAÇÃO. AF_12/2014</v>
      </c>
      <c r="D142" s="116" t="str">
        <f>[1]ORÇAMENTO!B119</f>
        <v>SINAPI</v>
      </c>
      <c r="E142" s="116" t="str">
        <f>[1]ORÇAMENTO!E119</f>
        <v>unid</v>
      </c>
      <c r="F142" s="118">
        <f>[1]ORÇAMENTO!F119</f>
        <v>1</v>
      </c>
      <c r="G142" s="116"/>
      <c r="H142" s="116"/>
      <c r="I142" s="116"/>
      <c r="J142" s="109">
        <f>[1]ORÇAMENTO!G119*26.63%+[1]ORÇAMENTO!G119</f>
        <v>12.890934</v>
      </c>
      <c r="K142" s="109">
        <f t="shared" si="7"/>
        <v>12.89</v>
      </c>
      <c r="L142" s="109"/>
      <c r="M142" s="109"/>
      <c r="N142" s="109"/>
    </row>
    <row r="143" spans="1:14" ht="45">
      <c r="A143" s="116" t="str">
        <f>[1]ORÇAMENTO!A120</f>
        <v>9.2.7</v>
      </c>
      <c r="B143" s="116">
        <f>[1]ORÇAMENTO!C120</f>
        <v>90373</v>
      </c>
      <c r="C143" s="117" t="str">
        <f>[1]ORÇAMENTO!D120</f>
        <v>JOELHO 90 GRAUS COM BUCHA DE LATÃO, PVC, SOLDÁVEL, DN 25MM, X 1/2 INSTALADO EM RAMAL OU SUB-RAMAL DE ÁGUA - FORNECIMENTO E INSTALAÇÃO. AF_12/2014</v>
      </c>
      <c r="D143" s="116" t="str">
        <f>[1]ORÇAMENTO!B120</f>
        <v>SINAPI</v>
      </c>
      <c r="E143" s="116" t="str">
        <f>[1]ORÇAMENTO!E120</f>
        <v>unid</v>
      </c>
      <c r="F143" s="118">
        <f>[1]ORÇAMENTO!F120</f>
        <v>66</v>
      </c>
      <c r="G143" s="116"/>
      <c r="H143" s="116"/>
      <c r="I143" s="116"/>
      <c r="J143" s="109">
        <f>[1]ORÇAMENTO!G120*26.63%+[1]ORÇAMENTO!G120</f>
        <v>16.347933000000001</v>
      </c>
      <c r="K143" s="109">
        <f t="shared" si="7"/>
        <v>1078.96</v>
      </c>
      <c r="L143" s="109"/>
      <c r="M143" s="109"/>
      <c r="N143" s="109"/>
    </row>
    <row r="144" spans="1:14">
      <c r="A144" s="116" t="str">
        <f>[1]ORÇAMENTO!A121</f>
        <v>9.2.8</v>
      </c>
      <c r="B144" s="116">
        <f>[1]ORÇAMENTO!C121</f>
        <v>4964</v>
      </c>
      <c r="C144" s="117" t="str">
        <f>[1]ORÇAMENTO!D121</f>
        <v>Joelho de 90º pvc rígido soldável c/ bucha de latão, d=20mmx1/2".</v>
      </c>
      <c r="D144" s="116" t="str">
        <f>[1]ORÇAMENTO!B121</f>
        <v>ORSE</v>
      </c>
      <c r="E144" s="116" t="str">
        <f>[1]ORÇAMENTO!E121</f>
        <v>unid</v>
      </c>
      <c r="F144" s="118">
        <f>[1]ORÇAMENTO!F121</f>
        <v>1</v>
      </c>
      <c r="G144" s="116"/>
      <c r="H144" s="116"/>
      <c r="I144" s="116"/>
      <c r="J144" s="109">
        <f>[1]ORÇAMENTO!G121*26.63%+[1]ORÇAMENTO!G121</f>
        <v>17.740863000000001</v>
      </c>
      <c r="K144" s="109">
        <f t="shared" si="7"/>
        <v>17.739999999999998</v>
      </c>
      <c r="L144" s="109"/>
      <c r="M144" s="109"/>
      <c r="N144" s="109"/>
    </row>
    <row r="145" spans="1:14" ht="30">
      <c r="A145" s="116" t="str">
        <f>[1]ORÇAMENTO!A122</f>
        <v>9.2.9</v>
      </c>
      <c r="B145" s="116">
        <f>[1]ORÇAMENTO!C122</f>
        <v>89505</v>
      </c>
      <c r="C145" s="117" t="str">
        <f>[1]ORÇAMENTO!D122</f>
        <v>JOELHO 90 GRAUS, PVC, SOLDÁVEL, DN 60MM, INSTALADO EM PRUMADA DE ÁGUA - FORNECIMENTO E INSTALAÇÃO. AF_12/2014</v>
      </c>
      <c r="D145" s="116" t="str">
        <f>[1]ORÇAMENTO!B122</f>
        <v>SINAPI</v>
      </c>
      <c r="E145" s="116" t="str">
        <f>[1]ORÇAMENTO!E122</f>
        <v>unid</v>
      </c>
      <c r="F145" s="118">
        <f>[1]ORÇAMENTO!F122</f>
        <v>4</v>
      </c>
      <c r="G145" s="116"/>
      <c r="H145" s="116"/>
      <c r="I145" s="116"/>
      <c r="J145" s="109">
        <f>[1]ORÇAMENTO!G122*26.63%+[1]ORÇAMENTO!G122</f>
        <v>46.371905999999996</v>
      </c>
      <c r="K145" s="109">
        <f t="shared" si="7"/>
        <v>185.49</v>
      </c>
      <c r="L145" s="109"/>
      <c r="M145" s="109"/>
      <c r="N145" s="109"/>
    </row>
    <row r="146" spans="1:14" ht="30">
      <c r="A146" s="116" t="str">
        <f>[1]ORÇAMENTO!A123</f>
        <v>9.2.10</v>
      </c>
      <c r="B146" s="116">
        <f>[1]ORÇAMENTO!C123</f>
        <v>89408</v>
      </c>
      <c r="C146" s="117" t="str">
        <f>[1]ORÇAMENTO!D123</f>
        <v>JOELHO 90 GRAUS, PVC, SOLDÁVEL, DN 25MM, INSTALADO EM RAMAL DE DISTRIBUIÇÃO DE ÁGUA - FORNECIMENTO E INSTALAÇÃO. AF_12/2014</v>
      </c>
      <c r="D146" s="116" t="str">
        <f>[1]ORÇAMENTO!B123</f>
        <v>SINAPI</v>
      </c>
      <c r="E146" s="116" t="str">
        <f>[1]ORÇAMENTO!E123</f>
        <v>unid</v>
      </c>
      <c r="F146" s="118">
        <f>[1]ORÇAMENTO!F123</f>
        <v>48</v>
      </c>
      <c r="G146" s="116"/>
      <c r="H146" s="116"/>
      <c r="I146" s="116"/>
      <c r="J146" s="109">
        <f>[1]ORÇAMENTO!G123*26.63%+[1]ORÇAMENTO!G123</f>
        <v>5.5970459999999997</v>
      </c>
      <c r="K146" s="109">
        <f t="shared" si="7"/>
        <v>268.66000000000003</v>
      </c>
      <c r="L146" s="109"/>
      <c r="M146" s="109"/>
      <c r="N146" s="109"/>
    </row>
    <row r="147" spans="1:14" ht="30">
      <c r="A147" s="116" t="str">
        <f>[1]ORÇAMENTO!A124</f>
        <v>9.2.11</v>
      </c>
      <c r="B147" s="116">
        <f>[1]ORÇAMENTO!C124</f>
        <v>89501</v>
      </c>
      <c r="C147" s="117" t="str">
        <f>[1]ORÇAMENTO!D124</f>
        <v>JOELHO 90 GRAUS, PVC, SOLDÁVEL, DN 50MM, INSTALADO EM PRUMADA DE ÁGUA - FORNECIMENTO E INSTALAÇÃO. AF_12/2014</v>
      </c>
      <c r="D147" s="116" t="str">
        <f>[1]ORÇAMENTO!B124</f>
        <v>SINAPI</v>
      </c>
      <c r="E147" s="116" t="str">
        <f>[1]ORÇAMENTO!E124</f>
        <v>unid</v>
      </c>
      <c r="F147" s="118">
        <f>[1]ORÇAMENTO!F124</f>
        <v>49</v>
      </c>
      <c r="G147" s="116"/>
      <c r="H147" s="116"/>
      <c r="I147" s="116"/>
      <c r="J147" s="109">
        <f>[1]ORÇAMENTO!G124*26.63%+[1]ORÇAMENTO!G124</f>
        <v>15.461523000000001</v>
      </c>
      <c r="K147" s="109">
        <f t="shared" si="7"/>
        <v>757.61</v>
      </c>
      <c r="L147" s="109"/>
      <c r="M147" s="109"/>
      <c r="N147" s="109"/>
    </row>
    <row r="148" spans="1:14" ht="30">
      <c r="A148" s="116" t="str">
        <f>[1]ORÇAMENTO!A125</f>
        <v>9.2.12</v>
      </c>
      <c r="B148" s="116">
        <f>[1]ORÇAMENTO!C125</f>
        <v>89404</v>
      </c>
      <c r="C148" s="117" t="str">
        <f>[1]ORÇAMENTO!D125</f>
        <v>JOELHO 90 GRAUS, PVC, SOLDÁVEL, DN 20MM, INSTALADO EM RAMAL DE DISTRIBUIÇÃO DE ÁGUA - FORNECIMENTO E INSTALAÇÃO. AF_12/2014</v>
      </c>
      <c r="D148" s="116" t="str">
        <f>[1]ORÇAMENTO!B125</f>
        <v>SINAPI</v>
      </c>
      <c r="E148" s="116" t="str">
        <f>[1]ORÇAMENTO!E125</f>
        <v>unid</v>
      </c>
      <c r="F148" s="118">
        <f>[1]ORÇAMENTO!F125</f>
        <v>2</v>
      </c>
      <c r="G148" s="116"/>
      <c r="H148" s="116"/>
      <c r="I148" s="116"/>
      <c r="J148" s="109">
        <f>[1]ORÇAMENTO!G125*26.63%+[1]ORÇAMENTO!G125</f>
        <v>4.5713429999999997</v>
      </c>
      <c r="K148" s="109">
        <f t="shared" si="7"/>
        <v>9.14</v>
      </c>
      <c r="L148" s="109"/>
      <c r="M148" s="109"/>
      <c r="N148" s="109"/>
    </row>
    <row r="149" spans="1:14" ht="45">
      <c r="A149" s="116" t="str">
        <f>[1]ORÇAMENTO!A126</f>
        <v>9.2.13</v>
      </c>
      <c r="B149" s="116">
        <f>[1]ORÇAMENTO!C126</f>
        <v>89534</v>
      </c>
      <c r="C149" s="117" t="str">
        <f>[1]ORÇAMENTO!D126</f>
        <v>LUVA SOLDÁVEL E COM ROSCA, PVC, SOLDÁVEL, DN 25MM X 3/4, INSTALADO EM PRUMADA DE ÁGUA - FORNECIMENTO E INSTALAÇÃO. AF_12/2014</v>
      </c>
      <c r="D149" s="116" t="str">
        <f>[1]ORÇAMENTO!B126</f>
        <v>SINAPI</v>
      </c>
      <c r="E149" s="116" t="str">
        <f>[1]ORÇAMENTO!E126</f>
        <v>unid</v>
      </c>
      <c r="F149" s="118">
        <f>[1]ORÇAMENTO!F126</f>
        <v>3</v>
      </c>
      <c r="G149" s="116"/>
      <c r="H149" s="116"/>
      <c r="I149" s="116"/>
      <c r="J149" s="109">
        <f>[1]ORÇAMENTO!G126*26.63%+[1]ORÇAMENTO!G126</f>
        <v>5.0398740000000002</v>
      </c>
      <c r="K149" s="109">
        <f t="shared" si="7"/>
        <v>15.12</v>
      </c>
      <c r="L149" s="109"/>
      <c r="M149" s="109"/>
      <c r="N149" s="109"/>
    </row>
    <row r="150" spans="1:14" ht="30">
      <c r="A150" s="116" t="str">
        <f>[1]ORÇAMENTO!A127</f>
        <v>9.2.14</v>
      </c>
      <c r="B150" s="116">
        <f>[1]ORÇAMENTO!C127</f>
        <v>89378</v>
      </c>
      <c r="C150" s="117" t="str">
        <f>[1]ORÇAMENTO!D127</f>
        <v>LUVA, PVC, SOLDÁVEL, DN 25MM, INSTALADO EM RAMAL OU SUB-RAMAL DE ÁGUA - FORNECIMENTO E INSTALAÇÃO. AF_12/2014</v>
      </c>
      <c r="D150" s="116" t="str">
        <f>[1]ORÇAMENTO!B127</f>
        <v>SINAPI</v>
      </c>
      <c r="E150" s="116" t="str">
        <f>[1]ORÇAMENTO!E127</f>
        <v>unid</v>
      </c>
      <c r="F150" s="118">
        <f>[1]ORÇAMENTO!F127</f>
        <v>64</v>
      </c>
      <c r="G150" s="116"/>
      <c r="H150" s="116"/>
      <c r="I150" s="116"/>
      <c r="J150" s="109">
        <f>[1]ORÇAMENTO!G127*26.63%+[1]ORÇAMENTO!G127</f>
        <v>6.1162289999999997</v>
      </c>
      <c r="K150" s="109">
        <f t="shared" si="7"/>
        <v>391.44</v>
      </c>
      <c r="L150" s="109"/>
      <c r="M150" s="109"/>
      <c r="N150" s="109"/>
    </row>
    <row r="151" spans="1:14" ht="30">
      <c r="A151" s="116" t="str">
        <f>[1]ORÇAMENTO!A128</f>
        <v>9.2.15</v>
      </c>
      <c r="B151" s="116">
        <f>[1]ORÇAMENTO!C128</f>
        <v>89597</v>
      </c>
      <c r="C151" s="117" t="str">
        <f>[1]ORÇAMENTO!D128</f>
        <v>LUVA, PVC, SOLDÁVEL, DN 60MM, INSTALADO EM PRUMADA DE ÁGUA - FORNECIMENTO E INSTALAÇÃO. AF_12/2014</v>
      </c>
      <c r="D151" s="116" t="str">
        <f>[1]ORÇAMENTO!B128</f>
        <v>SINAPI</v>
      </c>
      <c r="E151" s="116" t="str">
        <f>[1]ORÇAMENTO!E128</f>
        <v>unid</v>
      </c>
      <c r="F151" s="118">
        <f>[1]ORÇAMENTO!F128</f>
        <v>1</v>
      </c>
      <c r="G151" s="116"/>
      <c r="H151" s="116"/>
      <c r="I151" s="116"/>
      <c r="J151" s="109">
        <f>[1]ORÇAMENTO!G128*26.63%+[1]ORÇAMENTO!G128</f>
        <v>25.414641</v>
      </c>
      <c r="K151" s="109">
        <f t="shared" si="7"/>
        <v>25.41</v>
      </c>
      <c r="L151" s="109"/>
      <c r="M151" s="109"/>
      <c r="N151" s="109"/>
    </row>
    <row r="152" spans="1:14" ht="30">
      <c r="A152" s="116" t="str">
        <f>[1]ORÇAMENTO!A129</f>
        <v>9.2.16</v>
      </c>
      <c r="B152" s="116">
        <f>[1]ORÇAMENTO!C129</f>
        <v>89371</v>
      </c>
      <c r="C152" s="117" t="str">
        <f>[1]ORÇAMENTO!D129</f>
        <v>LUVA, PVC, SOLDÁVEL, DN 20MM, INSTALADO EM RAMAL OU SUB-RAMAL DE ÁGUA - FORNECIMENTO E INSTALAÇÃO. AF_12/2014</v>
      </c>
      <c r="D152" s="116" t="str">
        <f>[1]ORÇAMENTO!B129</f>
        <v>SINAPI</v>
      </c>
      <c r="E152" s="116" t="str">
        <f>[1]ORÇAMENTO!E129</f>
        <v>unid</v>
      </c>
      <c r="F152" s="118">
        <f>[1]ORÇAMENTO!F129</f>
        <v>1</v>
      </c>
      <c r="G152" s="116"/>
      <c r="H152" s="116"/>
      <c r="I152" s="116"/>
      <c r="J152" s="109">
        <f>[1]ORÇAMENTO!G129*26.63%+[1]ORÇAMENTO!G129</f>
        <v>5.1285150000000002</v>
      </c>
      <c r="K152" s="109">
        <f t="shared" si="7"/>
        <v>5.13</v>
      </c>
      <c r="L152" s="109"/>
      <c r="M152" s="109"/>
      <c r="N152" s="109"/>
    </row>
    <row r="153" spans="1:14" ht="45">
      <c r="A153" s="116" t="str">
        <f>[1]ORÇAMENTO!A130</f>
        <v>9.2.17</v>
      </c>
      <c r="B153" s="116">
        <f>[1]ORÇAMENTO!C130</f>
        <v>89396</v>
      </c>
      <c r="C153" s="117" t="str">
        <f>[1]ORÇAMENTO!D130</f>
        <v>TÊ COM BUCHA DE LATÃO NA BOLSA CENTRAL, PVC, SOLDÁVEL, DN 25MM X 1/2, INSTALADO EM RAMAL OU SUB-RAMAL DE ÁGUA - FORNECIMENTO E INSTALAÇÃO. AF_12/2014</v>
      </c>
      <c r="D153" s="116" t="str">
        <f>[1]ORÇAMENTO!B130</f>
        <v>SINAPI</v>
      </c>
      <c r="E153" s="116" t="str">
        <f>[1]ORÇAMENTO!E130</f>
        <v>unid</v>
      </c>
      <c r="F153" s="118">
        <f>[1]ORÇAMENTO!F130</f>
        <v>7</v>
      </c>
      <c r="G153" s="116"/>
      <c r="H153" s="116"/>
      <c r="I153" s="116"/>
      <c r="J153" s="109">
        <f>[1]ORÇAMENTO!G130*26.63%+[1]ORÇAMENTO!G130</f>
        <v>23.021334</v>
      </c>
      <c r="K153" s="109">
        <f t="shared" si="7"/>
        <v>161.15</v>
      </c>
      <c r="L153" s="109"/>
      <c r="M153" s="109"/>
      <c r="N153" s="109"/>
    </row>
    <row r="154" spans="1:14" ht="30">
      <c r="A154" s="116" t="str">
        <f>[1]ORÇAMENTO!A131</f>
        <v>9.2.18</v>
      </c>
      <c r="B154" s="116">
        <f>[1]ORÇAMENTO!C131</f>
        <v>89628</v>
      </c>
      <c r="C154" s="117" t="str">
        <f>[1]ORÇAMENTO!D131</f>
        <v>TE, PVC, SOLDÁVEL, DN 60MM, INSTALADO EM PRUMADA DE ÁGUA - FORNECIMENTO E INSTALAÇÃO. AF_12/2014</v>
      </c>
      <c r="D154" s="116" t="str">
        <f>[1]ORÇAMENTO!B131</f>
        <v>SINAPI</v>
      </c>
      <c r="E154" s="116" t="str">
        <f>[1]ORÇAMENTO!E131</f>
        <v>unid</v>
      </c>
      <c r="F154" s="118">
        <f>[1]ORÇAMENTO!F131</f>
        <v>1</v>
      </c>
      <c r="G154" s="116"/>
      <c r="H154" s="116"/>
      <c r="I154" s="116"/>
      <c r="J154" s="109">
        <f>[1]ORÇAMENTO!G131*26.63%+[1]ORÇAMENTO!G131</f>
        <v>58.642353</v>
      </c>
      <c r="K154" s="109">
        <f t="shared" si="7"/>
        <v>58.64</v>
      </c>
      <c r="L154" s="109"/>
      <c r="M154" s="109"/>
      <c r="N154" s="109"/>
    </row>
    <row r="155" spans="1:14" ht="30">
      <c r="A155" s="116" t="str">
        <f>[1]ORÇAMENTO!A132</f>
        <v>9.2.19</v>
      </c>
      <c r="B155" s="116">
        <f>[1]ORÇAMENTO!C132</f>
        <v>89440</v>
      </c>
      <c r="C155" s="117" t="str">
        <f>[1]ORÇAMENTO!D132</f>
        <v>TE, PVC, SOLDÁVEL, DN 25MM, INSTALADO EM RAMAL DE DISTRIBUIÇÃO DE ÁGUA - FORNECIMENTO E INSTALAÇÃO. AF_12/2014</v>
      </c>
      <c r="D155" s="116" t="str">
        <f>[1]ORÇAMENTO!B132</f>
        <v>SINAPI</v>
      </c>
      <c r="E155" s="116" t="str">
        <f>[1]ORÇAMENTO!E132</f>
        <v>unid</v>
      </c>
      <c r="F155" s="118">
        <f>[1]ORÇAMENTO!F132</f>
        <v>35</v>
      </c>
      <c r="G155" s="116"/>
      <c r="H155" s="116"/>
      <c r="I155" s="116"/>
      <c r="J155" s="109">
        <f>[1]ORÇAMENTO!G132*26.63%+[1]ORÇAMENTO!G132</f>
        <v>8.0789939999999998</v>
      </c>
      <c r="K155" s="109">
        <f t="shared" si="7"/>
        <v>282.76</v>
      </c>
      <c r="L155" s="109"/>
      <c r="M155" s="109"/>
      <c r="N155" s="109"/>
    </row>
    <row r="156" spans="1:14" ht="30">
      <c r="A156" s="116" t="str">
        <f>[1]ORÇAMENTO!A133</f>
        <v>9.2.20</v>
      </c>
      <c r="B156" s="116">
        <f>[1]ORÇAMENTO!C133</f>
        <v>89625</v>
      </c>
      <c r="C156" s="117" t="str">
        <f>[1]ORÇAMENTO!D133</f>
        <v>TE, PVC, SOLDÁVEL, DN 50MM, INSTALADO EM PRUMADA DE ÁGUA - FORNECIMENTO E INSTALAÇÃO. AF_12/2014</v>
      </c>
      <c r="D156" s="116" t="str">
        <f>[1]ORÇAMENTO!B133</f>
        <v>SINAPI</v>
      </c>
      <c r="E156" s="116" t="str">
        <f>[1]ORÇAMENTO!E133</f>
        <v>unid</v>
      </c>
      <c r="F156" s="118">
        <f>[1]ORÇAMENTO!F133</f>
        <v>32</v>
      </c>
      <c r="G156" s="116"/>
      <c r="H156" s="116"/>
      <c r="I156" s="116"/>
      <c r="J156" s="109">
        <f>[1]ORÇAMENTO!G133*26.63%+[1]ORÇAMENTO!G133</f>
        <v>25.098065999999999</v>
      </c>
      <c r="K156" s="109">
        <f t="shared" si="7"/>
        <v>803.14</v>
      </c>
      <c r="L156" s="109"/>
      <c r="M156" s="109"/>
      <c r="N156" s="109"/>
    </row>
    <row r="157" spans="1:14" ht="45">
      <c r="A157" s="116" t="str">
        <f>[1]ORÇAMENTO!A134</f>
        <v>9.2.21</v>
      </c>
      <c r="B157" s="116">
        <f>[1]ORÇAMENTO!C134</f>
        <v>94794</v>
      </c>
      <c r="C157" s="117" t="str">
        <f>[1]ORÇAMENTO!D134</f>
        <v>REGISTRO DE GAVETA BRUTO, LATÃO, ROSCÁVEL, 1 1/2", COM ACABAMENTO E CANOPLA CROMADOS - FORNECIMENTO E INSTALAÇÃO. AF_08/2021</v>
      </c>
      <c r="D157" s="116" t="str">
        <f>[1]ORÇAMENTO!B134</f>
        <v>SINAPI</v>
      </c>
      <c r="E157" s="116" t="str">
        <f>[1]ORÇAMENTO!E134</f>
        <v>unid</v>
      </c>
      <c r="F157" s="118">
        <f>[1]ORÇAMENTO!F134</f>
        <v>2</v>
      </c>
      <c r="G157" s="116"/>
      <c r="H157" s="116"/>
      <c r="I157" s="116"/>
      <c r="J157" s="109">
        <f>[1]ORÇAMENTO!G134*26.63%+[1]ORÇAMENTO!G134</f>
        <v>218.39876099999998</v>
      </c>
      <c r="K157" s="109">
        <f t="shared" si="7"/>
        <v>436.8</v>
      </c>
      <c r="L157" s="109"/>
      <c r="M157" s="109"/>
      <c r="N157" s="109"/>
    </row>
    <row r="158" spans="1:14" ht="30">
      <c r="A158" s="116" t="str">
        <f>[1]ORÇAMENTO!A135</f>
        <v>9.2.22</v>
      </c>
      <c r="B158" s="116">
        <f>[1]ORÇAMENTO!C135</f>
        <v>89987</v>
      </c>
      <c r="C158" s="117" t="str">
        <f>[1]ORÇAMENTO!D135</f>
        <v>REGISTRO DE GAVETA BRUTO, LATÃO, ROSCÁVEL, 3/4", COM ACABAMENTO E CANOPLA CROMADOS - FORNECIMENTO E INSTALAÇÃO. AF_08/2021</v>
      </c>
      <c r="D158" s="116" t="str">
        <f>[1]ORÇAMENTO!B135</f>
        <v>SINAPI</v>
      </c>
      <c r="E158" s="116" t="str">
        <f>[1]ORÇAMENTO!E135</f>
        <v>unid</v>
      </c>
      <c r="F158" s="118">
        <f>[1]ORÇAMENTO!F135</f>
        <v>33</v>
      </c>
      <c r="G158" s="116"/>
      <c r="H158" s="116"/>
      <c r="I158" s="116"/>
      <c r="J158" s="109">
        <f>[1]ORÇAMENTO!G135*26.63%+[1]ORÇAMENTO!G135</f>
        <v>127.554399</v>
      </c>
      <c r="K158" s="109">
        <f t="shared" si="7"/>
        <v>4209.3</v>
      </c>
      <c r="L158" s="109"/>
      <c r="M158" s="109"/>
      <c r="N158" s="109"/>
    </row>
    <row r="159" spans="1:14" ht="45">
      <c r="A159" s="116" t="str">
        <f>[1]ORÇAMENTO!A136</f>
        <v>9.2.23</v>
      </c>
      <c r="B159" s="116">
        <f>[1]ORÇAMENTO!C136</f>
        <v>89985</v>
      </c>
      <c r="C159" s="117" t="str">
        <f>[1]ORÇAMENTO!D136</f>
        <v>REGISTRO DE PRESSÃO BRUTO, LATÃO, ROSCÁVEL, 3/4", COM ACABAMENTO E CANOPLA CROMADOS - FORNECIMENTO E INSTALAÇÃO. AF_08/2021</v>
      </c>
      <c r="D159" s="116" t="str">
        <f>[1]ORÇAMENTO!B136</f>
        <v>SINAPI</v>
      </c>
      <c r="E159" s="116" t="str">
        <f>[1]ORÇAMENTO!E136</f>
        <v>unid</v>
      </c>
      <c r="F159" s="118">
        <f>[1]ORÇAMENTO!F136</f>
        <v>3</v>
      </c>
      <c r="G159" s="116"/>
      <c r="H159" s="116"/>
      <c r="I159" s="116"/>
      <c r="J159" s="109">
        <f>[1]ORÇAMENTO!G136*26.63%+[1]ORÇAMENTO!G136</f>
        <v>116.58824099999998</v>
      </c>
      <c r="K159" s="109">
        <f t="shared" si="7"/>
        <v>349.76</v>
      </c>
      <c r="L159" s="109"/>
      <c r="M159" s="109"/>
      <c r="N159" s="109"/>
    </row>
    <row r="160" spans="1:14" ht="45">
      <c r="A160" s="116" t="str">
        <f>[1]ORÇAMENTO!A137</f>
        <v>9.2.24</v>
      </c>
      <c r="B160" s="116">
        <f>[1]ORÇAMENTO!C137</f>
        <v>2646</v>
      </c>
      <c r="C160" s="117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16" t="str">
        <f>[1]ORÇAMENTO!B137</f>
        <v>ORSE</v>
      </c>
      <c r="E160" s="116" t="str">
        <f>[1]ORÇAMENTO!E137</f>
        <v>unid</v>
      </c>
      <c r="F160" s="118">
        <f>[1]ORÇAMENTO!F137</f>
        <v>1</v>
      </c>
      <c r="G160" s="116"/>
      <c r="H160" s="116"/>
      <c r="I160" s="116"/>
      <c r="J160" s="109">
        <f>[1]ORÇAMENTO!G137*26.63%+[1]ORÇAMENTO!G137</f>
        <v>1483.483113</v>
      </c>
      <c r="K160" s="109">
        <f t="shared" si="7"/>
        <v>1483.48</v>
      </c>
      <c r="L160" s="109"/>
      <c r="M160" s="109"/>
      <c r="N160" s="109"/>
    </row>
    <row r="161" spans="1:14">
      <c r="A161" s="116"/>
      <c r="B161" s="116"/>
      <c r="C161" s="117"/>
      <c r="D161" s="116"/>
      <c r="E161" s="116"/>
      <c r="F161" s="118"/>
      <c r="G161" s="116"/>
      <c r="H161" s="116"/>
      <c r="I161" s="116"/>
      <c r="J161" s="109"/>
      <c r="K161" s="109"/>
      <c r="L161" s="109"/>
      <c r="M161" s="109"/>
      <c r="N161" s="109"/>
    </row>
    <row r="162" spans="1:14">
      <c r="A162" s="124" t="str">
        <f>[1]ORÇAMENTO!A139</f>
        <v>9.3</v>
      </c>
      <c r="B162" s="124"/>
      <c r="C162" s="125" t="str">
        <f>[1]ORÇAMENTO!B139</f>
        <v>COMBATE A  INCÊNDIO</v>
      </c>
      <c r="D162" s="124"/>
      <c r="E162" s="124"/>
      <c r="F162" s="126"/>
      <c r="G162" s="124"/>
      <c r="H162" s="124"/>
      <c r="I162" s="124"/>
      <c r="J162" s="127"/>
      <c r="K162" s="127"/>
      <c r="L162" s="128"/>
      <c r="M162" s="128"/>
      <c r="N162" s="128"/>
    </row>
    <row r="163" spans="1:14" ht="45">
      <c r="A163" s="116" t="str">
        <f>[1]ORÇAMENTO!A140</f>
        <v>9.3.1</v>
      </c>
      <c r="B163" s="116">
        <f>[1]ORÇAMENTO!C140</f>
        <v>92367</v>
      </c>
      <c r="C163" s="117" t="str">
        <f>[1]ORÇAMENTO!D140</f>
        <v>TUBO DE AÇO GALVANIZADO COM COSTURA, CLASSE MÉDIA, DN 65 (2 1/2"), CONEXÃO ROSQUEADA, INSTALADO EM REDE DE ALIMENTAÇÃO PARA HIDRANTE - FORNECIMENTO E INSTALAÇÃO. AF_10/2020</v>
      </c>
      <c r="D163" s="116" t="str">
        <f>[1]ORÇAMENTO!B140</f>
        <v>SINAPI</v>
      </c>
      <c r="E163" s="116" t="str">
        <f>[1]ORÇAMENTO!E140</f>
        <v>m</v>
      </c>
      <c r="F163" s="118">
        <f>[1]ORÇAMENTO!F140</f>
        <v>106</v>
      </c>
      <c r="G163" s="116"/>
      <c r="H163" s="116"/>
      <c r="I163" s="116"/>
      <c r="J163" s="109">
        <f>[1]ORÇAMENTO!G140*26.63%+[1]ORÇAMENTO!G140</f>
        <v>153.10833299999999</v>
      </c>
      <c r="K163" s="109">
        <f t="shared" si="7"/>
        <v>16229.48</v>
      </c>
      <c r="L163" s="109"/>
      <c r="M163" s="109"/>
      <c r="N163" s="109"/>
    </row>
    <row r="164" spans="1:14" ht="60">
      <c r="A164" s="116" t="str">
        <f>[1]ORÇAMENTO!A141</f>
        <v>9.3.2</v>
      </c>
      <c r="B164" s="116">
        <f>[1]ORÇAMENTO!C141</f>
        <v>94473</v>
      </c>
      <c r="C164" s="117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16" t="str">
        <f>[1]ORÇAMENTO!B141</f>
        <v>SINAPI</v>
      </c>
      <c r="E164" s="116" t="str">
        <f>[1]ORÇAMENTO!E141</f>
        <v>unid</v>
      </c>
      <c r="F164" s="118">
        <f>[1]ORÇAMENTO!F141</f>
        <v>25</v>
      </c>
      <c r="G164" s="116"/>
      <c r="H164" s="116"/>
      <c r="I164" s="116"/>
      <c r="J164" s="109">
        <f>[1]ORÇAMENTO!G141*26.63%+[1]ORÇAMENTO!G141</f>
        <v>120.94431300000001</v>
      </c>
      <c r="K164" s="109">
        <f t="shared" ref="K164:K227" si="8">ROUND(F164*J164,2)</f>
        <v>3023.61</v>
      </c>
      <c r="L164" s="109"/>
      <c r="M164" s="109"/>
      <c r="N164" s="109"/>
    </row>
    <row r="165" spans="1:14" ht="60">
      <c r="A165" s="116" t="str">
        <f>[1]ORÇAMENTO!A142</f>
        <v>9.3.3</v>
      </c>
      <c r="B165" s="116">
        <f>[1]ORÇAMENTO!C142</f>
        <v>94467</v>
      </c>
      <c r="C165" s="117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16" t="str">
        <f>[1]ORÇAMENTO!B142</f>
        <v>SINAPI</v>
      </c>
      <c r="E165" s="116" t="str">
        <f>[1]ORÇAMENTO!E142</f>
        <v>unid</v>
      </c>
      <c r="F165" s="118">
        <f>[1]ORÇAMENTO!F142</f>
        <v>4</v>
      </c>
      <c r="G165" s="116"/>
      <c r="H165" s="116"/>
      <c r="I165" s="116"/>
      <c r="J165" s="109">
        <f>[1]ORÇAMENTO!G142*26.63%+[1]ORÇAMENTO!G142</f>
        <v>84.664817999999997</v>
      </c>
      <c r="K165" s="109">
        <f t="shared" si="8"/>
        <v>338.66</v>
      </c>
      <c r="L165" s="109"/>
      <c r="M165" s="109"/>
      <c r="N165" s="109"/>
    </row>
    <row r="166" spans="1:14" ht="60">
      <c r="A166" s="116" t="str">
        <f>[1]ORÇAMENTO!A143</f>
        <v>9.3.4</v>
      </c>
      <c r="B166" s="116">
        <f>[1]ORÇAMENTO!C143</f>
        <v>94478</v>
      </c>
      <c r="C166" s="117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16" t="str">
        <f>[1]ORÇAMENTO!B143</f>
        <v>SINAPI</v>
      </c>
      <c r="E166" s="116" t="str">
        <f>[1]ORÇAMENTO!E143</f>
        <v>unid</v>
      </c>
      <c r="F166" s="118">
        <f>[1]ORÇAMENTO!F143</f>
        <v>10</v>
      </c>
      <c r="G166" s="116"/>
      <c r="H166" s="116"/>
      <c r="I166" s="116"/>
      <c r="J166" s="109">
        <f>[1]ORÇAMENTO!G143*26.63%+[1]ORÇAMENTO!G143</f>
        <v>166.67040600000001</v>
      </c>
      <c r="K166" s="109">
        <f t="shared" si="8"/>
        <v>1666.7</v>
      </c>
      <c r="L166" s="109"/>
      <c r="M166" s="109"/>
      <c r="N166" s="109"/>
    </row>
    <row r="167" spans="1:14" ht="30">
      <c r="A167" s="116" t="str">
        <f>[1]ORÇAMENTO!A144</f>
        <v>9.3.5</v>
      </c>
      <c r="B167" s="116">
        <f>[1]ORÇAMENTO!C144</f>
        <v>94499</v>
      </c>
      <c r="C167" s="117" t="str">
        <f>[1]ORÇAMENTO!D144</f>
        <v>REGISTRO DE GAVETA BRUTO, LATÃO, ROSCÁVEL, 2 1/2" - FORNECIMENTO E INSTALAÇÃO. AF_08/2021</v>
      </c>
      <c r="D167" s="116" t="str">
        <f>[1]ORÇAMENTO!B144</f>
        <v>SINAPI</v>
      </c>
      <c r="E167" s="116" t="str">
        <f>[1]ORÇAMENTO!E144</f>
        <v>unid</v>
      </c>
      <c r="F167" s="118">
        <f>[1]ORÇAMENTO!F144</f>
        <v>5</v>
      </c>
      <c r="G167" s="116"/>
      <c r="H167" s="116"/>
      <c r="I167" s="116"/>
      <c r="J167" s="109">
        <f>[1]ORÇAMENTO!G144*26.63%+[1]ORÇAMENTO!G144</f>
        <v>385.95557700000001</v>
      </c>
      <c r="K167" s="109">
        <f t="shared" si="8"/>
        <v>1929.78</v>
      </c>
      <c r="L167" s="109"/>
      <c r="M167" s="109"/>
      <c r="N167" s="109"/>
    </row>
    <row r="168" spans="1:14" ht="30">
      <c r="A168" s="116" t="str">
        <f>[1]ORÇAMENTO!A145</f>
        <v>9.3.6</v>
      </c>
      <c r="B168" s="116">
        <f>[1]ORÇAMENTO!C145</f>
        <v>99624</v>
      </c>
      <c r="C168" s="117" t="str">
        <f>[1]ORÇAMENTO!D145</f>
        <v>VÁLVULA DE RETENÇÃO HORIZONTAL, DE BRONZE, ROSCÁVEL, 2 1/2" - FORNECIMENTO E INSTALAÇÃO. AF_08/2021</v>
      </c>
      <c r="D168" s="116" t="str">
        <f>[1]ORÇAMENTO!B145</f>
        <v>SINAPI</v>
      </c>
      <c r="E168" s="116" t="str">
        <f>[1]ORÇAMENTO!E145</f>
        <v>unid</v>
      </c>
      <c r="F168" s="118">
        <f>[1]ORÇAMENTO!F145</f>
        <v>3</v>
      </c>
      <c r="G168" s="116"/>
      <c r="H168" s="116"/>
      <c r="I168" s="116"/>
      <c r="J168" s="109">
        <f>[1]ORÇAMENTO!G145*26.63%+[1]ORÇAMENTO!G145</f>
        <v>516.473118</v>
      </c>
      <c r="K168" s="109">
        <f t="shared" si="8"/>
        <v>1549.42</v>
      </c>
      <c r="L168" s="109"/>
      <c r="M168" s="109"/>
      <c r="N168" s="109"/>
    </row>
    <row r="169" spans="1:14">
      <c r="A169" s="116" t="str">
        <f>[1]ORÇAMENTO!A146</f>
        <v>9.3.7</v>
      </c>
      <c r="B169" s="116">
        <f>[1]ORÇAMENTO!C146</f>
        <v>8940</v>
      </c>
      <c r="C169" s="117" t="str">
        <f>[1]ORÇAMENTO!D146</f>
        <v>Válvula de fluxo contínuo galvanizada (p/incêndio)</v>
      </c>
      <c r="D169" s="116" t="str">
        <f>[1]ORÇAMENTO!B146</f>
        <v>ORSE</v>
      </c>
      <c r="E169" s="116" t="str">
        <f>[1]ORÇAMENTO!E146</f>
        <v>unid</v>
      </c>
      <c r="F169" s="118">
        <f>[1]ORÇAMENTO!F146</f>
        <v>2</v>
      </c>
      <c r="G169" s="116"/>
      <c r="H169" s="116"/>
      <c r="I169" s="116"/>
      <c r="J169" s="109">
        <f>[1]ORÇAMENTO!G146*26.63%+[1]ORÇAMENTO!G146</f>
        <v>284.79086999999998</v>
      </c>
      <c r="K169" s="109">
        <f t="shared" si="8"/>
        <v>569.58000000000004</v>
      </c>
      <c r="L169" s="109"/>
      <c r="M169" s="109"/>
      <c r="N169" s="109"/>
    </row>
    <row r="170" spans="1:14" ht="60">
      <c r="A170" s="116" t="str">
        <f>[1]ORÇAMENTO!A147</f>
        <v>9.3.8</v>
      </c>
      <c r="B170" s="116">
        <f>[1]ORÇAMENTO!C147</f>
        <v>96765</v>
      </c>
      <c r="C170" s="117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16" t="str">
        <f>[1]ORÇAMENTO!B147</f>
        <v>SINAPI</v>
      </c>
      <c r="E170" s="116" t="str">
        <f>[1]ORÇAMENTO!E147</f>
        <v>unid</v>
      </c>
      <c r="F170" s="118">
        <f>[1]ORÇAMENTO!F147</f>
        <v>3</v>
      </c>
      <c r="G170" s="116"/>
      <c r="H170" s="116"/>
      <c r="I170" s="116"/>
      <c r="J170" s="109">
        <f>[1]ORÇAMENTO!G147*26.63%+[1]ORÇAMENTO!G147</f>
        <v>1951.0263989999999</v>
      </c>
      <c r="K170" s="109">
        <f t="shared" si="8"/>
        <v>5853.08</v>
      </c>
      <c r="L170" s="109"/>
      <c r="M170" s="109"/>
      <c r="N170" s="109"/>
    </row>
    <row r="171" spans="1:14" ht="30">
      <c r="A171" s="116" t="str">
        <f>[1]ORÇAMENTO!A148</f>
        <v>9.3.9</v>
      </c>
      <c r="B171" s="116">
        <f>[1]ORÇAMENTO!C148</f>
        <v>101916</v>
      </c>
      <c r="C171" s="117" t="str">
        <f>[1]ORÇAMENTO!D148</f>
        <v>HIDRANTE SUBTERRÂNEO PREDIAL (COM CURVA LONGA E CAIXA), DN 75 MM - FORNECIMENTO E INSTALAÇÃO. AF_10/2020</v>
      </c>
      <c r="D171" s="116" t="str">
        <f>[1]ORÇAMENTO!B148</f>
        <v>SINAPI</v>
      </c>
      <c r="E171" s="116" t="str">
        <f>[1]ORÇAMENTO!E148</f>
        <v>unid</v>
      </c>
      <c r="F171" s="118">
        <f>[1]ORÇAMENTO!F148</f>
        <v>1</v>
      </c>
      <c r="G171" s="116"/>
      <c r="H171" s="116"/>
      <c r="I171" s="116"/>
      <c r="J171" s="109">
        <f>[1]ORÇAMENTO!G148*26.63%+[1]ORÇAMENTO!G148</f>
        <v>3815.526519</v>
      </c>
      <c r="K171" s="109">
        <f t="shared" si="8"/>
        <v>3815.53</v>
      </c>
      <c r="L171" s="109"/>
      <c r="M171" s="109"/>
      <c r="N171" s="109"/>
    </row>
    <row r="172" spans="1:14" ht="30">
      <c r="A172" s="116" t="str">
        <f>[1]ORÇAMENTO!A149</f>
        <v>9.3.10</v>
      </c>
      <c r="B172" s="116">
        <f>[1]ORÇAMENTO!C149</f>
        <v>101905</v>
      </c>
      <c r="C172" s="117" t="str">
        <f>[1]ORÇAMENTO!D149</f>
        <v>EXTINTOR DE INCÊNDIO PORTÁTIL COM CARGA DE ÁGUA PRESSURIZADA DE 10 L, CLASSE A - FORNECIMENTO E INSTALAÇÃO. AF_10/2020_P</v>
      </c>
      <c r="D172" s="116" t="str">
        <f>[1]ORÇAMENTO!B149</f>
        <v>SINAPI</v>
      </c>
      <c r="E172" s="116" t="str">
        <f>[1]ORÇAMENTO!E149</f>
        <v>unid</v>
      </c>
      <c r="F172" s="118">
        <f>[1]ORÇAMENTO!F149</f>
        <v>7</v>
      </c>
      <c r="G172" s="116"/>
      <c r="H172" s="116"/>
      <c r="I172" s="116"/>
      <c r="J172" s="109">
        <f>[1]ORÇAMENTO!G149*26.63%+[1]ORÇAMENTO!G149</f>
        <v>337.50693899999999</v>
      </c>
      <c r="K172" s="109">
        <f t="shared" si="8"/>
        <v>2362.5500000000002</v>
      </c>
      <c r="L172" s="109"/>
      <c r="M172" s="109"/>
      <c r="N172" s="109"/>
    </row>
    <row r="173" spans="1:14" ht="30">
      <c r="A173" s="116" t="str">
        <f>[1]ORÇAMENTO!A150</f>
        <v>9.3.11</v>
      </c>
      <c r="B173" s="116">
        <f>[1]ORÇAMENTO!C150</f>
        <v>101907</v>
      </c>
      <c r="C173" s="117" t="str">
        <f>[1]ORÇAMENTO!D150</f>
        <v>EXTINTOR DE INCÊNDIO PORTÁTIL COM CARGA DE CO2 DE 6 KG, CLASSE BC - FORNECIMENTO E INSTALAÇÃO. AF_10/2020_P</v>
      </c>
      <c r="D173" s="116" t="str">
        <f>[1]ORÇAMENTO!B150</f>
        <v>SINAPI</v>
      </c>
      <c r="E173" s="116" t="str">
        <f>[1]ORÇAMENTO!E150</f>
        <v>unid</v>
      </c>
      <c r="F173" s="118">
        <f>[1]ORÇAMENTO!F150</f>
        <v>2</v>
      </c>
      <c r="G173" s="116"/>
      <c r="H173" s="116"/>
      <c r="I173" s="116"/>
      <c r="J173" s="109">
        <f>[1]ORÇAMENTO!G150*26.63%+[1]ORÇAMENTO!G150</f>
        <v>1110.0385799999999</v>
      </c>
      <c r="K173" s="109">
        <f t="shared" si="8"/>
        <v>2220.08</v>
      </c>
      <c r="L173" s="109"/>
      <c r="M173" s="109"/>
      <c r="N173" s="109"/>
    </row>
    <row r="174" spans="1:14" ht="30">
      <c r="A174" s="116" t="str">
        <f>[1]ORÇAMENTO!A151</f>
        <v>9.3.12</v>
      </c>
      <c r="B174" s="116">
        <f>[1]ORÇAMENTO!C151</f>
        <v>101909</v>
      </c>
      <c r="C174" s="117" t="str">
        <f>[1]ORÇAMENTO!D151</f>
        <v>EXTINTOR DE INCÊNDIO PORTÁTIL COM CARGA DE PQS DE 8 KG, CLASSE BC - FORNECIMENTO E INSTALAÇÃO. AF_10/2020_P</v>
      </c>
      <c r="D174" s="116" t="str">
        <f>[1]ORÇAMENTO!B151</f>
        <v>SINAPI</v>
      </c>
      <c r="E174" s="116" t="str">
        <f>[1]ORÇAMENTO!E151</f>
        <v>unid</v>
      </c>
      <c r="F174" s="118">
        <f>[1]ORÇAMENTO!F151</f>
        <v>7</v>
      </c>
      <c r="G174" s="116"/>
      <c r="H174" s="116"/>
      <c r="I174" s="116"/>
      <c r="J174" s="109">
        <f>[1]ORÇAMENTO!G151*26.63%+[1]ORÇAMENTO!G151</f>
        <v>382.95444600000002</v>
      </c>
      <c r="K174" s="109">
        <f t="shared" si="8"/>
        <v>2680.68</v>
      </c>
      <c r="L174" s="109"/>
      <c r="M174" s="109"/>
      <c r="N174" s="109"/>
    </row>
    <row r="175" spans="1:14" ht="30">
      <c r="A175" s="116" t="str">
        <f>[1]ORÇAMENTO!A152</f>
        <v>9.3.13</v>
      </c>
      <c r="B175" s="116">
        <f>[1]ORÇAMENTO!C152</f>
        <v>97599</v>
      </c>
      <c r="C175" s="117" t="str">
        <f>[1]ORÇAMENTO!D152</f>
        <v>LUMINÁRIA DE EMERGÊNCIA, COM 30 LÂMPADAS LED DE 2 W, SEM REATOR - FORNECIMENTO E INSTALAÇÃO. AF_02/2020</v>
      </c>
      <c r="D175" s="116" t="str">
        <f>[1]ORÇAMENTO!B152</f>
        <v>SINAPI</v>
      </c>
      <c r="E175" s="116" t="str">
        <f>[1]ORÇAMENTO!E152</f>
        <v>unid</v>
      </c>
      <c r="F175" s="118">
        <f>[1]ORÇAMENTO!F152</f>
        <v>18</v>
      </c>
      <c r="G175" s="116"/>
      <c r="H175" s="116"/>
      <c r="I175" s="116"/>
      <c r="J175" s="109">
        <f>[1]ORÇAMENTO!G152*26.63%+[1]ORÇAMENTO!G152</f>
        <v>28.339793999999998</v>
      </c>
      <c r="K175" s="109">
        <f t="shared" si="8"/>
        <v>510.12</v>
      </c>
      <c r="L175" s="109"/>
      <c r="M175" s="109"/>
      <c r="N175" s="109"/>
    </row>
    <row r="176" spans="1:14" ht="45">
      <c r="A176" s="116" t="str">
        <f>[1]ORÇAMENTO!A153</f>
        <v>9.3.14</v>
      </c>
      <c r="B176" s="116">
        <f>[1]ORÇAMENTO!C153</f>
        <v>11853</v>
      </c>
      <c r="C176" s="117" t="str">
        <f>[1]ORÇAMENTO!D153</f>
        <v>Placa de sinalização de segurança contra incêndio, fotoluminescente, retangular, (20x40)cm, em pvc de 2cm anti-chamas (simblos, cores, e pictograma conforme nbr 13434)</v>
      </c>
      <c r="D176" s="116" t="str">
        <f>[1]ORÇAMENTO!B153</f>
        <v>ORSE</v>
      </c>
      <c r="E176" s="116" t="str">
        <f>[1]ORÇAMENTO!E153</f>
        <v>unid</v>
      </c>
      <c r="F176" s="118">
        <f>[1]ORÇAMENTO!F153</f>
        <v>21</v>
      </c>
      <c r="G176" s="116"/>
      <c r="H176" s="116"/>
      <c r="I176" s="116"/>
      <c r="J176" s="109">
        <f>[1]ORÇAMENTO!G153*26.63%+[1]ORÇAMENTO!G153</f>
        <v>48.689235000000004</v>
      </c>
      <c r="K176" s="109">
        <f t="shared" si="8"/>
        <v>1022.47</v>
      </c>
      <c r="L176" s="109"/>
      <c r="M176" s="109"/>
      <c r="N176" s="109"/>
    </row>
    <row r="177" spans="1:14" ht="30">
      <c r="A177" s="116" t="str">
        <f>[1]ORÇAMENTO!A154</f>
        <v>9.3.15</v>
      </c>
      <c r="B177" s="116">
        <f>[1]ORÇAMENTO!C154</f>
        <v>12888</v>
      </c>
      <c r="C177" s="117" t="str">
        <f>[1]ORÇAMENTO!D154</f>
        <v>Placa de sinalização, fotoluminescente, em pvc, com logotipo "Extintor de incêndio portátil"- Placa E5</v>
      </c>
      <c r="D177" s="116" t="str">
        <f>[1]ORÇAMENTO!B154</f>
        <v>ORSE</v>
      </c>
      <c r="E177" s="116" t="str">
        <f>[1]ORÇAMENTO!E154</f>
        <v>unid</v>
      </c>
      <c r="F177" s="118">
        <f>[1]ORÇAMENTO!F154</f>
        <v>7</v>
      </c>
      <c r="G177" s="116"/>
      <c r="H177" s="116"/>
      <c r="I177" s="116"/>
      <c r="J177" s="109">
        <f>[1]ORÇAMENTO!G154*26.63%+[1]ORÇAMENTO!G154</f>
        <v>19.007162999999998</v>
      </c>
      <c r="K177" s="109">
        <f t="shared" si="8"/>
        <v>133.05000000000001</v>
      </c>
      <c r="L177" s="109"/>
      <c r="M177" s="109"/>
      <c r="N177" s="109"/>
    </row>
    <row r="178" spans="1:14" ht="30">
      <c r="A178" s="116" t="str">
        <f>[1]ORÇAMENTO!A155</f>
        <v>9.3.16</v>
      </c>
      <c r="B178" s="116">
        <f>[1]ORÇAMENTO!C155</f>
        <v>12894</v>
      </c>
      <c r="C178" s="117" t="str">
        <f>[1]ORÇAMENTO!D155</f>
        <v>Placa de sinalização, fotoluminescente, em pvc, com logotipo "Hidrante de incêndio"- Placa E9</v>
      </c>
      <c r="D178" s="116" t="str">
        <f>[1]ORÇAMENTO!B155</f>
        <v>ORSE</v>
      </c>
      <c r="E178" s="116" t="str">
        <f>[1]ORÇAMENTO!E155</f>
        <v>unid</v>
      </c>
      <c r="F178" s="118">
        <f>[1]ORÇAMENTO!F155</f>
        <v>3</v>
      </c>
      <c r="G178" s="116"/>
      <c r="H178" s="116"/>
      <c r="I178" s="116"/>
      <c r="J178" s="109">
        <f>[1]ORÇAMENTO!G155*26.63%+[1]ORÇAMENTO!G155</f>
        <v>19.007162999999998</v>
      </c>
      <c r="K178" s="109">
        <f t="shared" si="8"/>
        <v>57.02</v>
      </c>
      <c r="L178" s="109"/>
      <c r="M178" s="109"/>
      <c r="N178" s="109"/>
    </row>
    <row r="179" spans="1:14">
      <c r="A179" s="116"/>
      <c r="B179" s="116"/>
      <c r="C179" s="117"/>
      <c r="D179" s="116"/>
      <c r="E179" s="116"/>
      <c r="F179" s="118"/>
      <c r="G179" s="116"/>
      <c r="H179" s="116"/>
      <c r="I179" s="116"/>
      <c r="J179" s="109"/>
      <c r="K179" s="109"/>
      <c r="L179" s="109"/>
      <c r="M179" s="109"/>
      <c r="N179" s="109"/>
    </row>
    <row r="180" spans="1:14">
      <c r="A180" s="124">
        <f>[1]ORÇAMENTO!A157</f>
        <v>10</v>
      </c>
      <c r="B180" s="124"/>
      <c r="C180" s="125" t="str">
        <f>[1]ORÇAMENTO!B157</f>
        <v>INSTALAÇÕES ELÉTRICAS</v>
      </c>
      <c r="D180" s="124"/>
      <c r="E180" s="124"/>
      <c r="F180" s="126"/>
      <c r="G180" s="124"/>
      <c r="H180" s="124"/>
      <c r="I180" s="124"/>
      <c r="J180" s="127"/>
      <c r="K180" s="127"/>
      <c r="L180" s="128"/>
      <c r="M180" s="128"/>
      <c r="N180" s="128"/>
    </row>
    <row r="181" spans="1:14" ht="30">
      <c r="A181" s="116" t="str">
        <f>[1]ORÇAMENTO!A158</f>
        <v>10.1</v>
      </c>
      <c r="B181" s="116">
        <f>[1]ORÇAMENTO!C158</f>
        <v>91940</v>
      </c>
      <c r="C181" s="117" t="str">
        <f>[1]ORÇAMENTO!D158</f>
        <v>CAIXA RETANGULAR 4" X 2" MÉDIA (1,30 M DO PISO), PVC, INSTALADA EM PAREDE - FORNECIMENTO E INSTALAÇÃO. AF_12/20</v>
      </c>
      <c r="D181" s="116" t="str">
        <f>[1]ORÇAMENTO!B158</f>
        <v>SINAPI</v>
      </c>
      <c r="E181" s="116" t="str">
        <f>[1]ORÇAMENTO!E158</f>
        <v>unid</v>
      </c>
      <c r="F181" s="118">
        <f>[1]ORÇAMENTO!F158</f>
        <v>248</v>
      </c>
      <c r="G181" s="116"/>
      <c r="H181" s="116"/>
      <c r="I181" s="116"/>
      <c r="J181" s="109">
        <f>[1]ORÇAMENTO!G158*26.63%+[1]ORÇAMENTO!G158</f>
        <v>12.409740000000001</v>
      </c>
      <c r="K181" s="109">
        <f t="shared" si="8"/>
        <v>3077.62</v>
      </c>
      <c r="L181" s="109"/>
      <c r="M181" s="109"/>
      <c r="N181" s="109"/>
    </row>
    <row r="182" spans="1:14" ht="30">
      <c r="A182" s="116" t="str">
        <f>[1]ORÇAMENTO!A159</f>
        <v>10.2</v>
      </c>
      <c r="B182" s="116">
        <f>[1]ORÇAMENTO!C159</f>
        <v>91997</v>
      </c>
      <c r="C182" s="117" t="str">
        <f>[1]ORÇAMENTO!D159</f>
        <v>TOMADA MÉDIA DE EMBUTIR (1 MÓDULO), 2P+T 20 A, INCLUINDO SUPORTE E PLACA - FORNECIMENTO E INSTALAÇÃO. AF_12/2015</v>
      </c>
      <c r="D182" s="116" t="str">
        <f>[1]ORÇAMENTO!B159</f>
        <v>SINAPI</v>
      </c>
      <c r="E182" s="116" t="str">
        <f>[1]ORÇAMENTO!E159</f>
        <v>unid</v>
      </c>
      <c r="F182" s="118">
        <f>[1]ORÇAMENTO!F159</f>
        <v>29</v>
      </c>
      <c r="G182" s="116"/>
      <c r="H182" s="116"/>
      <c r="I182" s="116"/>
      <c r="J182" s="109">
        <f>[1]ORÇAMENTO!G159*26.63%+[1]ORÇAMENTO!G159</f>
        <v>33.253038000000004</v>
      </c>
      <c r="K182" s="109">
        <f t="shared" si="8"/>
        <v>964.34</v>
      </c>
      <c r="L182" s="109"/>
      <c r="M182" s="109"/>
      <c r="N182" s="109"/>
    </row>
    <row r="183" spans="1:14" ht="30">
      <c r="A183" s="116" t="str">
        <f>[1]ORÇAMENTO!A160</f>
        <v>10.3</v>
      </c>
      <c r="B183" s="116">
        <f>[1]ORÇAMENTO!C160</f>
        <v>91996</v>
      </c>
      <c r="C183" s="117" t="str">
        <f>[1]ORÇAMENTO!D160</f>
        <v>TOMADA MÉDIA DE EMBUTIR (1 MÓDULO), 2P+T 10 A, INCLUINDO SUPORTE E PLACA - FORNECIMENTO E INSTALAÇÃO. AF_12/2015</v>
      </c>
      <c r="D183" s="116" t="str">
        <f>[1]ORÇAMENTO!B160</f>
        <v>SINAPI</v>
      </c>
      <c r="E183" s="116" t="str">
        <f>[1]ORÇAMENTO!E160</f>
        <v>unid</v>
      </c>
      <c r="F183" s="118">
        <f>[1]ORÇAMENTO!F160</f>
        <v>195</v>
      </c>
      <c r="G183" s="116"/>
      <c r="H183" s="116"/>
      <c r="I183" s="116"/>
      <c r="J183" s="109">
        <f>[1]ORÇAMENTO!G160*26.63%+[1]ORÇAMENTO!G160</f>
        <v>30.492503999999997</v>
      </c>
      <c r="K183" s="109">
        <f t="shared" si="8"/>
        <v>5946.04</v>
      </c>
      <c r="L183" s="109"/>
      <c r="M183" s="109"/>
      <c r="N183" s="109"/>
    </row>
    <row r="184" spans="1:14" ht="30">
      <c r="A184" s="116" t="str">
        <f>[1]ORÇAMENTO!A161</f>
        <v>10.4</v>
      </c>
      <c r="B184" s="116">
        <f>[1]ORÇAMENTO!C161</f>
        <v>91953</v>
      </c>
      <c r="C184" s="117" t="str">
        <f>[1]ORÇAMENTO!D161</f>
        <v>INTERRUPTOR SIMPLES (1 MÓDULO), 10A/250V, INCLUINDO SUPORTE E PLACA - FORNECIMENTO E INSTALAÇÃO. AF_12/2015</v>
      </c>
      <c r="D184" s="116" t="str">
        <f>[1]ORÇAMENTO!B161</f>
        <v>SINAPI</v>
      </c>
      <c r="E184" s="116" t="str">
        <f>[1]ORÇAMENTO!E161</f>
        <v>unid</v>
      </c>
      <c r="F184" s="118">
        <f>[1]ORÇAMENTO!F161</f>
        <v>38</v>
      </c>
      <c r="G184" s="116"/>
      <c r="H184" s="116"/>
      <c r="I184" s="116"/>
      <c r="J184" s="109">
        <f>[1]ORÇAMENTO!G161*26.63%+[1]ORÇAMENTO!G161</f>
        <v>25.984476000000001</v>
      </c>
      <c r="K184" s="109">
        <f t="shared" si="8"/>
        <v>987.41</v>
      </c>
      <c r="L184" s="109"/>
      <c r="M184" s="109"/>
      <c r="N184" s="109"/>
    </row>
    <row r="185" spans="1:14" ht="30">
      <c r="A185" s="116" t="str">
        <f>[1]ORÇAMENTO!A162</f>
        <v>10.5</v>
      </c>
      <c r="B185" s="116">
        <f>[1]ORÇAMENTO!C162</f>
        <v>91959</v>
      </c>
      <c r="C185" s="117" t="str">
        <f>[1]ORÇAMENTO!D162</f>
        <v>INTERRUPTOR SIMPLES (2 MÓDULOS), 10A/250V, INCLUINDO SUPORTE E PLACA - FORNECIMENTO E INSTALAÇÃO. AF_12/2015</v>
      </c>
      <c r="D185" s="116" t="str">
        <f>[1]ORÇAMENTO!B162</f>
        <v>SINAPI</v>
      </c>
      <c r="E185" s="116" t="str">
        <f>[1]ORÇAMENTO!E162</f>
        <v>unid</v>
      </c>
      <c r="F185" s="118">
        <f>[1]ORÇAMENTO!F162</f>
        <v>9</v>
      </c>
      <c r="G185" s="116"/>
      <c r="H185" s="116"/>
      <c r="I185" s="116"/>
      <c r="J185" s="109">
        <f>[1]ORÇAMENTO!G162*26.63%+[1]ORÇAMENTO!G162</f>
        <v>41.218064999999996</v>
      </c>
      <c r="K185" s="109">
        <f t="shared" si="8"/>
        <v>370.96</v>
      </c>
      <c r="L185" s="109"/>
      <c r="M185" s="109"/>
      <c r="N185" s="109"/>
    </row>
    <row r="186" spans="1:14" ht="30">
      <c r="A186" s="116" t="str">
        <f>[1]ORÇAMENTO!A163</f>
        <v>10.6</v>
      </c>
      <c r="B186" s="116">
        <f>[1]ORÇAMENTO!C163</f>
        <v>91936</v>
      </c>
      <c r="C186" s="117" t="str">
        <f>[1]ORÇAMENTO!D163</f>
        <v>CAIXA OCTOGONAL 4" X 4", PVC, INSTALADA EM LAJE - FORNECIMENTO E INSTALAÇÃO. AF_12/2015</v>
      </c>
      <c r="D186" s="116" t="str">
        <f>[1]ORÇAMENTO!B163</f>
        <v>SINAPI</v>
      </c>
      <c r="E186" s="116" t="str">
        <f>[1]ORÇAMENTO!E163</f>
        <v>unid</v>
      </c>
      <c r="F186" s="118">
        <f>[1]ORÇAMENTO!F163</f>
        <v>97</v>
      </c>
      <c r="G186" s="116"/>
      <c r="H186" s="116"/>
      <c r="I186" s="116"/>
      <c r="J186" s="109">
        <f>[1]ORÇAMENTO!G163*26.63%+[1]ORÇAMENTO!G163</f>
        <v>11.054799000000001</v>
      </c>
      <c r="K186" s="109">
        <f t="shared" si="8"/>
        <v>1072.32</v>
      </c>
      <c r="L186" s="109"/>
      <c r="M186" s="109"/>
      <c r="N186" s="109"/>
    </row>
    <row r="187" spans="1:14" ht="45">
      <c r="A187" s="116" t="str">
        <f>[1]ORÇAMENTO!A164</f>
        <v>10.7</v>
      </c>
      <c r="B187" s="116">
        <f>[1]ORÇAMENTO!C164</f>
        <v>91875</v>
      </c>
      <c r="C187" s="117" t="str">
        <f>[1]ORÇAMENTO!D164</f>
        <v>LUVA PARA ELETRODUTO, PVC, ROSCÁVEL, DN 25 MM (3/4"), PARA CIRCUITOS TERMINAIS, INSTALADA EM FORRO - FORNECIMENTO E INSTALAÇÃO. AF_12/2015</v>
      </c>
      <c r="D187" s="116" t="str">
        <f>[1]ORÇAMENTO!B164</f>
        <v>SINAPI</v>
      </c>
      <c r="E187" s="116" t="str">
        <f>[1]ORÇAMENTO!E164</f>
        <v>unid</v>
      </c>
      <c r="F187" s="118">
        <f>[1]ORÇAMENTO!F164</f>
        <v>103</v>
      </c>
      <c r="G187" s="116"/>
      <c r="H187" s="116"/>
      <c r="I187" s="116"/>
      <c r="J187" s="109">
        <f>[1]ORÇAMENTO!G164*26.63%+[1]ORÇAMENTO!G164</f>
        <v>5.2804710000000004</v>
      </c>
      <c r="K187" s="109">
        <f t="shared" si="8"/>
        <v>543.89</v>
      </c>
      <c r="L187" s="109"/>
      <c r="M187" s="109"/>
      <c r="N187" s="109"/>
    </row>
    <row r="188" spans="1:14" ht="45">
      <c r="A188" s="116" t="str">
        <f>[1]ORÇAMENTO!A165</f>
        <v>10.8</v>
      </c>
      <c r="B188" s="116">
        <f>[1]ORÇAMENTO!C165</f>
        <v>91854</v>
      </c>
      <c r="C188" s="117" t="str">
        <f>[1]ORÇAMENTO!D165</f>
        <v>ELETRODUTO FLEXÍVEL CORRUGADO, PVC, DN 25 MM (3/4"), PARA CIRCUITOS TERMINAIS, INSTALADO EM PAREDE - FORNECIMENTO E INSTALAÇÃO. AF_12/2015</v>
      </c>
      <c r="D188" s="116" t="str">
        <f>[1]ORÇAMENTO!B165</f>
        <v>SINAPI</v>
      </c>
      <c r="E188" s="116" t="str">
        <f>[1]ORÇAMENTO!E165</f>
        <v>m</v>
      </c>
      <c r="F188" s="118">
        <f>[1]ORÇAMENTO!F165</f>
        <v>750</v>
      </c>
      <c r="G188" s="116"/>
      <c r="H188" s="116"/>
      <c r="I188" s="116"/>
      <c r="J188" s="109">
        <f>[1]ORÇAMENTO!G165*26.63%+[1]ORÇAMENTO!G165</f>
        <v>7.9776899999999999</v>
      </c>
      <c r="K188" s="109">
        <f t="shared" si="8"/>
        <v>5983.27</v>
      </c>
      <c r="L188" s="109"/>
      <c r="M188" s="109"/>
      <c r="N188" s="109"/>
    </row>
    <row r="189" spans="1:14" ht="30">
      <c r="A189" s="116" t="str">
        <f>[1]ORÇAMENTO!A166</f>
        <v>10.9</v>
      </c>
      <c r="B189" s="116">
        <f>[1]ORÇAMENTO!C166</f>
        <v>95731</v>
      </c>
      <c r="C189" s="117" t="str">
        <f>[1]ORÇAMENTO!D166</f>
        <v>ELETRODUTO RÍGIDO SOLDÁVEL, PVC, DN 32 MM (1), APARENTE, INSTALADO EM PAREDE - FORNECIMENTO E INSTALAÇÃO. AF_11/2016_P</v>
      </c>
      <c r="D189" s="116" t="str">
        <f>[1]ORÇAMENTO!B166</f>
        <v>SINAPI</v>
      </c>
      <c r="E189" s="116" t="str">
        <f>[1]ORÇAMENTO!E166</f>
        <v>m</v>
      </c>
      <c r="F189" s="118">
        <f>[1]ORÇAMENTO!F166</f>
        <v>210</v>
      </c>
      <c r="G189" s="116"/>
      <c r="H189" s="116"/>
      <c r="I189" s="116"/>
      <c r="J189" s="109">
        <f>[1]ORÇAMENTO!G166*26.63%+[1]ORÇAMENTO!G166</f>
        <v>10.928169</v>
      </c>
      <c r="K189" s="109">
        <f t="shared" si="8"/>
        <v>2294.92</v>
      </c>
      <c r="L189" s="109"/>
      <c r="M189" s="109"/>
      <c r="N189" s="109"/>
    </row>
    <row r="190" spans="1:14" ht="45">
      <c r="A190" s="116" t="str">
        <f>[1]ORÇAMENTO!A167</f>
        <v>10.10</v>
      </c>
      <c r="B190" s="116">
        <f>[1]ORÇAMENTO!C167</f>
        <v>91917</v>
      </c>
      <c r="C190" s="117" t="str">
        <f>[1]ORÇAMENTO!D167</f>
        <v>CURVA 90 GRAUS PARA ELETRODUTO, PVC, ROSCÁVEL, DN 32 MM (1"), PARA CIRCUITOS TERMINAIS, INSTALADA EM PAREDE - FORNECIMENTO E INSTALAÇÃO. AF_12/2015</v>
      </c>
      <c r="D190" s="116" t="str">
        <f>[1]ORÇAMENTO!B167</f>
        <v>SINAPI</v>
      </c>
      <c r="E190" s="116" t="str">
        <f>[1]ORÇAMENTO!E167</f>
        <v>unid</v>
      </c>
      <c r="F190" s="118">
        <f>[1]ORÇAMENTO!F167</f>
        <v>89</v>
      </c>
      <c r="G190" s="116"/>
      <c r="H190" s="116"/>
      <c r="I190" s="116"/>
      <c r="J190" s="109">
        <f>[1]ORÇAMENTO!G167*26.63%+[1]ORÇAMENTO!G167</f>
        <v>14.499134999999999</v>
      </c>
      <c r="K190" s="109">
        <f t="shared" si="8"/>
        <v>1290.42</v>
      </c>
      <c r="L190" s="109"/>
      <c r="M190" s="109"/>
      <c r="N190" s="109"/>
    </row>
    <row r="191" spans="1:14" ht="30">
      <c r="A191" s="116" t="str">
        <f>[1]ORÇAMENTO!A168</f>
        <v>10.11</v>
      </c>
      <c r="B191" s="116">
        <f>[1]ORÇAMENTO!C168</f>
        <v>95738</v>
      </c>
      <c r="C191" s="117" t="str">
        <f>[1]ORÇAMENTO!D168</f>
        <v>LUVA PARA ELETRODUTO, PVC, SOLDÁVEL, DN 32 MM (1), APARENTE, INSTALADA EM PAREDE - FORNECIMENTO E INSTALAÇÃO. AF_11/2016_P</v>
      </c>
      <c r="D191" s="116" t="str">
        <f>[1]ORÇAMENTO!B168</f>
        <v>SINAPI</v>
      </c>
      <c r="E191" s="116" t="str">
        <f>[1]ORÇAMENTO!E168</f>
        <v>unid</v>
      </c>
      <c r="F191" s="118">
        <f>[1]ORÇAMENTO!F168</f>
        <v>102</v>
      </c>
      <c r="G191" s="116"/>
      <c r="H191" s="116"/>
      <c r="I191" s="116"/>
      <c r="J191" s="109">
        <f>[1]ORÇAMENTO!G168*26.63%+[1]ORÇAMENTO!G168</f>
        <v>7.6231259999999992</v>
      </c>
      <c r="K191" s="109">
        <f t="shared" si="8"/>
        <v>777.56</v>
      </c>
      <c r="L191" s="109"/>
      <c r="M191" s="109"/>
      <c r="N191" s="109"/>
    </row>
    <row r="192" spans="1:14" ht="45">
      <c r="A192" s="116" t="str">
        <f>[1]ORÇAMENTO!A169</f>
        <v>10.12</v>
      </c>
      <c r="B192" s="116">
        <f>[1]ORÇAMENTO!C169</f>
        <v>101512</v>
      </c>
      <c r="C192" s="117" t="str">
        <f>[1]ORÇAMENTO!D169</f>
        <v>ENTRADA DE ENERGIA ELÉTRICA, AÉREA, TRIFÁSICA, COM CAIXA DE EMBUTIR, CABO DE 35 MM2 E DISJUNTOR DIN 50A (NÃO INCLUSO O POSTE DE CONCRETO). AF_07/2020</v>
      </c>
      <c r="D192" s="116" t="str">
        <f>[1]ORÇAMENTO!B169</f>
        <v>SINAPI</v>
      </c>
      <c r="E192" s="116" t="str">
        <f>[1]ORÇAMENTO!E169</f>
        <v>unid</v>
      </c>
      <c r="F192" s="118">
        <f>[1]ORÇAMENTO!F169</f>
        <v>1</v>
      </c>
      <c r="G192" s="116"/>
      <c r="H192" s="116"/>
      <c r="I192" s="116"/>
      <c r="J192" s="109">
        <f>[1]ORÇAMENTO!G169*26.63%+[1]ORÇAMENTO!G169</f>
        <v>2640.2481630000002</v>
      </c>
      <c r="K192" s="109">
        <f t="shared" si="8"/>
        <v>2640.25</v>
      </c>
      <c r="L192" s="109"/>
      <c r="M192" s="109"/>
      <c r="N192" s="109"/>
    </row>
    <row r="193" spans="1:14" ht="45">
      <c r="A193" s="116" t="str">
        <f>[1]ORÇAMENTO!A170</f>
        <v>10.13</v>
      </c>
      <c r="B193" s="116">
        <f>[1]ORÇAMENTO!C170</f>
        <v>97589</v>
      </c>
      <c r="C193" s="117" t="str">
        <f>[1]ORÇAMENTO!D170</f>
        <v>LUMINÁRIA TIPO PLAFON EM PLÁSTICO, DE SOBREPOR, COM 1 LÂMPADA FLUORESCENTE DE 15 W, SEM REATOR - FORNECIMENTO E INSTALAÇÃO. AF_02/2020</v>
      </c>
      <c r="D193" s="116" t="str">
        <f>[1]ORÇAMENTO!B170</f>
        <v>SINAPI</v>
      </c>
      <c r="E193" s="116" t="str">
        <f>[1]ORÇAMENTO!E170</f>
        <v>unid</v>
      </c>
      <c r="F193" s="118">
        <f>[1]ORÇAMENTO!F170</f>
        <v>97</v>
      </c>
      <c r="G193" s="116"/>
      <c r="H193" s="116"/>
      <c r="I193" s="116"/>
      <c r="J193" s="109">
        <f>[1]ORÇAMENTO!G170*26.63%+[1]ORÇAMENTO!G170</f>
        <v>51.816996000000003</v>
      </c>
      <c r="K193" s="109">
        <f t="shared" si="8"/>
        <v>5026.25</v>
      </c>
      <c r="L193" s="109"/>
      <c r="M193" s="109"/>
      <c r="N193" s="109"/>
    </row>
    <row r="194" spans="1:14" ht="30">
      <c r="A194" s="116" t="str">
        <f>[1]ORÇAMENTO!A171</f>
        <v>10.14</v>
      </c>
      <c r="B194" s="116">
        <f>[1]ORÇAMENTO!C171</f>
        <v>91927</v>
      </c>
      <c r="C194" s="117" t="str">
        <f>[1]ORÇAMENTO!D171</f>
        <v>CABO DE COBRE FLEXÍVEL ISOLADO, 2,5 MM², ANTI-CHAMA 0,6/1,0 KV, PARA CIRCUITOS TERMINAIS - FORNECIMENTO E INSTALAÇÃO. AF_12/2015</v>
      </c>
      <c r="D194" s="116" t="str">
        <f>[1]ORÇAMENTO!B171</f>
        <v>SINAPI</v>
      </c>
      <c r="E194" s="116" t="str">
        <f>[1]ORÇAMENTO!E171</f>
        <v>m</v>
      </c>
      <c r="F194" s="118">
        <f>[1]ORÇAMENTO!F171</f>
        <v>1470</v>
      </c>
      <c r="G194" s="116"/>
      <c r="H194" s="116"/>
      <c r="I194" s="116"/>
      <c r="J194" s="109">
        <f>[1]ORÇAMENTO!G171*26.63%+[1]ORÇAMENTO!G171</f>
        <v>6.0402509999999996</v>
      </c>
      <c r="K194" s="109">
        <f t="shared" si="8"/>
        <v>8879.17</v>
      </c>
      <c r="L194" s="109"/>
      <c r="M194" s="109"/>
      <c r="N194" s="109"/>
    </row>
    <row r="195" spans="1:14" ht="30">
      <c r="A195" s="116" t="str">
        <f>[1]ORÇAMENTO!A172</f>
        <v>10.15</v>
      </c>
      <c r="B195" s="116">
        <f>[1]ORÇAMENTO!C172</f>
        <v>91929</v>
      </c>
      <c r="C195" s="117" t="str">
        <f>[1]ORÇAMENTO!D172</f>
        <v>CABO DE COBRE FLEXÍVEL ISOLADO, 4 MM², ANTI-CHAMA 0,6/1,0 KV, PARA CIRCUITOS TERMINAIS - FORNECIMENTO E INSTALAÇÃO. AF_12/2015</v>
      </c>
      <c r="D195" s="116" t="str">
        <f>[1]ORÇAMENTO!B172</f>
        <v>SINAPI</v>
      </c>
      <c r="E195" s="116" t="str">
        <f>[1]ORÇAMENTO!E172</f>
        <v>m</v>
      </c>
      <c r="F195" s="118">
        <f>[1]ORÇAMENTO!F172</f>
        <v>1184</v>
      </c>
      <c r="G195" s="116"/>
      <c r="H195" s="116"/>
      <c r="I195" s="116"/>
      <c r="J195" s="109">
        <f>[1]ORÇAMENTO!G172*26.63%+[1]ORÇAMENTO!G172</f>
        <v>8.5221990000000005</v>
      </c>
      <c r="K195" s="109">
        <f t="shared" si="8"/>
        <v>10090.280000000001</v>
      </c>
      <c r="L195" s="109"/>
      <c r="M195" s="109"/>
      <c r="N195" s="109"/>
    </row>
    <row r="196" spans="1:14" ht="30">
      <c r="A196" s="116" t="str">
        <f>[1]ORÇAMENTO!A173</f>
        <v>10.16</v>
      </c>
      <c r="B196" s="116">
        <f>[1]ORÇAMENTO!C173</f>
        <v>96972</v>
      </c>
      <c r="C196" s="117" t="str">
        <f>[1]ORÇAMENTO!D173</f>
        <v>CORDOALHA DE COBRE NU 25 MM², NÃO ENTERRADA, COM ISOLADOR - FORNECIMENTO E INSTALAÇÃO. AF_12/2017</v>
      </c>
      <c r="D196" s="116" t="str">
        <f>[1]ORÇAMENTO!B173</f>
        <v>SINAPI</v>
      </c>
      <c r="E196" s="116" t="str">
        <f>[1]ORÇAMENTO!E173</f>
        <v>m</v>
      </c>
      <c r="F196" s="118">
        <f>[1]ORÇAMENTO!F173</f>
        <v>50</v>
      </c>
      <c r="G196" s="116"/>
      <c r="H196" s="116"/>
      <c r="I196" s="116"/>
      <c r="J196" s="109">
        <f>[1]ORÇAMENTO!G173*26.63%+[1]ORÇAMENTO!G173</f>
        <v>52.880687999999999</v>
      </c>
      <c r="K196" s="109">
        <f t="shared" si="8"/>
        <v>2644.03</v>
      </c>
      <c r="L196" s="109"/>
      <c r="M196" s="109"/>
      <c r="N196" s="109"/>
    </row>
    <row r="197" spans="1:14" ht="45">
      <c r="A197" s="116" t="str">
        <f>[1]ORÇAMENTO!A174</f>
        <v>10.17</v>
      </c>
      <c r="B197" s="116">
        <f>[1]ORÇAMENTO!C174</f>
        <v>101881</v>
      </c>
      <c r="C197" s="117" t="str">
        <f>[1]ORÇAMENTO!D174</f>
        <v>QUADRO DE DISTRIBUIÇÃO DE ENERGIA EM CHAPA DE AÇO GALVANIZADO, DE EMBUTIR, COM BARRAMENTO TRIFÁSICO, PARA 40 DISJUNTORES DIN 100A - FORNECIMENTO E INSTALAÇÃO. AF_10/2020</v>
      </c>
      <c r="D197" s="116" t="str">
        <f>[1]ORÇAMENTO!B174</f>
        <v>SINAPI</v>
      </c>
      <c r="E197" s="116" t="str">
        <f>[1]ORÇAMENTO!E174</f>
        <v>unid</v>
      </c>
      <c r="F197" s="118">
        <f>[1]ORÇAMENTO!F174</f>
        <v>2</v>
      </c>
      <c r="G197" s="116"/>
      <c r="H197" s="116"/>
      <c r="I197" s="116"/>
      <c r="J197" s="109">
        <f>[1]ORÇAMENTO!G174*26.63%+[1]ORÇAMENTO!G174</f>
        <v>1194.4501379999999</v>
      </c>
      <c r="K197" s="109">
        <f t="shared" si="8"/>
        <v>2388.9</v>
      </c>
      <c r="L197" s="109"/>
      <c r="M197" s="109"/>
      <c r="N197" s="109"/>
    </row>
    <row r="198" spans="1:14" ht="30">
      <c r="A198" s="116" t="str">
        <f>[1]ORÇAMENTO!A175</f>
        <v>10.18</v>
      </c>
      <c r="B198" s="116">
        <f>[1]ORÇAMENTO!C175</f>
        <v>93653</v>
      </c>
      <c r="C198" s="117" t="str">
        <f>[1]ORÇAMENTO!D175</f>
        <v>DISJUNTOR MONOPOLAR TIPO DIN, CORRENTE NOMINAL DE 10A - FORNECIMENTO E INSTALAÇÃO. AF_10/2020</v>
      </c>
      <c r="D198" s="116" t="str">
        <f>[1]ORÇAMENTO!B175</f>
        <v>SINAPI</v>
      </c>
      <c r="E198" s="116" t="str">
        <f>[1]ORÇAMENTO!E175</f>
        <v>unid</v>
      </c>
      <c r="F198" s="118">
        <f>[1]ORÇAMENTO!F175</f>
        <v>1</v>
      </c>
      <c r="G198" s="116"/>
      <c r="H198" s="116"/>
      <c r="I198" s="116"/>
      <c r="J198" s="109">
        <f>[1]ORÇAMENTO!G175*26.63%+[1]ORÇAMENTO!G175</f>
        <v>12.321099</v>
      </c>
      <c r="K198" s="109">
        <f t="shared" si="8"/>
        <v>12.32</v>
      </c>
      <c r="L198" s="109"/>
      <c r="M198" s="109"/>
      <c r="N198" s="109"/>
    </row>
    <row r="199" spans="1:14" ht="30">
      <c r="A199" s="116" t="str">
        <f>[1]ORÇAMENTO!A176</f>
        <v>10.19</v>
      </c>
      <c r="B199" s="116">
        <f>[1]ORÇAMENTO!C176</f>
        <v>93654</v>
      </c>
      <c r="C199" s="117" t="str">
        <f>[1]ORÇAMENTO!D176</f>
        <v>DISJUNTOR MONOPOLAR TIPO DIN, CORRENTE NOMINAL DE 16A - FORNECIMENTO E INSTALAÇÃO. AF_10/2020</v>
      </c>
      <c r="D199" s="116" t="str">
        <f>[1]ORÇAMENTO!B176</f>
        <v>SINAPI</v>
      </c>
      <c r="E199" s="116" t="str">
        <f>[1]ORÇAMENTO!E176</f>
        <v>unid</v>
      </c>
      <c r="F199" s="118">
        <f>[1]ORÇAMENTO!F176</f>
        <v>21</v>
      </c>
      <c r="G199" s="116"/>
      <c r="H199" s="116"/>
      <c r="I199" s="116"/>
      <c r="J199" s="109">
        <f>[1]ORÇAMENTO!G176*26.63%+[1]ORÇAMENTO!G176</f>
        <v>12.814955999999999</v>
      </c>
      <c r="K199" s="109">
        <f t="shared" si="8"/>
        <v>269.11</v>
      </c>
      <c r="L199" s="109"/>
      <c r="M199" s="109"/>
      <c r="N199" s="109"/>
    </row>
    <row r="200" spans="1:14" ht="30">
      <c r="A200" s="116" t="str">
        <f>[1]ORÇAMENTO!A177</f>
        <v>10.20</v>
      </c>
      <c r="B200" s="116">
        <f>[1]ORÇAMENTO!C177</f>
        <v>93656</v>
      </c>
      <c r="C200" s="117" t="str">
        <f>[1]ORÇAMENTO!D177</f>
        <v>DISJUNTOR MONOPOLAR TIPO DIN, CORRENTE NOMINAL DE 25A - FORNECIMENTO E INSTALAÇÃO. AF_10/2020</v>
      </c>
      <c r="D200" s="116" t="str">
        <f>[1]ORÇAMENTO!B177</f>
        <v>SINAPI</v>
      </c>
      <c r="E200" s="116" t="str">
        <f>[1]ORÇAMENTO!E177</f>
        <v>unid</v>
      </c>
      <c r="F200" s="118">
        <f>[1]ORÇAMENTO!F177</f>
        <v>9</v>
      </c>
      <c r="G200" s="116"/>
      <c r="H200" s="116"/>
      <c r="I200" s="116"/>
      <c r="J200" s="109">
        <f>[1]ORÇAMENTO!G177*26.63%+[1]ORÇAMENTO!G177</f>
        <v>13.802670000000001</v>
      </c>
      <c r="K200" s="109">
        <f t="shared" si="8"/>
        <v>124.22</v>
      </c>
      <c r="L200" s="109"/>
      <c r="M200" s="109"/>
      <c r="N200" s="109"/>
    </row>
    <row r="201" spans="1:14" ht="30">
      <c r="A201" s="116" t="str">
        <f>[1]ORÇAMENTO!A178</f>
        <v>10.21</v>
      </c>
      <c r="B201" s="116">
        <f>[1]ORÇAMENTO!C178</f>
        <v>101895</v>
      </c>
      <c r="C201" s="117" t="str">
        <f>[1]ORÇAMENTO!D178</f>
        <v>DISJUNTOR TERMOMAGNÉTICO TRIPOLAR , CORRENTE NOMINAL DE 125A - FORNECIMENTO E INSTALAÇÃO. AF_10/2020</v>
      </c>
      <c r="D201" s="116" t="str">
        <f>[1]ORÇAMENTO!B178</f>
        <v>SINAPI</v>
      </c>
      <c r="E201" s="116" t="str">
        <f>[1]ORÇAMENTO!E178</f>
        <v>unid</v>
      </c>
      <c r="F201" s="118">
        <f>[1]ORÇAMENTO!F178</f>
        <v>2</v>
      </c>
      <c r="G201" s="116"/>
      <c r="H201" s="116"/>
      <c r="I201" s="116"/>
      <c r="J201" s="109">
        <f>[1]ORÇAMENTO!G178*26.63%+[1]ORÇAMENTO!G178</f>
        <v>454.107843</v>
      </c>
      <c r="K201" s="109">
        <f t="shared" si="8"/>
        <v>908.22</v>
      </c>
      <c r="L201" s="109"/>
      <c r="M201" s="109"/>
      <c r="N201" s="109"/>
    </row>
    <row r="202" spans="1:14">
      <c r="A202" s="116" t="str">
        <f>[1]ORÇAMENTO!A179</f>
        <v>10.22</v>
      </c>
      <c r="B202" s="116">
        <f>[1]ORÇAMENTO!C179</f>
        <v>12149</v>
      </c>
      <c r="C202" s="117" t="str">
        <f>[1]ORÇAMENTO!D179</f>
        <v>Dispositivo DR tetrapolar 100A, tipo AC, 30MA</v>
      </c>
      <c r="D202" s="116" t="str">
        <f>[1]ORÇAMENTO!B179</f>
        <v>ORSE</v>
      </c>
      <c r="E202" s="116" t="str">
        <f>[1]ORÇAMENTO!E179</f>
        <v>unid</v>
      </c>
      <c r="F202" s="118">
        <f>[1]ORÇAMENTO!F179</f>
        <v>2</v>
      </c>
      <c r="G202" s="116"/>
      <c r="H202" s="116"/>
      <c r="I202" s="116"/>
      <c r="J202" s="109">
        <f>[1]ORÇAMENTO!G179*26.63%+[1]ORÇAMENTO!G179</f>
        <v>449.270577</v>
      </c>
      <c r="K202" s="109">
        <f t="shared" si="8"/>
        <v>898.54</v>
      </c>
      <c r="L202" s="109"/>
      <c r="M202" s="109"/>
      <c r="N202" s="109"/>
    </row>
    <row r="203" spans="1:14" ht="30">
      <c r="A203" s="116" t="str">
        <f>[1]ORÇAMENTO!A180</f>
        <v>10.23</v>
      </c>
      <c r="B203" s="116">
        <f>[1]ORÇAMENTO!C180</f>
        <v>8083</v>
      </c>
      <c r="C203" s="117" t="str">
        <f>[1]ORÇAMENTO!D180</f>
        <v>Fornecimento e instalação de eletrocalha perfurada 200x70x3000mm (ref. Mopa ou similar).</v>
      </c>
      <c r="D203" s="116" t="str">
        <f>[1]ORÇAMENTO!B180</f>
        <v>ORSE</v>
      </c>
      <c r="E203" s="116" t="str">
        <f>[1]ORÇAMENTO!E180</f>
        <v>m</v>
      </c>
      <c r="F203" s="118">
        <f>[1]ORÇAMENTO!F180</f>
        <v>25</v>
      </c>
      <c r="G203" s="116"/>
      <c r="H203" s="116"/>
      <c r="I203" s="116"/>
      <c r="J203" s="109">
        <f>[1]ORÇAMENTO!G180*26.63%+[1]ORÇAMENTO!G180</f>
        <v>89.210835000000003</v>
      </c>
      <c r="K203" s="109">
        <f t="shared" si="8"/>
        <v>2230.27</v>
      </c>
      <c r="L203" s="109"/>
      <c r="M203" s="109"/>
      <c r="N203" s="109"/>
    </row>
    <row r="204" spans="1:14" ht="60">
      <c r="A204" s="116" t="str">
        <f>[1]ORÇAMENTO!A181</f>
        <v>10.24</v>
      </c>
      <c r="B204" s="116">
        <f>[1]ORÇAMENTO!C181</f>
        <v>96562</v>
      </c>
      <c r="C204" s="117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16" t="str">
        <f>[1]ORÇAMENTO!B181</f>
        <v>SINAPI</v>
      </c>
      <c r="E204" s="116" t="str">
        <f>[1]ORÇAMENTO!E181</f>
        <v>m</v>
      </c>
      <c r="F204" s="118">
        <f>[1]ORÇAMENTO!F181</f>
        <v>40</v>
      </c>
      <c r="G204" s="116"/>
      <c r="H204" s="116"/>
      <c r="I204" s="116"/>
      <c r="J204" s="109">
        <f>[1]ORÇAMENTO!G181*26.63%+[1]ORÇAMENTO!G181</f>
        <v>23.249268000000001</v>
      </c>
      <c r="K204" s="109">
        <f t="shared" si="8"/>
        <v>929.97</v>
      </c>
      <c r="L204" s="109"/>
      <c r="M204" s="109"/>
      <c r="N204" s="109"/>
    </row>
    <row r="205" spans="1:14">
      <c r="A205" s="116" t="str">
        <f>[1]ORÇAMENTO!A182</f>
        <v>10.25</v>
      </c>
      <c r="B205" s="116">
        <f>[1]ORÇAMENTO!C182</f>
        <v>12500</v>
      </c>
      <c r="C205" s="117" t="str">
        <f>[1]ORÇAMENTO!D182</f>
        <v>Cantoneira "ZZ" para fixação de perfilado, ref. Mopa ou similar.</v>
      </c>
      <c r="D205" s="116" t="str">
        <f>[1]ORÇAMENTO!B182</f>
        <v>ORSE</v>
      </c>
      <c r="E205" s="116" t="str">
        <f>[1]ORÇAMENTO!E182</f>
        <v>unid</v>
      </c>
      <c r="F205" s="118">
        <f>[1]ORÇAMENTO!F182</f>
        <v>2</v>
      </c>
      <c r="G205" s="116"/>
      <c r="H205" s="116"/>
      <c r="I205" s="116"/>
      <c r="J205" s="109">
        <f>[1]ORÇAMENTO!G182*26.63%+[1]ORÇAMENTO!G182</f>
        <v>9.6871950000000009</v>
      </c>
      <c r="K205" s="109">
        <f t="shared" si="8"/>
        <v>19.37</v>
      </c>
      <c r="L205" s="109"/>
      <c r="M205" s="109"/>
      <c r="N205" s="109"/>
    </row>
    <row r="206" spans="1:14">
      <c r="A206" s="116"/>
      <c r="B206" s="116"/>
      <c r="C206" s="117"/>
      <c r="D206" s="116"/>
      <c r="E206" s="116"/>
      <c r="F206" s="118"/>
      <c r="G206" s="116"/>
      <c r="H206" s="116"/>
      <c r="I206" s="116"/>
      <c r="J206" s="109"/>
      <c r="K206" s="109"/>
      <c r="L206" s="109"/>
      <c r="M206" s="109"/>
      <c r="N206" s="109"/>
    </row>
    <row r="207" spans="1:14">
      <c r="A207" s="124">
        <f>[1]ORÇAMENTO!A184</f>
        <v>11</v>
      </c>
      <c r="B207" s="124"/>
      <c r="C207" s="125" t="str">
        <f>[1]ORÇAMENTO!B184</f>
        <v>PINTURA</v>
      </c>
      <c r="D207" s="114"/>
      <c r="E207" s="114"/>
      <c r="F207" s="164"/>
      <c r="G207" s="114"/>
      <c r="H207" s="114"/>
      <c r="I207" s="114"/>
      <c r="J207" s="128"/>
      <c r="K207" s="128"/>
      <c r="L207" s="128"/>
      <c r="M207" s="128"/>
      <c r="N207" s="128"/>
    </row>
    <row r="208" spans="1:14" ht="30">
      <c r="A208" s="116" t="str">
        <f>[1]ORÇAMENTO!A185</f>
        <v>11.1</v>
      </c>
      <c r="B208" s="116">
        <f>[1]ORÇAMENTO!C185</f>
        <v>88489</v>
      </c>
      <c r="C208" s="117" t="str">
        <f>[1]ORÇAMENTO!D185</f>
        <v>APLICAÇÃO MANUAL DE PINTURA COM TINTA LÁTEX ACRÍLICA EM PAREDES, DUAS DEMÃOS. AF_06/2014</v>
      </c>
      <c r="D208" s="116" t="str">
        <f>[1]ORÇAMENTO!B185</f>
        <v>SINAPI</v>
      </c>
      <c r="E208" s="116" t="str">
        <f>[1]ORÇAMENTO!E185</f>
        <v>m²</v>
      </c>
      <c r="F208" s="118">
        <f>[1]ORÇAMENTO!F185</f>
        <v>3708.15</v>
      </c>
      <c r="G208" s="116"/>
      <c r="H208" s="116"/>
      <c r="I208" s="116"/>
      <c r="J208" s="109">
        <f>[1]ORÇAMENTO!G185*26.63%+[1]ORÇAMENTO!G185</f>
        <v>14.841036000000001</v>
      </c>
      <c r="K208" s="109">
        <f t="shared" si="8"/>
        <v>55032.79</v>
      </c>
      <c r="L208" s="109"/>
      <c r="M208" s="109"/>
      <c r="N208" s="109"/>
    </row>
    <row r="209" spans="1:14" ht="30">
      <c r="A209" s="116" t="str">
        <f>[1]ORÇAMENTO!A186</f>
        <v>11.2</v>
      </c>
      <c r="B209" s="116">
        <f>[1]ORÇAMENTO!C186</f>
        <v>96135</v>
      </c>
      <c r="C209" s="117" t="str">
        <f>[1]ORÇAMENTO!D186</f>
        <v>APLICAÇÃO MANUAL DE MASSA ACRÍLICA EM PAREDES EXTERNAS DE CASAS, DUAS DEMÃOS. AF_05/2017</v>
      </c>
      <c r="D209" s="116" t="str">
        <f>[1]ORÇAMENTO!B186</f>
        <v>SINAPI</v>
      </c>
      <c r="E209" s="116" t="str">
        <f>[1]ORÇAMENTO!E186</f>
        <v>m²</v>
      </c>
      <c r="F209" s="118">
        <f>[1]ORÇAMENTO!F186</f>
        <v>994.53</v>
      </c>
      <c r="G209" s="116"/>
      <c r="H209" s="116"/>
      <c r="I209" s="116"/>
      <c r="J209" s="109">
        <f>[1]ORÇAMENTO!G186*26.63%+[1]ORÇAMENTO!G186</f>
        <v>26.250399000000002</v>
      </c>
      <c r="K209" s="109">
        <f t="shared" si="8"/>
        <v>26106.81</v>
      </c>
      <c r="L209" s="109"/>
      <c r="M209" s="109"/>
      <c r="N209" s="109"/>
    </row>
    <row r="210" spans="1:14" ht="30">
      <c r="A210" s="116" t="str">
        <f>[1]ORÇAMENTO!A187</f>
        <v>11.3</v>
      </c>
      <c r="B210" s="116">
        <f>[1]ORÇAMENTO!C187</f>
        <v>88485</v>
      </c>
      <c r="C210" s="117" t="str">
        <f>[1]ORÇAMENTO!D187</f>
        <v>APLICAÇÃO DE FUNDO SELADOR ACRÍLICO EM PAREDES, UMA DEMÃO. AF_06/2014</v>
      </c>
      <c r="D210" s="116" t="str">
        <f>[1]ORÇAMENTO!B187</f>
        <v>SINAPI</v>
      </c>
      <c r="E210" s="116" t="str">
        <f>[1]ORÇAMENTO!E187</f>
        <v>m²</v>
      </c>
      <c r="F210" s="118">
        <f>[1]ORÇAMENTO!F187</f>
        <v>418.9</v>
      </c>
      <c r="G210" s="116"/>
      <c r="H210" s="116"/>
      <c r="I210" s="116"/>
      <c r="J210" s="109">
        <f>[1]ORÇAMENTO!G187*26.63%+[1]ORÇAMENTO!G187</f>
        <v>2.65923</v>
      </c>
      <c r="K210" s="109">
        <f t="shared" si="8"/>
        <v>1113.95</v>
      </c>
      <c r="L210" s="109"/>
      <c r="M210" s="109"/>
      <c r="N210" s="109"/>
    </row>
    <row r="211" spans="1:14" ht="30">
      <c r="A211" s="116" t="str">
        <f>[1]ORÇAMENTO!A188</f>
        <v>11.4</v>
      </c>
      <c r="B211" s="116">
        <f>[1]ORÇAMENTO!C188</f>
        <v>88497</v>
      </c>
      <c r="C211" s="117" t="str">
        <f>[1]ORÇAMENTO!D188</f>
        <v>APLICAÇÃO E LIXAMENTO DE MASSA LÁTEX EM PAREDES, DUAS DEMÃOS. AF_06/2014</v>
      </c>
      <c r="D211" s="116" t="str">
        <f>[1]ORÇAMENTO!B188</f>
        <v>SINAPI</v>
      </c>
      <c r="E211" s="116" t="str">
        <f>[1]ORÇAMENTO!E188</f>
        <v>m²</v>
      </c>
      <c r="F211" s="118">
        <f>[1]ORÇAMENTO!F188</f>
        <v>961.62</v>
      </c>
      <c r="G211" s="116"/>
      <c r="H211" s="116"/>
      <c r="I211" s="116"/>
      <c r="J211" s="109">
        <f>[1]ORÇAMENTO!G188*26.63%+[1]ORÇAMENTO!G188</f>
        <v>15.144948000000001</v>
      </c>
      <c r="K211" s="109">
        <f t="shared" si="8"/>
        <v>14563.68</v>
      </c>
      <c r="L211" s="109"/>
      <c r="M211" s="109"/>
      <c r="N211" s="109"/>
    </row>
    <row r="212" spans="1:14" ht="30">
      <c r="A212" s="116" t="str">
        <f>[1]ORÇAMENTO!A189</f>
        <v>11.5</v>
      </c>
      <c r="B212" s="116">
        <f>[1]ORÇAMENTO!C189</f>
        <v>102203</v>
      </c>
      <c r="C212" s="117" t="str">
        <f>[1]ORÇAMENTO!D189</f>
        <v>PINTURA VERNIZ (INCOLOR) ALQUÍDICO EM MADEIRA, USO INTERNO E EXTERNO, 1 DEMÃO. AF_01/2021</v>
      </c>
      <c r="D212" s="116" t="str">
        <f>[1]ORÇAMENTO!B189</f>
        <v>SINAPI</v>
      </c>
      <c r="E212" s="116" t="str">
        <f>[1]ORÇAMENTO!E189</f>
        <v>m²</v>
      </c>
      <c r="F212" s="118">
        <f>[1]ORÇAMENTO!F189</f>
        <v>165.06</v>
      </c>
      <c r="G212" s="116"/>
      <c r="H212" s="116"/>
      <c r="I212" s="116"/>
      <c r="J212" s="109">
        <f>[1]ORÇAMENTO!G189*26.63%+[1]ORÇAMENTO!G189</f>
        <v>9.0920339999999999</v>
      </c>
      <c r="K212" s="109">
        <f t="shared" si="8"/>
        <v>1500.73</v>
      </c>
      <c r="L212" s="109"/>
      <c r="M212" s="109"/>
      <c r="N212" s="109"/>
    </row>
    <row r="213" spans="1:14" ht="45">
      <c r="A213" s="116" t="str">
        <f>[1]ORÇAMENTO!A190</f>
        <v>11.6</v>
      </c>
      <c r="B213" s="116">
        <f>[1]ORÇAMENTO!C190</f>
        <v>100725</v>
      </c>
      <c r="C213" s="117" t="str">
        <f>[1]ORÇAMENTO!D190</f>
        <v>PINTURA COM TINTA ALQUÍDICA DE FUNDO E ACABAMENTO (ESMALTE SINTÉTICO GRAFITE) PULVERIZADA SOBRE SUPERFÍCIES METÁLICAS (EXCETO PERFIL) EXECUTADO EM OBRA (POR DEMÃO). AF_01/2020_P</v>
      </c>
      <c r="D213" s="116" t="str">
        <f>[1]ORÇAMENTO!B190</f>
        <v>SINAPI</v>
      </c>
      <c r="E213" s="116" t="str">
        <f>[1]ORÇAMENTO!E190</f>
        <v>m²</v>
      </c>
      <c r="F213" s="118">
        <f>[1]ORÇAMENTO!F190</f>
        <v>57.75</v>
      </c>
      <c r="G213" s="116"/>
      <c r="H213" s="116"/>
      <c r="I213" s="116"/>
      <c r="J213" s="109">
        <f>[1]ORÇAMENTO!G190*26.63%+[1]ORÇAMENTO!G190</f>
        <v>19.918899</v>
      </c>
      <c r="K213" s="109">
        <f t="shared" si="8"/>
        <v>1150.32</v>
      </c>
      <c r="L213" s="109"/>
      <c r="M213" s="109"/>
      <c r="N213" s="109"/>
    </row>
    <row r="214" spans="1:14">
      <c r="A214" s="116"/>
      <c r="B214" s="116"/>
      <c r="C214" s="117"/>
      <c r="D214" s="116"/>
      <c r="E214" s="116"/>
      <c r="F214" s="118"/>
      <c r="G214" s="116"/>
      <c r="H214" s="116"/>
      <c r="I214" s="116"/>
      <c r="J214" s="109"/>
      <c r="K214" s="109"/>
      <c r="L214" s="109"/>
      <c r="M214" s="109"/>
      <c r="N214" s="109"/>
    </row>
    <row r="215" spans="1:14">
      <c r="A215" s="124">
        <f>[1]ORÇAMENTO!A192</f>
        <v>12</v>
      </c>
      <c r="B215" s="124"/>
      <c r="C215" s="125" t="str">
        <f>[1]ORÇAMENTO!B192</f>
        <v>BANCADAS, LOUÇAS, METAIS E ACESSÓRIOS</v>
      </c>
      <c r="D215" s="124"/>
      <c r="E215" s="124"/>
      <c r="F215" s="126"/>
      <c r="G215" s="124"/>
      <c r="H215" s="124"/>
      <c r="I215" s="124"/>
      <c r="J215" s="127"/>
      <c r="K215" s="127"/>
      <c r="L215" s="128"/>
      <c r="M215" s="128"/>
      <c r="N215" s="128"/>
    </row>
    <row r="216" spans="1:14" ht="45">
      <c r="A216" s="116" t="str">
        <f>[1]ORÇAMENTO!A193</f>
        <v>12.1</v>
      </c>
      <c r="B216" s="116">
        <f>[1]ORÇAMENTO!C193</f>
        <v>12294</v>
      </c>
      <c r="C216" s="117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16" t="str">
        <f>[1]ORÇAMENTO!B193</f>
        <v>ORSE</v>
      </c>
      <c r="E216" s="116" t="str">
        <f>[1]ORÇAMENTO!E193</f>
        <v>unid</v>
      </c>
      <c r="F216" s="118">
        <f>[1]ORÇAMENTO!F193</f>
        <v>2</v>
      </c>
      <c r="G216" s="116"/>
      <c r="H216" s="116"/>
      <c r="I216" s="116"/>
      <c r="J216" s="109">
        <f>[1]ORÇAMENTO!G193*26.63%+[1]ORÇAMENTO!G193</f>
        <v>2916.972702</v>
      </c>
      <c r="K216" s="109">
        <f t="shared" si="8"/>
        <v>5833.95</v>
      </c>
      <c r="L216" s="109"/>
      <c r="M216" s="109"/>
      <c r="N216" s="109"/>
    </row>
    <row r="217" spans="1:14" ht="45">
      <c r="A217" s="116" t="str">
        <f>[1]ORÇAMENTO!A194</f>
        <v>12.2</v>
      </c>
      <c r="B217" s="116">
        <f>[1]ORÇAMENTO!C194</f>
        <v>86937</v>
      </c>
      <c r="C217" s="117" t="str">
        <f>[1]ORÇAMENTO!D194</f>
        <v>CUBA DE EMBUTIR OVAL EM LOUÇA BRANCA, 35 X 50CM OU EQUIVALENTE, INCLUSO VÁLVULA EM METAL CROMADO E SIFÃO FLEXÍVEL EM PVC - FORNECIMENTO E INSTALAÇÃO. AF_01/2020</v>
      </c>
      <c r="D217" s="116" t="str">
        <f>[1]ORÇAMENTO!B194</f>
        <v>SINAPI</v>
      </c>
      <c r="E217" s="116" t="str">
        <f>[1]ORÇAMENTO!E194</f>
        <v>unid</v>
      </c>
      <c r="F217" s="118">
        <f>[1]ORÇAMENTO!F194</f>
        <v>26</v>
      </c>
      <c r="G217" s="116"/>
      <c r="H217" s="116"/>
      <c r="I217" s="116"/>
      <c r="J217" s="109">
        <f>[1]ORÇAMENTO!G194*26.63%+[1]ORÇAMENTO!G194</f>
        <v>227.02226400000001</v>
      </c>
      <c r="K217" s="109">
        <f t="shared" si="8"/>
        <v>5902.58</v>
      </c>
      <c r="L217" s="109"/>
      <c r="M217" s="109"/>
      <c r="N217" s="109"/>
    </row>
    <row r="218" spans="1:14" ht="30">
      <c r="A218" s="116" t="str">
        <f>[1]ORÇAMENTO!A195</f>
        <v>12.3</v>
      </c>
      <c r="B218" s="116">
        <f>[1]ORÇAMENTO!C195</f>
        <v>86906</v>
      </c>
      <c r="C218" s="117" t="str">
        <f>[1]ORÇAMENTO!D195</f>
        <v>TORNEIRA CROMADA DE MESA, 1/2 OU 3/4, PARA LAVATÓRIO, PADRÃO POPULAR - FORNECIMENTO E INSTALAÇÃO. AF_01/2020</v>
      </c>
      <c r="D218" s="116" t="str">
        <f>[1]ORÇAMENTO!B195</f>
        <v>SINAPI</v>
      </c>
      <c r="E218" s="116" t="str">
        <f>[1]ORÇAMENTO!E195</f>
        <v>unid</v>
      </c>
      <c r="F218" s="118">
        <f>[1]ORÇAMENTO!F195</f>
        <v>26</v>
      </c>
      <c r="G218" s="116"/>
      <c r="H218" s="116"/>
      <c r="I218" s="116"/>
      <c r="J218" s="109">
        <f>[1]ORÇAMENTO!G195*26.63%+[1]ORÇAMENTO!G195</f>
        <v>74.762351999999993</v>
      </c>
      <c r="K218" s="109">
        <f t="shared" si="8"/>
        <v>1943.82</v>
      </c>
      <c r="L218" s="109"/>
      <c r="M218" s="109"/>
      <c r="N218" s="109"/>
    </row>
    <row r="219" spans="1:14">
      <c r="A219" s="116" t="str">
        <f>[1]ORÇAMENTO!A196</f>
        <v>12.4</v>
      </c>
      <c r="B219" s="116">
        <f>[1]ORÇAMENTO!C196</f>
        <v>10759</v>
      </c>
      <c r="C219" s="117" t="str">
        <f>[1]ORÇAMENTO!D196</f>
        <v>Bancada em granito cinza andorinha, e=2cm.</v>
      </c>
      <c r="D219" s="116" t="str">
        <f>[1]ORÇAMENTO!B196</f>
        <v>ORSE</v>
      </c>
      <c r="E219" s="116" t="str">
        <f>[1]ORÇAMENTO!E196</f>
        <v>m²</v>
      </c>
      <c r="F219" s="118">
        <f>[1]ORÇAMENTO!F196</f>
        <v>28.2</v>
      </c>
      <c r="G219" s="116"/>
      <c r="H219" s="116"/>
      <c r="I219" s="116"/>
      <c r="J219" s="109">
        <f>[1]ORÇAMENTO!G196*26.63%+[1]ORÇAMENTO!G196</f>
        <v>475.28037899999998</v>
      </c>
      <c r="K219" s="109">
        <f t="shared" si="8"/>
        <v>13402.91</v>
      </c>
      <c r="L219" s="109"/>
      <c r="M219" s="109"/>
      <c r="N219" s="109"/>
    </row>
    <row r="220" spans="1:14" ht="60">
      <c r="A220" s="116" t="str">
        <f>[1]ORÇAMENTO!A197</f>
        <v>12.5</v>
      </c>
      <c r="B220" s="116">
        <f>[1]ORÇAMENTO!C197</f>
        <v>86943</v>
      </c>
      <c r="C220" s="117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16" t="str">
        <f>[1]ORÇAMENTO!B197</f>
        <v>SINAPI</v>
      </c>
      <c r="E220" s="116" t="str">
        <f>[1]ORÇAMENTO!E197</f>
        <v>unid</v>
      </c>
      <c r="F220" s="118">
        <f>[1]ORÇAMENTO!F197</f>
        <v>4</v>
      </c>
      <c r="G220" s="116"/>
      <c r="H220" s="116"/>
      <c r="I220" s="116"/>
      <c r="J220" s="109">
        <f>[1]ORÇAMENTO!G197*26.63%+[1]ORÇAMENTO!G197</f>
        <v>265.09990499999998</v>
      </c>
      <c r="K220" s="109">
        <f t="shared" si="8"/>
        <v>1060.4000000000001</v>
      </c>
      <c r="L220" s="109"/>
      <c r="M220" s="109"/>
      <c r="N220" s="109"/>
    </row>
    <row r="221" spans="1:14" ht="30">
      <c r="A221" s="116" t="str">
        <f>[1]ORÇAMENTO!A198</f>
        <v>12.6</v>
      </c>
      <c r="B221" s="116">
        <f>[1]ORÇAMENTO!C198</f>
        <v>100869</v>
      </c>
      <c r="C221" s="117" t="str">
        <f>[1]ORÇAMENTO!D198</f>
        <v>BARRA DE APOIO RETA, EM ACO INOX POLIDO, COMPRIMENTO 90 CM,  FIXADA NA PAREDE - FORNECIMENTO E INSTALAÇÃO. AF_01/2020</v>
      </c>
      <c r="D221" s="116" t="str">
        <f>[1]ORÇAMENTO!B198</f>
        <v>SINAPI</v>
      </c>
      <c r="E221" s="116" t="str">
        <f>[1]ORÇAMENTO!E198</f>
        <v>unid</v>
      </c>
      <c r="F221" s="118">
        <f>[1]ORÇAMENTO!F198</f>
        <v>6</v>
      </c>
      <c r="G221" s="116"/>
      <c r="H221" s="116"/>
      <c r="I221" s="116"/>
      <c r="J221" s="109">
        <f>[1]ORÇAMENTO!G198*26.63%+[1]ORÇAMENTO!G198</f>
        <v>404.40556800000002</v>
      </c>
      <c r="K221" s="109">
        <f t="shared" si="8"/>
        <v>2426.4299999999998</v>
      </c>
      <c r="L221" s="109"/>
      <c r="M221" s="109"/>
      <c r="N221" s="109"/>
    </row>
    <row r="222" spans="1:14" ht="30">
      <c r="A222" s="116" t="str">
        <f>[1]ORÇAMENTO!A199</f>
        <v>12.7</v>
      </c>
      <c r="B222" s="116">
        <f>[1]ORÇAMENTO!C199</f>
        <v>100849</v>
      </c>
      <c r="C222" s="117" t="str">
        <f>[1]ORÇAMENTO!D199</f>
        <v>ASSENTO SANITÁRIO CONVENCIONAL - FORNECIMENTO E INSTALACAO. AF_01/2020</v>
      </c>
      <c r="D222" s="116" t="str">
        <f>[1]ORÇAMENTO!B199</f>
        <v>SINAPI</v>
      </c>
      <c r="E222" s="116" t="str">
        <f>[1]ORÇAMENTO!E199</f>
        <v>unid</v>
      </c>
      <c r="F222" s="118">
        <f>[1]ORÇAMENTO!F199</f>
        <v>16</v>
      </c>
      <c r="G222" s="116"/>
      <c r="H222" s="116"/>
      <c r="I222" s="116"/>
      <c r="J222" s="109">
        <f>[1]ORÇAMENTO!G199*26.63%+[1]ORÇAMENTO!G199</f>
        <v>50.576021999999995</v>
      </c>
      <c r="K222" s="109">
        <f t="shared" si="8"/>
        <v>809.22</v>
      </c>
      <c r="L222" s="109"/>
      <c r="M222" s="109"/>
      <c r="N222" s="109"/>
    </row>
    <row r="223" spans="1:14" ht="45">
      <c r="A223" s="116" t="str">
        <f>[1]ORÇAMENTO!A200</f>
        <v>12.8</v>
      </c>
      <c r="B223" s="116">
        <f>[1]ORÇAMENTO!C200</f>
        <v>86931</v>
      </c>
      <c r="C223" s="117" t="str">
        <f>[1]ORÇAMENTO!D200</f>
        <v>VASO SANITÁRIO SIFONADO COM CAIXA ACOPLADA LOUÇA BRANCA, INCLUSO ENGATE FLEXÍVEL EM PLÁSTICO BRANCO, 1/2  X 40CM - FORNECIMENTO E INSTALAÇÃO. AF_01/2020</v>
      </c>
      <c r="D223" s="116" t="str">
        <f>[1]ORÇAMENTO!B200</f>
        <v>SINAPI</v>
      </c>
      <c r="E223" s="116" t="str">
        <f>[1]ORÇAMENTO!E200</f>
        <v>unid</v>
      </c>
      <c r="F223" s="118">
        <f>[1]ORÇAMENTO!F200</f>
        <v>16</v>
      </c>
      <c r="G223" s="116"/>
      <c r="H223" s="116"/>
      <c r="I223" s="116"/>
      <c r="J223" s="109">
        <f>[1]ORÇAMENTO!G200*26.63%+[1]ORÇAMENTO!G200</f>
        <v>529.37671499999999</v>
      </c>
      <c r="K223" s="109">
        <f t="shared" si="8"/>
        <v>8470.0300000000007</v>
      </c>
      <c r="L223" s="109"/>
      <c r="M223" s="109"/>
      <c r="N223" s="109"/>
    </row>
    <row r="224" spans="1:14" ht="60">
      <c r="A224" s="116" t="str">
        <f>[1]ORÇAMENTO!A201</f>
        <v>12.9</v>
      </c>
      <c r="B224" s="116">
        <f>[1]ORÇAMENTO!C201</f>
        <v>95472</v>
      </c>
      <c r="C224" s="117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16" t="str">
        <f>[1]ORÇAMENTO!B201</f>
        <v>SINAPI</v>
      </c>
      <c r="E224" s="116" t="str">
        <f>[1]ORÇAMENTO!E201</f>
        <v>unid</v>
      </c>
      <c r="F224" s="118">
        <f>[1]ORÇAMENTO!F201</f>
        <v>1</v>
      </c>
      <c r="G224" s="116"/>
      <c r="H224" s="116"/>
      <c r="I224" s="116"/>
      <c r="J224" s="109">
        <f>[1]ORÇAMENTO!G201*26.63%+[1]ORÇAMENTO!G201</f>
        <v>819.65066400000001</v>
      </c>
      <c r="K224" s="109">
        <f t="shared" si="8"/>
        <v>819.65</v>
      </c>
      <c r="L224" s="109"/>
      <c r="M224" s="109"/>
      <c r="N224" s="109"/>
    </row>
    <row r="225" spans="1:14">
      <c r="A225" s="116" t="str">
        <f>[1]ORÇAMENTO!A202</f>
        <v>12.10</v>
      </c>
      <c r="B225" s="116">
        <f>[1]ORÇAMENTO!C202</f>
        <v>2050</v>
      </c>
      <c r="C225" s="117" t="str">
        <f>[1]ORÇAMENTO!D202</f>
        <v>Chuveiro plástico sem registro.</v>
      </c>
      <c r="D225" s="116" t="str">
        <f>[1]ORÇAMENTO!B202</f>
        <v>ORSE</v>
      </c>
      <c r="E225" s="116" t="str">
        <f>[1]ORÇAMENTO!E202</f>
        <v>unid</v>
      </c>
      <c r="F225" s="118">
        <f>[1]ORÇAMENTO!F202</f>
        <v>2</v>
      </c>
      <c r="G225" s="116"/>
      <c r="H225" s="116"/>
      <c r="I225" s="116"/>
      <c r="J225" s="109">
        <f>[1]ORÇAMENTO!G202*26.63%+[1]ORÇAMENTO!G202</f>
        <v>38.951388000000001</v>
      </c>
      <c r="K225" s="109">
        <f t="shared" si="8"/>
        <v>77.900000000000006</v>
      </c>
      <c r="L225" s="109"/>
      <c r="M225" s="109"/>
      <c r="N225" s="109"/>
    </row>
    <row r="226" spans="1:14" ht="30">
      <c r="A226" s="116" t="str">
        <f>[1]ORÇAMENTO!A203</f>
        <v>12.11</v>
      </c>
      <c r="B226" s="116">
        <f>[1]ORÇAMENTO!C203</f>
        <v>95546</v>
      </c>
      <c r="C226" s="117" t="str">
        <f>[1]ORÇAMENTO!D203</f>
        <v>KIT DE ACESSORIOS PARA BANHEIRO EM METAL CROMADO, 5 PECAS, INCLUSO FIXAÇÃO. AF_01/2020</v>
      </c>
      <c r="D226" s="116" t="str">
        <f>[1]ORÇAMENTO!B203</f>
        <v>SINAPI</v>
      </c>
      <c r="E226" s="116" t="str">
        <f>[1]ORÇAMENTO!E203</f>
        <v>unid</v>
      </c>
      <c r="F226" s="118">
        <f>[1]ORÇAMENTO!F203</f>
        <v>14</v>
      </c>
      <c r="G226" s="116"/>
      <c r="H226" s="116"/>
      <c r="I226" s="116"/>
      <c r="J226" s="109">
        <f>[1]ORÇAMENTO!G203*26.63%+[1]ORÇAMENTO!G203</f>
        <v>111.117825</v>
      </c>
      <c r="K226" s="109">
        <f t="shared" si="8"/>
        <v>1555.65</v>
      </c>
      <c r="L226" s="109"/>
      <c r="M226" s="109"/>
      <c r="N226" s="109"/>
    </row>
    <row r="227" spans="1:14" ht="60">
      <c r="A227" s="116" t="str">
        <f>[1]ORÇAMENTO!A204</f>
        <v>12.12</v>
      </c>
      <c r="B227" s="116">
        <f>[1]ORÇAMENTO!C204</f>
        <v>86929</v>
      </c>
      <c r="C227" s="117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16" t="str">
        <f>[1]ORÇAMENTO!B204</f>
        <v>SINAPI</v>
      </c>
      <c r="E227" s="116" t="str">
        <f>[1]ORÇAMENTO!E204</f>
        <v>unid</v>
      </c>
      <c r="F227" s="118">
        <f>[1]ORÇAMENTO!F204</f>
        <v>2</v>
      </c>
      <c r="G227" s="116"/>
      <c r="H227" s="116"/>
      <c r="I227" s="116"/>
      <c r="J227" s="109">
        <f>[1]ORÇAMENTO!G204*26.63%+[1]ORÇAMENTO!G204</f>
        <v>360.87017400000002</v>
      </c>
      <c r="K227" s="109">
        <f t="shared" si="8"/>
        <v>721.74</v>
      </c>
      <c r="L227" s="109"/>
      <c r="M227" s="109"/>
      <c r="N227" s="109"/>
    </row>
    <row r="228" spans="1:14">
      <c r="A228" s="116"/>
      <c r="B228" s="116"/>
      <c r="C228" s="117"/>
      <c r="D228" s="116"/>
      <c r="E228" s="116"/>
      <c r="F228" s="118"/>
      <c r="G228" s="116"/>
      <c r="H228" s="116"/>
      <c r="I228" s="116"/>
      <c r="J228" s="109"/>
      <c r="K228" s="109"/>
      <c r="L228" s="109"/>
      <c r="M228" s="109"/>
      <c r="N228" s="109"/>
    </row>
    <row r="229" spans="1:14">
      <c r="A229" s="124">
        <f>[1]ORÇAMENTO!A206</f>
        <v>13</v>
      </c>
      <c r="B229" s="124"/>
      <c r="C229" s="125" t="str">
        <f>[1]ORÇAMENTO!B206</f>
        <v>SERVIÇOS COMPLEMENTARES</v>
      </c>
      <c r="D229" s="124"/>
      <c r="E229" s="124"/>
      <c r="F229" s="126"/>
      <c r="G229" s="124"/>
      <c r="H229" s="124"/>
      <c r="I229" s="124"/>
      <c r="J229" s="127"/>
      <c r="K229" s="127"/>
      <c r="L229" s="128"/>
      <c r="M229" s="128"/>
      <c r="N229" s="128"/>
    </row>
    <row r="230" spans="1:14" ht="30">
      <c r="A230" s="116" t="str">
        <f>[1]ORÇAMENTO!A207</f>
        <v>13.1</v>
      </c>
      <c r="B230" s="116">
        <f>[1]ORÇAMENTO!C207</f>
        <v>99803</v>
      </c>
      <c r="C230" s="117" t="str">
        <f>[1]ORÇAMENTO!D207</f>
        <v>LIMPEZA DE PISO CERÂMICO OU PORCELANATO COM PANO ÚMIDO. AF_04/2019</v>
      </c>
      <c r="D230" s="116" t="str">
        <f>[1]ORÇAMENTO!B207</f>
        <v>SINAPI</v>
      </c>
      <c r="E230" s="116" t="str">
        <f>[1]ORÇAMENTO!E207</f>
        <v>m²</v>
      </c>
      <c r="F230" s="118">
        <f>[1]ORÇAMENTO!F207</f>
        <v>774.83</v>
      </c>
      <c r="G230" s="116"/>
      <c r="H230" s="116"/>
      <c r="I230" s="116"/>
      <c r="J230" s="109">
        <f>[1]ORÇAMENTO!G207*26.63%+[1]ORÇAMENTO!G207</f>
        <v>1.7221680000000001</v>
      </c>
      <c r="K230" s="109">
        <f>ROUND(F230*J230,2)</f>
        <v>1334.39</v>
      </c>
      <c r="L230" s="109"/>
      <c r="M230" s="109"/>
      <c r="N230" s="109"/>
    </row>
    <row r="231" spans="1:14" ht="45">
      <c r="A231" s="116" t="str">
        <f>[1]ORÇAMENTO!A208</f>
        <v>13.2</v>
      </c>
      <c r="B231" s="116">
        <f>[1]ORÇAMENTO!C208</f>
        <v>10076</v>
      </c>
      <c r="C231" s="117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16" t="str">
        <f>[1]ORÇAMENTO!B208</f>
        <v>ORSE</v>
      </c>
      <c r="E231" s="116" t="str">
        <f>[1]ORÇAMENTO!E208</f>
        <v>m</v>
      </c>
      <c r="F231" s="118">
        <f>[1]ORÇAMENTO!F208</f>
        <v>32.28</v>
      </c>
      <c r="G231" s="116"/>
      <c r="H231" s="116"/>
      <c r="I231" s="116"/>
      <c r="J231" s="109">
        <f>[1]ORÇAMENTO!G208*26.63%+[1]ORÇAMENTO!G208</f>
        <v>496.288296</v>
      </c>
      <c r="K231" s="109">
        <f>ROUND(F231*J231,2)</f>
        <v>16020.19</v>
      </c>
      <c r="L231" s="109"/>
      <c r="M231" s="109"/>
      <c r="N231" s="109"/>
    </row>
    <row r="232" spans="1:14" ht="45">
      <c r="A232" s="116" t="str">
        <f>[1]ORÇAMENTO!A209</f>
        <v>13.3</v>
      </c>
      <c r="B232" s="116">
        <f>[1]ORÇAMENTO!C209</f>
        <v>4420</v>
      </c>
      <c r="C232" s="117" t="str">
        <f>[1]ORÇAMENTO!D209</f>
        <v>Banco de concreto em alvenaria de tijolo maciço, assento em concreto simples, sem encosto, revestido em todas as faces com cerâmica Elizabeth 20x20cm ou similar.</v>
      </c>
      <c r="D232" s="116" t="str">
        <f>[1]ORÇAMENTO!B209</f>
        <v>ORSE</v>
      </c>
      <c r="E232" s="116" t="str">
        <f>[1]ORÇAMENTO!E209</f>
        <v>m</v>
      </c>
      <c r="F232" s="118">
        <f>[1]ORÇAMENTO!F209</f>
        <v>7.8</v>
      </c>
      <c r="G232" s="116"/>
      <c r="H232" s="116"/>
      <c r="I232" s="116"/>
      <c r="J232" s="109">
        <f>[1]ORÇAMENTO!G209*26.63%+[1]ORÇAMENTO!G209</f>
        <v>247.498335</v>
      </c>
      <c r="K232" s="109">
        <f>ROUND(F232*J232,2)</f>
        <v>1930.49</v>
      </c>
      <c r="L232" s="109"/>
      <c r="M232" s="109"/>
      <c r="N232" s="109"/>
    </row>
    <row r="233" spans="1:14">
      <c r="A233" s="116" t="str">
        <f>[1]ORÇAMENTO!A210</f>
        <v>13.4</v>
      </c>
      <c r="B233" s="116">
        <f>[1]ORÇAMENTO!C210</f>
        <v>12058</v>
      </c>
      <c r="C233" s="117" t="str">
        <f>[1]ORÇAMENTO!D210</f>
        <v>Letra em alumínio 50x50cm - instalado</v>
      </c>
      <c r="D233" s="116" t="str">
        <f>[1]ORÇAMENTO!B210</f>
        <v>ORSE</v>
      </c>
      <c r="E233" s="116" t="str">
        <f>[1]ORÇAMENTO!E210</f>
        <v>unid</v>
      </c>
      <c r="F233" s="118">
        <f>[1]ORÇAMENTO!F210</f>
        <v>16</v>
      </c>
      <c r="G233" s="116"/>
      <c r="H233" s="116"/>
      <c r="I233" s="116"/>
      <c r="J233" s="109">
        <f>[1]ORÇAMENTO!G210*26.63%+[1]ORÇAMENTO!G210</f>
        <v>262.68127199999998</v>
      </c>
      <c r="K233" s="109">
        <f>ROUND(F233*J233,2)</f>
        <v>4202.8999999999996</v>
      </c>
      <c r="L233" s="109"/>
      <c r="M233" s="109"/>
      <c r="N233" s="109"/>
    </row>
    <row r="234" spans="1:14">
      <c r="A234" s="116" t="str">
        <f>[1]ORÇAMENTO!A211</f>
        <v>13.5</v>
      </c>
      <c r="B234" s="116">
        <f>[1]ORÇAMENTO!C211</f>
        <v>12055</v>
      </c>
      <c r="C234" s="117" t="str">
        <f>[1]ORÇAMENTO!D211</f>
        <v>Letra em alumínio 25x25cm - instalado</v>
      </c>
      <c r="D234" s="116" t="str">
        <f>[1]ORÇAMENTO!B211</f>
        <v>ORSE</v>
      </c>
      <c r="E234" s="116" t="str">
        <f>[1]ORÇAMENTO!E211</f>
        <v>unid</v>
      </c>
      <c r="F234" s="118">
        <f>[1]ORÇAMENTO!F211</f>
        <v>50</v>
      </c>
      <c r="G234" s="116"/>
      <c r="H234" s="116"/>
      <c r="I234" s="116"/>
      <c r="J234" s="109">
        <f>[1]ORÇAMENTO!G211*26.63%+[1]ORÇAMENTO!G211</f>
        <v>135.798012</v>
      </c>
      <c r="K234" s="109">
        <f>ROUND(F234*J234,2)</f>
        <v>6789.9</v>
      </c>
      <c r="L234" s="109"/>
      <c r="M234" s="109"/>
      <c r="N234" s="109"/>
    </row>
    <row r="235" spans="1:14">
      <c r="A235" s="116"/>
      <c r="B235" s="116"/>
      <c r="C235" s="117"/>
      <c r="D235" s="116"/>
      <c r="E235" s="116"/>
      <c r="F235" s="118"/>
      <c r="G235" s="116"/>
      <c r="H235" s="116"/>
      <c r="I235" s="116"/>
      <c r="J235" s="109"/>
      <c r="K235" s="109">
        <f>SUM(K10:K234)</f>
        <v>998007.12000000046</v>
      </c>
      <c r="L235" s="109">
        <f>SUM(L10:L234)</f>
        <v>313977.77875546878</v>
      </c>
      <c r="M235" s="109"/>
      <c r="N235" s="109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M250"/>
  <sheetViews>
    <sheetView tabSelected="1" view="pageBreakPreview" topLeftCell="C218" zoomScale="91" zoomScaleNormal="100" zoomScaleSheetLayoutView="91" workbookViewId="0">
      <selection activeCell="G22" sqref="G22"/>
    </sheetView>
  </sheetViews>
  <sheetFormatPr defaultRowHeight="15"/>
  <cols>
    <col min="2" max="2" width="123.85546875" style="60" customWidth="1"/>
    <col min="3" max="3" width="8.85546875" customWidth="1"/>
    <col min="4" max="4" width="0.140625" customWidth="1"/>
    <col min="5" max="5" width="15" customWidth="1"/>
    <col min="6" max="6" width="15.85546875" customWidth="1"/>
    <col min="7" max="7" width="16.42578125" customWidth="1"/>
    <col min="8" max="8" width="14" customWidth="1"/>
    <col min="9" max="9" width="18.42578125" bestFit="1" customWidth="1"/>
    <col min="10" max="10" width="27.5703125" customWidth="1"/>
    <col min="11" max="11" width="17.42578125" bestFit="1" customWidth="1"/>
    <col min="12" max="12" width="15.85546875" style="180" bestFit="1" customWidth="1"/>
    <col min="13" max="13" width="22.85546875" customWidth="1"/>
  </cols>
  <sheetData>
    <row r="1" spans="1:12">
      <c r="A1" s="28"/>
      <c r="B1" s="56"/>
      <c r="C1" s="294" t="s">
        <v>484</v>
      </c>
      <c r="D1" s="294"/>
      <c r="E1" s="294"/>
      <c r="F1" s="294"/>
      <c r="G1" s="294"/>
      <c r="H1" s="294"/>
      <c r="I1" s="294"/>
      <c r="J1" s="294"/>
      <c r="K1" s="294"/>
      <c r="L1" s="295"/>
    </row>
    <row r="2" spans="1:12">
      <c r="A2" s="28"/>
      <c r="B2" s="56"/>
      <c r="C2" s="294"/>
      <c r="D2" s="294"/>
      <c r="E2" s="294"/>
      <c r="F2" s="294"/>
      <c r="G2" s="294"/>
      <c r="H2" s="294"/>
      <c r="I2" s="294"/>
      <c r="J2" s="294"/>
      <c r="K2" s="294"/>
      <c r="L2" s="295"/>
    </row>
    <row r="3" spans="1:12">
      <c r="A3" s="28"/>
      <c r="B3" s="56"/>
      <c r="C3" s="294"/>
      <c r="D3" s="294"/>
      <c r="E3" s="294"/>
      <c r="F3" s="294"/>
      <c r="G3" s="294"/>
      <c r="H3" s="294"/>
      <c r="I3" s="294"/>
      <c r="J3" s="294"/>
      <c r="K3" s="294"/>
      <c r="L3" s="295"/>
    </row>
    <row r="4" spans="1:12" ht="15" customHeight="1">
      <c r="A4" s="28"/>
      <c r="B4" s="56" t="s">
        <v>383</v>
      </c>
      <c r="C4" s="294"/>
      <c r="D4" s="294"/>
      <c r="E4" s="294"/>
      <c r="F4" s="294"/>
      <c r="G4" s="294"/>
      <c r="H4" s="294"/>
      <c r="I4" s="294"/>
      <c r="J4" s="294"/>
      <c r="K4" s="294"/>
      <c r="L4" s="295"/>
    </row>
    <row r="5" spans="1:12" ht="20.25" customHeight="1">
      <c r="A5" s="29"/>
      <c r="B5" s="56" t="s">
        <v>384</v>
      </c>
      <c r="C5" s="296"/>
      <c r="D5" s="296"/>
      <c r="E5" s="296"/>
      <c r="F5" s="296"/>
      <c r="G5" s="296"/>
      <c r="H5" s="296"/>
      <c r="I5" s="296"/>
      <c r="J5" s="296"/>
      <c r="K5" s="296"/>
      <c r="L5" s="297"/>
    </row>
    <row r="6" spans="1:12">
      <c r="A6" s="298" t="s">
        <v>385</v>
      </c>
      <c r="B6" s="299"/>
      <c r="C6" s="299"/>
      <c r="D6" s="299"/>
      <c r="E6" s="299"/>
      <c r="F6" s="300"/>
      <c r="G6" s="301" t="s">
        <v>386</v>
      </c>
      <c r="H6" s="302"/>
      <c r="I6" s="302"/>
      <c r="J6" s="303"/>
      <c r="K6" s="24" t="s">
        <v>387</v>
      </c>
      <c r="L6" s="184" t="s">
        <v>388</v>
      </c>
    </row>
    <row r="7" spans="1:12">
      <c r="A7" s="304" t="s">
        <v>431</v>
      </c>
      <c r="B7" s="305"/>
      <c r="C7" s="305"/>
      <c r="D7" s="305"/>
      <c r="E7" s="305"/>
      <c r="F7" s="306"/>
      <c r="G7" s="304" t="s">
        <v>384</v>
      </c>
      <c r="H7" s="305"/>
      <c r="I7" s="305"/>
      <c r="J7" s="306"/>
      <c r="K7" s="310">
        <v>44600</v>
      </c>
      <c r="L7" s="324" t="s">
        <v>485</v>
      </c>
    </row>
    <row r="8" spans="1:12">
      <c r="A8" s="307"/>
      <c r="B8" s="308"/>
      <c r="C8" s="308"/>
      <c r="D8" s="308"/>
      <c r="E8" s="308"/>
      <c r="F8" s="309"/>
      <c r="G8" s="307"/>
      <c r="H8" s="308"/>
      <c r="I8" s="308"/>
      <c r="J8" s="309"/>
      <c r="K8" s="310"/>
      <c r="L8" s="325"/>
    </row>
    <row r="9" spans="1:12">
      <c r="A9" s="298" t="s">
        <v>389</v>
      </c>
      <c r="B9" s="299"/>
      <c r="C9" s="299"/>
      <c r="D9" s="299"/>
      <c r="E9" s="299"/>
      <c r="F9" s="300"/>
      <c r="G9" s="293" t="s">
        <v>390</v>
      </c>
      <c r="H9" s="293"/>
      <c r="I9" s="293"/>
      <c r="J9" s="293"/>
      <c r="K9" s="25" t="s">
        <v>391</v>
      </c>
      <c r="L9" s="185" t="s">
        <v>392</v>
      </c>
    </row>
    <row r="10" spans="1:12" ht="10.9" customHeight="1">
      <c r="A10" s="304" t="s">
        <v>432</v>
      </c>
      <c r="B10" s="305"/>
      <c r="C10" s="305"/>
      <c r="D10" s="305"/>
      <c r="E10" s="305"/>
      <c r="F10" s="306"/>
      <c r="G10" s="311" t="s">
        <v>393</v>
      </c>
      <c r="H10" s="311"/>
      <c r="I10" s="311"/>
      <c r="J10" s="311"/>
      <c r="K10" s="310">
        <v>44854</v>
      </c>
      <c r="L10" s="322">
        <v>45219</v>
      </c>
    </row>
    <row r="11" spans="1:12" ht="10.9" customHeight="1">
      <c r="A11" s="307"/>
      <c r="B11" s="308"/>
      <c r="C11" s="308"/>
      <c r="D11" s="308"/>
      <c r="E11" s="308"/>
      <c r="F11" s="309"/>
      <c r="G11" s="311"/>
      <c r="H11" s="311"/>
      <c r="I11" s="311"/>
      <c r="J11" s="311"/>
      <c r="K11" s="310"/>
      <c r="L11" s="322"/>
    </row>
    <row r="12" spans="1:12">
      <c r="A12" s="293" t="s">
        <v>394</v>
      </c>
      <c r="B12" s="293"/>
      <c r="C12" s="293" t="s">
        <v>395</v>
      </c>
      <c r="D12" s="293"/>
      <c r="E12" s="293"/>
      <c r="F12" s="293"/>
      <c r="G12" s="293" t="s">
        <v>396</v>
      </c>
      <c r="H12" s="293"/>
      <c r="I12" s="323" t="s">
        <v>397</v>
      </c>
      <c r="J12" s="323"/>
      <c r="K12" s="321" t="s">
        <v>398</v>
      </c>
      <c r="L12" s="321"/>
    </row>
    <row r="13" spans="1:12">
      <c r="A13" s="311" t="s">
        <v>430</v>
      </c>
      <c r="B13" s="311"/>
      <c r="C13" s="311" t="s">
        <v>433</v>
      </c>
      <c r="D13" s="311"/>
      <c r="E13" s="311"/>
      <c r="F13" s="311"/>
      <c r="G13" s="312">
        <f>I230</f>
        <v>1140356.9499999997</v>
      </c>
      <c r="H13" s="313"/>
      <c r="I13" s="316">
        <f>J230</f>
        <v>143113.48000000004</v>
      </c>
      <c r="J13" s="316"/>
      <c r="K13" s="311"/>
      <c r="L13" s="311"/>
    </row>
    <row r="14" spans="1:12">
      <c r="A14" s="311"/>
      <c r="B14" s="311"/>
      <c r="C14" s="311"/>
      <c r="D14" s="311"/>
      <c r="E14" s="311"/>
      <c r="F14" s="311"/>
      <c r="G14" s="314"/>
      <c r="H14" s="315"/>
      <c r="I14" s="316"/>
      <c r="J14" s="316"/>
      <c r="K14" s="311"/>
      <c r="L14" s="311"/>
    </row>
    <row r="15" spans="1:12">
      <c r="A15" s="291"/>
      <c r="B15" s="291"/>
      <c r="C15" s="291"/>
      <c r="D15" s="291"/>
      <c r="E15" s="291"/>
      <c r="F15" s="291"/>
      <c r="G15" s="291"/>
      <c r="H15" s="291"/>
      <c r="I15" s="291"/>
      <c r="J15" s="291"/>
      <c r="K15" s="291"/>
      <c r="L15" s="291"/>
    </row>
    <row r="16" spans="1:12">
      <c r="A16" s="292" t="s">
        <v>399</v>
      </c>
      <c r="B16" s="318" t="s">
        <v>400</v>
      </c>
      <c r="C16" s="319" t="s">
        <v>401</v>
      </c>
      <c r="D16" s="319" t="s">
        <v>402</v>
      </c>
      <c r="E16" s="26"/>
      <c r="F16" s="292" t="s">
        <v>403</v>
      </c>
      <c r="G16" s="292"/>
      <c r="H16" s="292"/>
      <c r="I16" s="320" t="s">
        <v>404</v>
      </c>
      <c r="J16" s="320"/>
      <c r="K16" s="320"/>
      <c r="L16" s="317" t="s">
        <v>405</v>
      </c>
    </row>
    <row r="17" spans="1:12" ht="43.15" customHeight="1">
      <c r="A17" s="292"/>
      <c r="B17" s="318"/>
      <c r="C17" s="319"/>
      <c r="D17" s="319"/>
      <c r="E17" s="26" t="s">
        <v>402</v>
      </c>
      <c r="F17" s="26" t="s">
        <v>406</v>
      </c>
      <c r="G17" s="26" t="s">
        <v>407</v>
      </c>
      <c r="H17" s="27" t="s">
        <v>408</v>
      </c>
      <c r="I17" s="27" t="s">
        <v>406</v>
      </c>
      <c r="J17" s="27" t="s">
        <v>407</v>
      </c>
      <c r="K17" s="27" t="s">
        <v>408</v>
      </c>
      <c r="L17" s="317"/>
    </row>
    <row r="18" spans="1:12" ht="21" customHeight="1">
      <c r="A18" s="31">
        <f>ORÇAMENTO!A11</f>
        <v>1</v>
      </c>
      <c r="B18" s="57" t="s">
        <v>333</v>
      </c>
      <c r="C18" s="32"/>
      <c r="D18" s="32"/>
      <c r="E18" s="32"/>
      <c r="F18" s="32"/>
      <c r="G18" s="32"/>
      <c r="H18" s="33"/>
      <c r="I18" s="33"/>
      <c r="J18" s="33"/>
      <c r="K18" s="33"/>
      <c r="L18" s="34"/>
    </row>
    <row r="19" spans="1:12" s="203" customFormat="1">
      <c r="A19" s="200" t="str">
        <f>ORÇAMENTO!A12</f>
        <v>1.1</v>
      </c>
      <c r="B19" s="187" t="str">
        <f>ORÇAMENTO!D12</f>
        <v>Placa de Obra em chapa de aço galvanizado, instalada - Rev 02 01/2022</v>
      </c>
      <c r="C19" s="201" t="str">
        <f>ORÇAMENTO!E12</f>
        <v>m²</v>
      </c>
      <c r="D19" s="183"/>
      <c r="E19" s="183">
        <f>ORÇAMENTO!G12*26.63%+ORÇAMENTO!G12</f>
        <v>423.12148199999996</v>
      </c>
      <c r="F19" s="183">
        <f>ORÇAMENTO!F12</f>
        <v>4.5</v>
      </c>
      <c r="G19" s="186"/>
      <c r="H19" s="186">
        <v>4.46</v>
      </c>
      <c r="I19" s="183">
        <f>ROUND(E19*F19,2)</f>
        <v>1904.05</v>
      </c>
      <c r="J19" s="169">
        <f>ROUND(E19*G19,2)</f>
        <v>0</v>
      </c>
      <c r="K19" s="169">
        <f>ROUND(E19*H19,2)</f>
        <v>1887.12</v>
      </c>
      <c r="L19" s="202">
        <f>K19/I19</f>
        <v>0.99110842677450695</v>
      </c>
    </row>
    <row r="20" spans="1:12" s="203" customFormat="1">
      <c r="A20" s="200" t="str">
        <f>ORÇAMENTO!A13</f>
        <v>1.2</v>
      </c>
      <c r="B20" s="187" t="s">
        <v>8</v>
      </c>
      <c r="C20" s="201" t="str">
        <f>ORÇAMENTO!E13</f>
        <v>m³</v>
      </c>
      <c r="D20" s="201"/>
      <c r="E20" s="183">
        <f>ORÇAMENTO!G13*26.63%+ORÇAMENTO!G13</f>
        <v>46.473210000000002</v>
      </c>
      <c r="F20" s="183">
        <f>ORÇAMENTO!F13</f>
        <v>63.41</v>
      </c>
      <c r="G20" s="186"/>
      <c r="H20" s="186">
        <v>31.41</v>
      </c>
      <c r="I20" s="183">
        <f t="shared" ref="I20:I91" si="0">ROUND(E20*F20,2)</f>
        <v>2946.87</v>
      </c>
      <c r="J20" s="169">
        <f t="shared" ref="J20:J91" si="1">ROUND(E20*G20,2)</f>
        <v>0</v>
      </c>
      <c r="K20" s="169">
        <f t="shared" ref="K20:K91" si="2">ROUND(E20*H20,2)</f>
        <v>1459.72</v>
      </c>
      <c r="L20" s="202">
        <f t="shared" ref="L20:L91" si="3">K20/I20</f>
        <v>0.49534590938860557</v>
      </c>
    </row>
    <row r="21" spans="1:12" s="203" customFormat="1">
      <c r="A21" s="200" t="str">
        <f>ORÇAMENTO!A14</f>
        <v>1.3</v>
      </c>
      <c r="B21" s="187" t="str">
        <f>ORÇAMENTO!D14</f>
        <v>Demolição de piso de alta resistência</v>
      </c>
      <c r="C21" s="201" t="str">
        <f>ORÇAMENTO!E14</f>
        <v>m²</v>
      </c>
      <c r="D21" s="201"/>
      <c r="E21" s="183">
        <f>ORÇAMENTO!G14*26.63%+ORÇAMENTO!G14</f>
        <v>20.817972000000001</v>
      </c>
      <c r="F21" s="183">
        <f>ORÇAMENTO!F14</f>
        <v>774.83</v>
      </c>
      <c r="G21" s="186">
        <v>72.12</v>
      </c>
      <c r="H21" s="186">
        <f>644.61+G21</f>
        <v>716.73</v>
      </c>
      <c r="I21" s="183">
        <f t="shared" si="0"/>
        <v>16130.39</v>
      </c>
      <c r="J21" s="169">
        <f t="shared" si="1"/>
        <v>1501.39</v>
      </c>
      <c r="K21" s="169">
        <f t="shared" si="2"/>
        <v>14920.87</v>
      </c>
      <c r="L21" s="202">
        <f t="shared" si="3"/>
        <v>0.92501607214704673</v>
      </c>
    </row>
    <row r="22" spans="1:12" s="203" customFormat="1">
      <c r="A22" s="200" t="str">
        <f>ORÇAMENTO!A15</f>
        <v>1.4</v>
      </c>
      <c r="B22" s="187" t="str">
        <f>ORÇAMENTO!D15</f>
        <v>REMOÇÃO DE TRAMA DE MADEIRA PARA COBERTURA, DE FORMA MANUAL, SEM REAPROVEITAMENTO. AF 12/2017</v>
      </c>
      <c r="C22" s="201" t="str">
        <f>ORÇAMENTO!E15</f>
        <v>m²</v>
      </c>
      <c r="D22" s="201"/>
      <c r="E22" s="183">
        <f>ORÇAMENTO!G15*26.63%+ORÇAMENTO!G15</f>
        <v>6.0149249999999999</v>
      </c>
      <c r="F22" s="183">
        <f>ORÇAMENTO!F15</f>
        <v>309.93</v>
      </c>
      <c r="G22" s="201"/>
      <c r="H22" s="201">
        <v>175.86</v>
      </c>
      <c r="I22" s="183">
        <f t="shared" si="0"/>
        <v>1864.21</v>
      </c>
      <c r="J22" s="169">
        <f t="shared" si="1"/>
        <v>0</v>
      </c>
      <c r="K22" s="169">
        <f t="shared" si="2"/>
        <v>1057.78</v>
      </c>
      <c r="L22" s="202">
        <f t="shared" si="3"/>
        <v>0.56741461530621551</v>
      </c>
    </row>
    <row r="23" spans="1:12" s="203" customFormat="1" ht="30">
      <c r="A23" s="200" t="str">
        <f>ORÇAMENTO!A16</f>
        <v>1.5</v>
      </c>
      <c r="B23" s="187" t="str">
        <f>ORÇAMENTO!D16</f>
        <v>CARGA, MANOBRA E DESCARGA DE ENTULHO EM CAMINHÃO BASCULANTE 6 M³ - CARGA COM ESCAVADEIRA HIDRÁULICA (CAÇAMBA DE 0,80 M³/111 HP) E DESCARGA LIVRE (UNIDADE: M³). AF 07/2020</v>
      </c>
      <c r="C23" s="201" t="str">
        <f>ORÇAMENTO!E16</f>
        <v>m³</v>
      </c>
      <c r="D23" s="201"/>
      <c r="E23" s="183">
        <f>ORÇAMENTO!G16*26.63%+ORÇAMENTO!G16</f>
        <v>9.1173599999999997</v>
      </c>
      <c r="F23" s="183">
        <f>ORÇAMENTO!F16</f>
        <v>102.15</v>
      </c>
      <c r="G23" s="201"/>
      <c r="H23" s="201">
        <v>102.15</v>
      </c>
      <c r="I23" s="183">
        <f t="shared" si="0"/>
        <v>931.34</v>
      </c>
      <c r="J23" s="169">
        <f t="shared" si="1"/>
        <v>0</v>
      </c>
      <c r="K23" s="169">
        <f t="shared" si="2"/>
        <v>931.34</v>
      </c>
      <c r="L23" s="202">
        <f t="shared" si="3"/>
        <v>1</v>
      </c>
    </row>
    <row r="24" spans="1:12" s="203" customFormat="1">
      <c r="A24" s="200" t="s">
        <v>491</v>
      </c>
      <c r="B24" s="204" t="s">
        <v>486</v>
      </c>
      <c r="C24" s="205" t="s">
        <v>497</v>
      </c>
      <c r="D24" s="201"/>
      <c r="E24" s="183">
        <f>REPROGRAMAÇÃO!J17</f>
        <v>8.09</v>
      </c>
      <c r="F24" s="183">
        <f>REPROGRAMAÇÃO!G17</f>
        <v>36</v>
      </c>
      <c r="G24" s="186">
        <f>MEM!L43</f>
        <v>36</v>
      </c>
      <c r="H24" s="201">
        <f>G24</f>
        <v>36</v>
      </c>
      <c r="I24" s="183">
        <f t="shared" si="0"/>
        <v>291.24</v>
      </c>
      <c r="J24" s="169">
        <f t="shared" si="1"/>
        <v>291.24</v>
      </c>
      <c r="K24" s="169">
        <f t="shared" si="2"/>
        <v>291.24</v>
      </c>
      <c r="L24" s="202">
        <f t="shared" si="3"/>
        <v>1</v>
      </c>
    </row>
    <row r="25" spans="1:12" s="203" customFormat="1">
      <c r="A25" s="200" t="s">
        <v>492</v>
      </c>
      <c r="B25" s="206" t="s">
        <v>487</v>
      </c>
      <c r="C25" s="134" t="s">
        <v>429</v>
      </c>
      <c r="D25" s="201"/>
      <c r="E25" s="183">
        <f>REPROGRAMAÇÃO!J18</f>
        <v>29.919999999999998</v>
      </c>
      <c r="F25" s="183">
        <f>REPROGRAMAÇÃO!G18</f>
        <v>14</v>
      </c>
      <c r="G25" s="186">
        <f>MEM!L72</f>
        <v>14</v>
      </c>
      <c r="H25" s="201">
        <f t="shared" ref="H25:H28" si="4">G25</f>
        <v>14</v>
      </c>
      <c r="I25" s="183">
        <f t="shared" si="0"/>
        <v>418.88</v>
      </c>
      <c r="J25" s="169">
        <f t="shared" si="1"/>
        <v>418.88</v>
      </c>
      <c r="K25" s="169">
        <f t="shared" si="2"/>
        <v>418.88</v>
      </c>
      <c r="L25" s="202">
        <f t="shared" si="3"/>
        <v>1</v>
      </c>
    </row>
    <row r="26" spans="1:12" s="203" customFormat="1">
      <c r="A26" s="200" t="s">
        <v>493</v>
      </c>
      <c r="B26" s="206" t="s">
        <v>488</v>
      </c>
      <c r="C26" s="134" t="s">
        <v>429</v>
      </c>
      <c r="D26" s="201"/>
      <c r="E26" s="183">
        <f>REPROGRAMAÇÃO!J19</f>
        <v>4.0599999999999996</v>
      </c>
      <c r="F26" s="183">
        <f>REPROGRAMAÇÃO!G19</f>
        <v>396.84</v>
      </c>
      <c r="G26" s="186">
        <f>MEM!L94</f>
        <v>396.84</v>
      </c>
      <c r="H26" s="201">
        <f t="shared" si="4"/>
        <v>396.84</v>
      </c>
      <c r="I26" s="183">
        <f t="shared" si="0"/>
        <v>1611.17</v>
      </c>
      <c r="J26" s="169">
        <f t="shared" si="1"/>
        <v>1611.17</v>
      </c>
      <c r="K26" s="169">
        <f t="shared" si="2"/>
        <v>1611.17</v>
      </c>
      <c r="L26" s="202">
        <f t="shared" si="3"/>
        <v>1</v>
      </c>
    </row>
    <row r="27" spans="1:12" s="203" customFormat="1">
      <c r="A27" s="200" t="s">
        <v>494</v>
      </c>
      <c r="B27" s="206" t="s">
        <v>489</v>
      </c>
      <c r="C27" s="134" t="s">
        <v>498</v>
      </c>
      <c r="D27" s="201"/>
      <c r="E27" s="183">
        <f>REPROGRAMAÇÃO!J20</f>
        <v>229.97000000000003</v>
      </c>
      <c r="F27" s="183">
        <f>REPROGRAMAÇÃO!G20</f>
        <v>35.363999999999997</v>
      </c>
      <c r="G27" s="186">
        <f>MEM!L106</f>
        <v>28.949999999999996</v>
      </c>
      <c r="H27" s="201">
        <f t="shared" si="4"/>
        <v>28.949999999999996</v>
      </c>
      <c r="I27" s="183">
        <f t="shared" si="0"/>
        <v>8132.66</v>
      </c>
      <c r="J27" s="169">
        <f t="shared" si="1"/>
        <v>6657.63</v>
      </c>
      <c r="K27" s="169">
        <f t="shared" si="2"/>
        <v>6657.63</v>
      </c>
      <c r="L27" s="202">
        <f t="shared" si="3"/>
        <v>0.81862883730538349</v>
      </c>
    </row>
    <row r="28" spans="1:12" s="203" customFormat="1">
      <c r="A28" s="200" t="s">
        <v>495</v>
      </c>
      <c r="B28" s="206" t="s">
        <v>490</v>
      </c>
      <c r="C28" s="134" t="s">
        <v>429</v>
      </c>
      <c r="D28" s="201"/>
      <c r="E28" s="183">
        <v>2.79</v>
      </c>
      <c r="F28" s="183">
        <f>REPROGRAMAÇÃO!G21</f>
        <v>636.83999999999992</v>
      </c>
      <c r="G28" s="186">
        <f>MEM!L116</f>
        <v>636.83999999999992</v>
      </c>
      <c r="H28" s="201">
        <f t="shared" si="4"/>
        <v>636.83999999999992</v>
      </c>
      <c r="I28" s="183">
        <f t="shared" si="0"/>
        <v>1776.78</v>
      </c>
      <c r="J28" s="169">
        <f t="shared" si="1"/>
        <v>1776.78</v>
      </c>
      <c r="K28" s="169">
        <f t="shared" si="2"/>
        <v>1776.78</v>
      </c>
      <c r="L28" s="202">
        <f t="shared" si="3"/>
        <v>1</v>
      </c>
    </row>
    <row r="29" spans="1:12" s="203" customFormat="1">
      <c r="A29" s="200">
        <f>ORÇAMENTO!A18</f>
        <v>2</v>
      </c>
      <c r="B29" s="207" t="s">
        <v>14</v>
      </c>
      <c r="C29" s="201"/>
      <c r="D29" s="201"/>
      <c r="E29" s="183"/>
      <c r="F29" s="183"/>
      <c r="G29" s="201"/>
      <c r="H29" s="201"/>
      <c r="I29" s="183"/>
      <c r="J29" s="169"/>
      <c r="K29" s="169"/>
      <c r="L29" s="202"/>
    </row>
    <row r="30" spans="1:12" s="203" customFormat="1" ht="30">
      <c r="A30" s="200" t="str">
        <f>ORÇAMENTO!A19</f>
        <v>2.1</v>
      </c>
      <c r="B30" s="187" t="str">
        <f>ORÇAMENTO!D19</f>
        <v>ESCAVAÇÃO MANUAL PARA BLOCO DE COROAMENTO OU SAPATA (INCLUINDO ESCAVAÇÃO PARA COLOCAÇÃO DE FÔRMAS). AF_06/2017</v>
      </c>
      <c r="C30" s="201" t="str">
        <f>ORÇAMENTO!E19</f>
        <v>m³</v>
      </c>
      <c r="D30" s="201"/>
      <c r="E30" s="183">
        <f>ORÇAMENTO!G19*26.63%+ORÇAMENTO!G19</f>
        <v>80.865917999999994</v>
      </c>
      <c r="F30" s="183">
        <f>ORÇAMENTO!F19</f>
        <v>28.86</v>
      </c>
      <c r="G30" s="186"/>
      <c r="H30" s="186">
        <v>16.41</v>
      </c>
      <c r="I30" s="183">
        <f t="shared" si="0"/>
        <v>2333.79</v>
      </c>
      <c r="J30" s="169">
        <f t="shared" si="1"/>
        <v>0</v>
      </c>
      <c r="K30" s="169">
        <f t="shared" si="2"/>
        <v>1327.01</v>
      </c>
      <c r="L30" s="202">
        <f t="shared" si="3"/>
        <v>0.56860728685957174</v>
      </c>
    </row>
    <row r="31" spans="1:12" s="203" customFormat="1" ht="30">
      <c r="A31" s="200" t="str">
        <f>ORÇAMENTO!A20</f>
        <v>2.2</v>
      </c>
      <c r="B31" s="187" t="str">
        <f>ORÇAMENTO!D20</f>
        <v>LAJE PRÉ-MOLDADA UNIDIRECIONAL, BIAPOIADA, PARA FORRO, ENCHIMENTO EM CERÂMICA, VIGOTA CONVENCIONAL, ALTURA TOTAL DA LAJE (ENCHIMENTO+CAPA) = (8+3). AF_11/2020</v>
      </c>
      <c r="C31" s="201" t="str">
        <f>ORÇAMENTO!E20</f>
        <v>m²</v>
      </c>
      <c r="D31" s="201"/>
      <c r="E31" s="183">
        <f>ORÇAMENTO!G20*26.63%+ORÇAMENTO!G20</f>
        <v>179.38405799999998</v>
      </c>
      <c r="F31" s="183">
        <f>ORÇAMENTO!F20</f>
        <v>57.88</v>
      </c>
      <c r="G31" s="201"/>
      <c r="H31" s="201"/>
      <c r="I31" s="183">
        <f t="shared" si="0"/>
        <v>10382.75</v>
      </c>
      <c r="J31" s="169">
        <f t="shared" si="1"/>
        <v>0</v>
      </c>
      <c r="K31" s="169">
        <f t="shared" si="2"/>
        <v>0</v>
      </c>
      <c r="L31" s="202">
        <f t="shared" si="3"/>
        <v>0</v>
      </c>
    </row>
    <row r="32" spans="1:12" s="203" customFormat="1">
      <c r="A32" s="200" t="str">
        <f>ORÇAMENTO!A21</f>
        <v>2.3</v>
      </c>
      <c r="B32" s="187" t="str">
        <f>ORÇAMENTO!D21</f>
        <v>LASTRO DE CONCRETO MAGRO, APLICADO EM BLOCOS DE COROAMENTO OU SAPATAS, ESPESSURA DE 5 CM. AF_08/2017</v>
      </c>
      <c r="C32" s="201" t="str">
        <f>ORÇAMENTO!E21</f>
        <v>m²</v>
      </c>
      <c r="D32" s="201"/>
      <c r="E32" s="183">
        <f>ORÇAMENTO!G21*26.63%+ORÇAMENTO!G21</f>
        <v>28.808325</v>
      </c>
      <c r="F32" s="183">
        <f>ORÇAMENTO!F21</f>
        <v>19.239999999999998</v>
      </c>
      <c r="G32" s="186"/>
      <c r="H32" s="186">
        <v>19.239999999999998</v>
      </c>
      <c r="I32" s="183">
        <f t="shared" si="0"/>
        <v>554.27</v>
      </c>
      <c r="J32" s="169">
        <f t="shared" si="1"/>
        <v>0</v>
      </c>
      <c r="K32" s="169">
        <f t="shared" si="2"/>
        <v>554.27</v>
      </c>
      <c r="L32" s="202">
        <f t="shared" si="3"/>
        <v>1</v>
      </c>
    </row>
    <row r="33" spans="1:12" s="203" customFormat="1" ht="30">
      <c r="A33" s="200" t="str">
        <f>ORÇAMENTO!A22</f>
        <v>2.4</v>
      </c>
      <c r="B33" s="187" t="str">
        <f>ORÇAMENTO!D22</f>
        <v>CONCRETO FCK = 25MPA, TRAÇO 1:2,3:2,7 (EM MASSA SECA DE CIMENTO/ AREIA MÉDIA/ BRITA 1) - PREPARO MECÂNICO COM BETONEIRA 600 L. AF_05/2021</v>
      </c>
      <c r="C33" s="201" t="str">
        <f>ORÇAMENTO!E22</f>
        <v>m³</v>
      </c>
      <c r="D33" s="201"/>
      <c r="E33" s="183">
        <f>ORÇAMENTO!G22*26.63%+ORÇAMENTO!G22</f>
        <v>447.371127</v>
      </c>
      <c r="F33" s="183">
        <f>ORÇAMENTO!F22</f>
        <v>5.8</v>
      </c>
      <c r="G33" s="186"/>
      <c r="H33" s="186">
        <v>4.8</v>
      </c>
      <c r="I33" s="183">
        <f t="shared" si="0"/>
        <v>2594.75</v>
      </c>
      <c r="J33" s="169">
        <f t="shared" si="1"/>
        <v>0</v>
      </c>
      <c r="K33" s="169">
        <f t="shared" si="2"/>
        <v>2147.38</v>
      </c>
      <c r="L33" s="202">
        <f t="shared" si="3"/>
        <v>0.82758647268522978</v>
      </c>
    </row>
    <row r="34" spans="1:12" s="203" customFormat="1" ht="30">
      <c r="A34" s="200" t="str">
        <f>ORÇAMENTO!A23</f>
        <v>2.5</v>
      </c>
      <c r="B34" s="187" t="str">
        <f>ORÇAMENTO!D23</f>
        <v>CONCRETO FCK = 30MPA, TRAÇO 1:2,1:2,5 (EM MASSA SECA DE CIMENTO/ AREIA MÉDIA/ BRITA 1) - PREPARO MECÂNICO COM BETONEIRA 600 L. AF_05/2021</v>
      </c>
      <c r="C34" s="201" t="str">
        <f>ORÇAMENTO!E23</f>
        <v>m³</v>
      </c>
      <c r="D34" s="201"/>
      <c r="E34" s="183">
        <f>ORÇAMENTO!G23*26.63%+ORÇAMENTO!G23</f>
        <v>461.95890299999996</v>
      </c>
      <c r="F34" s="183">
        <f>REPROGRAMAÇÃO!I29</f>
        <v>42.395800000000008</v>
      </c>
      <c r="G34" s="186">
        <f>13.92-1.93</f>
        <v>11.99</v>
      </c>
      <c r="H34" s="186">
        <f>23.91+G34</f>
        <v>35.9</v>
      </c>
      <c r="I34" s="183">
        <f t="shared" si="0"/>
        <v>19585.12</v>
      </c>
      <c r="J34" s="169">
        <f t="shared" si="1"/>
        <v>5538.89</v>
      </c>
      <c r="K34" s="169">
        <f t="shared" si="2"/>
        <v>16584.32</v>
      </c>
      <c r="L34" s="202">
        <f t="shared" si="3"/>
        <v>0.84678163830499897</v>
      </c>
    </row>
    <row r="35" spans="1:12" s="203" customFormat="1">
      <c r="A35" s="200" t="str">
        <f>ORÇAMENTO!A24</f>
        <v>2.6</v>
      </c>
      <c r="B35" s="187" t="str">
        <f>ORÇAMENTO!D24</f>
        <v>LANÇAMENTO COM USO DE BALDES, ADENSAMENTO E ACABAMENTO DE CONCRETO EM ESTRUTURAS. AF_12/2015</v>
      </c>
      <c r="C35" s="201" t="str">
        <f>ORÇAMENTO!E24</f>
        <v>m³</v>
      </c>
      <c r="D35" s="201"/>
      <c r="E35" s="183">
        <f>ORÇAMENTO!G24*26.63%+ORÇAMENTO!G24</f>
        <v>242.28117900000001</v>
      </c>
      <c r="F35" s="183">
        <f>REPROGRAMAÇÃO!F30</f>
        <v>35.9</v>
      </c>
      <c r="G35" s="186">
        <v>6.49</v>
      </c>
      <c r="H35" s="186">
        <f>29.41+G35</f>
        <v>35.9</v>
      </c>
      <c r="I35" s="183">
        <f t="shared" si="0"/>
        <v>8697.89</v>
      </c>
      <c r="J35" s="169">
        <f t="shared" si="1"/>
        <v>1572.4</v>
      </c>
      <c r="K35" s="169">
        <f t="shared" si="2"/>
        <v>8697.89</v>
      </c>
      <c r="L35" s="202">
        <f t="shared" si="3"/>
        <v>1</v>
      </c>
    </row>
    <row r="36" spans="1:12" s="203" customFormat="1">
      <c r="A36" s="200" t="str">
        <f>ORÇAMENTO!A25</f>
        <v>2.7</v>
      </c>
      <c r="B36" s="187" t="str">
        <f>ORÇAMENTO!D25</f>
        <v>Forma plana para fundações, em tábua de pinho, 07 usos.</v>
      </c>
      <c r="C36" s="201" t="str">
        <f>ORÇAMENTO!E25</f>
        <v>m²</v>
      </c>
      <c r="D36" s="201"/>
      <c r="E36" s="183">
        <f>ORÇAMENTO!G25*26.63%+ORÇAMENTO!G25</f>
        <v>82.765367999999995</v>
      </c>
      <c r="F36" s="183">
        <f>REPROGRAMAÇÃO!F31</f>
        <v>19.3</v>
      </c>
      <c r="G36" s="186"/>
      <c r="H36" s="186">
        <v>19.3</v>
      </c>
      <c r="I36" s="183">
        <f t="shared" si="0"/>
        <v>1597.37</v>
      </c>
      <c r="J36" s="169">
        <f t="shared" si="1"/>
        <v>0</v>
      </c>
      <c r="K36" s="169">
        <f t="shared" si="2"/>
        <v>1597.37</v>
      </c>
      <c r="L36" s="202">
        <f t="shared" si="3"/>
        <v>1</v>
      </c>
    </row>
    <row r="37" spans="1:12" s="203" customFormat="1">
      <c r="A37" s="200" t="str">
        <f>ORÇAMENTO!A26</f>
        <v>2.8</v>
      </c>
      <c r="B37" s="187" t="str">
        <f>ORÇAMENTO!D26</f>
        <v>Forma plana para estruturas, em compensado plastificado de 12mm, 07 usos.</v>
      </c>
      <c r="C37" s="201" t="str">
        <f>ORÇAMENTO!E26</f>
        <v>m²</v>
      </c>
      <c r="D37" s="201"/>
      <c r="E37" s="183">
        <f>ORÇAMENTO!G26*26.63%+ORÇAMENTO!G26</f>
        <v>69.874433999999994</v>
      </c>
      <c r="F37" s="183">
        <f>REPROGRAMAÇÃO!F32</f>
        <v>421.3</v>
      </c>
      <c r="G37" s="186">
        <v>105.61</v>
      </c>
      <c r="H37" s="186">
        <f>315.69+G37</f>
        <v>421.3</v>
      </c>
      <c r="I37" s="183">
        <f t="shared" si="0"/>
        <v>29438.1</v>
      </c>
      <c r="J37" s="169">
        <f t="shared" si="1"/>
        <v>7379.44</v>
      </c>
      <c r="K37" s="169">
        <f t="shared" si="2"/>
        <v>29438.1</v>
      </c>
      <c r="L37" s="202">
        <f t="shared" si="3"/>
        <v>1</v>
      </c>
    </row>
    <row r="38" spans="1:12" s="203" customFormat="1" ht="30">
      <c r="A38" s="200" t="str">
        <f>ORÇAMENTO!A27</f>
        <v>2.9</v>
      </c>
      <c r="B38" s="187" t="str">
        <f>ORÇAMENTO!D27</f>
        <v>ARMAÇÃO DE PILAR OU VIGA DE UMA ESTRUTURA CONVENCIONAL DE CONCRETO ARMADO EM UM EDIFÍCIO DE MÚLTIPLOS PAVIMENTOS UTILIZANDO AÇO CA-50 DE 12,5 MM - MONTAGEM. AF_12/2015</v>
      </c>
      <c r="C38" s="201" t="str">
        <f>ORÇAMENTO!E27</f>
        <v>kg</v>
      </c>
      <c r="D38" s="201"/>
      <c r="E38" s="183">
        <f>ORÇAMENTO!G27*26.63%+ORÇAMENTO!G27</f>
        <v>13.068216</v>
      </c>
      <c r="F38" s="183">
        <f>REPROGRAMAÇÃO!I33</f>
        <v>579.35</v>
      </c>
      <c r="G38" s="186">
        <f>MEM!L183</f>
        <v>95.08799999999998</v>
      </c>
      <c r="H38" s="186">
        <f>480.3+G38</f>
        <v>575.38800000000003</v>
      </c>
      <c r="I38" s="183">
        <f t="shared" si="0"/>
        <v>7571.07</v>
      </c>
      <c r="J38" s="169">
        <f t="shared" si="1"/>
        <v>1242.6300000000001</v>
      </c>
      <c r="K38" s="169">
        <f t="shared" si="2"/>
        <v>7519.29</v>
      </c>
      <c r="L38" s="202">
        <f t="shared" si="3"/>
        <v>0.99316080818167052</v>
      </c>
    </row>
    <row r="39" spans="1:12" s="203" customFormat="1" ht="30">
      <c r="A39" s="200" t="str">
        <f>ORÇAMENTO!A28</f>
        <v>2.10</v>
      </c>
      <c r="B39" s="187" t="str">
        <f>ORÇAMENTO!D28</f>
        <v>ARMAÇÃO DE PILAR OU VIGA DE UMA ESTRUTURA CONVENCIONAL DE CONCRETO ARMADO EM UM EDIFÍCIO DE MÚLTIPLOS PAVIMENTOS UTILIZANDO AÇO CA-50 DE 10,0 MM - MONTAGEM. AF_12/2015</v>
      </c>
      <c r="C39" s="201" t="str">
        <f>ORÇAMENTO!E28</f>
        <v>kg</v>
      </c>
      <c r="D39" s="201"/>
      <c r="E39" s="183">
        <f>ORÇAMENTO!G28*26.63%+ORÇAMENTO!G28</f>
        <v>15.309566999999999</v>
      </c>
      <c r="F39" s="183">
        <f>REPROGRAMAÇÃO!I34</f>
        <v>2054.7722600000002</v>
      </c>
      <c r="G39" s="186">
        <f>MEM!L193</f>
        <v>446.57226000000009</v>
      </c>
      <c r="H39" s="186">
        <f>1462.17+G39</f>
        <v>1908.7422600000002</v>
      </c>
      <c r="I39" s="183">
        <f t="shared" si="0"/>
        <v>31457.67</v>
      </c>
      <c r="J39" s="169">
        <f t="shared" si="1"/>
        <v>6836.83</v>
      </c>
      <c r="K39" s="169">
        <f t="shared" si="2"/>
        <v>29222.02</v>
      </c>
      <c r="L39" s="202">
        <f t="shared" si="3"/>
        <v>0.92893148157508176</v>
      </c>
    </row>
    <row r="40" spans="1:12" s="203" customFormat="1" ht="30">
      <c r="A40" s="200" t="str">
        <f>ORÇAMENTO!A29</f>
        <v>2.11</v>
      </c>
      <c r="B40" s="187" t="str">
        <f>ORÇAMENTO!D29</f>
        <v>ARMAÇÃO DE PILAR OU VIGA DE UMA ESTRUTURA CONVENCIONAL DE CONCRETO ARMADO EM UM EDIFÍCIO DE MÚLTIPLOS PAVIMENTOS UTILIZANDO AÇO CA-50 DE 16,0 MM - MONTAGEM. AF_12/2015</v>
      </c>
      <c r="C40" s="201" t="str">
        <f>ORÇAMENTO!E29</f>
        <v>kg</v>
      </c>
      <c r="D40" s="201"/>
      <c r="E40" s="183">
        <f>ORÇAMENTO!G29*26.63%+ORÇAMENTO!G29</f>
        <v>12.625011000000001</v>
      </c>
      <c r="F40" s="183">
        <f>ORÇAMENTO!F29</f>
        <v>63.1</v>
      </c>
      <c r="G40" s="201"/>
      <c r="H40" s="186">
        <f>G40</f>
        <v>0</v>
      </c>
      <c r="I40" s="183">
        <f t="shared" si="0"/>
        <v>796.64</v>
      </c>
      <c r="J40" s="169">
        <f t="shared" si="1"/>
        <v>0</v>
      </c>
      <c r="K40" s="169">
        <f t="shared" si="2"/>
        <v>0</v>
      </c>
      <c r="L40" s="202">
        <f t="shared" si="3"/>
        <v>0</v>
      </c>
    </row>
    <row r="41" spans="1:12" s="203" customFormat="1" ht="30">
      <c r="A41" s="200" t="str">
        <f>ORÇAMENTO!A30</f>
        <v>2.12</v>
      </c>
      <c r="B41" s="187" t="str">
        <f>ORÇAMENTO!D30</f>
        <v>ARMAÇÃO DE PILAR OU VIGA DE UMA ESTRUTURA CONVENCIONAL DE CONCRETO ARMADO EM UM EDIFÍCIO DE MÚLTIPLOS PAVIMENTOS UTILIZANDO AÇO CA-60 DE 5,0 MM - MONTAGEM. AF_12/2015</v>
      </c>
      <c r="C41" s="201" t="str">
        <f>ORÇAMENTO!E30</f>
        <v>kg</v>
      </c>
      <c r="D41" s="201"/>
      <c r="E41" s="183">
        <f>ORÇAMENTO!G30*26.63%+ORÇAMENTO!G30</f>
        <v>17.715537000000001</v>
      </c>
      <c r="F41" s="183">
        <f>ORÇAMENTO!F30</f>
        <v>651.9</v>
      </c>
      <c r="G41" s="186">
        <f>MEM!L207</f>
        <v>159.76999999999998</v>
      </c>
      <c r="H41" s="186">
        <f>441.29+G41</f>
        <v>601.05999999999995</v>
      </c>
      <c r="I41" s="183">
        <f t="shared" si="0"/>
        <v>11548.76</v>
      </c>
      <c r="J41" s="169">
        <f t="shared" si="1"/>
        <v>2830.41</v>
      </c>
      <c r="K41" s="169">
        <f t="shared" si="2"/>
        <v>10648.1</v>
      </c>
      <c r="L41" s="202">
        <f t="shared" si="3"/>
        <v>0.92201240652676131</v>
      </c>
    </row>
    <row r="42" spans="1:12" s="203" customFormat="1">
      <c r="A42" s="200" t="str">
        <f>ORÇAMENTO!A31</f>
        <v>2.13</v>
      </c>
      <c r="B42" s="187" t="str">
        <f>ORÇAMENTO!D31</f>
        <v>REATERRO MANUAL APILOADO COM SOQUETE. AF_10/2017</v>
      </c>
      <c r="C42" s="201" t="str">
        <f>ORÇAMENTO!E31</f>
        <v>m³</v>
      </c>
      <c r="D42" s="201"/>
      <c r="E42" s="183">
        <f>ORÇAMENTO!G31*26.63%+ORÇAMENTO!G31</f>
        <v>42.775614000000004</v>
      </c>
      <c r="F42" s="183">
        <f>ORÇAMENTO!F31</f>
        <v>24.3</v>
      </c>
      <c r="G42" s="186"/>
      <c r="H42" s="186">
        <v>21.68</v>
      </c>
      <c r="I42" s="183">
        <f t="shared" si="0"/>
        <v>1039.45</v>
      </c>
      <c r="J42" s="169">
        <f t="shared" si="1"/>
        <v>0</v>
      </c>
      <c r="K42" s="169">
        <f t="shared" si="2"/>
        <v>927.38</v>
      </c>
      <c r="L42" s="202">
        <f t="shared" si="3"/>
        <v>0.89218336620328054</v>
      </c>
    </row>
    <row r="43" spans="1:12" s="203" customFormat="1">
      <c r="A43" s="200" t="str">
        <f>ORÇAMENTO!A32</f>
        <v>2.14</v>
      </c>
      <c r="B43" s="187" t="str">
        <f>ORÇAMENTO!D32</f>
        <v>VERGA PRÉ-MOLDADA PARA PORTAS COM ATÉ 1,5 M DE VÃO. AF_03/2016</v>
      </c>
      <c r="C43" s="201" t="str">
        <f>ORÇAMENTO!E32</f>
        <v>m</v>
      </c>
      <c r="D43" s="201"/>
      <c r="E43" s="183">
        <f>ORÇAMENTO!G32*26.63%+ORÇAMENTO!G32</f>
        <v>37.786391999999999</v>
      </c>
      <c r="F43" s="183">
        <f>ORÇAMENTO!F32</f>
        <v>58.14</v>
      </c>
      <c r="G43" s="186"/>
      <c r="H43" s="186">
        <v>9</v>
      </c>
      <c r="I43" s="183">
        <f t="shared" si="0"/>
        <v>2196.9</v>
      </c>
      <c r="J43" s="169">
        <f t="shared" si="1"/>
        <v>0</v>
      </c>
      <c r="K43" s="169">
        <f t="shared" si="2"/>
        <v>340.08</v>
      </c>
      <c r="L43" s="202">
        <f t="shared" si="3"/>
        <v>0.15479994537757749</v>
      </c>
    </row>
    <row r="44" spans="1:12" s="203" customFormat="1">
      <c r="A44" s="200" t="str">
        <f>ORÇAMENTO!A33</f>
        <v>2.15</v>
      </c>
      <c r="B44" s="187" t="str">
        <f>ORÇAMENTO!D33</f>
        <v>VERGA PRÉ-MOLDADA PARA JANELAS COM ATÉ 1,5 M DE VÃO. AF_03/2016</v>
      </c>
      <c r="C44" s="201" t="str">
        <f>ORÇAMENTO!E33</f>
        <v>m</v>
      </c>
      <c r="D44" s="201"/>
      <c r="E44" s="183">
        <f>ORÇAMENTO!G33*26.63%+ORÇAMENTO!G33</f>
        <v>52.184223000000003</v>
      </c>
      <c r="F44" s="183">
        <f>ORÇAMENTO!F33</f>
        <v>16.899999999999999</v>
      </c>
      <c r="G44" s="186"/>
      <c r="H44" s="186">
        <v>3.85</v>
      </c>
      <c r="I44" s="183">
        <f t="shared" si="0"/>
        <v>881.91</v>
      </c>
      <c r="J44" s="169">
        <f t="shared" si="1"/>
        <v>0</v>
      </c>
      <c r="K44" s="169">
        <f t="shared" si="2"/>
        <v>200.91</v>
      </c>
      <c r="L44" s="202">
        <f t="shared" si="3"/>
        <v>0.22781236180562642</v>
      </c>
    </row>
    <row r="45" spans="1:12" s="203" customFormat="1">
      <c r="A45" s="200" t="str">
        <f>ORÇAMENTO!A34</f>
        <v>2.16</v>
      </c>
      <c r="B45" s="187" t="str">
        <f>ORÇAMENTO!D34</f>
        <v>CONTRAVERGA PRÉ-MOLDADA PARA VÃOS DE ATÉ 1,5 M DE COMPRIMENTO. AF_03/2016</v>
      </c>
      <c r="C45" s="201" t="str">
        <f>ORÇAMENTO!E34</f>
        <v>m</v>
      </c>
      <c r="D45" s="201"/>
      <c r="E45" s="183">
        <f>ORÇAMENTO!G34*26.63%+ORÇAMENTO!G34</f>
        <v>50.322762000000004</v>
      </c>
      <c r="F45" s="183">
        <f>ORÇAMENTO!F34</f>
        <v>16.899999999999999</v>
      </c>
      <c r="G45" s="186"/>
      <c r="H45" s="186">
        <v>3.85</v>
      </c>
      <c r="I45" s="183">
        <f t="shared" si="0"/>
        <v>850.45</v>
      </c>
      <c r="J45" s="169">
        <f t="shared" si="1"/>
        <v>0</v>
      </c>
      <c r="K45" s="169">
        <f t="shared" si="2"/>
        <v>193.74</v>
      </c>
      <c r="L45" s="202">
        <f t="shared" si="3"/>
        <v>0.2278088071021224</v>
      </c>
    </row>
    <row r="46" spans="1:12" s="203" customFormat="1">
      <c r="A46" s="200"/>
      <c r="B46" s="187"/>
      <c r="C46" s="201"/>
      <c r="D46" s="201"/>
      <c r="E46" s="183"/>
      <c r="F46" s="183"/>
      <c r="G46" s="201"/>
      <c r="H46" s="201"/>
      <c r="I46" s="183"/>
      <c r="J46" s="169"/>
      <c r="K46" s="169"/>
      <c r="L46" s="202"/>
    </row>
    <row r="47" spans="1:12" s="203" customFormat="1">
      <c r="A47" s="200">
        <f>ORÇAMENTO!A36</f>
        <v>3</v>
      </c>
      <c r="B47" s="207" t="s">
        <v>47</v>
      </c>
      <c r="C47" s="201"/>
      <c r="D47" s="201"/>
      <c r="E47" s="183"/>
      <c r="F47" s="183"/>
      <c r="G47" s="201"/>
      <c r="H47" s="201"/>
      <c r="I47" s="183"/>
      <c r="J47" s="169"/>
      <c r="K47" s="169"/>
      <c r="L47" s="202"/>
    </row>
    <row r="48" spans="1:12" s="203" customFormat="1" ht="28.9" customHeight="1">
      <c r="A48" s="200" t="str">
        <f>ORÇAMENTO!A37</f>
        <v>3.1</v>
      </c>
      <c r="B48" s="187" t="str">
        <f>[2]ORÇAMENTO!$AD$36</f>
        <v>ALVENARIA DE VEDAÇÃO DE BLOCOS CERÂMICOS FURADOS NA HORIZONTAL DE 9X19X19 CM (ESPESSURA 9 CM) E ARGAMASSA DE ASSENTAMENTO COM PREPARO EM BETONEIRA.</v>
      </c>
      <c r="C48" s="201" t="str">
        <f>ORÇAMENTO!E37</f>
        <v>m²</v>
      </c>
      <c r="D48" s="201"/>
      <c r="E48" s="183">
        <f>ORÇAMENTO!G37*26.63%+ORÇAMENTO!G37</f>
        <v>78.459947999999997</v>
      </c>
      <c r="F48" s="183">
        <f>REPROGRAMAÇÃO!I44</f>
        <v>448.75</v>
      </c>
      <c r="G48" s="186">
        <v>115.89</v>
      </c>
      <c r="H48" s="186">
        <f>209.45+G48</f>
        <v>325.33999999999997</v>
      </c>
      <c r="I48" s="183">
        <f t="shared" si="0"/>
        <v>35208.9</v>
      </c>
      <c r="J48" s="169">
        <f t="shared" si="1"/>
        <v>9092.7199999999993</v>
      </c>
      <c r="K48" s="169">
        <f t="shared" si="2"/>
        <v>25526.16</v>
      </c>
      <c r="L48" s="202">
        <f t="shared" si="3"/>
        <v>0.72499169244139972</v>
      </c>
    </row>
    <row r="49" spans="1:12" s="203" customFormat="1">
      <c r="A49" s="200" t="str">
        <f>ORÇAMENTO!A38</f>
        <v>3.2</v>
      </c>
      <c r="B49" s="187" t="str">
        <f>ORÇAMENTO!D38</f>
        <v>Divisória em granito cinza andorinha polido, e=2cm, inclusive com montagem em ferragem - Rev 02.</v>
      </c>
      <c r="C49" s="201" t="str">
        <f>ORÇAMENTO!E38</f>
        <v>m²</v>
      </c>
      <c r="D49" s="201"/>
      <c r="E49" s="183">
        <f>ORÇAMENTO!G38*26.63%+ORÇAMENTO!G38</f>
        <v>712.59766200000001</v>
      </c>
      <c r="F49" s="183">
        <f>ORÇAMENTO!F38</f>
        <v>53.89</v>
      </c>
      <c r="G49" s="201"/>
      <c r="H49" s="201"/>
      <c r="I49" s="183">
        <f t="shared" si="0"/>
        <v>38401.89</v>
      </c>
      <c r="J49" s="169">
        <f t="shared" si="1"/>
        <v>0</v>
      </c>
      <c r="K49" s="169">
        <f t="shared" si="2"/>
        <v>0</v>
      </c>
      <c r="L49" s="202">
        <f t="shared" si="3"/>
        <v>0</v>
      </c>
    </row>
    <row r="50" spans="1:12" s="203" customFormat="1">
      <c r="A50" s="200" t="s">
        <v>530</v>
      </c>
      <c r="B50" s="187" t="str">
        <f>REPROGRAMAÇÃO!C46</f>
        <v>ALVENARIA DE TIJOLO CERÂMICO FURADO (9x19x19)cm C/ARGAMASSA MISTA DE CAL HIDRATADA ESP=20 cm</v>
      </c>
      <c r="C50" s="201" t="s">
        <v>9</v>
      </c>
      <c r="D50" s="201"/>
      <c r="E50" s="183">
        <f>REPROGRAMAÇÃO!J46</f>
        <v>128.24</v>
      </c>
      <c r="F50" s="183">
        <f>REPROGRAMAÇÃO!G46</f>
        <v>85.483000000000004</v>
      </c>
      <c r="G50" s="186">
        <f>MEM!L262</f>
        <v>85.483000000000004</v>
      </c>
      <c r="H50" s="186">
        <f>G50</f>
        <v>85.483000000000004</v>
      </c>
      <c r="I50" s="183">
        <f t="shared" si="0"/>
        <v>10962.34</v>
      </c>
      <c r="J50" s="169">
        <f t="shared" si="1"/>
        <v>10962.34</v>
      </c>
      <c r="K50" s="169">
        <f t="shared" si="2"/>
        <v>10962.34</v>
      </c>
      <c r="L50" s="202">
        <f t="shared" si="3"/>
        <v>1</v>
      </c>
    </row>
    <row r="51" spans="1:12" s="203" customFormat="1">
      <c r="A51" s="200"/>
      <c r="B51" s="187"/>
      <c r="C51" s="201"/>
      <c r="D51" s="201"/>
      <c r="E51" s="183"/>
      <c r="F51" s="183"/>
      <c r="G51" s="201"/>
      <c r="H51" s="201"/>
      <c r="I51" s="183"/>
      <c r="J51" s="169"/>
      <c r="K51" s="169"/>
      <c r="L51" s="202"/>
    </row>
    <row r="52" spans="1:12" s="203" customFormat="1">
      <c r="A52" s="200">
        <f>ORÇAMENTO!A40</f>
        <v>4</v>
      </c>
      <c r="B52" s="207" t="s">
        <v>51</v>
      </c>
      <c r="C52" s="201"/>
      <c r="D52" s="201"/>
      <c r="E52" s="183"/>
      <c r="F52" s="183"/>
      <c r="G52" s="201"/>
      <c r="H52" s="201"/>
      <c r="I52" s="183"/>
      <c r="J52" s="169"/>
      <c r="K52" s="169"/>
      <c r="L52" s="202"/>
    </row>
    <row r="53" spans="1:12" s="203" customFormat="1">
      <c r="A53" s="200" t="str">
        <f>ORÇAMENTO!A41</f>
        <v>4.1</v>
      </c>
      <c r="B53" s="187" t="str">
        <f>ORÇAMENTO!D41</f>
        <v>IMPERMEABILIZAÇÃO DE SUPERFÍCIE COM EMULSÃO ASFÁLTICA, 2 DEMÃOS AF_06/2018</v>
      </c>
      <c r="C53" s="201" t="str">
        <f>ORÇAMENTO!E41</f>
        <v>m²</v>
      </c>
      <c r="D53" s="201"/>
      <c r="E53" s="183">
        <f>ORÇAMENTO!G41*26.63%+ORÇAMENTO!G41</f>
        <v>48.777876000000006</v>
      </c>
      <c r="F53" s="183">
        <f>ORÇAMENTO!F41</f>
        <v>25.12</v>
      </c>
      <c r="G53" s="201"/>
      <c r="H53" s="201"/>
      <c r="I53" s="183">
        <f t="shared" si="0"/>
        <v>1225.3</v>
      </c>
      <c r="J53" s="169">
        <f t="shared" si="1"/>
        <v>0</v>
      </c>
      <c r="K53" s="169">
        <f t="shared" si="2"/>
        <v>0</v>
      </c>
      <c r="L53" s="202">
        <f t="shared" si="3"/>
        <v>0</v>
      </c>
    </row>
    <row r="54" spans="1:12" s="203" customFormat="1" ht="30">
      <c r="A54" s="200" t="str">
        <f>ORÇAMENTO!A42</f>
        <v>4.2</v>
      </c>
      <c r="B54" s="187" t="str">
        <f>ORÇAMENTO!D42</f>
        <v>IMPERMEABILIZAÇÃO DE SUPERFÍCIE COM MANTA ASFÁLTICA, UMA CAMADA, INCLUSIVE APLICAÇÃO DE PRIMER ASFÁLTICO, E=3MM. AF_06/2018</v>
      </c>
      <c r="C54" s="201" t="str">
        <f>ORÇAMENTO!E42</f>
        <v>m²</v>
      </c>
      <c r="D54" s="201"/>
      <c r="E54" s="183">
        <f>ORÇAMENTO!G42*26.63%+ORÇAMENTO!G42</f>
        <v>121.108932</v>
      </c>
      <c r="F54" s="183">
        <f>ORÇAMENTO!F42</f>
        <v>57.88</v>
      </c>
      <c r="G54" s="201"/>
      <c r="H54" s="201"/>
      <c r="I54" s="183">
        <f t="shared" si="0"/>
        <v>7009.78</v>
      </c>
      <c r="J54" s="169">
        <f t="shared" si="1"/>
        <v>0</v>
      </c>
      <c r="K54" s="169">
        <f t="shared" si="2"/>
        <v>0</v>
      </c>
      <c r="L54" s="202">
        <f t="shared" si="3"/>
        <v>0</v>
      </c>
    </row>
    <row r="55" spans="1:12" s="203" customFormat="1">
      <c r="A55" s="200"/>
      <c r="B55" s="187"/>
      <c r="C55" s="201"/>
      <c r="D55" s="201"/>
      <c r="E55" s="183"/>
      <c r="F55" s="183"/>
      <c r="G55" s="201"/>
      <c r="H55" s="201"/>
      <c r="I55" s="183"/>
      <c r="J55" s="169"/>
      <c r="K55" s="169"/>
      <c r="L55" s="202"/>
    </row>
    <row r="56" spans="1:12" s="203" customFormat="1">
      <c r="A56" s="200">
        <f>ORÇAMENTO!A44</f>
        <v>5</v>
      </c>
      <c r="B56" s="207" t="s">
        <v>56</v>
      </c>
      <c r="C56" s="201"/>
      <c r="D56" s="201"/>
      <c r="E56" s="183"/>
      <c r="F56" s="183"/>
      <c r="G56" s="201"/>
      <c r="H56" s="201"/>
      <c r="I56" s="183"/>
      <c r="J56" s="169"/>
      <c r="K56" s="169"/>
      <c r="L56" s="202"/>
    </row>
    <row r="57" spans="1:12" s="203" customFormat="1" ht="30">
      <c r="A57" s="200" t="str">
        <f>ORÇAMENTO!A45</f>
        <v>5.1</v>
      </c>
      <c r="B57" s="187" t="str">
        <f>ORÇAMENTO!D45</f>
        <v>TRAMA DE MADEIRA COMPOSTA POR RIPAS, CAIBROS E TERÇAS PARA TELHADOS DE ATÉ 2 ÁGUAS PARA TELHA DE ENCAIXE DE CERÂMICA OU DE CONCRETO, INCLUSO TRANSPORTE VERTICAL. AF_07/2019</v>
      </c>
      <c r="C57" s="201" t="str">
        <f>ORÇAMENTO!E45</f>
        <v>m²</v>
      </c>
      <c r="D57" s="201"/>
      <c r="E57" s="183">
        <f>ORÇAMENTO!G45*26.63%+ORÇAMENTO!G45</f>
        <v>76.573160999999999</v>
      </c>
      <c r="F57" s="208">
        <f>309.93+106</f>
        <v>415.93</v>
      </c>
      <c r="G57" s="169">
        <f>G58</f>
        <v>159.29</v>
      </c>
      <c r="H57" s="186">
        <f>107.5+G57</f>
        <v>266.78999999999996</v>
      </c>
      <c r="I57" s="183">
        <f t="shared" si="0"/>
        <v>31849.07</v>
      </c>
      <c r="J57" s="169">
        <f t="shared" si="1"/>
        <v>12197.34</v>
      </c>
      <c r="K57" s="169">
        <f t="shared" si="2"/>
        <v>20428.95</v>
      </c>
      <c r="L57" s="202">
        <f t="shared" si="3"/>
        <v>0.641430032336894</v>
      </c>
    </row>
    <row r="58" spans="1:12" s="203" customFormat="1">
      <c r="A58" s="200" t="str">
        <f>ORÇAMENTO!A46</f>
        <v>5.2</v>
      </c>
      <c r="B58" s="187" t="str">
        <f>ORÇAMENTO!D46</f>
        <v>TELHAMENTO COM TELHA CERÂMICA CAPA-CANAL, TIPO COLONIAL, COM ATÉ 2 ÁGUAS, INCLUSO TRANSPORTE VERTICAL. AF_07/2019</v>
      </c>
      <c r="C58" s="201" t="str">
        <f>ORÇAMENTO!E46</f>
        <v>m²</v>
      </c>
      <c r="D58" s="201"/>
      <c r="E58" s="183">
        <f>ORÇAMENTO!G46*26.63%+ORÇAMENTO!G46</f>
        <v>37.495142999999999</v>
      </c>
      <c r="F58" s="183">
        <f>ORÇAMENTO!F46</f>
        <v>309.93</v>
      </c>
      <c r="G58" s="186">
        <f>MEM!L326</f>
        <v>159.29</v>
      </c>
      <c r="H58" s="186">
        <f>G58</f>
        <v>159.29</v>
      </c>
      <c r="I58" s="183">
        <f t="shared" si="0"/>
        <v>11620.87</v>
      </c>
      <c r="J58" s="169">
        <f t="shared" si="1"/>
        <v>5972.6</v>
      </c>
      <c r="K58" s="169">
        <f t="shared" si="2"/>
        <v>5972.6</v>
      </c>
      <c r="L58" s="202">
        <f t="shared" si="3"/>
        <v>0.51395463506604921</v>
      </c>
    </row>
    <row r="59" spans="1:12" s="203" customFormat="1">
      <c r="A59" s="200" t="str">
        <f>ORÇAMENTO!A47</f>
        <v>5.3</v>
      </c>
      <c r="B59" s="187" t="str">
        <f>ORÇAMENTO!D47</f>
        <v>FORRO EM PLACAS DE GESSO, PARA AMBIENTES COMERCIAIS. AF_05/2017_P</v>
      </c>
      <c r="C59" s="201" t="str">
        <f>ORÇAMENTO!E47</f>
        <v>m²</v>
      </c>
      <c r="D59" s="201"/>
      <c r="E59" s="183">
        <f>ORÇAMENTO!G47*26.63%+ORÇAMENTO!G47</f>
        <v>38.153618999999999</v>
      </c>
      <c r="F59" s="183">
        <f>ORÇAMENTO!F47</f>
        <v>774.83</v>
      </c>
      <c r="G59" s="201"/>
      <c r="H59" s="201">
        <f>G59</f>
        <v>0</v>
      </c>
      <c r="I59" s="183">
        <f t="shared" si="0"/>
        <v>29562.57</v>
      </c>
      <c r="J59" s="169">
        <f t="shared" si="1"/>
        <v>0</v>
      </c>
      <c r="K59" s="169">
        <f t="shared" si="2"/>
        <v>0</v>
      </c>
      <c r="L59" s="202">
        <f t="shared" si="3"/>
        <v>0</v>
      </c>
    </row>
    <row r="60" spans="1:12" s="203" customFormat="1">
      <c r="A60" s="209" t="s">
        <v>534</v>
      </c>
      <c r="B60" s="204" t="s">
        <v>535</v>
      </c>
      <c r="C60" s="209" t="s">
        <v>9</v>
      </c>
      <c r="D60" s="201"/>
      <c r="E60" s="183">
        <f>REPROGRAMAÇÃO!J56</f>
        <v>11.57</v>
      </c>
      <c r="F60" s="183">
        <f>REPROGRAMAÇÃO!G56</f>
        <v>250</v>
      </c>
      <c r="G60" s="186">
        <f>MEM!L330</f>
        <v>250</v>
      </c>
      <c r="H60" s="201">
        <f t="shared" ref="H60:H64" si="5">G60</f>
        <v>250</v>
      </c>
      <c r="I60" s="183">
        <f t="shared" si="0"/>
        <v>2892.5</v>
      </c>
      <c r="J60" s="169">
        <f t="shared" si="1"/>
        <v>2892.5</v>
      </c>
      <c r="K60" s="169">
        <f t="shared" si="2"/>
        <v>2892.5</v>
      </c>
      <c r="L60" s="202">
        <f t="shared" si="3"/>
        <v>1</v>
      </c>
    </row>
    <row r="61" spans="1:12" s="203" customFormat="1">
      <c r="A61" s="209" t="s">
        <v>536</v>
      </c>
      <c r="B61" s="210" t="s">
        <v>538</v>
      </c>
      <c r="C61" s="211" t="s">
        <v>429</v>
      </c>
      <c r="D61" s="201"/>
      <c r="E61" s="183">
        <f>REPROGRAMAÇÃO!J57</f>
        <v>23.29</v>
      </c>
      <c r="F61" s="183">
        <f>REPROGRAMAÇÃO!G57</f>
        <v>211.57</v>
      </c>
      <c r="G61" s="201"/>
      <c r="H61" s="201">
        <f t="shared" si="5"/>
        <v>0</v>
      </c>
      <c r="I61" s="183">
        <f t="shared" si="0"/>
        <v>4927.47</v>
      </c>
      <c r="J61" s="169">
        <f t="shared" si="1"/>
        <v>0</v>
      </c>
      <c r="K61" s="169">
        <f t="shared" si="2"/>
        <v>0</v>
      </c>
      <c r="L61" s="202">
        <f t="shared" si="3"/>
        <v>0</v>
      </c>
    </row>
    <row r="62" spans="1:12" s="203" customFormat="1">
      <c r="A62" s="209" t="s">
        <v>539</v>
      </c>
      <c r="B62" s="210" t="s">
        <v>541</v>
      </c>
      <c r="C62" s="211" t="s">
        <v>429</v>
      </c>
      <c r="D62" s="201"/>
      <c r="E62" s="183">
        <f>REPROGRAMAÇÃO!J58</f>
        <v>72.739999999999995</v>
      </c>
      <c r="F62" s="183">
        <f>REPROGRAMAÇÃO!G58</f>
        <v>211.57</v>
      </c>
      <c r="G62" s="201"/>
      <c r="H62" s="201">
        <f t="shared" si="5"/>
        <v>0</v>
      </c>
      <c r="I62" s="183">
        <f t="shared" si="0"/>
        <v>15389.6</v>
      </c>
      <c r="J62" s="169">
        <f t="shared" si="1"/>
        <v>0</v>
      </c>
      <c r="K62" s="169">
        <f t="shared" si="2"/>
        <v>0</v>
      </c>
      <c r="L62" s="202">
        <f t="shared" si="3"/>
        <v>0</v>
      </c>
    </row>
    <row r="63" spans="1:12" s="203" customFormat="1">
      <c r="A63" s="209" t="s">
        <v>542</v>
      </c>
      <c r="B63" s="204" t="s">
        <v>543</v>
      </c>
      <c r="C63" s="205" t="s">
        <v>38</v>
      </c>
      <c r="D63" s="201"/>
      <c r="E63" s="183">
        <f>REPROGRAMAÇÃO!J59</f>
        <v>173.19</v>
      </c>
      <c r="F63" s="183">
        <f>REPROGRAMAÇÃO!G59</f>
        <v>118.97</v>
      </c>
      <c r="G63" s="201"/>
      <c r="H63" s="201">
        <f t="shared" si="5"/>
        <v>0</v>
      </c>
      <c r="I63" s="183">
        <f t="shared" si="0"/>
        <v>20604.41</v>
      </c>
      <c r="J63" s="169">
        <f t="shared" si="1"/>
        <v>0</v>
      </c>
      <c r="K63" s="169">
        <f t="shared" si="2"/>
        <v>0</v>
      </c>
      <c r="L63" s="202">
        <f t="shared" si="3"/>
        <v>0</v>
      </c>
    </row>
    <row r="64" spans="1:12" s="203" customFormat="1">
      <c r="A64" s="209" t="s">
        <v>544</v>
      </c>
      <c r="B64" s="210" t="s">
        <v>546</v>
      </c>
      <c r="C64" s="211" t="s">
        <v>519</v>
      </c>
      <c r="D64" s="201"/>
      <c r="E64" s="183">
        <f>REPROGRAMAÇÃO!J60</f>
        <v>25.88</v>
      </c>
      <c r="F64" s="183">
        <f>REPROGRAMAÇÃO!G60</f>
        <v>25.08</v>
      </c>
      <c r="G64" s="186">
        <f>MEM!L336</f>
        <v>14.61</v>
      </c>
      <c r="H64" s="201">
        <f t="shared" si="5"/>
        <v>14.61</v>
      </c>
      <c r="I64" s="183">
        <f t="shared" si="0"/>
        <v>649.07000000000005</v>
      </c>
      <c r="J64" s="169">
        <f t="shared" si="1"/>
        <v>378.11</v>
      </c>
      <c r="K64" s="169">
        <f t="shared" si="2"/>
        <v>378.11</v>
      </c>
      <c r="L64" s="202">
        <f t="shared" si="3"/>
        <v>0.58254117429553054</v>
      </c>
    </row>
    <row r="65" spans="1:12" s="203" customFormat="1">
      <c r="A65" s="200"/>
      <c r="B65" s="187"/>
      <c r="C65" s="201"/>
      <c r="D65" s="201"/>
      <c r="E65" s="183"/>
      <c r="F65" s="183"/>
      <c r="G65" s="201"/>
      <c r="H65" s="201"/>
      <c r="I65" s="183"/>
      <c r="J65" s="169"/>
      <c r="K65" s="169"/>
      <c r="L65" s="202"/>
    </row>
    <row r="66" spans="1:12" s="203" customFormat="1">
      <c r="A66" s="200">
        <f>ORÇAMENTO!A49</f>
        <v>6</v>
      </c>
      <c r="B66" s="207" t="s">
        <v>63</v>
      </c>
      <c r="C66" s="201"/>
      <c r="D66" s="201"/>
      <c r="E66" s="183"/>
      <c r="F66" s="183"/>
      <c r="G66" s="201"/>
      <c r="H66" s="201"/>
      <c r="I66" s="183"/>
      <c r="J66" s="169"/>
      <c r="K66" s="169"/>
      <c r="L66" s="202"/>
    </row>
    <row r="67" spans="1:12" s="203" customFormat="1">
      <c r="A67" s="200" t="str">
        <f>ORÇAMENTO!A50</f>
        <v>6.1</v>
      </c>
      <c r="B67" s="207" t="s">
        <v>65</v>
      </c>
      <c r="C67" s="201"/>
      <c r="D67" s="201"/>
      <c r="E67" s="183"/>
      <c r="F67" s="183"/>
      <c r="G67" s="201"/>
      <c r="H67" s="201"/>
      <c r="I67" s="183"/>
      <c r="J67" s="169"/>
      <c r="K67" s="169"/>
      <c r="L67" s="202"/>
    </row>
    <row r="68" spans="1:12" s="203" customFormat="1" ht="30">
      <c r="A68" s="200" t="str">
        <f>ORÇAMENTO!A51</f>
        <v>6.1.1</v>
      </c>
      <c r="B68" s="187" t="str">
        <f>ORÇAMENTO!D51</f>
        <v>JANELA DE ALUMÍNIO DE CORRER COM 2 FOLHAS PARA VIDROS, COM VIDROS, BATENTE, ACABAMENTO COM ACETATO OU BRILHANTE E FERRAGENS. EXCLUSIVE ALIZAR E CONTRAMARCO. FORNECIMENTO E INSTALAÇÃO. AF_12/2019</v>
      </c>
      <c r="C68" s="201" t="str">
        <f>ORÇAMENTO!E51</f>
        <v>m²</v>
      </c>
      <c r="D68" s="201"/>
      <c r="E68" s="183">
        <f>ORÇAMENTO!G51*26.63%+ORÇAMENTO!G51</f>
        <v>771.53126399999996</v>
      </c>
      <c r="F68" s="183">
        <f>ORÇAMENTO!F51</f>
        <v>16.559999999999999</v>
      </c>
      <c r="G68" s="201"/>
      <c r="H68" s="201"/>
      <c r="I68" s="183">
        <f t="shared" si="0"/>
        <v>12776.56</v>
      </c>
      <c r="J68" s="169">
        <f t="shared" si="1"/>
        <v>0</v>
      </c>
      <c r="K68" s="169">
        <f t="shared" si="2"/>
        <v>0</v>
      </c>
      <c r="L68" s="202">
        <f t="shared" si="3"/>
        <v>0</v>
      </c>
    </row>
    <row r="69" spans="1:12" s="203" customFormat="1" ht="30">
      <c r="A69" s="200" t="str">
        <f>ORÇAMENTO!A52</f>
        <v>6.1.2</v>
      </c>
      <c r="B69" s="187" t="str">
        <f>ORÇAMENTO!D52</f>
        <v>JANELA DE ALUMÍNIO TIPO MAXIM-AR, COM VIDROS, BATENTE E FERRAGENS. EXCLUSIVE ALIZAR, ACABAMENTO E CONTRAMARCO. FORNECIMENTO E INSTALAÇÃO. AF_12/2019</v>
      </c>
      <c r="C69" s="201" t="str">
        <f>ORÇAMENTO!E52</f>
        <v>m²</v>
      </c>
      <c r="D69" s="201"/>
      <c r="E69" s="183">
        <f>ORÇAMENTO!G52*26.63%+ORÇAMENTO!G52</f>
        <v>1448.938449</v>
      </c>
      <c r="F69" s="183">
        <f>ORÇAMENTO!F52</f>
        <v>2.5</v>
      </c>
      <c r="G69" s="201"/>
      <c r="H69" s="201"/>
      <c r="I69" s="183">
        <f t="shared" si="0"/>
        <v>3622.35</v>
      </c>
      <c r="J69" s="169">
        <f t="shared" si="1"/>
        <v>0</v>
      </c>
      <c r="K69" s="169">
        <f t="shared" si="2"/>
        <v>0</v>
      </c>
      <c r="L69" s="202">
        <f t="shared" si="3"/>
        <v>0</v>
      </c>
    </row>
    <row r="70" spans="1:12" s="203" customFormat="1" ht="30">
      <c r="A70" s="200" t="str">
        <f>ORÇAMENTO!A53</f>
        <v>6.1.3</v>
      </c>
      <c r="B70" s="187" t="str">
        <f>ORÇAMENTO!D53</f>
        <v>PORTA EM ALUMÍNIO DE ABRIR TIPO VENEZIANA COM GUARNIÇÃO, FIXAÇÃO COM PARAFUSOS - FORNECIMENTO E INSTALAÇÃO. AF_12/2019</v>
      </c>
      <c r="C70" s="201" t="str">
        <f>ORÇAMENTO!E53</f>
        <v>m²</v>
      </c>
      <c r="D70" s="201"/>
      <c r="E70" s="183">
        <f>ORÇAMENTO!G53*26.63%+ORÇAMENTO!G53</f>
        <v>969.51726899999994</v>
      </c>
      <c r="F70" s="183">
        <f>ORÇAMENTO!F53</f>
        <v>7.92</v>
      </c>
      <c r="G70" s="201"/>
      <c r="H70" s="201"/>
      <c r="I70" s="183">
        <f t="shared" si="0"/>
        <v>7678.58</v>
      </c>
      <c r="J70" s="169">
        <f t="shared" si="1"/>
        <v>0</v>
      </c>
      <c r="K70" s="169">
        <f t="shared" si="2"/>
        <v>0</v>
      </c>
      <c r="L70" s="202">
        <f t="shared" si="3"/>
        <v>0</v>
      </c>
    </row>
    <row r="71" spans="1:12" s="203" customFormat="1">
      <c r="A71" s="200" t="str">
        <f>ORÇAMENTO!A54</f>
        <v>6.1.4</v>
      </c>
      <c r="B71" s="187" t="str">
        <f>ORÇAMENTO!D54</f>
        <v>PORTA DE FERRO, DE ABRIR, TIPO GRADE COM CHAPA, COM GUARNIÇÕES. AF_12/2019</v>
      </c>
      <c r="C71" s="201" t="str">
        <f>ORÇAMENTO!E54</f>
        <v>m²</v>
      </c>
      <c r="D71" s="201"/>
      <c r="E71" s="183">
        <f>ORÇAMENTO!G54*26.63%+ORÇAMENTO!G54</f>
        <v>724.120992</v>
      </c>
      <c r="F71" s="183">
        <f>ORÇAMENTO!F54</f>
        <v>5.31</v>
      </c>
      <c r="G71" s="201"/>
      <c r="H71" s="201"/>
      <c r="I71" s="183">
        <f t="shared" si="0"/>
        <v>3845.08</v>
      </c>
      <c r="J71" s="169">
        <f t="shared" si="1"/>
        <v>0</v>
      </c>
      <c r="K71" s="169">
        <f t="shared" si="2"/>
        <v>0</v>
      </c>
      <c r="L71" s="202">
        <f t="shared" si="3"/>
        <v>0</v>
      </c>
    </row>
    <row r="72" spans="1:12" s="203" customFormat="1">
      <c r="A72" s="200" t="str">
        <f>ORÇAMENTO!A55</f>
        <v>6.1.5</v>
      </c>
      <c r="B72" s="187" t="str">
        <f>ORÇAMENTO!D55</f>
        <v>Portão em ferro, em tubo de aço galvanizado 2" e tela ondulada, malha 3/8".</v>
      </c>
      <c r="C72" s="201" t="str">
        <f>ORÇAMENTO!E55</f>
        <v>m²</v>
      </c>
      <c r="D72" s="201"/>
      <c r="E72" s="183">
        <f>ORÇAMENTO!G55*26.63%+ORÇAMENTO!G55</f>
        <v>940.87356299999999</v>
      </c>
      <c r="F72" s="183">
        <f>ORÇAMENTO!F55</f>
        <v>6.62</v>
      </c>
      <c r="G72" s="201"/>
      <c r="H72" s="201"/>
      <c r="I72" s="183">
        <f t="shared" si="0"/>
        <v>6228.58</v>
      </c>
      <c r="J72" s="169">
        <f t="shared" si="1"/>
        <v>0</v>
      </c>
      <c r="K72" s="169">
        <f t="shared" si="2"/>
        <v>0</v>
      </c>
      <c r="L72" s="202">
        <f t="shared" si="3"/>
        <v>0</v>
      </c>
    </row>
    <row r="73" spans="1:12" s="203" customFormat="1" ht="45">
      <c r="A73" s="200" t="str">
        <f>ORÇAMENTO!A56</f>
        <v>6.1.6</v>
      </c>
      <c r="B73" s="187" t="str">
        <f>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3" s="201" t="str">
        <f>ORÇAMENTO!E56</f>
        <v>unid</v>
      </c>
      <c r="D73" s="201"/>
      <c r="E73" s="183">
        <f>ORÇAMENTO!G56*26.63%+ORÇAMENTO!G56</f>
        <v>1013.951736</v>
      </c>
      <c r="F73" s="183">
        <f>ORÇAMENTO!F56</f>
        <v>8</v>
      </c>
      <c r="G73" s="201"/>
      <c r="H73" s="201"/>
      <c r="I73" s="183">
        <f t="shared" si="0"/>
        <v>8111.61</v>
      </c>
      <c r="J73" s="169">
        <f t="shared" si="1"/>
        <v>0</v>
      </c>
      <c r="K73" s="169">
        <f t="shared" si="2"/>
        <v>0</v>
      </c>
      <c r="L73" s="202">
        <f t="shared" si="3"/>
        <v>0</v>
      </c>
    </row>
    <row r="74" spans="1:12" s="203" customFormat="1" ht="45">
      <c r="A74" s="200" t="str">
        <f>ORÇAMENTO!A57</f>
        <v>6.1.7</v>
      </c>
      <c r="B74" s="187" t="str">
        <f>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4" s="201" t="str">
        <f>ORÇAMENTO!E57</f>
        <v>unid</v>
      </c>
      <c r="D74" s="201"/>
      <c r="E74" s="183">
        <f>ORÇAMENTO!G57*26.63%+ORÇAMENTO!G57</f>
        <v>1022.170023</v>
      </c>
      <c r="F74" s="183">
        <f>ORÇAMENTO!F57</f>
        <v>3</v>
      </c>
      <c r="G74" s="201"/>
      <c r="H74" s="201"/>
      <c r="I74" s="183">
        <f t="shared" si="0"/>
        <v>3066.51</v>
      </c>
      <c r="J74" s="169">
        <f t="shared" si="1"/>
        <v>0</v>
      </c>
      <c r="K74" s="169">
        <f t="shared" si="2"/>
        <v>0</v>
      </c>
      <c r="L74" s="202">
        <f t="shared" si="3"/>
        <v>0</v>
      </c>
    </row>
    <row r="75" spans="1:12" s="203" customFormat="1" ht="45">
      <c r="A75" s="200" t="str">
        <f>ORÇAMENTO!A58</f>
        <v>6.1.8</v>
      </c>
      <c r="B75" s="187" t="str">
        <f>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5" s="201" t="str">
        <f>ORÇAMENTO!E58</f>
        <v>unid</v>
      </c>
      <c r="D75" s="201"/>
      <c r="E75" s="183">
        <f>ORÇAMENTO!G58*26.63%+ORÇAMENTO!G58</f>
        <v>1068.073398</v>
      </c>
      <c r="F75" s="183">
        <f>ORÇAMENTO!F58</f>
        <v>2</v>
      </c>
      <c r="G75" s="201"/>
      <c r="H75" s="201"/>
      <c r="I75" s="183">
        <f t="shared" si="0"/>
        <v>2136.15</v>
      </c>
      <c r="J75" s="169">
        <f t="shared" si="1"/>
        <v>0</v>
      </c>
      <c r="K75" s="169">
        <f t="shared" si="2"/>
        <v>0</v>
      </c>
      <c r="L75" s="202">
        <f t="shared" si="3"/>
        <v>0</v>
      </c>
    </row>
    <row r="76" spans="1:12" s="203" customFormat="1" ht="45">
      <c r="A76" s="200" t="str">
        <f>ORÇAMENTO!A59</f>
        <v>6.1.9</v>
      </c>
      <c r="B76" s="187" t="str">
        <f>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6" s="201" t="str">
        <f>ORÇAMENTO!E59</f>
        <v>unid</v>
      </c>
      <c r="D76" s="201"/>
      <c r="E76" s="183">
        <f>ORÇAMENTO!G59*26.63%+ORÇAMENTO!G59</f>
        <v>1149.268554</v>
      </c>
      <c r="F76" s="183">
        <f>ORÇAMENTO!F59</f>
        <v>22</v>
      </c>
      <c r="G76" s="201"/>
      <c r="H76" s="201"/>
      <c r="I76" s="183">
        <f t="shared" si="0"/>
        <v>25283.91</v>
      </c>
      <c r="J76" s="169">
        <f t="shared" si="1"/>
        <v>0</v>
      </c>
      <c r="K76" s="169">
        <f t="shared" si="2"/>
        <v>0</v>
      </c>
      <c r="L76" s="202">
        <f t="shared" si="3"/>
        <v>0</v>
      </c>
    </row>
    <row r="77" spans="1:12" s="203" customFormat="1">
      <c r="A77" s="200" t="str">
        <f>ORÇAMENTO!A60</f>
        <v>6.1.10</v>
      </c>
      <c r="B77" s="187" t="str">
        <f>ORÇAMENTO!D60</f>
        <v>Porta em madeira compensada (canela), lisa e semi-oca, 1,00 x 2,10 m, inclusive batentes e ferragens.</v>
      </c>
      <c r="C77" s="201" t="str">
        <f>ORÇAMENTO!E60</f>
        <v>unid</v>
      </c>
      <c r="D77" s="201"/>
      <c r="E77" s="183">
        <f>ORÇAMENTO!G60*26.63%+ORÇAMENTO!G60</f>
        <v>1016.1044459999999</v>
      </c>
      <c r="F77" s="183">
        <f>ORÇAMENTO!F60</f>
        <v>11</v>
      </c>
      <c r="G77" s="201"/>
      <c r="H77" s="201"/>
      <c r="I77" s="183">
        <f t="shared" si="0"/>
        <v>11177.15</v>
      </c>
      <c r="J77" s="169">
        <f t="shared" si="1"/>
        <v>0</v>
      </c>
      <c r="K77" s="169">
        <f t="shared" si="2"/>
        <v>0</v>
      </c>
      <c r="L77" s="202">
        <f t="shared" si="3"/>
        <v>0</v>
      </c>
    </row>
    <row r="78" spans="1:12" s="203" customFormat="1">
      <c r="A78" s="200"/>
      <c r="B78" s="187"/>
      <c r="C78" s="201"/>
      <c r="D78" s="201"/>
      <c r="E78" s="183"/>
      <c r="F78" s="183"/>
      <c r="G78" s="201"/>
      <c r="H78" s="201"/>
      <c r="I78" s="183"/>
      <c r="J78" s="169"/>
      <c r="K78" s="169"/>
      <c r="L78" s="202"/>
    </row>
    <row r="79" spans="1:12" s="203" customFormat="1">
      <c r="A79" s="200" t="str">
        <f>ORÇAMENTO!A62</f>
        <v>6.2</v>
      </c>
      <c r="B79" s="207" t="s">
        <v>81</v>
      </c>
      <c r="C79" s="201"/>
      <c r="D79" s="201"/>
      <c r="E79" s="183"/>
      <c r="F79" s="183"/>
      <c r="G79" s="201"/>
      <c r="H79" s="201"/>
      <c r="I79" s="183"/>
      <c r="J79" s="169"/>
      <c r="K79" s="169"/>
      <c r="L79" s="202"/>
    </row>
    <row r="80" spans="1:12" s="203" customFormat="1">
      <c r="A80" s="200" t="str">
        <f>ORÇAMENTO!A63</f>
        <v>6.2.1</v>
      </c>
      <c r="B80" s="187" t="str">
        <f>ORÇAMENTO!D63</f>
        <v>Porta em vidro temperado 10mm, incolor,inclusive ferragens de fixação e instalação, exclusive puxador.</v>
      </c>
      <c r="C80" s="201" t="str">
        <f>ORÇAMENTO!E63</f>
        <v>m²</v>
      </c>
      <c r="D80" s="201"/>
      <c r="E80" s="183">
        <f>ORÇAMENTO!G63*26.63%+ORÇAMENTO!G63</f>
        <v>668.37846600000012</v>
      </c>
      <c r="F80" s="183">
        <f>ORÇAMENTO!F63</f>
        <v>23.1</v>
      </c>
      <c r="G80" s="201"/>
      <c r="H80" s="201"/>
      <c r="I80" s="183">
        <f t="shared" si="0"/>
        <v>15439.54</v>
      </c>
      <c r="J80" s="169">
        <f t="shared" si="1"/>
        <v>0</v>
      </c>
      <c r="K80" s="169">
        <f t="shared" si="2"/>
        <v>0</v>
      </c>
      <c r="L80" s="202">
        <f t="shared" si="3"/>
        <v>0</v>
      </c>
    </row>
    <row r="81" spans="1:13" s="203" customFormat="1" ht="30">
      <c r="A81" s="200" t="str">
        <f>ORÇAMENTO!A64</f>
        <v>6.2.2</v>
      </c>
      <c r="B81" s="187" t="str">
        <f>ORÇAMENTO!D64</f>
        <v>PORTA DE CORRER DE ALUMÍNIO, COM DUAS FOLHAS PARA VIDRO, INCLUSO VIDRO LISO INCOLOR, FECHADURA E PUXADOR, SEM ALIZAR. AF_12/2019</v>
      </c>
      <c r="C81" s="201" t="str">
        <f>ORÇAMENTO!E64</f>
        <v>m²</v>
      </c>
      <c r="D81" s="201"/>
      <c r="E81" s="183">
        <f>ORÇAMENTO!G64*26.63%+ORÇAMENTO!G64</f>
        <v>591.96992399999999</v>
      </c>
      <c r="F81" s="183">
        <f>ORÇAMENTO!F64</f>
        <v>25.08</v>
      </c>
      <c r="G81" s="201"/>
      <c r="H81" s="201"/>
      <c r="I81" s="183">
        <f t="shared" si="0"/>
        <v>14846.61</v>
      </c>
      <c r="J81" s="169">
        <f t="shared" si="1"/>
        <v>0</v>
      </c>
      <c r="K81" s="169">
        <f t="shared" si="2"/>
        <v>0</v>
      </c>
      <c r="L81" s="202">
        <f t="shared" si="3"/>
        <v>0</v>
      </c>
    </row>
    <row r="82" spans="1:13" s="203" customFormat="1">
      <c r="A82" s="200"/>
      <c r="B82" s="187"/>
      <c r="C82" s="201"/>
      <c r="D82" s="201"/>
      <c r="E82" s="183"/>
      <c r="F82" s="183"/>
      <c r="G82" s="201"/>
      <c r="H82" s="201"/>
      <c r="I82" s="183"/>
      <c r="J82" s="169"/>
      <c r="K82" s="169"/>
      <c r="L82" s="202"/>
    </row>
    <row r="83" spans="1:13" s="203" customFormat="1">
      <c r="A83" s="200" t="str">
        <f>ORÇAMENTO!A66</f>
        <v>6.3</v>
      </c>
      <c r="B83" s="207" t="s">
        <v>85</v>
      </c>
      <c r="C83" s="201"/>
      <c r="D83" s="201"/>
      <c r="E83" s="183"/>
      <c r="F83" s="183"/>
      <c r="G83" s="201"/>
      <c r="H83" s="201"/>
      <c r="I83" s="183"/>
      <c r="J83" s="169"/>
      <c r="K83" s="169"/>
      <c r="L83" s="202"/>
    </row>
    <row r="84" spans="1:13" s="203" customFormat="1">
      <c r="A84" s="200" t="str">
        <f>ORÇAMENTO!A67</f>
        <v>6.3.1</v>
      </c>
      <c r="B84" s="187" t="str">
        <f>ORÇAMENTO!D67</f>
        <v>Puxador duplo para porta, em alumínio polido, d = 1", I = 40mm, ref. 3008, Vesfer</v>
      </c>
      <c r="C84" s="201" t="str">
        <f>ORÇAMENTO!E67</f>
        <v>unid</v>
      </c>
      <c r="D84" s="201"/>
      <c r="E84" s="183">
        <f>ORÇAMENTO!G67*26.63%+ORÇAMENTO!G67</f>
        <v>254.336355</v>
      </c>
      <c r="F84" s="183">
        <f>ORÇAMENTO!F67</f>
        <v>2</v>
      </c>
      <c r="G84" s="201"/>
      <c r="H84" s="201"/>
      <c r="I84" s="183">
        <f t="shared" si="0"/>
        <v>508.67</v>
      </c>
      <c r="J84" s="169">
        <f t="shared" si="1"/>
        <v>0</v>
      </c>
      <c r="K84" s="169">
        <f t="shared" si="2"/>
        <v>0</v>
      </c>
      <c r="L84" s="202">
        <f t="shared" si="3"/>
        <v>0</v>
      </c>
    </row>
    <row r="85" spans="1:13" s="203" customFormat="1">
      <c r="A85" s="200" t="str">
        <f>ORÇAMENTO!A68</f>
        <v>6.3.2</v>
      </c>
      <c r="B85" s="187" t="str">
        <f>ORÇAMENTO!D68</f>
        <v>TARJETA TIPO LIVRE/OCUPADO PARA PORTA DE BANHEIRO. AF_12/2019</v>
      </c>
      <c r="C85" s="201" t="str">
        <f>ORÇAMENTO!E68</f>
        <v>unid</v>
      </c>
      <c r="D85" s="201"/>
      <c r="E85" s="183">
        <f>ORÇAMENTO!G68*26.63%+ORÇAMENTO!G68</f>
        <v>83.449170000000009</v>
      </c>
      <c r="F85" s="183">
        <f>ORÇAMENTO!F68</f>
        <v>6</v>
      </c>
      <c r="G85" s="201"/>
      <c r="H85" s="201"/>
      <c r="I85" s="183">
        <f t="shared" si="0"/>
        <v>500.7</v>
      </c>
      <c r="J85" s="169">
        <f t="shared" si="1"/>
        <v>0</v>
      </c>
      <c r="K85" s="169">
        <f t="shared" si="2"/>
        <v>0</v>
      </c>
      <c r="L85" s="202">
        <f t="shared" si="3"/>
        <v>0</v>
      </c>
    </row>
    <row r="86" spans="1:13" s="203" customFormat="1">
      <c r="A86" s="200"/>
      <c r="B86" s="187"/>
      <c r="C86" s="201"/>
      <c r="D86" s="201"/>
      <c r="E86" s="183"/>
      <c r="F86" s="183"/>
      <c r="G86" s="201"/>
      <c r="H86" s="201"/>
      <c r="I86" s="183"/>
      <c r="J86" s="169"/>
      <c r="K86" s="169"/>
      <c r="L86" s="202"/>
    </row>
    <row r="87" spans="1:13" s="203" customFormat="1">
      <c r="A87" s="200">
        <f>ORÇAMENTO!A70</f>
        <v>7</v>
      </c>
      <c r="B87" s="207" t="s">
        <v>88</v>
      </c>
      <c r="C87" s="201"/>
      <c r="D87" s="201"/>
      <c r="E87" s="183"/>
      <c r="F87" s="183"/>
      <c r="G87" s="201"/>
      <c r="H87" s="201"/>
      <c r="I87" s="183"/>
      <c r="J87" s="169"/>
      <c r="K87" s="169"/>
      <c r="L87" s="202"/>
    </row>
    <row r="88" spans="1:13" s="203" customFormat="1" ht="30">
      <c r="A88" s="200" t="str">
        <f>ORÇAMENTO!A71</f>
        <v>7.1</v>
      </c>
      <c r="B88" s="187" t="str">
        <f>ORÇAMENTO!D71</f>
        <v>MASSA ÚNICA, PARA RECEBIMENTO DE PINTURA, EM ARGAMASSA TRAÇO 1:2:8, PREPARO MECÂNICO COM BETONEIRA 400L, APLICADA MANUALMENTE EM FACES INTERNAS DE PAREDES, ESPESSURA DE 20MM, COM EXECUÇÃO DE TALISCAS. AF_06/2014</v>
      </c>
      <c r="C88" s="201" t="str">
        <f>ORÇAMENTO!E71</f>
        <v>m²</v>
      </c>
      <c r="D88" s="201"/>
      <c r="E88" s="183">
        <f>ORÇAMENTO!G71*26.63%+ORÇAMENTO!G71</f>
        <v>31.619510999999999</v>
      </c>
      <c r="F88" s="183">
        <f>418.9+610.59</f>
        <v>1029.49</v>
      </c>
      <c r="G88" s="169">
        <f>MEM!L343</f>
        <v>467.8239999999995</v>
      </c>
      <c r="H88" s="186">
        <f>418.91+G88</f>
        <v>886.73399999999947</v>
      </c>
      <c r="I88" s="183">
        <f t="shared" si="0"/>
        <v>32551.97</v>
      </c>
      <c r="J88" s="169">
        <f t="shared" si="1"/>
        <v>14792.37</v>
      </c>
      <c r="K88" s="169">
        <f t="shared" si="2"/>
        <v>28038.1</v>
      </c>
      <c r="L88" s="202">
        <f t="shared" si="3"/>
        <v>0.86133343081847269</v>
      </c>
    </row>
    <row r="89" spans="1:13" s="203" customFormat="1" ht="48.75" customHeight="1">
      <c r="A89" s="200" t="str">
        <f>ORÇAMENTO!A72</f>
        <v>7.2</v>
      </c>
      <c r="B89" s="187" t="str">
        <f>ORÇAMENTO!D72</f>
        <v>CHAPISCO APLICADO EM ALVENARIAS E ESTRUTURAS DE CONCRETO INTERNAS, COM COLHER DE PEDREIRO.  ARGAMASSA TRAÇO 1:3 COM PREPARO EM BETONEIRA 400L. AF_06/2014</v>
      </c>
      <c r="C89" s="201" t="str">
        <f>ORÇAMENTO!E72</f>
        <v>m²</v>
      </c>
      <c r="D89" s="201"/>
      <c r="E89" s="183">
        <f>ORÇAMENTO!G72*26.63%+ORÇAMENTO!G72</f>
        <v>3.7862370000000003</v>
      </c>
      <c r="F89" s="183">
        <f>418.9+610.59</f>
        <v>1029.49</v>
      </c>
      <c r="G89" s="186">
        <f>MEM!L450</f>
        <v>467.8239999999995</v>
      </c>
      <c r="H89" s="186">
        <f>418.91+G89</f>
        <v>886.73399999999947</v>
      </c>
      <c r="I89" s="183">
        <f t="shared" si="0"/>
        <v>3897.89</v>
      </c>
      <c r="J89" s="169">
        <f t="shared" si="1"/>
        <v>1771.29</v>
      </c>
      <c r="K89" s="169">
        <f t="shared" si="2"/>
        <v>3357.39</v>
      </c>
      <c r="L89" s="202">
        <f t="shared" si="3"/>
        <v>0.86133523521700206</v>
      </c>
    </row>
    <row r="90" spans="1:13" s="203" customFormat="1">
      <c r="A90" s="200" t="str">
        <f>ORÇAMENTO!A73</f>
        <v>7.3</v>
      </c>
      <c r="B90" s="187"/>
      <c r="C90" s="201" t="str">
        <f>ORÇAMENTO!E73</f>
        <v>m²</v>
      </c>
      <c r="D90" s="201"/>
      <c r="E90" s="183">
        <f>ORÇAMENTO!G73*26.63%+ORÇAMENTO!G73</f>
        <v>77.712830999999994</v>
      </c>
      <c r="F90" s="183">
        <f>ORÇAMENTO!F73</f>
        <v>423.52</v>
      </c>
      <c r="G90" s="201"/>
      <c r="H90" s="201"/>
      <c r="I90" s="183">
        <f t="shared" si="0"/>
        <v>32912.94</v>
      </c>
      <c r="J90" s="169">
        <f t="shared" si="1"/>
        <v>0</v>
      </c>
      <c r="K90" s="169">
        <f t="shared" si="2"/>
        <v>0</v>
      </c>
      <c r="L90" s="202">
        <f t="shared" si="3"/>
        <v>0</v>
      </c>
    </row>
    <row r="91" spans="1:13" s="203" customFormat="1">
      <c r="A91" s="200" t="str">
        <f>ORÇAMENTO!A74</f>
        <v>7.4</v>
      </c>
      <c r="B91" s="187"/>
      <c r="C91" s="201" t="str">
        <f>ORÇAMENTO!E74</f>
        <v>m²</v>
      </c>
      <c r="D91" s="201"/>
      <c r="E91" s="183">
        <f>ORÇAMENTO!G74*26.63%+ORÇAMENTO!G74</f>
        <v>507.91293000000002</v>
      </c>
      <c r="F91" s="183">
        <f>ORÇAMENTO!F74</f>
        <v>99.65</v>
      </c>
      <c r="G91" s="201"/>
      <c r="H91" s="201"/>
      <c r="I91" s="183">
        <f t="shared" si="0"/>
        <v>50613.52</v>
      </c>
      <c r="J91" s="169">
        <f t="shared" si="1"/>
        <v>0</v>
      </c>
      <c r="K91" s="169">
        <f t="shared" si="2"/>
        <v>0</v>
      </c>
      <c r="L91" s="202">
        <f t="shared" si="3"/>
        <v>0</v>
      </c>
    </row>
    <row r="92" spans="1:13" s="203" customFormat="1">
      <c r="A92" s="200"/>
      <c r="B92" s="187"/>
      <c r="C92" s="201"/>
      <c r="D92" s="201"/>
      <c r="E92" s="183"/>
      <c r="F92" s="183"/>
      <c r="G92" s="201"/>
      <c r="H92" s="201"/>
      <c r="I92" s="183"/>
      <c r="J92" s="169"/>
      <c r="K92" s="169"/>
      <c r="L92" s="202"/>
    </row>
    <row r="93" spans="1:13" s="203" customFormat="1">
      <c r="A93" s="200">
        <f>ORÇAMENTO!A76</f>
        <v>8</v>
      </c>
      <c r="B93" s="207" t="s">
        <v>97</v>
      </c>
      <c r="C93" s="201"/>
      <c r="D93" s="201"/>
      <c r="E93" s="183"/>
      <c r="F93" s="183"/>
      <c r="G93" s="201"/>
      <c r="H93" s="201"/>
      <c r="I93" s="183"/>
      <c r="J93" s="169"/>
      <c r="K93" s="169"/>
      <c r="L93" s="202"/>
    </row>
    <row r="94" spans="1:13" s="203" customFormat="1" ht="30">
      <c r="A94" s="200" t="str">
        <f>ORÇAMENTO!A77</f>
        <v>8.1</v>
      </c>
      <c r="B94" s="187" t="str">
        <f>ORÇAMENTO!D77</f>
        <v>CONTRAPISO EM ARGAMASSA TRAÇO 1:4 (CIMENTO E AREIA), PREPARO MECÂNICO COM BETONEIRA 400 L, APLICADO EM ÁREAS SECAS SOBRE LAJE, ADERIDO, ACABAMENTO NÃO REFORÇADO, ESPESSURA 2CM. AF_07/2021</v>
      </c>
      <c r="C94" s="201" t="str">
        <f>ORÇAMENTO!E77</f>
        <v>m²</v>
      </c>
      <c r="D94" s="201"/>
      <c r="E94" s="183">
        <f>ORÇAMENTO!G77*26.63%+ORÇAMENTO!G77</f>
        <v>28.238489999999999</v>
      </c>
      <c r="F94" s="183">
        <f>ORÇAMENTO!F77</f>
        <v>774.83</v>
      </c>
      <c r="G94" s="186">
        <f>MEM!L562</f>
        <v>505.55</v>
      </c>
      <c r="H94" s="186">
        <f>231.18+G94-33.73</f>
        <v>703</v>
      </c>
      <c r="I94" s="183">
        <f t="shared" ref="I94:I158" si="6">ROUND(E94*F94,2)</f>
        <v>21880.03</v>
      </c>
      <c r="J94" s="169">
        <f t="shared" ref="J94:J158" si="7">ROUND(E94*G94,2)</f>
        <v>14275.97</v>
      </c>
      <c r="K94" s="169">
        <f t="shared" ref="K94:K158" si="8">ROUND(E94*H94,2)</f>
        <v>19851.66</v>
      </c>
      <c r="L94" s="202">
        <f t="shared" ref="L94:L158" si="9">K94/I94</f>
        <v>0.90729583094721533</v>
      </c>
      <c r="M94" s="212">
        <f>H94-703</f>
        <v>0</v>
      </c>
    </row>
    <row r="95" spans="1:13" s="203" customFormat="1" ht="30">
      <c r="A95" s="200" t="str">
        <f>ORÇAMENTO!A78</f>
        <v>8.2</v>
      </c>
      <c r="B95" s="187" t="str">
        <f>ORÇAMENTO!D78</f>
        <v>REVESTIMENTO CERÂMICO PARA PISO COM PLACAS TIPO PORCELANATO DE DIMENSÕES 60X60 CM APLICADA EM AMBIENTES DE ÁREA MAIOR QUE 10 M². AF_06/2014</v>
      </c>
      <c r="C95" s="201" t="str">
        <f>ORÇAMENTO!E78</f>
        <v>m²</v>
      </c>
      <c r="D95" s="201"/>
      <c r="E95" s="183">
        <f>ORÇAMENTO!G78*26.63%+ORÇAMENTO!G78</f>
        <v>184.01871599999998</v>
      </c>
      <c r="F95" s="183">
        <f>ORÇAMENTO!F78</f>
        <v>774.83</v>
      </c>
      <c r="G95" s="201"/>
      <c r="H95" s="201"/>
      <c r="I95" s="183">
        <f t="shared" si="6"/>
        <v>142583.22</v>
      </c>
      <c r="J95" s="169">
        <f t="shared" si="7"/>
        <v>0</v>
      </c>
      <c r="K95" s="169">
        <f t="shared" si="8"/>
        <v>0</v>
      </c>
      <c r="L95" s="202">
        <f t="shared" si="9"/>
        <v>0</v>
      </c>
    </row>
    <row r="96" spans="1:13" s="203" customFormat="1">
      <c r="A96" s="200" t="str">
        <f>ORÇAMENTO!A79</f>
        <v>8.3</v>
      </c>
      <c r="B96" s="187" t="str">
        <f>ORÇAMENTO!D79</f>
        <v>PLANTIO DE GRAMA EM PLACAS. AF_05/2018</v>
      </c>
      <c r="C96" s="201" t="str">
        <f>ORÇAMENTO!E79</f>
        <v>m²</v>
      </c>
      <c r="D96" s="201"/>
      <c r="E96" s="183">
        <f>ORÇAMENTO!G79*26.63%+ORÇAMENTO!G79</f>
        <v>16.550540999999999</v>
      </c>
      <c r="F96" s="183">
        <f>ORÇAMENTO!F79</f>
        <v>176.89</v>
      </c>
      <c r="G96" s="201"/>
      <c r="H96" s="201"/>
      <c r="I96" s="183">
        <f t="shared" si="6"/>
        <v>2927.63</v>
      </c>
      <c r="J96" s="169">
        <f t="shared" si="7"/>
        <v>0</v>
      </c>
      <c r="K96" s="169">
        <f t="shared" si="8"/>
        <v>0</v>
      </c>
      <c r="L96" s="202">
        <f t="shared" si="9"/>
        <v>0</v>
      </c>
    </row>
    <row r="97" spans="1:12" s="203" customFormat="1" ht="30">
      <c r="A97" s="200" t="str">
        <f>ORÇAMENTO!A80</f>
        <v>8.4</v>
      </c>
      <c r="B97" s="187" t="str">
        <f>ORÇAMENTO!D80</f>
        <v>RECOMPOSIÇÃO DE PAVIMENTO EM PARALELEPÍPEDOS, REJUNTAMENTO COM ARGAMASSA, COM REAPROVEITAMENTO DOS PARALELEPÍPEDOS, PARA O FECHAMENTO DE VALAS - INCLUSO RETIRADA E COLOCAÇÃO DO MATERIAL. AF_12/2020</v>
      </c>
      <c r="C97" s="201" t="str">
        <f>ORÇAMENTO!E80</f>
        <v>m²</v>
      </c>
      <c r="D97" s="201"/>
      <c r="E97" s="183">
        <f>ORÇAMENTO!G80*26.63%+ORÇAMENTO!G80</f>
        <v>57.312737999999996</v>
      </c>
      <c r="F97" s="183">
        <f>ORÇAMENTO!F80</f>
        <v>155.13</v>
      </c>
      <c r="G97" s="201"/>
      <c r="H97" s="201"/>
      <c r="I97" s="183">
        <f t="shared" si="6"/>
        <v>8890.93</v>
      </c>
      <c r="J97" s="169">
        <f t="shared" si="7"/>
        <v>0</v>
      </c>
      <c r="K97" s="169">
        <f t="shared" si="8"/>
        <v>0</v>
      </c>
      <c r="L97" s="202">
        <f t="shared" si="9"/>
        <v>0</v>
      </c>
    </row>
    <row r="98" spans="1:12" s="203" customFormat="1">
      <c r="A98" s="200" t="s">
        <v>569</v>
      </c>
      <c r="B98" s="187" t="str">
        <f>REPROGRAMAÇÃO!C104</f>
        <v>LASTRO DE CONCRETO MAGRO, APLICADO EM PISOS, LAJES SOBRE SOLO OU RADIERS, ESPESSURA DE 5 CM. AF_07/2016</v>
      </c>
      <c r="C98" s="201" t="s">
        <v>9</v>
      </c>
      <c r="D98" s="201"/>
      <c r="E98" s="183">
        <f>REPROGRAMAÇÃO!J104</f>
        <v>27.809999999999995</v>
      </c>
      <c r="F98" s="183">
        <f>REPROGRAMAÇÃO!G104</f>
        <v>736.73</v>
      </c>
      <c r="G98" s="186">
        <f>MEM!L593</f>
        <v>736.73</v>
      </c>
      <c r="H98" s="201">
        <f>G98</f>
        <v>736.73</v>
      </c>
      <c r="I98" s="183">
        <f t="shared" si="6"/>
        <v>20488.46</v>
      </c>
      <c r="J98" s="169">
        <f t="shared" si="7"/>
        <v>20488.46</v>
      </c>
      <c r="K98" s="169">
        <f t="shared" si="8"/>
        <v>20488.46</v>
      </c>
      <c r="L98" s="202">
        <f t="shared" si="9"/>
        <v>1</v>
      </c>
    </row>
    <row r="99" spans="1:12" s="203" customFormat="1">
      <c r="A99" s="200"/>
      <c r="B99" s="187"/>
      <c r="C99" s="201"/>
      <c r="D99" s="201"/>
      <c r="E99" s="183"/>
      <c r="F99" s="183"/>
      <c r="G99" s="201"/>
      <c r="H99" s="201"/>
      <c r="I99" s="183"/>
      <c r="J99" s="169"/>
      <c r="K99" s="169"/>
      <c r="L99" s="202"/>
    </row>
    <row r="100" spans="1:12" s="203" customFormat="1">
      <c r="A100" s="200">
        <f>ORÇAMENTO!A82</f>
        <v>9</v>
      </c>
      <c r="B100" s="207" t="s">
        <v>99</v>
      </c>
      <c r="C100" s="201"/>
      <c r="D100" s="201"/>
      <c r="E100" s="183"/>
      <c r="F100" s="183"/>
      <c r="G100" s="201"/>
      <c r="H100" s="201"/>
      <c r="I100" s="183"/>
      <c r="J100" s="169"/>
      <c r="K100" s="169"/>
      <c r="L100" s="202"/>
    </row>
    <row r="101" spans="1:12" s="203" customFormat="1">
      <c r="A101" s="200" t="str">
        <f>ORÇAMENTO!A83</f>
        <v>9.1</v>
      </c>
      <c r="B101" s="207" t="s">
        <v>334</v>
      </c>
      <c r="C101" s="201"/>
      <c r="D101" s="201"/>
      <c r="E101" s="183"/>
      <c r="F101" s="183"/>
      <c r="G101" s="201"/>
      <c r="H101" s="201"/>
      <c r="I101" s="183"/>
      <c r="J101" s="169"/>
      <c r="K101" s="169"/>
      <c r="L101" s="202"/>
    </row>
    <row r="102" spans="1:12" s="203" customFormat="1" ht="30">
      <c r="A102" s="200" t="str">
        <f>ORÇAMENTO!A84</f>
        <v>9.1.1</v>
      </c>
      <c r="B102" s="187" t="str">
        <f>ORÇAMENTO!D84</f>
        <v>CAIXA SIFONADA, PVC, DN 100 X 100 X 50 MM, JUNTA ELÁSTICA, FORNECIDA E INSTALADA EM RAMAL DE DESCARGA OU EM RAMAL DE ESGOTO SANITÁRIO. AF_12/2014</v>
      </c>
      <c r="C102" s="201" t="str">
        <f>ORÇAMENTO!E84</f>
        <v>unid</v>
      </c>
      <c r="D102" s="201"/>
      <c r="E102" s="183">
        <f>ORÇAMENTO!G84*26.63%+ORÇAMENTO!G84</f>
        <v>41.040782999999998</v>
      </c>
      <c r="F102" s="183">
        <f>ORÇAMENTO!F84</f>
        <v>28</v>
      </c>
      <c r="G102" s="186"/>
      <c r="H102" s="186">
        <v>20</v>
      </c>
      <c r="I102" s="183">
        <f t="shared" si="6"/>
        <v>1149.1400000000001</v>
      </c>
      <c r="J102" s="169">
        <f t="shared" si="7"/>
        <v>0</v>
      </c>
      <c r="K102" s="169">
        <f t="shared" si="8"/>
        <v>820.82</v>
      </c>
      <c r="L102" s="202">
        <f t="shared" si="9"/>
        <v>0.71429068694850062</v>
      </c>
    </row>
    <row r="103" spans="1:12" s="203" customFormat="1" ht="30">
      <c r="A103" s="200" t="str">
        <f>ORÇAMENTO!A85</f>
        <v>9.1.2</v>
      </c>
      <c r="B103" s="187" t="str">
        <f>ORÇAMENTO!D85</f>
        <v>JOELHO 90 GRAUS, PVC, SERIE NORMAL, ESGOTO PREDIAL, DN 100 MM, JUNTA ELÁSTICA, FORNECIDO E INSTALADO EM RAMAL DE DESCARGA OU RAMAL DE ESGOTO SANITÁRIO. AF_12/2014</v>
      </c>
      <c r="C103" s="201" t="str">
        <f>ORÇAMENTO!E85</f>
        <v>unid</v>
      </c>
      <c r="D103" s="201"/>
      <c r="E103" s="183">
        <f>ORÇAMENTO!G85*26.63%+ORÇAMENTO!G85</f>
        <v>26.592300000000002</v>
      </c>
      <c r="F103" s="183">
        <f>ORÇAMENTO!F85</f>
        <v>13</v>
      </c>
      <c r="G103" s="186"/>
      <c r="H103" s="186">
        <v>10</v>
      </c>
      <c r="I103" s="183">
        <f t="shared" si="6"/>
        <v>345.7</v>
      </c>
      <c r="J103" s="169">
        <f t="shared" si="7"/>
        <v>0</v>
      </c>
      <c r="K103" s="169">
        <f t="shared" si="8"/>
        <v>265.92</v>
      </c>
      <c r="L103" s="202">
        <f t="shared" si="9"/>
        <v>0.76922186867225928</v>
      </c>
    </row>
    <row r="104" spans="1:12" s="203" customFormat="1" ht="30">
      <c r="A104" s="200" t="str">
        <f>ORÇAMENTO!A86</f>
        <v>9.1.3</v>
      </c>
      <c r="B104" s="187" t="str">
        <f>ORÇAMENTO!D86</f>
        <v>JOELHO 90 GRAUS, PVC, SERIE NORMAL, ESGOTO PREDIAL, DN 40 MM, JUNTA SOLDÁVEL, FORNECIDO E INSTALADO EM RAMAL DE DESCARGA OU RAMAL DE ESGOTO SANITÁRIO. AF_12/2014</v>
      </c>
      <c r="C104" s="201" t="str">
        <f>ORÇAMENTO!E86</f>
        <v>unid</v>
      </c>
      <c r="D104" s="201"/>
      <c r="E104" s="183">
        <f>ORÇAMENTO!G86*26.63%+ORÇAMENTO!G86</f>
        <v>10.712898000000001</v>
      </c>
      <c r="F104" s="183">
        <f>ORÇAMENTO!F86</f>
        <v>63</v>
      </c>
      <c r="G104" s="186"/>
      <c r="H104" s="186">
        <v>50</v>
      </c>
      <c r="I104" s="183">
        <f t="shared" si="6"/>
        <v>674.91</v>
      </c>
      <c r="J104" s="169">
        <f t="shared" si="7"/>
        <v>0</v>
      </c>
      <c r="K104" s="169">
        <f t="shared" si="8"/>
        <v>535.64</v>
      </c>
      <c r="L104" s="202">
        <f t="shared" si="9"/>
        <v>0.79364656028211167</v>
      </c>
    </row>
    <row r="105" spans="1:12" s="203" customFormat="1" ht="30">
      <c r="A105" s="200" t="str">
        <f>ORÇAMENTO!A87</f>
        <v>9.1.4</v>
      </c>
      <c r="B105" s="187" t="str">
        <f>ORÇAMENTO!D87</f>
        <v>JOELHO 90 GRAUS, PVC, SERIE NORMAL, ESGOTO PREDIAL, DN 50 MM, JUNTA ELÁSTICA, FORNECIDO E INSTALADO EM RAMAL DE DESCARGA OU RAMAL DE ESGOTO SANITÁRIO. AF_12/2014</v>
      </c>
      <c r="C105" s="201" t="str">
        <f>ORÇAMENTO!E87</f>
        <v>unid</v>
      </c>
      <c r="D105" s="201"/>
      <c r="E105" s="183">
        <f>ORÇAMENTO!G87*26.63%+ORÇAMENTO!G87</f>
        <v>11.295396</v>
      </c>
      <c r="F105" s="183">
        <f>ORÇAMENTO!F87</f>
        <v>38</v>
      </c>
      <c r="G105" s="186"/>
      <c r="H105" s="186">
        <v>30</v>
      </c>
      <c r="I105" s="183">
        <f t="shared" si="6"/>
        <v>429.23</v>
      </c>
      <c r="J105" s="169">
        <f t="shared" si="7"/>
        <v>0</v>
      </c>
      <c r="K105" s="169">
        <f t="shared" si="8"/>
        <v>338.86</v>
      </c>
      <c r="L105" s="202">
        <f t="shared" si="9"/>
        <v>0.78946019616522611</v>
      </c>
    </row>
    <row r="106" spans="1:12" s="203" customFormat="1" ht="30">
      <c r="A106" s="200" t="str">
        <f>ORÇAMENTO!A88</f>
        <v>9.1.5</v>
      </c>
      <c r="B106" s="187" t="str">
        <f>ORÇAMENTO!D88</f>
        <v>JOELHO 45 GRAUS, PVC, SERIE NORMAL, ESGOTO PREDIAL, DN 40 MM, JUNTA SOLDÁVEL, FORNECIDO E INSTALADO EM RAMAL DE DESCARGA OU RAMAL DE ESGOTO SANITÁRIO. AF_12/2014</v>
      </c>
      <c r="C106" s="201" t="str">
        <f>ORÇAMENTO!E88</f>
        <v>unid</v>
      </c>
      <c r="D106" s="201"/>
      <c r="E106" s="183">
        <f>ORÇAMENTO!G88*26.63%+ORÇAMENTO!G88</f>
        <v>6.9646499999999998</v>
      </c>
      <c r="F106" s="183">
        <f>ORÇAMENTO!F88</f>
        <v>30</v>
      </c>
      <c r="G106" s="186"/>
      <c r="H106" s="186">
        <v>20</v>
      </c>
      <c r="I106" s="183">
        <f t="shared" si="6"/>
        <v>208.94</v>
      </c>
      <c r="J106" s="169">
        <f t="shared" si="7"/>
        <v>0</v>
      </c>
      <c r="K106" s="169">
        <f t="shared" si="8"/>
        <v>139.29</v>
      </c>
      <c r="L106" s="202">
        <f t="shared" si="9"/>
        <v>0.66665071312338464</v>
      </c>
    </row>
    <row r="107" spans="1:12" s="203" customFormat="1" ht="30">
      <c r="A107" s="200" t="str">
        <f>ORÇAMENTO!A89</f>
        <v>9.1.6</v>
      </c>
      <c r="B107" s="187" t="str">
        <f>ORÇAMENTO!D89</f>
        <v>JOELHO 45 GRAUS, PVC, SERIE NORMAL, ESGOTO PREDIAL, DN 50 MM, JUNTA ELÁSTICA, FORNECIDO E INSTALADO EM RAMAL DE DESCARGA OU RAMAL DE ESGOTO SANITÁRIO. AF_12/2014</v>
      </c>
      <c r="C107" s="201" t="str">
        <f>ORÇAMENTO!E89</f>
        <v>unid</v>
      </c>
      <c r="D107" s="201"/>
      <c r="E107" s="183">
        <f>ORÇAMENTO!G89*26.63%+ORÇAMENTO!G89</f>
        <v>12.181805999999998</v>
      </c>
      <c r="F107" s="183">
        <f>ORÇAMENTO!F89</f>
        <v>25</v>
      </c>
      <c r="G107" s="186"/>
      <c r="H107" s="186">
        <v>20</v>
      </c>
      <c r="I107" s="183">
        <f t="shared" si="6"/>
        <v>304.55</v>
      </c>
      <c r="J107" s="169">
        <f t="shared" si="7"/>
        <v>0</v>
      </c>
      <c r="K107" s="169">
        <f t="shared" si="8"/>
        <v>243.64</v>
      </c>
      <c r="L107" s="202">
        <f t="shared" si="9"/>
        <v>0.79999999999999993</v>
      </c>
    </row>
    <row r="108" spans="1:12" s="203" customFormat="1" ht="30">
      <c r="A108" s="200" t="str">
        <f>ORÇAMENTO!A90</f>
        <v>9.1.7</v>
      </c>
      <c r="B108" s="187" t="str">
        <f>ORÇAMENTO!D90</f>
        <v>JOELHO 45 GRAUS, PVC, SERIE NORMAL, ESGOTO PREDIAL, DN 100 MM, JUNTA ELÁSTICA, FORNECIDO E INSTALADO EM RAMAL DE DESCARGA OU RAMAL DE ESGOTO SANITÁRIO. AF_12/2014</v>
      </c>
      <c r="C108" s="201" t="str">
        <f>ORÇAMENTO!E90</f>
        <v>unid</v>
      </c>
      <c r="D108" s="201"/>
      <c r="E108" s="183">
        <f>ORÇAMENTO!G90*26.63%+ORÇAMENTO!G90</f>
        <v>26.503658999999999</v>
      </c>
      <c r="F108" s="183">
        <f>ORÇAMENTO!F90</f>
        <v>11</v>
      </c>
      <c r="G108" s="186"/>
      <c r="H108" s="186">
        <v>6</v>
      </c>
      <c r="I108" s="183">
        <f t="shared" si="6"/>
        <v>291.54000000000002</v>
      </c>
      <c r="J108" s="169">
        <f t="shared" si="7"/>
        <v>0</v>
      </c>
      <c r="K108" s="169">
        <f t="shared" si="8"/>
        <v>159.02000000000001</v>
      </c>
      <c r="L108" s="202">
        <f t="shared" si="9"/>
        <v>0.54544830897989982</v>
      </c>
    </row>
    <row r="109" spans="1:12" s="203" customFormat="1" ht="30">
      <c r="A109" s="200" t="str">
        <f>ORÇAMENTO!A91</f>
        <v>9.1.8</v>
      </c>
      <c r="B109" s="187" t="str">
        <f>ORÇAMENTO!D91</f>
        <v>JUNÇÃO SIMPLES, PVC, SERIE NORMAL, ESGOTO PREDIAL, DN 100 X 100 MM, JUNTA ELÁSTICA, FORNECIDO E INSTALADO EM RAMAL DE DESCARGA OU RAMAL DE ESGOTO SANITÁRIO. AF_12/2014</v>
      </c>
      <c r="C109" s="201" t="str">
        <f>ORÇAMENTO!E91</f>
        <v>unid</v>
      </c>
      <c r="D109" s="201"/>
      <c r="E109" s="183">
        <f>ORÇAMENTO!G91*26.63%+ORÇAMENTO!G91</f>
        <v>53.817749999999997</v>
      </c>
      <c r="F109" s="183">
        <f>ORÇAMENTO!F91</f>
        <v>2</v>
      </c>
      <c r="G109" s="186"/>
      <c r="H109" s="186">
        <v>2</v>
      </c>
      <c r="I109" s="183">
        <f t="shared" si="6"/>
        <v>107.64</v>
      </c>
      <c r="J109" s="169">
        <f t="shared" si="7"/>
        <v>0</v>
      </c>
      <c r="K109" s="169">
        <f t="shared" si="8"/>
        <v>107.64</v>
      </c>
      <c r="L109" s="202">
        <f t="shared" si="9"/>
        <v>1</v>
      </c>
    </row>
    <row r="110" spans="1:12" s="203" customFormat="1">
      <c r="A110" s="200" t="str">
        <f>ORÇAMENTO!A92</f>
        <v>9.1.9</v>
      </c>
      <c r="B110" s="187" t="str">
        <f>ORÇAMENTO!D92</f>
        <v>Junção simples em pvc rígido soldável, para esgoto primário, diâm = 75 x 50 mm.</v>
      </c>
      <c r="C110" s="201" t="str">
        <f>ORÇAMENTO!E92</f>
        <v>unid</v>
      </c>
      <c r="D110" s="201"/>
      <c r="E110" s="183">
        <f>ORÇAMENTO!G92*26.63%+ORÇAMENTO!G92</f>
        <v>41.749910999999997</v>
      </c>
      <c r="F110" s="183">
        <f>ORÇAMENTO!F92</f>
        <v>3</v>
      </c>
      <c r="G110" s="186"/>
      <c r="H110" s="186">
        <v>3</v>
      </c>
      <c r="I110" s="183">
        <f t="shared" si="6"/>
        <v>125.25</v>
      </c>
      <c r="J110" s="169">
        <f t="shared" si="7"/>
        <v>0</v>
      </c>
      <c r="K110" s="169">
        <f t="shared" si="8"/>
        <v>125.25</v>
      </c>
      <c r="L110" s="202">
        <f t="shared" si="9"/>
        <v>1</v>
      </c>
    </row>
    <row r="111" spans="1:12" s="203" customFormat="1">
      <c r="A111" s="200" t="str">
        <f>ORÇAMENTO!A93</f>
        <v>9.1.10</v>
      </c>
      <c r="B111" s="187" t="str">
        <f>ORÇAMENTO!D93</f>
        <v>Junção simples em pvc rígido soldável, para esgoto primário, diâm = 100 x 50 mm.</v>
      </c>
      <c r="C111" s="201" t="str">
        <f>ORÇAMENTO!E93</f>
        <v>unid</v>
      </c>
      <c r="D111" s="201"/>
      <c r="E111" s="183">
        <f>ORÇAMENTO!G93*26.63%+ORÇAMENTO!G93</f>
        <v>52.310853000000002</v>
      </c>
      <c r="F111" s="183">
        <f>ORÇAMENTO!F93</f>
        <v>17</v>
      </c>
      <c r="G111" s="186"/>
      <c r="H111" s="186">
        <v>10</v>
      </c>
      <c r="I111" s="183">
        <f t="shared" si="6"/>
        <v>889.28</v>
      </c>
      <c r="J111" s="169">
        <f t="shared" si="7"/>
        <v>0</v>
      </c>
      <c r="K111" s="169">
        <f t="shared" si="8"/>
        <v>523.11</v>
      </c>
      <c r="L111" s="202">
        <f t="shared" si="9"/>
        <v>0.58823992443324935</v>
      </c>
    </row>
    <row r="112" spans="1:12" s="203" customFormat="1" ht="30">
      <c r="A112" s="200" t="str">
        <f>ORÇAMENTO!A94</f>
        <v>9.1.11</v>
      </c>
      <c r="B112" s="187" t="str">
        <f>ORÇAMENTO!D94</f>
        <v>TE, PVC, SERIE NORMAL, ESGOTO PREDIAL, DN 50 X 50 MM, JUNTA ELÁSTICA, FORNECIDO E INSTALADO EM RAMAL DE DESCARGA OU RAMAL DE ESGOTO SANITÁRIO. AF_12/2014</v>
      </c>
      <c r="C112" s="201" t="str">
        <f>ORÇAMENTO!E94</f>
        <v>unid</v>
      </c>
      <c r="D112" s="201"/>
      <c r="E112" s="183">
        <f>ORÇAMENTO!G94*26.63%+ORÇAMENTO!G94</f>
        <v>22.096934999999998</v>
      </c>
      <c r="F112" s="183">
        <f>ORÇAMENTO!F94</f>
        <v>28</v>
      </c>
      <c r="G112" s="186"/>
      <c r="H112" s="186">
        <v>20</v>
      </c>
      <c r="I112" s="183">
        <f t="shared" si="6"/>
        <v>618.71</v>
      </c>
      <c r="J112" s="169">
        <f t="shared" si="7"/>
        <v>0</v>
      </c>
      <c r="K112" s="169">
        <f t="shared" si="8"/>
        <v>441.94</v>
      </c>
      <c r="L112" s="202">
        <f t="shared" si="9"/>
        <v>0.71429264114043733</v>
      </c>
    </row>
    <row r="113" spans="1:12" s="203" customFormat="1" ht="30">
      <c r="A113" s="200" t="str">
        <f>ORÇAMENTO!A95</f>
        <v>9.1.12</v>
      </c>
      <c r="B113" s="187" t="str">
        <f>ORÇAMENTO!D95</f>
        <v>TE, PVC, SERIE NORMAL, ESGOTO PREDIAL, DN 100 X 100 MM, JUNTA ELÁSTICA, FORNECIDO E INSTALADO EM RAMAL DE DESCARGA OU RAMAL DE ESGOTO SANITÁRIO. AF_12/2014</v>
      </c>
      <c r="C113" s="201" t="str">
        <f>ORÇAMENTO!E95</f>
        <v>unid</v>
      </c>
      <c r="D113" s="201"/>
      <c r="E113" s="183">
        <f>ORÇAMENTO!G95*26.63%+ORÇAMENTO!G95</f>
        <v>45.662778000000003</v>
      </c>
      <c r="F113" s="183">
        <f>ORÇAMENTO!F95</f>
        <v>5</v>
      </c>
      <c r="G113" s="186"/>
      <c r="H113" s="186">
        <v>5</v>
      </c>
      <c r="I113" s="183">
        <f t="shared" si="6"/>
        <v>228.31</v>
      </c>
      <c r="J113" s="169">
        <f t="shared" si="7"/>
        <v>0</v>
      </c>
      <c r="K113" s="169">
        <f t="shared" si="8"/>
        <v>228.31</v>
      </c>
      <c r="L113" s="202">
        <f t="shared" si="9"/>
        <v>1</v>
      </c>
    </row>
    <row r="114" spans="1:12" s="203" customFormat="1" ht="30">
      <c r="A114" s="200" t="str">
        <f>ORÇAMENTO!A96</f>
        <v>9.1.13</v>
      </c>
      <c r="B114" s="187" t="str">
        <f>ORÇAMENTO!D96</f>
        <v>TUBO PVC, SERIE NORMAL, ESGOTO PREDIAL, DN 100 MM, FORNECIDO E INSTALADO EM RAMAL DE DESCARGA OU RAMAL DE ESGOTO SANITÁRIO. AF_12/2014</v>
      </c>
      <c r="C114" s="201" t="str">
        <f>ORÇAMENTO!E96</f>
        <v>m</v>
      </c>
      <c r="D114" s="201"/>
      <c r="E114" s="183">
        <f>ORÇAMENTO!G96*26.63%+ORÇAMENTO!G96</f>
        <v>57.287412000000003</v>
      </c>
      <c r="F114" s="183">
        <f>ORÇAMENTO!F96</f>
        <v>190</v>
      </c>
      <c r="G114" s="186"/>
      <c r="H114" s="186">
        <v>130</v>
      </c>
      <c r="I114" s="183">
        <f t="shared" si="6"/>
        <v>10884.61</v>
      </c>
      <c r="J114" s="169">
        <f t="shared" si="7"/>
        <v>0</v>
      </c>
      <c r="K114" s="169">
        <f t="shared" si="8"/>
        <v>7447.36</v>
      </c>
      <c r="L114" s="202">
        <f t="shared" si="9"/>
        <v>0.68421009112866693</v>
      </c>
    </row>
    <row r="115" spans="1:12" s="203" customFormat="1" ht="30">
      <c r="A115" s="200" t="str">
        <f>ORÇAMENTO!A97</f>
        <v>9.1.14</v>
      </c>
      <c r="B115" s="187" t="str">
        <f>ORÇAMENTO!D97</f>
        <v>TUBO PVC, SERIE NORMAL, ESGOTO PREDIAL, DN 50 MM, FORNECIDO E INSTALADO EM RAMAL DE DESCARGA OU RAMAL DE ESGOTO SANITÁRIO. AF_12/2014</v>
      </c>
      <c r="C115" s="201" t="str">
        <f>ORÇAMENTO!E97</f>
        <v>m</v>
      </c>
      <c r="D115" s="201"/>
      <c r="E115" s="183">
        <f>ORÇAMENTO!G97*26.63%+ORÇAMENTO!G97</f>
        <v>30.201255000000003</v>
      </c>
      <c r="F115" s="183">
        <f>ORÇAMENTO!F97</f>
        <v>100</v>
      </c>
      <c r="G115" s="186"/>
      <c r="H115" s="186">
        <v>60</v>
      </c>
      <c r="I115" s="183">
        <f t="shared" si="6"/>
        <v>3020.13</v>
      </c>
      <c r="J115" s="169">
        <f t="shared" si="7"/>
        <v>0</v>
      </c>
      <c r="K115" s="169">
        <f t="shared" si="8"/>
        <v>1812.08</v>
      </c>
      <c r="L115" s="202">
        <f t="shared" si="9"/>
        <v>0.60000066222314929</v>
      </c>
    </row>
    <row r="116" spans="1:12" s="203" customFormat="1" ht="30">
      <c r="A116" s="200" t="str">
        <f>ORÇAMENTO!A98</f>
        <v>9.1.15</v>
      </c>
      <c r="B116" s="187" t="str">
        <f>ORÇAMENTO!D98</f>
        <v>TUBO PVC, SERIE NORMAL, ESGOTO PREDIAL, DN 40 MM, FORNECIDO E INSTALADO EM RAMAL DE DESCARGA OU RAMAL DE ESGOTO SANITÁRIO. AF_12/2014</v>
      </c>
      <c r="C116" s="201" t="str">
        <f>ORÇAMENTO!E98</f>
        <v>m</v>
      </c>
      <c r="D116" s="201"/>
      <c r="E116" s="183">
        <f>ORÇAMENTO!G98*26.63%+ORÇAMENTO!G98</f>
        <v>19.766942999999998</v>
      </c>
      <c r="F116" s="183">
        <f>ORÇAMENTO!F98</f>
        <v>18</v>
      </c>
      <c r="G116" s="186"/>
      <c r="H116" s="186">
        <v>15</v>
      </c>
      <c r="I116" s="183">
        <f t="shared" si="6"/>
        <v>355.8</v>
      </c>
      <c r="J116" s="169">
        <f t="shared" si="7"/>
        <v>0</v>
      </c>
      <c r="K116" s="169">
        <f t="shared" si="8"/>
        <v>296.5</v>
      </c>
      <c r="L116" s="202">
        <f t="shared" si="9"/>
        <v>0.83333333333333326</v>
      </c>
    </row>
    <row r="117" spans="1:12" s="203" customFormat="1" ht="30">
      <c r="A117" s="200" t="str">
        <f>ORÇAMENTO!A99</f>
        <v>9.1.16</v>
      </c>
      <c r="B117" s="187" t="str">
        <f>ORÇAMENTO!D99</f>
        <v>RALO SIFONADO, PVC, DN 100 X 40 MM, JUNTA SOLDÁVEL, FORNECIDO E INSTALADO EM RAMAL DE DESCARGA OU EM RAMAL DE ESGOTO SANITÁRIO. AF_12/2014</v>
      </c>
      <c r="C117" s="201" t="str">
        <f>ORÇAMENTO!E99</f>
        <v>unid</v>
      </c>
      <c r="D117" s="201"/>
      <c r="E117" s="183">
        <f>ORÇAMENTO!G99*26.63%+ORÇAMENTO!G99</f>
        <v>15.930054</v>
      </c>
      <c r="F117" s="183">
        <f>ORÇAMENTO!F99</f>
        <v>2</v>
      </c>
      <c r="G117" s="186"/>
      <c r="H117" s="186">
        <v>2</v>
      </c>
      <c r="I117" s="183">
        <f t="shared" si="6"/>
        <v>31.86</v>
      </c>
      <c r="J117" s="169">
        <f t="shared" si="7"/>
        <v>0</v>
      </c>
      <c r="K117" s="169">
        <f t="shared" si="8"/>
        <v>31.86</v>
      </c>
      <c r="L117" s="202">
        <f t="shared" si="9"/>
        <v>1</v>
      </c>
    </row>
    <row r="118" spans="1:12" s="203" customFormat="1" ht="30">
      <c r="A118" s="200" t="str">
        <f>ORÇAMENTO!A100</f>
        <v>9.1.17</v>
      </c>
      <c r="B118" s="187" t="str">
        <f>ORÇAMENTO!D100</f>
        <v>CAIXA ENTERRADA HIDRÁULICA RETANGULAR EM ALVENARIA COM TIJOLOS CERÂMICOS MACIÇOS, DIMENSÕES INTERNAS: 0,6X0,6X0,6 M PARA REDE DE ESGOTO. AF_12/2020</v>
      </c>
      <c r="C118" s="201" t="str">
        <f>ORÇAMENTO!E100</f>
        <v>unid</v>
      </c>
      <c r="D118" s="201"/>
      <c r="E118" s="183">
        <f>ORÇAMENTO!G100*26.63%+ORÇAMENTO!G100</f>
        <v>579.61083600000006</v>
      </c>
      <c r="F118" s="183">
        <f>ORÇAMENTO!F100</f>
        <v>18</v>
      </c>
      <c r="G118" s="186"/>
      <c r="H118" s="186">
        <v>13</v>
      </c>
      <c r="I118" s="183">
        <f t="shared" si="6"/>
        <v>10433</v>
      </c>
      <c r="J118" s="169">
        <f t="shared" si="7"/>
        <v>0</v>
      </c>
      <c r="K118" s="169">
        <f t="shared" si="8"/>
        <v>7534.94</v>
      </c>
      <c r="L118" s="202">
        <f t="shared" si="9"/>
        <v>0.72222179622352145</v>
      </c>
    </row>
    <row r="119" spans="1:12" s="203" customFormat="1" ht="30">
      <c r="A119" s="200" t="str">
        <f>ORÇAMENTO!A101</f>
        <v>9.1.18</v>
      </c>
      <c r="B119" s="187" t="str">
        <f>ORÇAMENTO!D101</f>
        <v>TUBO PVC, SERIE NORMAL, ESGOTO PREDIAL, DN 150 MM, FORNECIDO E INSTALADO EM SUBCOLETOR AÉREO DE ESGOTO SANITÁRIO. AF_12/2014</v>
      </c>
      <c r="C119" s="201" t="str">
        <f>ORÇAMENTO!E101</f>
        <v>m</v>
      </c>
      <c r="D119" s="201"/>
      <c r="E119" s="183">
        <f>ORÇAMENTO!G101*26.63%+ORÇAMENTO!G101</f>
        <v>74.027897999999993</v>
      </c>
      <c r="F119" s="183">
        <f>ORÇAMENTO!F101</f>
        <v>12</v>
      </c>
      <c r="G119" s="201"/>
      <c r="H119" s="186"/>
      <c r="I119" s="183">
        <f t="shared" si="6"/>
        <v>888.33</v>
      </c>
      <c r="J119" s="169">
        <f t="shared" si="7"/>
        <v>0</v>
      </c>
      <c r="K119" s="169">
        <f t="shared" si="8"/>
        <v>0</v>
      </c>
      <c r="L119" s="202">
        <f t="shared" si="9"/>
        <v>0</v>
      </c>
    </row>
    <row r="120" spans="1:12" s="203" customFormat="1" ht="30">
      <c r="A120" s="200" t="str">
        <f>ORÇAMENTO!A102</f>
        <v>9.1.19</v>
      </c>
      <c r="B120" s="187" t="str">
        <f>ORÇAMENTO!D102</f>
        <v>TUBO PVC, SERIE NORMAL, ESGOTO PREDIAL, DN 75 MM, FORNECIDO E INSTALADO EM RAMAL DE DESCARGA OU RAMAL DE ESGOTO SANITÁRIO. AF_12/2014</v>
      </c>
      <c r="C120" s="201" t="str">
        <f>ORÇAMENTO!E102</f>
        <v>m</v>
      </c>
      <c r="D120" s="201"/>
      <c r="E120" s="183">
        <f>ORÇAMENTO!G102*26.63%+ORÇAMENTO!G102</f>
        <v>45.612126000000004</v>
      </c>
      <c r="F120" s="183">
        <f>ORÇAMENTO!F102</f>
        <v>14</v>
      </c>
      <c r="G120" s="186"/>
      <c r="H120" s="186"/>
      <c r="I120" s="183">
        <f t="shared" si="6"/>
        <v>638.57000000000005</v>
      </c>
      <c r="J120" s="169">
        <f t="shared" si="7"/>
        <v>0</v>
      </c>
      <c r="K120" s="169">
        <f t="shared" si="8"/>
        <v>0</v>
      </c>
      <c r="L120" s="202">
        <f t="shared" si="9"/>
        <v>0</v>
      </c>
    </row>
    <row r="121" spans="1:12" s="203" customFormat="1">
      <c r="A121" s="200" t="str">
        <f>ORÇAMENTO!A103</f>
        <v>9.1.20</v>
      </c>
      <c r="B121" s="187" t="str">
        <f>ORÇAMENTO!D103</f>
        <v>Caixa sifonada em pvc, 150 x150 x50 mm, com tampa cega, acabamento branco, akros ou similar.</v>
      </c>
      <c r="C121" s="201" t="str">
        <f>ORÇAMENTO!E103</f>
        <v>unid</v>
      </c>
      <c r="D121" s="201"/>
      <c r="E121" s="183">
        <f>ORÇAMENTO!G103*26.63%+ORÇAMENTO!G103</f>
        <v>58.768982999999992</v>
      </c>
      <c r="F121" s="183">
        <f>ORÇAMENTO!F103</f>
        <v>2</v>
      </c>
      <c r="G121" s="186"/>
      <c r="H121" s="186"/>
      <c r="I121" s="183">
        <f t="shared" si="6"/>
        <v>117.54</v>
      </c>
      <c r="J121" s="169">
        <f t="shared" si="7"/>
        <v>0</v>
      </c>
      <c r="K121" s="169">
        <f t="shared" si="8"/>
        <v>0</v>
      </c>
      <c r="L121" s="202">
        <f t="shared" si="9"/>
        <v>0</v>
      </c>
    </row>
    <row r="122" spans="1:12" s="203" customFormat="1" ht="30">
      <c r="A122" s="200" t="str">
        <f>ORÇAMENTO!A104</f>
        <v>9.1.21</v>
      </c>
      <c r="B122" s="187" t="str">
        <f>ORÇAMENTO!D104</f>
        <v>JOELHO 45 GRAUS, PVC, SERIE NORMAL, ESGOTO PREDIAL, DN 75 MM, JUNTA ELÁSTICA, FORNECIDO E INSTALADO EM RAMAL DE DESCARGA OU RAMAL DE ESGOTO SANITÁRIO. AF_12/2014</v>
      </c>
      <c r="C122" s="201" t="str">
        <f>ORÇAMENTO!E104</f>
        <v>unid</v>
      </c>
      <c r="D122" s="201"/>
      <c r="E122" s="183">
        <f>ORÇAMENTO!G104*26.63%+ORÇAMENTO!G104</f>
        <v>21.919652999999997</v>
      </c>
      <c r="F122" s="183">
        <f>ORÇAMENTO!F104</f>
        <v>1</v>
      </c>
      <c r="G122" s="186"/>
      <c r="H122" s="186"/>
      <c r="I122" s="183">
        <f t="shared" si="6"/>
        <v>21.92</v>
      </c>
      <c r="J122" s="169">
        <f t="shared" si="7"/>
        <v>0</v>
      </c>
      <c r="K122" s="169">
        <f t="shared" si="8"/>
        <v>0</v>
      </c>
      <c r="L122" s="202">
        <f t="shared" si="9"/>
        <v>0</v>
      </c>
    </row>
    <row r="123" spans="1:12" s="203" customFormat="1" ht="30">
      <c r="A123" s="200" t="str">
        <f>ORÇAMENTO!A105</f>
        <v>9.1.22</v>
      </c>
      <c r="B123" s="187" t="str">
        <f>ORÇAMENTO!D105</f>
        <v>JUNÇÃO SIMPLES, PVC, SERIE NORMAL, ESGOTO PREDIAL, DN 50 X 50 MM, JUNTA ELÁSTICA, FORNECIDO E INSTALADO EM RAMAL DE DESCARGA OU RAMAL DE ESGOTO SANITÁRIO. AF_12/2014</v>
      </c>
      <c r="C123" s="201" t="str">
        <f>ORÇAMENTO!E105</f>
        <v>unid</v>
      </c>
      <c r="D123" s="201"/>
      <c r="E123" s="183">
        <f>ORÇAMENTO!G105*26.63%+ORÇAMENTO!G105</f>
        <v>24.616872000000001</v>
      </c>
      <c r="F123" s="183">
        <f>ORÇAMENTO!F105</f>
        <v>11</v>
      </c>
      <c r="G123" s="186"/>
      <c r="H123" s="186">
        <v>11</v>
      </c>
      <c r="I123" s="183">
        <f t="shared" si="6"/>
        <v>270.79000000000002</v>
      </c>
      <c r="J123" s="169">
        <f t="shared" si="7"/>
        <v>0</v>
      </c>
      <c r="K123" s="169">
        <f t="shared" si="8"/>
        <v>270.79000000000002</v>
      </c>
      <c r="L123" s="202">
        <f t="shared" si="9"/>
        <v>1</v>
      </c>
    </row>
    <row r="124" spans="1:12" s="203" customFormat="1" ht="30">
      <c r="A124" s="200" t="str">
        <f>ORÇAMENTO!A106</f>
        <v>9.1.23</v>
      </c>
      <c r="B124" s="187" t="str">
        <f>ORÇAMENTO!D106</f>
        <v>LUVA SIMPLES, PVC, SERIE NORMAL, ESGOTO PREDIAL, DN 75 MM, JUNTA ELÁSTICA, FORNECIDO E INSTALADO EM RAMAL DE DESCARGA OU RAMAL DE ESGOTO SANITÁRIO. AF_12/2014</v>
      </c>
      <c r="C124" s="201" t="str">
        <f>ORÇAMENTO!E106</f>
        <v>unid</v>
      </c>
      <c r="D124" s="201"/>
      <c r="E124" s="183">
        <f>ORÇAMENTO!G106*26.63%+ORÇAMENTO!G106</f>
        <v>16.803801</v>
      </c>
      <c r="F124" s="183">
        <f>ORÇAMENTO!F106</f>
        <v>4</v>
      </c>
      <c r="G124" s="186"/>
      <c r="H124" s="186">
        <v>4</v>
      </c>
      <c r="I124" s="183">
        <f t="shared" si="6"/>
        <v>67.22</v>
      </c>
      <c r="J124" s="169">
        <f t="shared" si="7"/>
        <v>0</v>
      </c>
      <c r="K124" s="169">
        <f t="shared" si="8"/>
        <v>67.22</v>
      </c>
      <c r="L124" s="202">
        <f t="shared" si="9"/>
        <v>1</v>
      </c>
    </row>
    <row r="125" spans="1:12" s="203" customFormat="1" ht="30">
      <c r="A125" s="200" t="str">
        <f>ORÇAMENTO!A107</f>
        <v>9.1.24</v>
      </c>
      <c r="B125" s="187" t="str">
        <f>ORÇAMENTO!D107</f>
        <v>LUVA SIMPLES, PVC, SERIE NORMAL, ESGOTO PREDIAL, DN 100 MM, JUNTA ELÁSTICA, FORNECIDO E INSTALADO EM RAMAL DE DESCARGA OU RAMAL DE ESGOTO SANITÁRIO. AF_12/2014</v>
      </c>
      <c r="C125" s="201" t="str">
        <f>ORÇAMENTO!E107</f>
        <v>unid</v>
      </c>
      <c r="D125" s="201"/>
      <c r="E125" s="183">
        <f>ORÇAMENTO!G107*26.63%+ORÇAMENTO!G107</f>
        <v>20.640689999999999</v>
      </c>
      <c r="F125" s="183">
        <f>ORÇAMENTO!F107</f>
        <v>39</v>
      </c>
      <c r="G125" s="186"/>
      <c r="H125" s="186">
        <v>30</v>
      </c>
      <c r="I125" s="183">
        <f t="shared" si="6"/>
        <v>804.99</v>
      </c>
      <c r="J125" s="169">
        <f t="shared" si="7"/>
        <v>0</v>
      </c>
      <c r="K125" s="169">
        <f t="shared" si="8"/>
        <v>619.22</v>
      </c>
      <c r="L125" s="202">
        <f t="shared" si="9"/>
        <v>0.76922694691859528</v>
      </c>
    </row>
    <row r="126" spans="1:12" s="203" customFormat="1" ht="30">
      <c r="A126" s="200" t="str">
        <f>ORÇAMENTO!A108</f>
        <v>9.1.25</v>
      </c>
      <c r="B126" s="187" t="str">
        <f>ORÇAMENTO!D108</f>
        <v>LUVA SIMPLES, PVC, SERIE NORMAL, ESGOTO PREDIAL, DN 50 MM, JUNTA ELÁSTICA, FORNECIDO E INSTALADO EM RAMAL DE DESCARGA OU RAMAL DE ESGOTO SANITÁRIO. AF_12/2014</v>
      </c>
      <c r="C126" s="201" t="str">
        <f>ORÇAMENTO!E108</f>
        <v>unid</v>
      </c>
      <c r="D126" s="201"/>
      <c r="E126" s="183">
        <f>ORÇAMENTO!G108*26.63%+ORÇAMENTO!G108</f>
        <v>9.9024660000000004</v>
      </c>
      <c r="F126" s="183">
        <f>ORÇAMENTO!F108</f>
        <v>46</v>
      </c>
      <c r="G126" s="186"/>
      <c r="H126" s="186">
        <v>40</v>
      </c>
      <c r="I126" s="183">
        <f t="shared" si="6"/>
        <v>455.51</v>
      </c>
      <c r="J126" s="169">
        <f t="shared" si="7"/>
        <v>0</v>
      </c>
      <c r="K126" s="169">
        <f t="shared" si="8"/>
        <v>396.1</v>
      </c>
      <c r="L126" s="202">
        <f t="shared" si="9"/>
        <v>0.86957476235428433</v>
      </c>
    </row>
    <row r="127" spans="1:12" s="203" customFormat="1">
      <c r="A127" s="200" t="str">
        <f>ORÇAMENTO!A109</f>
        <v>9.1.26</v>
      </c>
      <c r="B127" s="187" t="str">
        <f>ORÇAMENTO!D109</f>
        <v>Caixa de espuma em alvenaria 40x40x50cm - Rer 01.</v>
      </c>
      <c r="C127" s="201" t="str">
        <f>ORÇAMENTO!E109</f>
        <v>unid</v>
      </c>
      <c r="D127" s="201"/>
      <c r="E127" s="183">
        <f>ORÇAMENTO!G109*26.63%+ORÇAMENTO!G109</f>
        <v>216.73990799999999</v>
      </c>
      <c r="F127" s="183">
        <f>ORÇAMENTO!F109</f>
        <v>1</v>
      </c>
      <c r="G127" s="186"/>
      <c r="H127" s="186"/>
      <c r="I127" s="183">
        <f t="shared" si="6"/>
        <v>216.74</v>
      </c>
      <c r="J127" s="169">
        <f t="shared" si="7"/>
        <v>0</v>
      </c>
      <c r="K127" s="169">
        <f t="shared" si="8"/>
        <v>0</v>
      </c>
      <c r="L127" s="202">
        <f t="shared" si="9"/>
        <v>0</v>
      </c>
    </row>
    <row r="128" spans="1:12" s="203" customFormat="1" ht="30">
      <c r="A128" s="200" t="str">
        <f>ORÇAMENTO!A110</f>
        <v>9.1.27</v>
      </c>
      <c r="B128" s="187" t="str">
        <f>ORÇAMENTO!D110</f>
        <v>CAIXA DE GORDURA SIMPLES (CAPACIDADE: 36L), RETANGULAR, EM ALVENARIA COM TIJOLOS CERÂMICOS MACIÇOS, DIMENSÕES INTERNAS = 0,2X0,4 M, ALTURA INTERNA = 0,8 M. AF_12/2020</v>
      </c>
      <c r="C128" s="201" t="str">
        <f>ORÇAMENTO!E110</f>
        <v>unid</v>
      </c>
      <c r="D128" s="201"/>
      <c r="E128" s="183">
        <f>ORÇAMENTO!G110*26.63%+ORÇAMENTO!G110</f>
        <v>391.90718700000002</v>
      </c>
      <c r="F128" s="183">
        <f>ORÇAMENTO!F110</f>
        <v>1</v>
      </c>
      <c r="G128" s="186"/>
      <c r="H128" s="186"/>
      <c r="I128" s="183">
        <f t="shared" si="6"/>
        <v>391.91</v>
      </c>
      <c r="J128" s="169">
        <f t="shared" si="7"/>
        <v>0</v>
      </c>
      <c r="K128" s="169">
        <f t="shared" si="8"/>
        <v>0</v>
      </c>
      <c r="L128" s="202">
        <f t="shared" si="9"/>
        <v>0</v>
      </c>
    </row>
    <row r="129" spans="1:12" s="203" customFormat="1" ht="30">
      <c r="A129" s="200" t="str">
        <f>ORÇAMENTO!A111</f>
        <v>9.1.28</v>
      </c>
      <c r="B129" s="187" t="str">
        <f>ORÇAMENTO!D111</f>
        <v>REDUÇÃO EXCÊNTRICA, PVC, SERIE R, ÁGUA PLUVIAL, DN 75 X 50 MM, JUNTA ELÁSTICA, FORNECIDO E INSTALADO EM RAMAL DE ENCAMINHAMENTO. AF_12/2014</v>
      </c>
      <c r="C129" s="201" t="str">
        <f>ORÇAMENTO!E111</f>
        <v>unid</v>
      </c>
      <c r="D129" s="201"/>
      <c r="E129" s="183">
        <f>ORÇAMENTO!G111*26.63%+ORÇAMENTO!G111</f>
        <v>17.778852000000001</v>
      </c>
      <c r="F129" s="183">
        <f>ORÇAMENTO!F111</f>
        <v>3</v>
      </c>
      <c r="G129" s="186"/>
      <c r="H129" s="186"/>
      <c r="I129" s="183">
        <f t="shared" si="6"/>
        <v>53.34</v>
      </c>
      <c r="J129" s="169">
        <f t="shared" si="7"/>
        <v>0</v>
      </c>
      <c r="K129" s="169">
        <f t="shared" si="8"/>
        <v>0</v>
      </c>
      <c r="L129" s="202">
        <f t="shared" si="9"/>
        <v>0</v>
      </c>
    </row>
    <row r="130" spans="1:12" s="203" customFormat="1">
      <c r="A130" s="200"/>
      <c r="B130" s="187"/>
      <c r="C130" s="201"/>
      <c r="D130" s="201"/>
      <c r="E130" s="183"/>
      <c r="F130" s="183"/>
      <c r="G130" s="201"/>
      <c r="H130" s="201"/>
      <c r="I130" s="183"/>
      <c r="J130" s="169"/>
      <c r="K130" s="169"/>
      <c r="L130" s="202"/>
    </row>
    <row r="131" spans="1:12" s="203" customFormat="1">
      <c r="A131" s="200" t="str">
        <f>ORÇAMENTO!A113</f>
        <v>9.2</v>
      </c>
      <c r="B131" s="207" t="s">
        <v>129</v>
      </c>
      <c r="C131" s="201"/>
      <c r="D131" s="201"/>
      <c r="E131" s="183"/>
      <c r="F131" s="183"/>
      <c r="G131" s="201"/>
      <c r="H131" s="201"/>
      <c r="I131" s="183"/>
      <c r="J131" s="169"/>
      <c r="K131" s="169"/>
      <c r="L131" s="202"/>
    </row>
    <row r="132" spans="1:12" s="203" customFormat="1">
      <c r="A132" s="200" t="str">
        <f>ORÇAMENTO!A114</f>
        <v>9.2.1</v>
      </c>
      <c r="B132" s="187" t="str">
        <f>ORÇAMENTO!D114</f>
        <v>TUBO, PVC, SOLDÁVEL, DN 60MM, INSTALADO EM PRUMADA DE ÁGUA - FORNECIMENTO E INSTALAÇÃO. AF_12/2014</v>
      </c>
      <c r="C132" s="201" t="str">
        <f>ORÇAMENTO!E114</f>
        <v>m</v>
      </c>
      <c r="D132" s="201"/>
      <c r="E132" s="183">
        <f>ORÇAMENTO!G114*26.63%+ORÇAMENTO!G114</f>
        <v>40.141709999999996</v>
      </c>
      <c r="F132" s="183">
        <f>ORÇAMENTO!F114</f>
        <v>23</v>
      </c>
      <c r="G132" s="186">
        <f>MEM!L624</f>
        <v>23</v>
      </c>
      <c r="H132" s="186">
        <f>G132</f>
        <v>23</v>
      </c>
      <c r="I132" s="183">
        <f t="shared" si="6"/>
        <v>923.26</v>
      </c>
      <c r="J132" s="169">
        <f t="shared" si="7"/>
        <v>923.26</v>
      </c>
      <c r="K132" s="169">
        <f t="shared" si="8"/>
        <v>923.26</v>
      </c>
      <c r="L132" s="202">
        <f t="shared" si="9"/>
        <v>1</v>
      </c>
    </row>
    <row r="133" spans="1:12" s="203" customFormat="1">
      <c r="A133" s="200" t="str">
        <f>ORÇAMENTO!A115</f>
        <v>9.2.2</v>
      </c>
      <c r="B133" s="187" t="str">
        <f>ORÇAMENTO!D115</f>
        <v>TUBO, PVC, SOLDÁVEL, DN 50MM, INSTALADO EM PRUMADA DE ÁGUA - FORNECIMENTO E INSTALAÇÃO. AF_12/2014</v>
      </c>
      <c r="C133" s="201" t="str">
        <f>ORÇAMENTO!E115</f>
        <v>m</v>
      </c>
      <c r="D133" s="201"/>
      <c r="E133" s="183">
        <f>ORÇAMENTO!G115*26.63%+ORÇAMENTO!G115</f>
        <v>24.123015000000002</v>
      </c>
      <c r="F133" s="183">
        <f>ORÇAMENTO!F115</f>
        <v>166</v>
      </c>
      <c r="G133" s="186">
        <f>MEM!L628</f>
        <v>166</v>
      </c>
      <c r="H133" s="186">
        <f t="shared" ref="H133:H155" si="10">G133</f>
        <v>166</v>
      </c>
      <c r="I133" s="183">
        <f t="shared" si="6"/>
        <v>4004.42</v>
      </c>
      <c r="J133" s="169">
        <f t="shared" si="7"/>
        <v>4004.42</v>
      </c>
      <c r="K133" s="169">
        <f t="shared" si="8"/>
        <v>4004.42</v>
      </c>
      <c r="L133" s="202">
        <f t="shared" si="9"/>
        <v>1</v>
      </c>
    </row>
    <row r="134" spans="1:12" s="203" customFormat="1">
      <c r="A134" s="200" t="str">
        <f>ORÇAMENTO!A116</f>
        <v>9.2.3</v>
      </c>
      <c r="B134" s="187" t="str">
        <f>ORÇAMENTO!D116</f>
        <v>TUBO, PVC, SOLDÁVEL, DN 25MM, INSTALADO EM RAMAL OU SUB-RAMAL DE ÁGUA - FORNECIMENTO E INSTALAÇÃO. AF_12/2014</v>
      </c>
      <c r="C134" s="201" t="str">
        <f>ORÇAMENTO!E116</f>
        <v>m</v>
      </c>
      <c r="D134" s="201"/>
      <c r="E134" s="183">
        <f>ORÇAMENTO!G116*26.63%+ORÇAMENTO!G116</f>
        <v>20.628026999999999</v>
      </c>
      <c r="F134" s="183">
        <f>ORÇAMENTO!F116</f>
        <v>169</v>
      </c>
      <c r="G134" s="186">
        <v>169</v>
      </c>
      <c r="H134" s="186">
        <f t="shared" si="10"/>
        <v>169</v>
      </c>
      <c r="I134" s="183">
        <f t="shared" si="6"/>
        <v>3486.14</v>
      </c>
      <c r="J134" s="169">
        <f t="shared" si="7"/>
        <v>3486.14</v>
      </c>
      <c r="K134" s="169">
        <f t="shared" si="8"/>
        <v>3486.14</v>
      </c>
      <c r="L134" s="202">
        <f t="shared" si="9"/>
        <v>1</v>
      </c>
    </row>
    <row r="135" spans="1:12" s="203" customFormat="1" ht="30">
      <c r="A135" s="200" t="str">
        <f>ORÇAMENTO!A117</f>
        <v>9.2.4</v>
      </c>
      <c r="B135" s="187" t="str">
        <f>ORÇAMENTO!D117</f>
        <v>ADAPTADOR CURTO COM BOLSA E ROSCA PARA REGISTRO, PVC, SOLDÁVEL, DN 25MM X 3/4, INSTALADO EM RAMAL OU SUB-RAMAL DE ÁGUA - FORNECIMENTO E INSTALAÇÃO. AF_12/2014</v>
      </c>
      <c r="C135" s="201" t="str">
        <f>ORÇAMENTO!E117</f>
        <v>unid</v>
      </c>
      <c r="D135" s="201"/>
      <c r="E135" s="183">
        <f>ORÇAMENTO!G117*26.63%+ORÇAMENTO!G117</f>
        <v>6.2555220000000009</v>
      </c>
      <c r="F135" s="183">
        <f>ORÇAMENTO!F117</f>
        <v>69</v>
      </c>
      <c r="G135" s="186">
        <f>MEM!L659</f>
        <v>22</v>
      </c>
      <c r="H135" s="186">
        <f t="shared" si="10"/>
        <v>22</v>
      </c>
      <c r="I135" s="183">
        <f t="shared" si="6"/>
        <v>431.63</v>
      </c>
      <c r="J135" s="169">
        <f t="shared" si="7"/>
        <v>137.62</v>
      </c>
      <c r="K135" s="169">
        <f t="shared" si="8"/>
        <v>137.62</v>
      </c>
      <c r="L135" s="202">
        <f t="shared" si="9"/>
        <v>0.31883789356624886</v>
      </c>
    </row>
    <row r="136" spans="1:12" s="203" customFormat="1" ht="30">
      <c r="A136" s="200" t="str">
        <f>ORÇAMENTO!A118</f>
        <v>9.2.5</v>
      </c>
      <c r="B136" s="187" t="str">
        <f>ORÇAMENTO!D118</f>
        <v>LUVA DE REDUÇÃO, PVC, SOLDÁVEL, DN 60MM X 50MM, INSTALADO EM PRUMADA DE ÁGUA - FORNECIMENTO E INSTALAÇÃO. AF_12/2014</v>
      </c>
      <c r="C136" s="201" t="str">
        <f>ORÇAMENTO!E118</f>
        <v>unid</v>
      </c>
      <c r="D136" s="201"/>
      <c r="E136" s="183">
        <f>ORÇAMENTO!G118*26.63%+ORÇAMENTO!G118</f>
        <v>24.69285</v>
      </c>
      <c r="F136" s="183">
        <f>ORÇAMENTO!F118</f>
        <v>1</v>
      </c>
      <c r="G136" s="186">
        <f>MEM!L683</f>
        <v>1</v>
      </c>
      <c r="H136" s="186">
        <f t="shared" si="10"/>
        <v>1</v>
      </c>
      <c r="I136" s="183">
        <f t="shared" si="6"/>
        <v>24.69</v>
      </c>
      <c r="J136" s="169">
        <f t="shared" si="7"/>
        <v>24.69</v>
      </c>
      <c r="K136" s="169">
        <f t="shared" si="8"/>
        <v>24.69</v>
      </c>
      <c r="L136" s="202">
        <f t="shared" si="9"/>
        <v>1</v>
      </c>
    </row>
    <row r="137" spans="1:12" s="203" customFormat="1" ht="30">
      <c r="A137" s="200" t="str">
        <f>ORÇAMENTO!A119</f>
        <v>9.2.6</v>
      </c>
      <c r="B137" s="187" t="str">
        <f>ORÇAMENTO!D119</f>
        <v>LUVA DE REDUÇÃO, PVC, SOLDÁVEL, DN 50MM X 25MM, INSTALADO EM PRUMADA DE ÁGUA   FORNECIMENTO E INSTALAÇÃO. AF_12/2014</v>
      </c>
      <c r="C137" s="201" t="str">
        <f>ORÇAMENTO!E119</f>
        <v>unid</v>
      </c>
      <c r="D137" s="201"/>
      <c r="E137" s="183">
        <f>ORÇAMENTO!G119*26.63%+ORÇAMENTO!G119</f>
        <v>12.890934</v>
      </c>
      <c r="F137" s="183">
        <f>ORÇAMENTO!F119</f>
        <v>1</v>
      </c>
      <c r="G137" s="186">
        <f>MEM!L687</f>
        <v>1</v>
      </c>
      <c r="H137" s="186">
        <f t="shared" si="10"/>
        <v>1</v>
      </c>
      <c r="I137" s="183">
        <f t="shared" si="6"/>
        <v>12.89</v>
      </c>
      <c r="J137" s="169">
        <f t="shared" si="7"/>
        <v>12.89</v>
      </c>
      <c r="K137" s="169">
        <f t="shared" si="8"/>
        <v>12.89</v>
      </c>
      <c r="L137" s="202">
        <f t="shared" si="9"/>
        <v>1</v>
      </c>
    </row>
    <row r="138" spans="1:12" s="203" customFormat="1" ht="30">
      <c r="A138" s="200" t="str">
        <f>ORÇAMENTO!A120</f>
        <v>9.2.7</v>
      </c>
      <c r="B138" s="187" t="str">
        <f>ORÇAMENTO!D120</f>
        <v>JOELHO 90 GRAUS COM BUCHA DE LATÃO, PVC, SOLDÁVEL, DN 25MM, X 1/2 INSTALADO EM RAMAL OU SUB-RAMAL DE ÁGUA - FORNECIMENTO E INSTALAÇÃO. AF_12/2014</v>
      </c>
      <c r="C138" s="201" t="str">
        <f>ORÇAMENTO!E120</f>
        <v>unid</v>
      </c>
      <c r="D138" s="201"/>
      <c r="E138" s="183">
        <f>ORÇAMENTO!G120*26.63%+ORÇAMENTO!G120</f>
        <v>16.347933000000001</v>
      </c>
      <c r="F138" s="183">
        <f>ORÇAMENTO!F120</f>
        <v>66</v>
      </c>
      <c r="G138" s="186">
        <v>66</v>
      </c>
      <c r="H138" s="186">
        <f t="shared" si="10"/>
        <v>66</v>
      </c>
      <c r="I138" s="183">
        <f t="shared" si="6"/>
        <v>1078.96</v>
      </c>
      <c r="J138" s="169">
        <f t="shared" si="7"/>
        <v>1078.96</v>
      </c>
      <c r="K138" s="169">
        <f t="shared" si="8"/>
        <v>1078.96</v>
      </c>
      <c r="L138" s="202">
        <f t="shared" si="9"/>
        <v>1</v>
      </c>
    </row>
    <row r="139" spans="1:12" s="203" customFormat="1">
      <c r="A139" s="200" t="str">
        <f>ORÇAMENTO!A121</f>
        <v>9.2.8</v>
      </c>
      <c r="B139" s="187" t="str">
        <f>ORÇAMENTO!D121</f>
        <v>Joelho de 90º pvc rígido soldável c/ bucha de latão, d=20mmx1/2".</v>
      </c>
      <c r="C139" s="201" t="str">
        <f>ORÇAMENTO!E121</f>
        <v>unid</v>
      </c>
      <c r="D139" s="201"/>
      <c r="E139" s="183">
        <f>ORÇAMENTO!G121*26.63%+ORÇAMENTO!G121</f>
        <v>17.740863000000001</v>
      </c>
      <c r="F139" s="183">
        <f>ORÇAMENTO!F121</f>
        <v>1</v>
      </c>
      <c r="G139" s="186">
        <f>MEM!L718</f>
        <v>1</v>
      </c>
      <c r="H139" s="186">
        <f t="shared" si="10"/>
        <v>1</v>
      </c>
      <c r="I139" s="183">
        <f t="shared" si="6"/>
        <v>17.739999999999998</v>
      </c>
      <c r="J139" s="169">
        <f t="shared" si="7"/>
        <v>17.739999999999998</v>
      </c>
      <c r="K139" s="169">
        <f t="shared" si="8"/>
        <v>17.739999999999998</v>
      </c>
      <c r="L139" s="202">
        <f t="shared" si="9"/>
        <v>1</v>
      </c>
    </row>
    <row r="140" spans="1:12" s="203" customFormat="1">
      <c r="A140" s="200" t="str">
        <f>ORÇAMENTO!A122</f>
        <v>9.2.9</v>
      </c>
      <c r="B140" s="187" t="str">
        <f>ORÇAMENTO!D122</f>
        <v>JOELHO 90 GRAUS, PVC, SOLDÁVEL, DN 60MM, INSTALADO EM PRUMADA DE ÁGUA - FORNECIMENTO E INSTALAÇÃO. AF_12/2014</v>
      </c>
      <c r="C140" s="201" t="str">
        <f>ORÇAMENTO!E122</f>
        <v>unid</v>
      </c>
      <c r="D140" s="201"/>
      <c r="E140" s="183">
        <f>ORÇAMENTO!G122*26.63%+ORÇAMENTO!G122</f>
        <v>46.371905999999996</v>
      </c>
      <c r="F140" s="183">
        <f>ORÇAMENTO!F122</f>
        <v>4</v>
      </c>
      <c r="G140" s="186">
        <f>MEM!L722</f>
        <v>4</v>
      </c>
      <c r="H140" s="186">
        <f t="shared" si="10"/>
        <v>4</v>
      </c>
      <c r="I140" s="183">
        <f t="shared" si="6"/>
        <v>185.49</v>
      </c>
      <c r="J140" s="169">
        <f t="shared" si="7"/>
        <v>185.49</v>
      </c>
      <c r="K140" s="169">
        <f t="shared" si="8"/>
        <v>185.49</v>
      </c>
      <c r="L140" s="202">
        <f t="shared" si="9"/>
        <v>1</v>
      </c>
    </row>
    <row r="141" spans="1:12" s="203" customFormat="1" ht="30">
      <c r="A141" s="200" t="str">
        <f>ORÇAMENTO!A123</f>
        <v>9.2.10</v>
      </c>
      <c r="B141" s="187" t="str">
        <f>ORÇAMENTO!D123</f>
        <v>JOELHO 90 GRAUS, PVC, SOLDÁVEL, DN 25MM, INSTALADO EM RAMAL DE DISTRIBUIÇÃO DE ÁGUA - FORNECIMENTO E INSTALAÇÃO. AF_12/2014</v>
      </c>
      <c r="C141" s="201" t="str">
        <f>ORÇAMENTO!E123</f>
        <v>unid</v>
      </c>
      <c r="D141" s="201"/>
      <c r="E141" s="183">
        <f>ORÇAMENTO!G123*26.63%+ORÇAMENTO!G123</f>
        <v>5.5970459999999997</v>
      </c>
      <c r="F141" s="183">
        <f>ORÇAMENTO!F123</f>
        <v>48</v>
      </c>
      <c r="G141" s="186">
        <f>MEM!L725</f>
        <v>46</v>
      </c>
      <c r="H141" s="186">
        <f t="shared" si="10"/>
        <v>46</v>
      </c>
      <c r="I141" s="183">
        <f t="shared" si="6"/>
        <v>268.66000000000003</v>
      </c>
      <c r="J141" s="169">
        <f t="shared" si="7"/>
        <v>257.45999999999998</v>
      </c>
      <c r="K141" s="169">
        <f t="shared" si="8"/>
        <v>257.45999999999998</v>
      </c>
      <c r="L141" s="202">
        <f t="shared" si="9"/>
        <v>0.9583116206357476</v>
      </c>
    </row>
    <row r="142" spans="1:12" s="203" customFormat="1">
      <c r="A142" s="200" t="str">
        <f>ORÇAMENTO!A124</f>
        <v>9.2.11</v>
      </c>
      <c r="B142" s="187" t="str">
        <f>ORÇAMENTO!D124</f>
        <v>JOELHO 90 GRAUS, PVC, SOLDÁVEL, DN 50MM, INSTALADO EM PRUMADA DE ÁGUA - FORNECIMENTO E INSTALAÇÃO. AF_12/2014</v>
      </c>
      <c r="C142" s="201" t="str">
        <f>ORÇAMENTO!E124</f>
        <v>unid</v>
      </c>
      <c r="D142" s="201"/>
      <c r="E142" s="183">
        <f>ORÇAMENTO!G124*26.63%+ORÇAMENTO!G124</f>
        <v>15.461523000000001</v>
      </c>
      <c r="F142" s="183">
        <f>ORÇAMENTO!F124</f>
        <v>49</v>
      </c>
      <c r="G142" s="186">
        <f>MEM!L752</f>
        <v>49</v>
      </c>
      <c r="H142" s="186">
        <f t="shared" si="10"/>
        <v>49</v>
      </c>
      <c r="I142" s="183">
        <f t="shared" si="6"/>
        <v>757.61</v>
      </c>
      <c r="J142" s="169">
        <f t="shared" si="7"/>
        <v>757.61</v>
      </c>
      <c r="K142" s="169">
        <f t="shared" si="8"/>
        <v>757.61</v>
      </c>
      <c r="L142" s="202">
        <f t="shared" si="9"/>
        <v>1</v>
      </c>
    </row>
    <row r="143" spans="1:12" s="203" customFormat="1" ht="30">
      <c r="A143" s="200" t="str">
        <f>ORÇAMENTO!A125</f>
        <v>9.2.12</v>
      </c>
      <c r="B143" s="187" t="str">
        <f>ORÇAMENTO!D125</f>
        <v>JOELHO 90 GRAUS, PVC, SOLDÁVEL, DN 20MM, INSTALADO EM RAMAL DE DISTRIBUIÇÃO DE ÁGUA - FORNECIMENTO E INSTALAÇÃO. AF_12/2014</v>
      </c>
      <c r="C143" s="201" t="str">
        <f>ORÇAMENTO!E125</f>
        <v>unid</v>
      </c>
      <c r="D143" s="201"/>
      <c r="E143" s="183">
        <f>ORÇAMENTO!G125*26.63%+ORÇAMENTO!G125</f>
        <v>4.5713429999999997</v>
      </c>
      <c r="F143" s="183">
        <f>ORÇAMENTO!F125</f>
        <v>2</v>
      </c>
      <c r="G143" s="201">
        <v>2</v>
      </c>
      <c r="H143" s="186">
        <f t="shared" si="10"/>
        <v>2</v>
      </c>
      <c r="I143" s="183">
        <f t="shared" si="6"/>
        <v>9.14</v>
      </c>
      <c r="J143" s="169">
        <f t="shared" si="7"/>
        <v>9.14</v>
      </c>
      <c r="K143" s="169">
        <f t="shared" si="8"/>
        <v>9.14</v>
      </c>
      <c r="L143" s="202">
        <f t="shared" si="9"/>
        <v>1</v>
      </c>
    </row>
    <row r="144" spans="1:12" s="203" customFormat="1" ht="30">
      <c r="A144" s="200" t="str">
        <f>ORÇAMENTO!A126</f>
        <v>9.2.13</v>
      </c>
      <c r="B144" s="187" t="str">
        <f>ORÇAMENTO!D126</f>
        <v>LUVA SOLDÁVEL E COM ROSCA, PVC, SOLDÁVEL, DN 25MM X 3/4, INSTALADO EM PRUMADA DE ÁGUA - FORNECIMENTO E INSTALAÇÃO. AF_12/2014</v>
      </c>
      <c r="C144" s="201" t="str">
        <f>ORÇAMENTO!E126</f>
        <v>unid</v>
      </c>
      <c r="D144" s="201"/>
      <c r="E144" s="183">
        <f>ORÇAMENTO!G126*26.63%+ORÇAMENTO!G126</f>
        <v>5.0398740000000002</v>
      </c>
      <c r="F144" s="183">
        <f>ORÇAMENTO!F126</f>
        <v>3</v>
      </c>
      <c r="G144" s="186">
        <f>MEM!L756</f>
        <v>3</v>
      </c>
      <c r="H144" s="186">
        <f t="shared" si="10"/>
        <v>3</v>
      </c>
      <c r="I144" s="183">
        <f t="shared" si="6"/>
        <v>15.12</v>
      </c>
      <c r="J144" s="169">
        <f t="shared" si="7"/>
        <v>15.12</v>
      </c>
      <c r="K144" s="169">
        <f t="shared" si="8"/>
        <v>15.12</v>
      </c>
      <c r="L144" s="202">
        <f t="shared" si="9"/>
        <v>1</v>
      </c>
    </row>
    <row r="145" spans="1:13" s="203" customFormat="1">
      <c r="A145" s="200" t="str">
        <f>ORÇAMENTO!A127</f>
        <v>9.2.14</v>
      </c>
      <c r="B145" s="187" t="str">
        <f>ORÇAMENTO!D127</f>
        <v>LUVA, PVC, SOLDÁVEL, DN 25MM, INSTALADO EM RAMAL OU SUB-RAMAL DE ÁGUA - FORNECIMENTO E INSTALAÇÃO. AF_12/2014</v>
      </c>
      <c r="C145" s="201" t="str">
        <f>ORÇAMENTO!E127</f>
        <v>unid</v>
      </c>
      <c r="D145" s="201"/>
      <c r="E145" s="183">
        <f>ORÇAMENTO!G127*26.63%+ORÇAMENTO!G127</f>
        <v>6.1162289999999997</v>
      </c>
      <c r="F145" s="183">
        <f>ORÇAMENTO!F127</f>
        <v>64</v>
      </c>
      <c r="G145" s="186">
        <f>MEM!L759</f>
        <v>63</v>
      </c>
      <c r="H145" s="186">
        <f t="shared" si="10"/>
        <v>63</v>
      </c>
      <c r="I145" s="183">
        <f t="shared" si="6"/>
        <v>391.44</v>
      </c>
      <c r="J145" s="169">
        <f t="shared" si="7"/>
        <v>385.32</v>
      </c>
      <c r="K145" s="169">
        <f t="shared" si="8"/>
        <v>385.32</v>
      </c>
      <c r="L145" s="202">
        <f t="shared" si="9"/>
        <v>0.98436541998773752</v>
      </c>
    </row>
    <row r="146" spans="1:13" s="203" customFormat="1">
      <c r="A146" s="200" t="str">
        <f>ORÇAMENTO!A128</f>
        <v>9.2.15</v>
      </c>
      <c r="B146" s="187" t="str">
        <f>ORÇAMENTO!D128</f>
        <v>LUVA, PVC, SOLDÁVEL, DN 60MM, INSTALADO EM PRUMADA DE ÁGUA - FORNECIMENTO E INSTALAÇÃO. AF_12/2014</v>
      </c>
      <c r="C146" s="201" t="str">
        <f>ORÇAMENTO!E128</f>
        <v>unid</v>
      </c>
      <c r="D146" s="201"/>
      <c r="E146" s="183">
        <f>ORÇAMENTO!G128*26.63%+ORÇAMENTO!G128</f>
        <v>25.414641</v>
      </c>
      <c r="F146" s="183">
        <f>ORÇAMENTO!F128</f>
        <v>1</v>
      </c>
      <c r="G146" s="186">
        <f>MEM!L788</f>
        <v>1</v>
      </c>
      <c r="H146" s="186">
        <f t="shared" si="10"/>
        <v>1</v>
      </c>
      <c r="I146" s="183">
        <f t="shared" si="6"/>
        <v>25.41</v>
      </c>
      <c r="J146" s="169">
        <f t="shared" si="7"/>
        <v>25.41</v>
      </c>
      <c r="K146" s="169">
        <f t="shared" si="8"/>
        <v>25.41</v>
      </c>
      <c r="L146" s="202">
        <f t="shared" si="9"/>
        <v>1</v>
      </c>
    </row>
    <row r="147" spans="1:13" s="203" customFormat="1">
      <c r="A147" s="200" t="str">
        <f>ORÇAMENTO!A129</f>
        <v>9.2.16</v>
      </c>
      <c r="B147" s="187" t="str">
        <f>ORÇAMENTO!D129</f>
        <v>LUVA, PVC, SOLDÁVEL, DN 20MM, INSTALADO EM RAMAL OU SUB-RAMAL DE ÁGUA - FORNECIMENTO E INSTALAÇÃO. AF_12/2014</v>
      </c>
      <c r="C147" s="201" t="str">
        <f>ORÇAMENTO!E129</f>
        <v>unid</v>
      </c>
      <c r="D147" s="201"/>
      <c r="E147" s="183">
        <f>ORÇAMENTO!G129*26.63%+ORÇAMENTO!G129</f>
        <v>5.1285150000000002</v>
      </c>
      <c r="F147" s="183">
        <f>ORÇAMENTO!F129</f>
        <v>1</v>
      </c>
      <c r="G147" s="186">
        <f>MEM!L792</f>
        <v>1</v>
      </c>
      <c r="H147" s="186">
        <f t="shared" si="10"/>
        <v>1</v>
      </c>
      <c r="I147" s="183">
        <f t="shared" si="6"/>
        <v>5.13</v>
      </c>
      <c r="J147" s="169">
        <f t="shared" si="7"/>
        <v>5.13</v>
      </c>
      <c r="K147" s="169">
        <f t="shared" si="8"/>
        <v>5.13</v>
      </c>
      <c r="L147" s="202">
        <f t="shared" si="9"/>
        <v>1</v>
      </c>
    </row>
    <row r="148" spans="1:13" s="203" customFormat="1" ht="30">
      <c r="A148" s="200" t="str">
        <f>ORÇAMENTO!A130</f>
        <v>9.2.17</v>
      </c>
      <c r="B148" s="187" t="str">
        <f>ORÇAMENTO!D130</f>
        <v>TÊ COM BUCHA DE LATÃO NA BOLSA CENTRAL, PVC, SOLDÁVEL, DN 25MM X 1/2, INSTALADO EM RAMAL OU SUB-RAMAL DE ÁGUA - FORNECIMENTO E INSTALAÇÃO. AF_12/2014</v>
      </c>
      <c r="C148" s="201" t="str">
        <f>ORÇAMENTO!E130</f>
        <v>unid</v>
      </c>
      <c r="D148" s="201"/>
      <c r="E148" s="183">
        <f>ORÇAMENTO!G130*26.63%+ORÇAMENTO!G130</f>
        <v>23.021334</v>
      </c>
      <c r="F148" s="183">
        <f>ORÇAMENTO!F130</f>
        <v>7</v>
      </c>
      <c r="G148" s="186">
        <f>MEM!L796</f>
        <v>7</v>
      </c>
      <c r="H148" s="186">
        <f t="shared" si="10"/>
        <v>7</v>
      </c>
      <c r="I148" s="183">
        <f t="shared" si="6"/>
        <v>161.15</v>
      </c>
      <c r="J148" s="169">
        <f t="shared" si="7"/>
        <v>161.15</v>
      </c>
      <c r="K148" s="169">
        <f t="shared" si="8"/>
        <v>161.15</v>
      </c>
      <c r="L148" s="202">
        <f t="shared" si="9"/>
        <v>1</v>
      </c>
    </row>
    <row r="149" spans="1:13" s="203" customFormat="1">
      <c r="A149" s="200" t="str">
        <f>ORÇAMENTO!A131</f>
        <v>9.2.18</v>
      </c>
      <c r="B149" s="187" t="str">
        <f>ORÇAMENTO!D131</f>
        <v>TE, PVC, SOLDÁVEL, DN 60MM, INSTALADO EM PRUMADA DE ÁGUA - FORNECIMENTO E INSTALAÇÃO. AF_12/2014</v>
      </c>
      <c r="C149" s="201" t="str">
        <f>ORÇAMENTO!E131</f>
        <v>unid</v>
      </c>
      <c r="D149" s="201"/>
      <c r="E149" s="183">
        <f>ORÇAMENTO!G131*26.63%+ORÇAMENTO!G131</f>
        <v>58.642353</v>
      </c>
      <c r="F149" s="183">
        <f>ORÇAMENTO!F131</f>
        <v>1</v>
      </c>
      <c r="G149" s="186">
        <f>MEM!L801</f>
        <v>1</v>
      </c>
      <c r="H149" s="186">
        <f t="shared" si="10"/>
        <v>1</v>
      </c>
      <c r="I149" s="183">
        <f t="shared" si="6"/>
        <v>58.64</v>
      </c>
      <c r="J149" s="169">
        <f t="shared" si="7"/>
        <v>58.64</v>
      </c>
      <c r="K149" s="169">
        <f t="shared" si="8"/>
        <v>58.64</v>
      </c>
      <c r="L149" s="202">
        <f t="shared" si="9"/>
        <v>1</v>
      </c>
    </row>
    <row r="150" spans="1:13" s="203" customFormat="1">
      <c r="A150" s="200" t="str">
        <f>ORÇAMENTO!A132</f>
        <v>9.2.19</v>
      </c>
      <c r="B150" s="187" t="str">
        <f>ORÇAMENTO!D132</f>
        <v>TE, PVC, SOLDÁVEL, DN 25MM, INSTALADO EM RAMAL DE DISTRIBUIÇÃO DE ÁGUA - FORNECIMENTO E INSTALAÇÃO. AF_12/2014</v>
      </c>
      <c r="C150" s="201" t="str">
        <f>ORÇAMENTO!E132</f>
        <v>unid</v>
      </c>
      <c r="D150" s="201"/>
      <c r="E150" s="183">
        <f>ORÇAMENTO!G132*26.63%+ORÇAMENTO!G132</f>
        <v>8.0789939999999998</v>
      </c>
      <c r="F150" s="183">
        <f>ORÇAMENTO!F132</f>
        <v>35</v>
      </c>
      <c r="G150" s="186">
        <f>MEM!L805</f>
        <v>35</v>
      </c>
      <c r="H150" s="186">
        <f t="shared" si="10"/>
        <v>35</v>
      </c>
      <c r="I150" s="183">
        <f t="shared" si="6"/>
        <v>282.76</v>
      </c>
      <c r="J150" s="169">
        <f t="shared" si="7"/>
        <v>282.76</v>
      </c>
      <c r="K150" s="169">
        <f t="shared" si="8"/>
        <v>282.76</v>
      </c>
      <c r="L150" s="202">
        <f t="shared" si="9"/>
        <v>1</v>
      </c>
    </row>
    <row r="151" spans="1:13" s="203" customFormat="1">
      <c r="A151" s="200" t="str">
        <f>ORÇAMENTO!A133</f>
        <v>9.2.20</v>
      </c>
      <c r="B151" s="187" t="str">
        <f>ORÇAMENTO!D133</f>
        <v>TE, PVC, SOLDÁVEL, DN 50MM, INSTALADO EM PRUMADA DE ÁGUA - FORNECIMENTO E INSTALAÇÃO. AF_12/2014</v>
      </c>
      <c r="C151" s="201" t="str">
        <f>ORÇAMENTO!E133</f>
        <v>unid</v>
      </c>
      <c r="D151" s="201"/>
      <c r="E151" s="183">
        <f>ORÇAMENTO!G133*26.63%+ORÇAMENTO!G133</f>
        <v>25.098065999999999</v>
      </c>
      <c r="F151" s="183">
        <f>ORÇAMENTO!F133</f>
        <v>32</v>
      </c>
      <c r="G151" s="186">
        <f>MEM!L831</f>
        <v>32</v>
      </c>
      <c r="H151" s="186">
        <f t="shared" si="10"/>
        <v>32</v>
      </c>
      <c r="I151" s="183">
        <f t="shared" si="6"/>
        <v>803.14</v>
      </c>
      <c r="J151" s="169">
        <f t="shared" si="7"/>
        <v>803.14</v>
      </c>
      <c r="K151" s="169">
        <f t="shared" si="8"/>
        <v>803.14</v>
      </c>
      <c r="L151" s="202">
        <f t="shared" si="9"/>
        <v>1</v>
      </c>
    </row>
    <row r="152" spans="1:13" s="203" customFormat="1" ht="30">
      <c r="A152" s="200" t="str">
        <f>ORÇAMENTO!A134</f>
        <v>9.2.21</v>
      </c>
      <c r="B152" s="187" t="str">
        <f>ORÇAMENTO!D134</f>
        <v>REGISTRO DE GAVETA BRUTO, LATÃO, ROSCÁVEL, 1 1/2", COM ACABAMENTO E CANOPLA CROMADOS - FORNECIMENTO E INSTALAÇÃO. AF_08/2021</v>
      </c>
      <c r="C152" s="201" t="str">
        <f>ORÇAMENTO!E134</f>
        <v>unid</v>
      </c>
      <c r="D152" s="201"/>
      <c r="E152" s="183">
        <f>ORÇAMENTO!G134*26.63%+ORÇAMENTO!G134</f>
        <v>218.39876099999998</v>
      </c>
      <c r="F152" s="183">
        <f>ORÇAMENTO!F134</f>
        <v>2</v>
      </c>
      <c r="G152" s="186"/>
      <c r="H152" s="186">
        <f t="shared" si="10"/>
        <v>0</v>
      </c>
      <c r="I152" s="183">
        <f t="shared" si="6"/>
        <v>436.8</v>
      </c>
      <c r="J152" s="169">
        <f t="shared" si="7"/>
        <v>0</v>
      </c>
      <c r="K152" s="169">
        <f t="shared" si="8"/>
        <v>0</v>
      </c>
      <c r="L152" s="202">
        <f t="shared" si="9"/>
        <v>0</v>
      </c>
      <c r="M152" s="203" t="s">
        <v>639</v>
      </c>
    </row>
    <row r="153" spans="1:13" s="203" customFormat="1" ht="30">
      <c r="A153" s="200" t="str">
        <f>ORÇAMENTO!A135</f>
        <v>9.2.22</v>
      </c>
      <c r="B153" s="187" t="str">
        <f>ORÇAMENTO!D135</f>
        <v>REGISTRO DE GAVETA BRUTO, LATÃO, ROSCÁVEL, 3/4", COM ACABAMENTO E CANOPLA CROMADOS - FORNECIMENTO E INSTALAÇÃO. AF_08/2021</v>
      </c>
      <c r="C153" s="201" t="str">
        <f>ORÇAMENTO!E135</f>
        <v>unid</v>
      </c>
      <c r="D153" s="201"/>
      <c r="E153" s="183">
        <f>ORÇAMENTO!G135*26.63%+ORÇAMENTO!G135</f>
        <v>127.554399</v>
      </c>
      <c r="F153" s="183">
        <f>ORÇAMENTO!F135</f>
        <v>33</v>
      </c>
      <c r="G153" s="186"/>
      <c r="H153" s="186">
        <f t="shared" si="10"/>
        <v>0</v>
      </c>
      <c r="I153" s="183">
        <f t="shared" si="6"/>
        <v>4209.3</v>
      </c>
      <c r="J153" s="169">
        <f t="shared" si="7"/>
        <v>0</v>
      </c>
      <c r="K153" s="169">
        <f t="shared" si="8"/>
        <v>0</v>
      </c>
      <c r="L153" s="202">
        <f t="shared" si="9"/>
        <v>0</v>
      </c>
      <c r="M153" s="203" t="s">
        <v>639</v>
      </c>
    </row>
    <row r="154" spans="1:13" s="203" customFormat="1" ht="30">
      <c r="A154" s="200" t="str">
        <f>ORÇAMENTO!A136</f>
        <v>9.2.23</v>
      </c>
      <c r="B154" s="187" t="str">
        <f>ORÇAMENTO!D136</f>
        <v>REGISTRO DE PRESSÃO BRUTO, LATÃO, ROSCÁVEL, 3/4", COM ACABAMENTO E CANOPLA CROMADOS - FORNECIMENTO E INSTALAÇÃO. AF_08/2021</v>
      </c>
      <c r="C154" s="201" t="str">
        <f>ORÇAMENTO!E136</f>
        <v>unid</v>
      </c>
      <c r="D154" s="201"/>
      <c r="E154" s="183">
        <f>ORÇAMENTO!G136*26.63%+ORÇAMENTO!G136</f>
        <v>116.58824099999998</v>
      </c>
      <c r="F154" s="183">
        <f>ORÇAMENTO!F136</f>
        <v>3</v>
      </c>
      <c r="G154" s="186"/>
      <c r="H154" s="186">
        <f t="shared" si="10"/>
        <v>0</v>
      </c>
      <c r="I154" s="183">
        <f t="shared" si="6"/>
        <v>349.76</v>
      </c>
      <c r="J154" s="169">
        <f t="shared" si="7"/>
        <v>0</v>
      </c>
      <c r="K154" s="169">
        <f t="shared" si="8"/>
        <v>0</v>
      </c>
      <c r="L154" s="202">
        <f t="shared" si="9"/>
        <v>0</v>
      </c>
      <c r="M154" s="203" t="s">
        <v>639</v>
      </c>
    </row>
    <row r="155" spans="1:13" s="203" customFormat="1" ht="30">
      <c r="A155" s="200" t="str">
        <f>ORÇAMENTO!A137</f>
        <v>9.2.24</v>
      </c>
      <c r="B155" s="187" t="str">
        <f>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C155" s="201" t="str">
        <f>ORÇAMENTO!E137</f>
        <v>unid</v>
      </c>
      <c r="D155" s="201"/>
      <c r="E155" s="183">
        <f>ORÇAMENTO!G137*26.63%+ORÇAMENTO!G137</f>
        <v>1483.483113</v>
      </c>
      <c r="F155" s="183">
        <f>ORÇAMENTO!F137</f>
        <v>1</v>
      </c>
      <c r="G155" s="201"/>
      <c r="H155" s="186">
        <f t="shared" si="10"/>
        <v>0</v>
      </c>
      <c r="I155" s="183">
        <f t="shared" si="6"/>
        <v>1483.48</v>
      </c>
      <c r="J155" s="169">
        <f t="shared" si="7"/>
        <v>0</v>
      </c>
      <c r="K155" s="169">
        <f t="shared" si="8"/>
        <v>0</v>
      </c>
      <c r="L155" s="202">
        <f t="shared" si="9"/>
        <v>0</v>
      </c>
    </row>
    <row r="156" spans="1:13" s="203" customFormat="1">
      <c r="A156" s="200"/>
      <c r="B156" s="187"/>
      <c r="C156" s="201"/>
      <c r="D156" s="201"/>
      <c r="E156" s="183"/>
      <c r="F156" s="183"/>
      <c r="G156" s="201"/>
      <c r="H156" s="201"/>
      <c r="I156" s="183"/>
      <c r="J156" s="169"/>
      <c r="K156" s="169"/>
      <c r="L156" s="202"/>
    </row>
    <row r="157" spans="1:13" s="203" customFormat="1">
      <c r="A157" s="200" t="str">
        <f>ORÇAMENTO!A139</f>
        <v>9.3</v>
      </c>
      <c r="B157" s="207" t="s">
        <v>155</v>
      </c>
      <c r="C157" s="201"/>
      <c r="D157" s="201"/>
      <c r="E157" s="183"/>
      <c r="F157" s="183"/>
      <c r="G157" s="201"/>
      <c r="H157" s="201"/>
      <c r="I157" s="183"/>
      <c r="J157" s="169"/>
      <c r="K157" s="169"/>
      <c r="L157" s="202"/>
    </row>
    <row r="158" spans="1:13" s="203" customFormat="1" ht="30">
      <c r="A158" s="200" t="str">
        <f>ORÇAMENTO!A140</f>
        <v>9.3.1</v>
      </c>
      <c r="B158" s="187" t="str">
        <f>ORÇAMENTO!D140</f>
        <v>TUBO DE AÇO GALVANIZADO COM COSTURA, CLASSE MÉDIA, DN 65 (2 1/2"), CONEXÃO ROSQUEADA, INSTALADO EM REDE DE ALIMENTAÇÃO PARA HIDRANTE - FORNECIMENTO E INSTALAÇÃO. AF_10/2020</v>
      </c>
      <c r="C158" s="201" t="str">
        <f>ORÇAMENTO!E140</f>
        <v>m</v>
      </c>
      <c r="D158" s="201"/>
      <c r="E158" s="183">
        <f>ORÇAMENTO!G140*26.63%+ORÇAMENTO!G140</f>
        <v>153.10833299999999</v>
      </c>
      <c r="F158" s="183">
        <f>ORÇAMENTO!F140</f>
        <v>106</v>
      </c>
      <c r="G158" s="201"/>
      <c r="H158" s="201"/>
      <c r="I158" s="183">
        <f t="shared" si="6"/>
        <v>16229.48</v>
      </c>
      <c r="J158" s="169">
        <f t="shared" si="7"/>
        <v>0</v>
      </c>
      <c r="K158" s="169">
        <f t="shared" si="8"/>
        <v>0</v>
      </c>
      <c r="L158" s="202">
        <f t="shared" si="9"/>
        <v>0</v>
      </c>
    </row>
    <row r="159" spans="1:13" s="203" customFormat="1" ht="30">
      <c r="A159" s="200" t="str">
        <f>ORÇAMENTO!A141</f>
        <v>9.3.2</v>
      </c>
      <c r="B159" s="187" t="str">
        <f>ORÇAMENTO!D141</f>
        <v>COTOVELO 90 GRAUS, EM FERRO GALVANIZADO, CONEXÃO ROSQUEADA, DN 65 (2 1/2), INSTALADO EM RESERVAÇÃO DE ÁGUA DE EDIFICAÇÃO QUE POSSUA RESERVATÓRIO DE FIBRA/FIBROCIMENTO  FORNECIMENTO E INSTALAÇÃO. AF_06/2016</v>
      </c>
      <c r="C159" s="201" t="str">
        <f>ORÇAMENTO!E141</f>
        <v>unid</v>
      </c>
      <c r="D159" s="201"/>
      <c r="E159" s="183">
        <f>ORÇAMENTO!G141*26.63%+ORÇAMENTO!G141</f>
        <v>120.94431300000001</v>
      </c>
      <c r="F159" s="183">
        <f>ORÇAMENTO!F141</f>
        <v>25</v>
      </c>
      <c r="G159" s="201"/>
      <c r="H159" s="201"/>
      <c r="I159" s="183">
        <f t="shared" ref="I159:I222" si="11">ROUND(E159*F159,2)</f>
        <v>3023.61</v>
      </c>
      <c r="J159" s="169">
        <f t="shared" ref="J159:J222" si="12">ROUND(E159*G159,2)</f>
        <v>0</v>
      </c>
      <c r="K159" s="169">
        <f t="shared" ref="K159:K222" si="13">ROUND(E159*H159,2)</f>
        <v>0</v>
      </c>
      <c r="L159" s="202">
        <f t="shared" ref="L159:L222" si="14">K159/I159</f>
        <v>0</v>
      </c>
    </row>
    <row r="160" spans="1:13" s="203" customFormat="1" ht="30">
      <c r="A160" s="200" t="str">
        <f>ORÇAMENTO!A142</f>
        <v>9.3.3</v>
      </c>
      <c r="B160" s="187" t="str">
        <f>ORÇAMENTO!D142</f>
        <v>LUVA, EM FERRO GALVANIZADO, CONEXÃO ROSQUEADA, DN 65 (2 1/2), INSTALADO EM RESERVAÇÃO DE ÁGUA DE EDIFICAÇÃO QUE POSSUA RESERVATÓRIO DE FIBRA/FIBROCIMENTO  FORNECIMENTO E INSTALAÇÃO. AF_06/2016</v>
      </c>
      <c r="C160" s="201" t="str">
        <f>ORÇAMENTO!E142</f>
        <v>unid</v>
      </c>
      <c r="D160" s="201"/>
      <c r="E160" s="183">
        <f>ORÇAMENTO!G142*26.63%+ORÇAMENTO!G142</f>
        <v>84.664817999999997</v>
      </c>
      <c r="F160" s="183">
        <f>ORÇAMENTO!F142</f>
        <v>4</v>
      </c>
      <c r="G160" s="201"/>
      <c r="H160" s="201"/>
      <c r="I160" s="183">
        <f t="shared" si="11"/>
        <v>338.66</v>
      </c>
      <c r="J160" s="169">
        <f t="shared" si="12"/>
        <v>0</v>
      </c>
      <c r="K160" s="169">
        <f t="shared" si="13"/>
        <v>0</v>
      </c>
      <c r="L160" s="202">
        <f t="shared" si="14"/>
        <v>0</v>
      </c>
    </row>
    <row r="161" spans="1:12" s="203" customFormat="1" ht="30">
      <c r="A161" s="200" t="str">
        <f>ORÇAMENTO!A143</f>
        <v>9.3.4</v>
      </c>
      <c r="B161" s="187" t="str">
        <f>ORÇAMENTO!D143</f>
        <v>TÊ, EM FERRO GALVANIZADO, CONEXÃO ROSQUEADA, DN 65 (2 1/2), INSTALADO EM RESERVAÇÃO DE ÁGUA DE EDIFICAÇÃO QUE POSSUA RESERVATÓRIO DE FIBRA/FIBROCIMENTO  FORNECIMENTO E INSTALAÇÃO. AF_06/2016</v>
      </c>
      <c r="C161" s="201" t="str">
        <f>ORÇAMENTO!E143</f>
        <v>unid</v>
      </c>
      <c r="D161" s="201"/>
      <c r="E161" s="183">
        <f>ORÇAMENTO!G143*26.63%+ORÇAMENTO!G143</f>
        <v>166.67040600000001</v>
      </c>
      <c r="F161" s="183">
        <f>ORÇAMENTO!F143</f>
        <v>10</v>
      </c>
      <c r="G161" s="201"/>
      <c r="H161" s="201"/>
      <c r="I161" s="183">
        <f t="shared" si="11"/>
        <v>1666.7</v>
      </c>
      <c r="J161" s="169">
        <f t="shared" si="12"/>
        <v>0</v>
      </c>
      <c r="K161" s="169">
        <f t="shared" si="13"/>
        <v>0</v>
      </c>
      <c r="L161" s="202">
        <f t="shared" si="14"/>
        <v>0</v>
      </c>
    </row>
    <row r="162" spans="1:12" s="203" customFormat="1">
      <c r="A162" s="200" t="str">
        <f>ORÇAMENTO!A144</f>
        <v>9.3.5</v>
      </c>
      <c r="B162" s="187" t="str">
        <f>ORÇAMENTO!D144</f>
        <v>REGISTRO DE GAVETA BRUTO, LATÃO, ROSCÁVEL, 2 1/2" - FORNECIMENTO E INSTALAÇÃO. AF_08/2021</v>
      </c>
      <c r="C162" s="201" t="str">
        <f>ORÇAMENTO!E144</f>
        <v>unid</v>
      </c>
      <c r="D162" s="201"/>
      <c r="E162" s="183">
        <f>ORÇAMENTO!G144*26.63%+ORÇAMENTO!G144</f>
        <v>385.95557700000001</v>
      </c>
      <c r="F162" s="183">
        <f>ORÇAMENTO!F144</f>
        <v>5</v>
      </c>
      <c r="G162" s="201"/>
      <c r="H162" s="201"/>
      <c r="I162" s="183">
        <f t="shared" si="11"/>
        <v>1929.78</v>
      </c>
      <c r="J162" s="169">
        <f t="shared" si="12"/>
        <v>0</v>
      </c>
      <c r="K162" s="169">
        <f t="shared" si="13"/>
        <v>0</v>
      </c>
      <c r="L162" s="202">
        <f t="shared" si="14"/>
        <v>0</v>
      </c>
    </row>
    <row r="163" spans="1:12" s="203" customFormat="1">
      <c r="A163" s="200" t="str">
        <f>ORÇAMENTO!A145</f>
        <v>9.3.6</v>
      </c>
      <c r="B163" s="187" t="str">
        <f>ORÇAMENTO!D145</f>
        <v>VÁLVULA DE RETENÇÃO HORIZONTAL, DE BRONZE, ROSCÁVEL, 2 1/2" - FORNECIMENTO E INSTALAÇÃO. AF_08/2021</v>
      </c>
      <c r="C163" s="201" t="str">
        <f>ORÇAMENTO!E145</f>
        <v>unid</v>
      </c>
      <c r="D163" s="201"/>
      <c r="E163" s="183">
        <f>ORÇAMENTO!G145*26.63%+ORÇAMENTO!G145</f>
        <v>516.473118</v>
      </c>
      <c r="F163" s="183">
        <f>ORÇAMENTO!F145</f>
        <v>3</v>
      </c>
      <c r="G163" s="201"/>
      <c r="H163" s="201"/>
      <c r="I163" s="183">
        <f t="shared" si="11"/>
        <v>1549.42</v>
      </c>
      <c r="J163" s="169">
        <f t="shared" si="12"/>
        <v>0</v>
      </c>
      <c r="K163" s="169">
        <f t="shared" si="13"/>
        <v>0</v>
      </c>
      <c r="L163" s="202">
        <f t="shared" si="14"/>
        <v>0</v>
      </c>
    </row>
    <row r="164" spans="1:12" s="203" customFormat="1">
      <c r="A164" s="200" t="str">
        <f>ORÇAMENTO!A146</f>
        <v>9.3.7</v>
      </c>
      <c r="B164" s="187" t="str">
        <f>ORÇAMENTO!D146</f>
        <v>Válvula de fluxo contínuo galvanizada (p/incêndio)</v>
      </c>
      <c r="C164" s="201" t="str">
        <f>ORÇAMENTO!E146</f>
        <v>unid</v>
      </c>
      <c r="D164" s="201"/>
      <c r="E164" s="183">
        <f>ORÇAMENTO!G146*26.63%+ORÇAMENTO!G146</f>
        <v>284.79086999999998</v>
      </c>
      <c r="F164" s="183">
        <f>ORÇAMENTO!F146</f>
        <v>2</v>
      </c>
      <c r="G164" s="201"/>
      <c r="H164" s="201"/>
      <c r="I164" s="183">
        <f t="shared" si="11"/>
        <v>569.58000000000004</v>
      </c>
      <c r="J164" s="169">
        <f t="shared" si="12"/>
        <v>0</v>
      </c>
      <c r="K164" s="169">
        <f t="shared" si="13"/>
        <v>0</v>
      </c>
      <c r="L164" s="202">
        <f t="shared" si="14"/>
        <v>0</v>
      </c>
    </row>
    <row r="165" spans="1:12" s="203" customFormat="1" ht="30">
      <c r="A165" s="200" t="str">
        <f>ORÇAMENTO!A147</f>
        <v>9.3.8</v>
      </c>
      <c r="B165" s="187" t="str">
        <f>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C165" s="201" t="str">
        <f>ORÇAMENTO!E147</f>
        <v>unid</v>
      </c>
      <c r="D165" s="201"/>
      <c r="E165" s="183">
        <f>ORÇAMENTO!G147*26.63%+ORÇAMENTO!G147</f>
        <v>1951.0263989999999</v>
      </c>
      <c r="F165" s="183">
        <f>ORÇAMENTO!F147</f>
        <v>3</v>
      </c>
      <c r="G165" s="201"/>
      <c r="H165" s="201"/>
      <c r="I165" s="183">
        <f t="shared" si="11"/>
        <v>5853.08</v>
      </c>
      <c r="J165" s="169">
        <f t="shared" si="12"/>
        <v>0</v>
      </c>
      <c r="K165" s="169">
        <f t="shared" si="13"/>
        <v>0</v>
      </c>
      <c r="L165" s="202">
        <f t="shared" si="14"/>
        <v>0</v>
      </c>
    </row>
    <row r="166" spans="1:12" s="203" customFormat="1">
      <c r="A166" s="200" t="str">
        <f>ORÇAMENTO!A148</f>
        <v>9.3.9</v>
      </c>
      <c r="B166" s="187" t="str">
        <f>ORÇAMENTO!D148</f>
        <v>HIDRANTE SUBTERRÂNEO PREDIAL (COM CURVA LONGA E CAIXA), DN 75 MM - FORNECIMENTO E INSTALAÇÃO. AF_10/2020</v>
      </c>
      <c r="C166" s="201" t="str">
        <f>ORÇAMENTO!E148</f>
        <v>unid</v>
      </c>
      <c r="D166" s="201"/>
      <c r="E166" s="183">
        <f>ORÇAMENTO!G148*26.63%+ORÇAMENTO!G148</f>
        <v>3815.526519</v>
      </c>
      <c r="F166" s="183">
        <f>ORÇAMENTO!F148</f>
        <v>1</v>
      </c>
      <c r="G166" s="201"/>
      <c r="H166" s="201"/>
      <c r="I166" s="183">
        <f t="shared" si="11"/>
        <v>3815.53</v>
      </c>
      <c r="J166" s="169">
        <f t="shared" si="12"/>
        <v>0</v>
      </c>
      <c r="K166" s="169">
        <f t="shared" si="13"/>
        <v>0</v>
      </c>
      <c r="L166" s="202">
        <f t="shared" si="14"/>
        <v>0</v>
      </c>
    </row>
    <row r="167" spans="1:12" s="203" customFormat="1" ht="30">
      <c r="A167" s="200" t="str">
        <f>ORÇAMENTO!A149</f>
        <v>9.3.10</v>
      </c>
      <c r="B167" s="187" t="str">
        <f>ORÇAMENTO!D149</f>
        <v>EXTINTOR DE INCÊNDIO PORTÁTIL COM CARGA DE ÁGUA PRESSURIZADA DE 10 L, CLASSE A - FORNECIMENTO E INSTALAÇÃO. AF_10/2020_P</v>
      </c>
      <c r="C167" s="201" t="str">
        <f>ORÇAMENTO!E149</f>
        <v>unid</v>
      </c>
      <c r="D167" s="201"/>
      <c r="E167" s="183">
        <f>ORÇAMENTO!G149*26.63%+ORÇAMENTO!G149</f>
        <v>337.50693899999999</v>
      </c>
      <c r="F167" s="183">
        <f>ORÇAMENTO!F149</f>
        <v>7</v>
      </c>
      <c r="G167" s="201"/>
      <c r="H167" s="201"/>
      <c r="I167" s="183">
        <f t="shared" si="11"/>
        <v>2362.5500000000002</v>
      </c>
      <c r="J167" s="169">
        <f t="shared" si="12"/>
        <v>0</v>
      </c>
      <c r="K167" s="169">
        <f t="shared" si="13"/>
        <v>0</v>
      </c>
      <c r="L167" s="202">
        <f t="shared" si="14"/>
        <v>0</v>
      </c>
    </row>
    <row r="168" spans="1:12" s="203" customFormat="1">
      <c r="A168" s="200" t="str">
        <f>ORÇAMENTO!A150</f>
        <v>9.3.11</v>
      </c>
      <c r="B168" s="187" t="str">
        <f>ORÇAMENTO!D150</f>
        <v>EXTINTOR DE INCÊNDIO PORTÁTIL COM CARGA DE CO2 DE 6 KG, CLASSE BC - FORNECIMENTO E INSTALAÇÃO. AF_10/2020_P</v>
      </c>
      <c r="C168" s="201" t="str">
        <f>ORÇAMENTO!E150</f>
        <v>unid</v>
      </c>
      <c r="D168" s="201"/>
      <c r="E168" s="183">
        <f>ORÇAMENTO!G150*26.63%+ORÇAMENTO!G150</f>
        <v>1110.0385799999999</v>
      </c>
      <c r="F168" s="183">
        <f>ORÇAMENTO!F150</f>
        <v>2</v>
      </c>
      <c r="G168" s="201"/>
      <c r="H168" s="201"/>
      <c r="I168" s="183">
        <f t="shared" si="11"/>
        <v>2220.08</v>
      </c>
      <c r="J168" s="169">
        <f t="shared" si="12"/>
        <v>0</v>
      </c>
      <c r="K168" s="169">
        <f t="shared" si="13"/>
        <v>0</v>
      </c>
      <c r="L168" s="202">
        <f t="shared" si="14"/>
        <v>0</v>
      </c>
    </row>
    <row r="169" spans="1:12" s="203" customFormat="1">
      <c r="A169" s="200" t="str">
        <f>ORÇAMENTO!A151</f>
        <v>9.3.12</v>
      </c>
      <c r="B169" s="187" t="str">
        <f>ORÇAMENTO!D151</f>
        <v>EXTINTOR DE INCÊNDIO PORTÁTIL COM CARGA DE PQS DE 8 KG, CLASSE BC - FORNECIMENTO E INSTALAÇÃO. AF_10/2020_P</v>
      </c>
      <c r="C169" s="201" t="str">
        <f>ORÇAMENTO!E151</f>
        <v>unid</v>
      </c>
      <c r="D169" s="201"/>
      <c r="E169" s="183">
        <f>ORÇAMENTO!G151*26.63%+ORÇAMENTO!G151</f>
        <v>382.95444600000002</v>
      </c>
      <c r="F169" s="183">
        <f>ORÇAMENTO!F151</f>
        <v>7</v>
      </c>
      <c r="G169" s="201"/>
      <c r="H169" s="201"/>
      <c r="I169" s="183">
        <f t="shared" si="11"/>
        <v>2680.68</v>
      </c>
      <c r="J169" s="169">
        <f t="shared" si="12"/>
        <v>0</v>
      </c>
      <c r="K169" s="169">
        <f t="shared" si="13"/>
        <v>0</v>
      </c>
      <c r="L169" s="202">
        <f t="shared" si="14"/>
        <v>0</v>
      </c>
    </row>
    <row r="170" spans="1:12" s="203" customFormat="1">
      <c r="A170" s="200" t="str">
        <f>ORÇAMENTO!A152</f>
        <v>9.3.13</v>
      </c>
      <c r="B170" s="187" t="str">
        <f>ORÇAMENTO!D152</f>
        <v>LUMINÁRIA DE EMERGÊNCIA, COM 30 LÂMPADAS LED DE 2 W, SEM REATOR - FORNECIMENTO E INSTALAÇÃO. AF_02/2020</v>
      </c>
      <c r="C170" s="201" t="str">
        <f>ORÇAMENTO!E152</f>
        <v>unid</v>
      </c>
      <c r="D170" s="201"/>
      <c r="E170" s="183">
        <f>ORÇAMENTO!G152*26.63%+ORÇAMENTO!G152</f>
        <v>28.339793999999998</v>
      </c>
      <c r="F170" s="183">
        <f>ORÇAMENTO!F152</f>
        <v>18</v>
      </c>
      <c r="G170" s="201"/>
      <c r="H170" s="201"/>
      <c r="I170" s="183">
        <f t="shared" si="11"/>
        <v>510.12</v>
      </c>
      <c r="J170" s="169">
        <f t="shared" si="12"/>
        <v>0</v>
      </c>
      <c r="K170" s="169">
        <f t="shared" si="13"/>
        <v>0</v>
      </c>
      <c r="L170" s="202">
        <f t="shared" si="14"/>
        <v>0</v>
      </c>
    </row>
    <row r="171" spans="1:12" s="203" customFormat="1" ht="30">
      <c r="A171" s="200" t="str">
        <f>ORÇAMENTO!A153</f>
        <v>9.3.14</v>
      </c>
      <c r="B171" s="187" t="str">
        <f>ORÇAMENTO!D153</f>
        <v>Placa de sinalização de segurança contra incêndio, fotoluminescente, retangular, (20x40)cm, em pvc de 2cm anti-chamas (simblos, cores, e pictograma conforme nbr 13434)</v>
      </c>
      <c r="C171" s="201" t="str">
        <f>ORÇAMENTO!E153</f>
        <v>unid</v>
      </c>
      <c r="D171" s="201"/>
      <c r="E171" s="183">
        <f>ORÇAMENTO!G153*26.63%+ORÇAMENTO!G153</f>
        <v>48.689235000000004</v>
      </c>
      <c r="F171" s="183">
        <f>ORÇAMENTO!F153</f>
        <v>21</v>
      </c>
      <c r="G171" s="201"/>
      <c r="H171" s="201"/>
      <c r="I171" s="183">
        <f t="shared" si="11"/>
        <v>1022.47</v>
      </c>
      <c r="J171" s="169">
        <f t="shared" si="12"/>
        <v>0</v>
      </c>
      <c r="K171" s="169">
        <f t="shared" si="13"/>
        <v>0</v>
      </c>
      <c r="L171" s="202">
        <f t="shared" si="14"/>
        <v>0</v>
      </c>
    </row>
    <row r="172" spans="1:12" s="203" customFormat="1">
      <c r="A172" s="200" t="str">
        <f>ORÇAMENTO!A154</f>
        <v>9.3.15</v>
      </c>
      <c r="B172" s="187" t="str">
        <f>ORÇAMENTO!D154</f>
        <v>Placa de sinalização, fotoluminescente, em pvc, com logotipo "Extintor de incêndio portátil"- Placa E5</v>
      </c>
      <c r="C172" s="201" t="str">
        <f>ORÇAMENTO!E154</f>
        <v>unid</v>
      </c>
      <c r="D172" s="201"/>
      <c r="E172" s="183">
        <f>ORÇAMENTO!G154*26.63%+ORÇAMENTO!G154</f>
        <v>19.007162999999998</v>
      </c>
      <c r="F172" s="183">
        <f>ORÇAMENTO!F154</f>
        <v>7</v>
      </c>
      <c r="G172" s="201"/>
      <c r="H172" s="201"/>
      <c r="I172" s="183">
        <f t="shared" si="11"/>
        <v>133.05000000000001</v>
      </c>
      <c r="J172" s="169">
        <f t="shared" si="12"/>
        <v>0</v>
      </c>
      <c r="K172" s="169">
        <f t="shared" si="13"/>
        <v>0</v>
      </c>
      <c r="L172" s="202">
        <f t="shared" si="14"/>
        <v>0</v>
      </c>
    </row>
    <row r="173" spans="1:12" s="203" customFormat="1">
      <c r="A173" s="200" t="str">
        <f>ORÇAMENTO!A155</f>
        <v>9.3.16</v>
      </c>
      <c r="B173" s="187" t="str">
        <f>ORÇAMENTO!D155</f>
        <v>Placa de sinalização, fotoluminescente, em pvc, com logotipo "Hidrante de incêndio"- Placa E9</v>
      </c>
      <c r="C173" s="201" t="str">
        <f>ORÇAMENTO!E155</f>
        <v>unid</v>
      </c>
      <c r="D173" s="201"/>
      <c r="E173" s="183">
        <f>ORÇAMENTO!G155*26.63%+ORÇAMENTO!G155</f>
        <v>19.007162999999998</v>
      </c>
      <c r="F173" s="183">
        <f>ORÇAMENTO!F155</f>
        <v>3</v>
      </c>
      <c r="G173" s="201"/>
      <c r="H173" s="201"/>
      <c r="I173" s="183">
        <f t="shared" si="11"/>
        <v>57.02</v>
      </c>
      <c r="J173" s="169">
        <f t="shared" si="12"/>
        <v>0</v>
      </c>
      <c r="K173" s="169">
        <f t="shared" si="13"/>
        <v>0</v>
      </c>
      <c r="L173" s="202">
        <f t="shared" si="14"/>
        <v>0</v>
      </c>
    </row>
    <row r="174" spans="1:12" s="203" customFormat="1">
      <c r="A174" s="200"/>
      <c r="B174" s="187"/>
      <c r="C174" s="201"/>
      <c r="D174" s="201"/>
      <c r="E174" s="183"/>
      <c r="F174" s="183"/>
      <c r="G174" s="201"/>
      <c r="H174" s="201"/>
      <c r="I174" s="183"/>
      <c r="J174" s="169"/>
      <c r="K174" s="169"/>
      <c r="L174" s="202"/>
    </row>
    <row r="175" spans="1:12" s="203" customFormat="1">
      <c r="A175" s="200">
        <f>ORÇAMENTO!A157</f>
        <v>10</v>
      </c>
      <c r="B175" s="207" t="s">
        <v>172</v>
      </c>
      <c r="C175" s="201"/>
      <c r="D175" s="201"/>
      <c r="E175" s="183"/>
      <c r="F175" s="183"/>
      <c r="G175" s="201"/>
      <c r="H175" s="201"/>
      <c r="I175" s="183"/>
      <c r="J175" s="169"/>
      <c r="K175" s="169"/>
      <c r="L175" s="202"/>
    </row>
    <row r="176" spans="1:12" s="203" customFormat="1">
      <c r="A176" s="200" t="str">
        <f>ORÇAMENTO!A158</f>
        <v>10.1</v>
      </c>
      <c r="B176" s="187" t="str">
        <f>ORÇAMENTO!D158</f>
        <v>CAIXA RETANGULAR 4" X 2" MÉDIA (1,30 M DO PISO), PVC, INSTALADA EM PAREDE - FORNECIMENTO E INSTALAÇÃO. AF_12/20</v>
      </c>
      <c r="C176" s="201" t="str">
        <f>ORÇAMENTO!E158</f>
        <v>unid</v>
      </c>
      <c r="D176" s="201"/>
      <c r="E176" s="183">
        <f>ORÇAMENTO!G158*26.63%+ORÇAMENTO!G158</f>
        <v>12.409740000000001</v>
      </c>
      <c r="F176" s="183">
        <f>ORÇAMENTO!F158</f>
        <v>248</v>
      </c>
      <c r="G176" s="186"/>
      <c r="H176" s="186">
        <v>72</v>
      </c>
      <c r="I176" s="183">
        <f t="shared" si="11"/>
        <v>3077.62</v>
      </c>
      <c r="J176" s="169">
        <f t="shared" si="12"/>
        <v>0</v>
      </c>
      <c r="K176" s="169">
        <f t="shared" si="13"/>
        <v>893.5</v>
      </c>
      <c r="L176" s="202">
        <f t="shared" si="14"/>
        <v>0.29032174212540862</v>
      </c>
    </row>
    <row r="177" spans="1:12" s="203" customFormat="1">
      <c r="A177" s="200" t="str">
        <f>ORÇAMENTO!A159</f>
        <v>10.2</v>
      </c>
      <c r="B177" s="187" t="str">
        <f>ORÇAMENTO!D159</f>
        <v>TOMADA MÉDIA DE EMBUTIR (1 MÓDULO), 2P+T 20 A, INCLUINDO SUPORTE E PLACA - FORNECIMENTO E INSTALAÇÃO. AF_12/2015</v>
      </c>
      <c r="C177" s="201" t="str">
        <f>ORÇAMENTO!E159</f>
        <v>unid</v>
      </c>
      <c r="D177" s="201"/>
      <c r="E177" s="183">
        <f>ORÇAMENTO!G159*26.63%+ORÇAMENTO!G159</f>
        <v>33.253038000000004</v>
      </c>
      <c r="F177" s="183">
        <f>ORÇAMENTO!F159</f>
        <v>29</v>
      </c>
      <c r="G177" s="201"/>
      <c r="H177" s="201"/>
      <c r="I177" s="183">
        <f t="shared" si="11"/>
        <v>964.34</v>
      </c>
      <c r="J177" s="169">
        <f t="shared" si="12"/>
        <v>0</v>
      </c>
      <c r="K177" s="169">
        <f t="shared" si="13"/>
        <v>0</v>
      </c>
      <c r="L177" s="202">
        <f t="shared" si="14"/>
        <v>0</v>
      </c>
    </row>
    <row r="178" spans="1:12" s="203" customFormat="1">
      <c r="A178" s="200" t="str">
        <f>ORÇAMENTO!A160</f>
        <v>10.3</v>
      </c>
      <c r="B178" s="187" t="str">
        <f>ORÇAMENTO!D160</f>
        <v>TOMADA MÉDIA DE EMBUTIR (1 MÓDULO), 2P+T 10 A, INCLUINDO SUPORTE E PLACA - FORNECIMENTO E INSTALAÇÃO. AF_12/2015</v>
      </c>
      <c r="C178" s="201" t="str">
        <f>ORÇAMENTO!E160</f>
        <v>unid</v>
      </c>
      <c r="D178" s="201"/>
      <c r="E178" s="183">
        <f>ORÇAMENTO!G160*26.63%+ORÇAMENTO!G160</f>
        <v>30.492503999999997</v>
      </c>
      <c r="F178" s="183">
        <f>ORÇAMENTO!F160</f>
        <v>195</v>
      </c>
      <c r="G178" s="201"/>
      <c r="H178" s="201"/>
      <c r="I178" s="183">
        <f t="shared" si="11"/>
        <v>5946.04</v>
      </c>
      <c r="J178" s="169">
        <f t="shared" si="12"/>
        <v>0</v>
      </c>
      <c r="K178" s="169">
        <f t="shared" si="13"/>
        <v>0</v>
      </c>
      <c r="L178" s="202">
        <f t="shared" si="14"/>
        <v>0</v>
      </c>
    </row>
    <row r="179" spans="1:12" s="203" customFormat="1">
      <c r="A179" s="200" t="str">
        <f>ORÇAMENTO!A161</f>
        <v>10.4</v>
      </c>
      <c r="B179" s="187" t="str">
        <f>ORÇAMENTO!D161</f>
        <v>INTERRUPTOR SIMPLES (1 MÓDULO), 10A/250V, INCLUINDO SUPORTE E PLACA - FORNECIMENTO E INSTALAÇÃO. AF_12/2015</v>
      </c>
      <c r="C179" s="201" t="str">
        <f>ORÇAMENTO!E161</f>
        <v>unid</v>
      </c>
      <c r="D179" s="201"/>
      <c r="E179" s="183">
        <f>ORÇAMENTO!G161*26.63%+ORÇAMENTO!G161</f>
        <v>25.984476000000001</v>
      </c>
      <c r="F179" s="183">
        <f>ORÇAMENTO!F161</f>
        <v>38</v>
      </c>
      <c r="G179" s="201"/>
      <c r="H179" s="201"/>
      <c r="I179" s="183">
        <f t="shared" si="11"/>
        <v>987.41</v>
      </c>
      <c r="J179" s="169">
        <f t="shared" si="12"/>
        <v>0</v>
      </c>
      <c r="K179" s="169">
        <f t="shared" si="13"/>
        <v>0</v>
      </c>
      <c r="L179" s="202">
        <f t="shared" si="14"/>
        <v>0</v>
      </c>
    </row>
    <row r="180" spans="1:12" s="203" customFormat="1">
      <c r="A180" s="200" t="str">
        <f>ORÇAMENTO!A162</f>
        <v>10.5</v>
      </c>
      <c r="B180" s="187" t="str">
        <f>ORÇAMENTO!D162</f>
        <v>INTERRUPTOR SIMPLES (2 MÓDULOS), 10A/250V, INCLUINDO SUPORTE E PLACA - FORNECIMENTO E INSTALAÇÃO. AF_12/2015</v>
      </c>
      <c r="C180" s="201" t="str">
        <f>ORÇAMENTO!E162</f>
        <v>unid</v>
      </c>
      <c r="D180" s="201"/>
      <c r="E180" s="183">
        <f>ORÇAMENTO!G162*26.63%+ORÇAMENTO!G162</f>
        <v>41.218064999999996</v>
      </c>
      <c r="F180" s="183">
        <f>ORÇAMENTO!F162</f>
        <v>9</v>
      </c>
      <c r="G180" s="201"/>
      <c r="H180" s="201"/>
      <c r="I180" s="183">
        <f t="shared" si="11"/>
        <v>370.96</v>
      </c>
      <c r="J180" s="169">
        <f t="shared" si="12"/>
        <v>0</v>
      </c>
      <c r="K180" s="169">
        <f t="shared" si="13"/>
        <v>0</v>
      </c>
      <c r="L180" s="202">
        <f t="shared" si="14"/>
        <v>0</v>
      </c>
    </row>
    <row r="181" spans="1:12" s="203" customFormat="1">
      <c r="A181" s="200" t="str">
        <f>ORÇAMENTO!A163</f>
        <v>10.6</v>
      </c>
      <c r="B181" s="187" t="str">
        <f>ORÇAMENTO!D163</f>
        <v>CAIXA OCTOGONAL 4" X 4", PVC, INSTALADA EM LAJE - FORNECIMENTO E INSTALAÇÃO. AF_12/2015</v>
      </c>
      <c r="C181" s="201" t="str">
        <f>ORÇAMENTO!E163</f>
        <v>unid</v>
      </c>
      <c r="D181" s="201"/>
      <c r="E181" s="183">
        <f>ORÇAMENTO!G163*26.63%+ORÇAMENTO!G163</f>
        <v>11.054799000000001</v>
      </c>
      <c r="F181" s="183">
        <f>ORÇAMENTO!F163</f>
        <v>97</v>
      </c>
      <c r="G181" s="201"/>
      <c r="H181" s="201"/>
      <c r="I181" s="183">
        <f t="shared" si="11"/>
        <v>1072.32</v>
      </c>
      <c r="J181" s="169">
        <f t="shared" si="12"/>
        <v>0</v>
      </c>
      <c r="K181" s="169">
        <f t="shared" si="13"/>
        <v>0</v>
      </c>
      <c r="L181" s="202">
        <f t="shared" si="14"/>
        <v>0</v>
      </c>
    </row>
    <row r="182" spans="1:12" s="203" customFormat="1" ht="30">
      <c r="A182" s="200" t="str">
        <f>ORÇAMENTO!A164</f>
        <v>10.7</v>
      </c>
      <c r="B182" s="187" t="str">
        <f>ORÇAMENTO!D164</f>
        <v>LUVA PARA ELETRODUTO, PVC, ROSCÁVEL, DN 25 MM (3/4"), PARA CIRCUITOS TERMINAIS, INSTALADA EM FORRO - FORNECIMENTO E INSTALAÇÃO. AF_12/2015</v>
      </c>
      <c r="C182" s="201" t="str">
        <f>ORÇAMENTO!E164</f>
        <v>unid</v>
      </c>
      <c r="D182" s="201"/>
      <c r="E182" s="183">
        <f>ORÇAMENTO!G164*26.63%+ORÇAMENTO!G164</f>
        <v>5.2804710000000004</v>
      </c>
      <c r="F182" s="183">
        <f>ORÇAMENTO!F164</f>
        <v>103</v>
      </c>
      <c r="G182" s="201"/>
      <c r="H182" s="201"/>
      <c r="I182" s="183">
        <f t="shared" si="11"/>
        <v>543.89</v>
      </c>
      <c r="J182" s="169">
        <f t="shared" si="12"/>
        <v>0</v>
      </c>
      <c r="K182" s="169">
        <f t="shared" si="13"/>
        <v>0</v>
      </c>
      <c r="L182" s="202">
        <f t="shared" si="14"/>
        <v>0</v>
      </c>
    </row>
    <row r="183" spans="1:12" s="203" customFormat="1" ht="30">
      <c r="A183" s="200" t="str">
        <f>ORÇAMENTO!A165</f>
        <v>10.8</v>
      </c>
      <c r="B183" s="187" t="str">
        <f>ORÇAMENTO!D165</f>
        <v>ELETRODUTO FLEXÍVEL CORRUGADO, PVC, DN 25 MM (3/4"), PARA CIRCUITOS TERMINAIS, INSTALADO EM PAREDE - FORNECIMENTO E INSTALAÇÃO. AF_12/2015</v>
      </c>
      <c r="C183" s="201" t="str">
        <f>ORÇAMENTO!E165</f>
        <v>m</v>
      </c>
      <c r="D183" s="201"/>
      <c r="E183" s="183">
        <f>ORÇAMENTO!G165*26.63%+ORÇAMENTO!G165</f>
        <v>7.9776899999999999</v>
      </c>
      <c r="F183" s="183">
        <f>ORÇAMENTO!F165</f>
        <v>750</v>
      </c>
      <c r="G183" s="186"/>
      <c r="H183" s="186">
        <v>100</v>
      </c>
      <c r="I183" s="183">
        <f t="shared" si="11"/>
        <v>5983.27</v>
      </c>
      <c r="J183" s="169">
        <f t="shared" si="12"/>
        <v>0</v>
      </c>
      <c r="K183" s="169">
        <f t="shared" si="13"/>
        <v>797.77</v>
      </c>
      <c r="L183" s="202">
        <f t="shared" si="14"/>
        <v>0.13333344475512554</v>
      </c>
    </row>
    <row r="184" spans="1:12" s="203" customFormat="1">
      <c r="A184" s="200" t="str">
        <f>ORÇAMENTO!A166</f>
        <v>10.9</v>
      </c>
      <c r="B184" s="187" t="str">
        <f>ORÇAMENTO!D166</f>
        <v>ELETRODUTO RÍGIDO SOLDÁVEL, PVC, DN 32 MM (1), APARENTE, INSTALADO EM PAREDE - FORNECIMENTO E INSTALAÇÃO. AF_11/2016_P</v>
      </c>
      <c r="C184" s="201" t="str">
        <f>ORÇAMENTO!E166</f>
        <v>m</v>
      </c>
      <c r="D184" s="201"/>
      <c r="E184" s="183">
        <f>ORÇAMENTO!G166*26.63%+ORÇAMENTO!G166</f>
        <v>10.928169</v>
      </c>
      <c r="F184" s="183">
        <f>ORÇAMENTO!F166</f>
        <v>210</v>
      </c>
      <c r="G184" s="201"/>
      <c r="H184" s="201"/>
      <c r="I184" s="183">
        <f t="shared" si="11"/>
        <v>2294.92</v>
      </c>
      <c r="J184" s="169">
        <f t="shared" si="12"/>
        <v>0</v>
      </c>
      <c r="K184" s="169">
        <f t="shared" si="13"/>
        <v>0</v>
      </c>
      <c r="L184" s="202">
        <f t="shared" si="14"/>
        <v>0</v>
      </c>
    </row>
    <row r="185" spans="1:12" s="203" customFormat="1" ht="30">
      <c r="A185" s="200" t="str">
        <f>ORÇAMENTO!A167</f>
        <v>10.10</v>
      </c>
      <c r="B185" s="187" t="str">
        <f>ORÇAMENTO!D167</f>
        <v>CURVA 90 GRAUS PARA ELETRODUTO, PVC, ROSCÁVEL, DN 32 MM (1"), PARA CIRCUITOS TERMINAIS, INSTALADA EM PAREDE - FORNECIMENTO E INSTALAÇÃO. AF_12/2015</v>
      </c>
      <c r="C185" s="201" t="str">
        <f>ORÇAMENTO!E167</f>
        <v>unid</v>
      </c>
      <c r="D185" s="201"/>
      <c r="E185" s="183">
        <f>ORÇAMENTO!G167*26.63%+ORÇAMENTO!G167</f>
        <v>14.499134999999999</v>
      </c>
      <c r="F185" s="183">
        <f>ORÇAMENTO!F167</f>
        <v>89</v>
      </c>
      <c r="G185" s="201"/>
      <c r="H185" s="201"/>
      <c r="I185" s="183">
        <f t="shared" si="11"/>
        <v>1290.42</v>
      </c>
      <c r="J185" s="169">
        <f t="shared" si="12"/>
        <v>0</v>
      </c>
      <c r="K185" s="169">
        <f t="shared" si="13"/>
        <v>0</v>
      </c>
      <c r="L185" s="202">
        <f t="shared" si="14"/>
        <v>0</v>
      </c>
    </row>
    <row r="186" spans="1:12" s="203" customFormat="1" ht="30">
      <c r="A186" s="200" t="str">
        <f>ORÇAMENTO!A168</f>
        <v>10.11</v>
      </c>
      <c r="B186" s="187" t="str">
        <f>ORÇAMENTO!D168</f>
        <v>LUVA PARA ELETRODUTO, PVC, SOLDÁVEL, DN 32 MM (1), APARENTE, INSTALADA EM PAREDE - FORNECIMENTO E INSTALAÇÃO. AF_11/2016_P</v>
      </c>
      <c r="C186" s="201" t="str">
        <f>ORÇAMENTO!E168</f>
        <v>unid</v>
      </c>
      <c r="D186" s="201"/>
      <c r="E186" s="183">
        <f>ORÇAMENTO!G168*26.63%+ORÇAMENTO!G168</f>
        <v>7.6231259999999992</v>
      </c>
      <c r="F186" s="183">
        <f>ORÇAMENTO!F168</f>
        <v>102</v>
      </c>
      <c r="G186" s="201"/>
      <c r="H186" s="201"/>
      <c r="I186" s="183">
        <f t="shared" si="11"/>
        <v>777.56</v>
      </c>
      <c r="J186" s="169">
        <f t="shared" si="12"/>
        <v>0</v>
      </c>
      <c r="K186" s="169">
        <f t="shared" si="13"/>
        <v>0</v>
      </c>
      <c r="L186" s="202">
        <f t="shared" si="14"/>
        <v>0</v>
      </c>
    </row>
    <row r="187" spans="1:12" s="203" customFormat="1" ht="30">
      <c r="A187" s="200" t="str">
        <f>ORÇAMENTO!A169</f>
        <v>10.12</v>
      </c>
      <c r="B187" s="187" t="str">
        <f>ORÇAMENTO!D169</f>
        <v>ENTRADA DE ENERGIA ELÉTRICA, AÉREA, TRIFÁSICA, COM CAIXA DE EMBUTIR, CABO DE 35 MM2 E DISJUNTOR DIN 50A (NÃO INCLUSO O POSTE DE CONCRETO). AF_07/2020</v>
      </c>
      <c r="C187" s="201" t="str">
        <f>ORÇAMENTO!E169</f>
        <v>unid</v>
      </c>
      <c r="D187" s="201"/>
      <c r="E187" s="183">
        <f>ORÇAMENTO!G169*26.63%+ORÇAMENTO!G169</f>
        <v>2640.2481630000002</v>
      </c>
      <c r="F187" s="183">
        <f>ORÇAMENTO!F169</f>
        <v>1</v>
      </c>
      <c r="G187" s="201"/>
      <c r="H187" s="201"/>
      <c r="I187" s="183">
        <f t="shared" si="11"/>
        <v>2640.25</v>
      </c>
      <c r="J187" s="169">
        <f t="shared" si="12"/>
        <v>0</v>
      </c>
      <c r="K187" s="169">
        <f t="shared" si="13"/>
        <v>0</v>
      </c>
      <c r="L187" s="202">
        <f t="shared" si="14"/>
        <v>0</v>
      </c>
    </row>
    <row r="188" spans="1:12" s="203" customFormat="1" ht="30">
      <c r="A188" s="200" t="str">
        <f>ORÇAMENTO!A170</f>
        <v>10.13</v>
      </c>
      <c r="B188" s="187" t="str">
        <f>ORÇAMENTO!D170</f>
        <v>LUMINÁRIA TIPO PLAFON EM PLÁSTICO, DE SOBREPOR, COM 1 LÂMPADA FLUORESCENTE DE 15 W, SEM REATOR - FORNECIMENTO E INSTALAÇÃO. AF_02/2020</v>
      </c>
      <c r="C188" s="201" t="str">
        <f>ORÇAMENTO!E170</f>
        <v>unid</v>
      </c>
      <c r="D188" s="201"/>
      <c r="E188" s="183">
        <f>ORÇAMENTO!G170*26.63%+ORÇAMENTO!G170</f>
        <v>51.816996000000003</v>
      </c>
      <c r="F188" s="183">
        <f>ORÇAMENTO!F170</f>
        <v>97</v>
      </c>
      <c r="G188" s="201"/>
      <c r="H188" s="201"/>
      <c r="I188" s="183">
        <f t="shared" si="11"/>
        <v>5026.25</v>
      </c>
      <c r="J188" s="169">
        <f t="shared" si="12"/>
        <v>0</v>
      </c>
      <c r="K188" s="169">
        <f t="shared" si="13"/>
        <v>0</v>
      </c>
      <c r="L188" s="202">
        <f t="shared" si="14"/>
        <v>0</v>
      </c>
    </row>
    <row r="189" spans="1:12" s="203" customFormat="1" ht="30">
      <c r="A189" s="200" t="str">
        <f>ORÇAMENTO!A171</f>
        <v>10.14</v>
      </c>
      <c r="B189" s="187" t="str">
        <f>ORÇAMENTO!D171</f>
        <v>CABO DE COBRE FLEXÍVEL ISOLADO, 2,5 MM², ANTI-CHAMA 0,6/1,0 KV, PARA CIRCUITOS TERMINAIS - FORNECIMENTO E INSTALAÇÃO. AF_12/2015</v>
      </c>
      <c r="C189" s="201" t="str">
        <f>ORÇAMENTO!E171</f>
        <v>m</v>
      </c>
      <c r="D189" s="201"/>
      <c r="E189" s="183">
        <f>ORÇAMENTO!G171*26.63%+ORÇAMENTO!G171</f>
        <v>6.0402509999999996</v>
      </c>
      <c r="F189" s="183">
        <f>ORÇAMENTO!F171</f>
        <v>1470</v>
      </c>
      <c r="G189" s="201"/>
      <c r="H189" s="201"/>
      <c r="I189" s="183">
        <f t="shared" si="11"/>
        <v>8879.17</v>
      </c>
      <c r="J189" s="169">
        <f t="shared" si="12"/>
        <v>0</v>
      </c>
      <c r="K189" s="169">
        <f t="shared" si="13"/>
        <v>0</v>
      </c>
      <c r="L189" s="202">
        <f t="shared" si="14"/>
        <v>0</v>
      </c>
    </row>
    <row r="190" spans="1:12" s="203" customFormat="1" ht="30">
      <c r="A190" s="200" t="str">
        <f>ORÇAMENTO!A172</f>
        <v>10.15</v>
      </c>
      <c r="B190" s="187" t="str">
        <f>ORÇAMENTO!D172</f>
        <v>CABO DE COBRE FLEXÍVEL ISOLADO, 4 MM², ANTI-CHAMA 0,6/1,0 KV, PARA CIRCUITOS TERMINAIS - FORNECIMENTO E INSTALAÇÃO. AF_12/2015</v>
      </c>
      <c r="C190" s="201" t="str">
        <f>ORÇAMENTO!E172</f>
        <v>m</v>
      </c>
      <c r="D190" s="201"/>
      <c r="E190" s="183">
        <f>ORÇAMENTO!G172*26.63%+ORÇAMENTO!G172</f>
        <v>8.5221990000000005</v>
      </c>
      <c r="F190" s="183">
        <f>ORÇAMENTO!F172</f>
        <v>1184</v>
      </c>
      <c r="G190" s="201"/>
      <c r="H190" s="201"/>
      <c r="I190" s="183">
        <f t="shared" si="11"/>
        <v>10090.280000000001</v>
      </c>
      <c r="J190" s="169">
        <f t="shared" si="12"/>
        <v>0</v>
      </c>
      <c r="K190" s="169">
        <f t="shared" si="13"/>
        <v>0</v>
      </c>
      <c r="L190" s="202">
        <f t="shared" si="14"/>
        <v>0</v>
      </c>
    </row>
    <row r="191" spans="1:12" s="203" customFormat="1">
      <c r="A191" s="200" t="str">
        <f>ORÇAMENTO!A173</f>
        <v>10.16</v>
      </c>
      <c r="B191" s="187" t="str">
        <f>ORÇAMENTO!D173</f>
        <v>CORDOALHA DE COBRE NU 25 MM², NÃO ENTERRADA, COM ISOLADOR - FORNECIMENTO E INSTALAÇÃO. AF_12/2017</v>
      </c>
      <c r="C191" s="201" t="str">
        <f>ORÇAMENTO!E173</f>
        <v>m</v>
      </c>
      <c r="D191" s="201"/>
      <c r="E191" s="183">
        <f>ORÇAMENTO!G173*26.63%+ORÇAMENTO!G173</f>
        <v>52.880687999999999</v>
      </c>
      <c r="F191" s="183">
        <f>ORÇAMENTO!F173</f>
        <v>50</v>
      </c>
      <c r="G191" s="201"/>
      <c r="H191" s="201"/>
      <c r="I191" s="183">
        <f t="shared" si="11"/>
        <v>2644.03</v>
      </c>
      <c r="J191" s="169">
        <f t="shared" si="12"/>
        <v>0</v>
      </c>
      <c r="K191" s="169">
        <f t="shared" si="13"/>
        <v>0</v>
      </c>
      <c r="L191" s="202">
        <f t="shared" si="14"/>
        <v>0</v>
      </c>
    </row>
    <row r="192" spans="1:12" s="203" customFormat="1" ht="30">
      <c r="A192" s="200" t="str">
        <f>ORÇAMENTO!A174</f>
        <v>10.17</v>
      </c>
      <c r="B192" s="187" t="str">
        <f>ORÇAMENTO!D174</f>
        <v>QUADRO DE DISTRIBUIÇÃO DE ENERGIA EM CHAPA DE AÇO GALVANIZADO, DE EMBUTIR, COM BARRAMENTO TRIFÁSICO, PARA 40 DISJUNTORES DIN 100A - FORNECIMENTO E INSTALAÇÃO. AF_10/2020</v>
      </c>
      <c r="C192" s="201" t="str">
        <f>ORÇAMENTO!E174</f>
        <v>unid</v>
      </c>
      <c r="D192" s="201"/>
      <c r="E192" s="183">
        <f>ORÇAMENTO!G174*26.63%+ORÇAMENTO!G174</f>
        <v>1194.4501379999999</v>
      </c>
      <c r="F192" s="183">
        <f>ORÇAMENTO!F174</f>
        <v>2</v>
      </c>
      <c r="G192" s="201"/>
      <c r="H192" s="201"/>
      <c r="I192" s="183">
        <f t="shared" si="11"/>
        <v>2388.9</v>
      </c>
      <c r="J192" s="169">
        <f t="shared" si="12"/>
        <v>0</v>
      </c>
      <c r="K192" s="169">
        <f t="shared" si="13"/>
        <v>0</v>
      </c>
      <c r="L192" s="202">
        <f t="shared" si="14"/>
        <v>0</v>
      </c>
    </row>
    <row r="193" spans="1:12" s="203" customFormat="1">
      <c r="A193" s="200" t="str">
        <f>ORÇAMENTO!A175</f>
        <v>10.18</v>
      </c>
      <c r="B193" s="187" t="str">
        <f>ORÇAMENTO!D175</f>
        <v>DISJUNTOR MONOPOLAR TIPO DIN, CORRENTE NOMINAL DE 10A - FORNECIMENTO E INSTALAÇÃO. AF_10/2020</v>
      </c>
      <c r="C193" s="201" t="str">
        <f>ORÇAMENTO!E175</f>
        <v>unid</v>
      </c>
      <c r="D193" s="201"/>
      <c r="E193" s="183">
        <f>ORÇAMENTO!G175*26.63%+ORÇAMENTO!G175</f>
        <v>12.321099</v>
      </c>
      <c r="F193" s="183">
        <f>ORÇAMENTO!F175</f>
        <v>1</v>
      </c>
      <c r="G193" s="201"/>
      <c r="H193" s="201"/>
      <c r="I193" s="183">
        <f t="shared" si="11"/>
        <v>12.32</v>
      </c>
      <c r="J193" s="169">
        <f t="shared" si="12"/>
        <v>0</v>
      </c>
      <c r="K193" s="169">
        <f t="shared" si="13"/>
        <v>0</v>
      </c>
      <c r="L193" s="202">
        <f t="shared" si="14"/>
        <v>0</v>
      </c>
    </row>
    <row r="194" spans="1:12" s="203" customFormat="1">
      <c r="A194" s="200" t="str">
        <f>ORÇAMENTO!A176</f>
        <v>10.19</v>
      </c>
      <c r="B194" s="187" t="str">
        <f>ORÇAMENTO!D176</f>
        <v>DISJUNTOR MONOPOLAR TIPO DIN, CORRENTE NOMINAL DE 16A - FORNECIMENTO E INSTALAÇÃO. AF_10/2020</v>
      </c>
      <c r="C194" s="201" t="str">
        <f>ORÇAMENTO!E176</f>
        <v>unid</v>
      </c>
      <c r="D194" s="201"/>
      <c r="E194" s="183">
        <f>ORÇAMENTO!G176*26.63%+ORÇAMENTO!G176</f>
        <v>12.814955999999999</v>
      </c>
      <c r="F194" s="183">
        <f>ORÇAMENTO!F176</f>
        <v>21</v>
      </c>
      <c r="G194" s="201"/>
      <c r="H194" s="201"/>
      <c r="I194" s="183">
        <f t="shared" si="11"/>
        <v>269.11</v>
      </c>
      <c r="J194" s="169">
        <f t="shared" si="12"/>
        <v>0</v>
      </c>
      <c r="K194" s="169">
        <f t="shared" si="13"/>
        <v>0</v>
      </c>
      <c r="L194" s="202">
        <f t="shared" si="14"/>
        <v>0</v>
      </c>
    </row>
    <row r="195" spans="1:12" s="203" customFormat="1">
      <c r="A195" s="200" t="str">
        <f>ORÇAMENTO!A177</f>
        <v>10.20</v>
      </c>
      <c r="B195" s="187" t="str">
        <f>ORÇAMENTO!D177</f>
        <v>DISJUNTOR MONOPOLAR TIPO DIN, CORRENTE NOMINAL DE 25A - FORNECIMENTO E INSTALAÇÃO. AF_10/2020</v>
      </c>
      <c r="C195" s="201" t="str">
        <f>ORÇAMENTO!E177</f>
        <v>unid</v>
      </c>
      <c r="D195" s="201"/>
      <c r="E195" s="183">
        <f>ORÇAMENTO!G177*26.63%+ORÇAMENTO!G177</f>
        <v>13.802670000000001</v>
      </c>
      <c r="F195" s="183">
        <f>ORÇAMENTO!F177</f>
        <v>9</v>
      </c>
      <c r="G195" s="201"/>
      <c r="H195" s="201"/>
      <c r="I195" s="183">
        <f t="shared" si="11"/>
        <v>124.22</v>
      </c>
      <c r="J195" s="169">
        <f t="shared" si="12"/>
        <v>0</v>
      </c>
      <c r="K195" s="169">
        <f t="shared" si="13"/>
        <v>0</v>
      </c>
      <c r="L195" s="202">
        <f t="shared" si="14"/>
        <v>0</v>
      </c>
    </row>
    <row r="196" spans="1:12" s="203" customFormat="1">
      <c r="A196" s="200" t="str">
        <f>ORÇAMENTO!A178</f>
        <v>10.21</v>
      </c>
      <c r="B196" s="187" t="str">
        <f>ORÇAMENTO!D178</f>
        <v>DISJUNTOR TERMOMAGNÉTICO TRIPOLAR , CORRENTE NOMINAL DE 125A - FORNECIMENTO E INSTALAÇÃO. AF_10/2020</v>
      </c>
      <c r="C196" s="201" t="str">
        <f>ORÇAMENTO!E178</f>
        <v>unid</v>
      </c>
      <c r="D196" s="201"/>
      <c r="E196" s="183">
        <f>ORÇAMENTO!G178*26.63%+ORÇAMENTO!G178</f>
        <v>454.107843</v>
      </c>
      <c r="F196" s="183">
        <f>ORÇAMENTO!F178</f>
        <v>2</v>
      </c>
      <c r="G196" s="201"/>
      <c r="H196" s="201"/>
      <c r="I196" s="183">
        <f t="shared" si="11"/>
        <v>908.22</v>
      </c>
      <c r="J196" s="169">
        <f t="shared" si="12"/>
        <v>0</v>
      </c>
      <c r="K196" s="169">
        <f t="shared" si="13"/>
        <v>0</v>
      </c>
      <c r="L196" s="202">
        <f t="shared" si="14"/>
        <v>0</v>
      </c>
    </row>
    <row r="197" spans="1:12" s="203" customFormat="1">
      <c r="A197" s="200" t="str">
        <f>ORÇAMENTO!A179</f>
        <v>10.22</v>
      </c>
      <c r="B197" s="187" t="str">
        <f>ORÇAMENTO!D179</f>
        <v>Dispositivo DR tetrapolar 100A, tipo AC, 30MA</v>
      </c>
      <c r="C197" s="201" t="str">
        <f>ORÇAMENTO!E179</f>
        <v>unid</v>
      </c>
      <c r="D197" s="201"/>
      <c r="E197" s="183">
        <f>ORÇAMENTO!G179*26.63%+ORÇAMENTO!G179</f>
        <v>449.270577</v>
      </c>
      <c r="F197" s="183">
        <f>ORÇAMENTO!F179</f>
        <v>2</v>
      </c>
      <c r="G197" s="201"/>
      <c r="H197" s="201"/>
      <c r="I197" s="183">
        <f t="shared" si="11"/>
        <v>898.54</v>
      </c>
      <c r="J197" s="169">
        <f t="shared" si="12"/>
        <v>0</v>
      </c>
      <c r="K197" s="169">
        <f t="shared" si="13"/>
        <v>0</v>
      </c>
      <c r="L197" s="202">
        <f t="shared" si="14"/>
        <v>0</v>
      </c>
    </row>
    <row r="198" spans="1:12" s="203" customFormat="1">
      <c r="A198" s="200" t="str">
        <f>ORÇAMENTO!A180</f>
        <v>10.23</v>
      </c>
      <c r="B198" s="187" t="str">
        <f>ORÇAMENTO!D180</f>
        <v>Fornecimento e instalação de eletrocalha perfurada 200x70x3000mm (ref. Mopa ou similar).</v>
      </c>
      <c r="C198" s="201" t="str">
        <f>ORÇAMENTO!E180</f>
        <v>m</v>
      </c>
      <c r="D198" s="201"/>
      <c r="E198" s="183">
        <f>ORÇAMENTO!G180*26.63%+ORÇAMENTO!G180</f>
        <v>89.210835000000003</v>
      </c>
      <c r="F198" s="183">
        <f>ORÇAMENTO!F180</f>
        <v>25</v>
      </c>
      <c r="G198" s="201"/>
      <c r="H198" s="201"/>
      <c r="I198" s="183">
        <f t="shared" si="11"/>
        <v>2230.27</v>
      </c>
      <c r="J198" s="169">
        <f t="shared" si="12"/>
        <v>0</v>
      </c>
      <c r="K198" s="169">
        <f t="shared" si="13"/>
        <v>0</v>
      </c>
      <c r="L198" s="202">
        <f t="shared" si="14"/>
        <v>0</v>
      </c>
    </row>
    <row r="199" spans="1:12" s="203" customFormat="1" ht="30">
      <c r="A199" s="200" t="str">
        <f>ORÇAMENTO!A181</f>
        <v>10.24</v>
      </c>
      <c r="B199" s="187" t="str">
        <f>ORÇAMENTO!D181</f>
        <v>SUPORTE PARA ELETROCALHA LISA OU PERFURADA EM AÇO GALVANIZADO, LARGURA 200 OU 400 MM E ALTURA 50 MM, ESPAÇADO A CADA 1,5 M, EM PERFILADO DE SEÇÃO 38X76 MM, POR METRO DE ELETRECOLHA FIXADA. AF_07/2017</v>
      </c>
      <c r="C199" s="201" t="str">
        <f>ORÇAMENTO!E181</f>
        <v>m</v>
      </c>
      <c r="D199" s="201"/>
      <c r="E199" s="183">
        <f>ORÇAMENTO!G181*26.63%+ORÇAMENTO!G181</f>
        <v>23.249268000000001</v>
      </c>
      <c r="F199" s="183">
        <f>ORÇAMENTO!F181</f>
        <v>40</v>
      </c>
      <c r="G199" s="201"/>
      <c r="H199" s="201"/>
      <c r="I199" s="183">
        <f t="shared" si="11"/>
        <v>929.97</v>
      </c>
      <c r="J199" s="169">
        <f t="shared" si="12"/>
        <v>0</v>
      </c>
      <c r="K199" s="169">
        <f t="shared" si="13"/>
        <v>0</v>
      </c>
      <c r="L199" s="202">
        <f t="shared" si="14"/>
        <v>0</v>
      </c>
    </row>
    <row r="200" spans="1:12" s="203" customFormat="1">
      <c r="A200" s="200" t="str">
        <f>ORÇAMENTO!A182</f>
        <v>10.25</v>
      </c>
      <c r="B200" s="187" t="str">
        <f>ORÇAMENTO!D182</f>
        <v>Cantoneira "ZZ" para fixação de perfilado, ref. Mopa ou similar.</v>
      </c>
      <c r="C200" s="201" t="str">
        <f>ORÇAMENTO!E182</f>
        <v>unid</v>
      </c>
      <c r="D200" s="201"/>
      <c r="E200" s="183">
        <f>ORÇAMENTO!G182*26.63%+ORÇAMENTO!G182</f>
        <v>9.6871950000000009</v>
      </c>
      <c r="F200" s="183">
        <f>ORÇAMENTO!F182</f>
        <v>2</v>
      </c>
      <c r="G200" s="201"/>
      <c r="H200" s="201"/>
      <c r="I200" s="183">
        <f t="shared" si="11"/>
        <v>19.37</v>
      </c>
      <c r="J200" s="169">
        <f t="shared" si="12"/>
        <v>0</v>
      </c>
      <c r="K200" s="169">
        <f t="shared" si="13"/>
        <v>0</v>
      </c>
      <c r="L200" s="202">
        <f t="shared" si="14"/>
        <v>0</v>
      </c>
    </row>
    <row r="201" spans="1:12" s="203" customFormat="1">
      <c r="A201" s="200"/>
      <c r="B201" s="187"/>
      <c r="C201" s="201"/>
      <c r="D201" s="201"/>
      <c r="E201" s="183"/>
      <c r="F201" s="183"/>
      <c r="G201" s="201"/>
      <c r="H201" s="201"/>
      <c r="I201" s="183"/>
      <c r="J201" s="169"/>
      <c r="K201" s="169"/>
      <c r="L201" s="202"/>
    </row>
    <row r="202" spans="1:12" s="203" customFormat="1">
      <c r="A202" s="200">
        <f>ORÇAMENTO!A184</f>
        <v>11</v>
      </c>
      <c r="B202" s="207" t="s">
        <v>198</v>
      </c>
      <c r="C202" s="201"/>
      <c r="D202" s="201"/>
      <c r="E202" s="183"/>
      <c r="F202" s="183"/>
      <c r="G202" s="201"/>
      <c r="H202" s="201"/>
      <c r="I202" s="183"/>
      <c r="J202" s="169"/>
      <c r="K202" s="169"/>
      <c r="L202" s="202"/>
    </row>
    <row r="203" spans="1:12" s="203" customFormat="1">
      <c r="A203" s="200" t="str">
        <f>ORÇAMENTO!A185</f>
        <v>11.1</v>
      </c>
      <c r="B203" s="187" t="str">
        <f>ORÇAMENTO!D185</f>
        <v>APLICAÇÃO MANUAL DE PINTURA COM TINTA LÁTEX ACRÍLICA EM PAREDES, DUAS DEMÃOS. AF_06/2014</v>
      </c>
      <c r="C203" s="201" t="str">
        <f>ORÇAMENTO!E185</f>
        <v>m²</v>
      </c>
      <c r="D203" s="201"/>
      <c r="E203" s="183">
        <f>ORÇAMENTO!G185*26.63%+ORÇAMENTO!G185</f>
        <v>14.841036000000001</v>
      </c>
      <c r="F203" s="183">
        <f>ORÇAMENTO!F185</f>
        <v>3708.15</v>
      </c>
      <c r="G203" s="201"/>
      <c r="H203" s="201"/>
      <c r="I203" s="183">
        <f t="shared" si="11"/>
        <v>55032.79</v>
      </c>
      <c r="J203" s="169">
        <f t="shared" si="12"/>
        <v>0</v>
      </c>
      <c r="K203" s="169">
        <f t="shared" si="13"/>
        <v>0</v>
      </c>
      <c r="L203" s="202">
        <f t="shared" si="14"/>
        <v>0</v>
      </c>
    </row>
    <row r="204" spans="1:12" s="203" customFormat="1">
      <c r="A204" s="200" t="str">
        <f>ORÇAMENTO!A186</f>
        <v>11.2</v>
      </c>
      <c r="B204" s="187" t="str">
        <f>ORÇAMENTO!D186</f>
        <v>APLICAÇÃO MANUAL DE MASSA ACRÍLICA EM PAREDES EXTERNAS DE CASAS, DUAS DEMÃOS. AF_05/2017</v>
      </c>
      <c r="C204" s="201" t="str">
        <f>ORÇAMENTO!E186</f>
        <v>m²</v>
      </c>
      <c r="D204" s="201"/>
      <c r="E204" s="183">
        <f>ORÇAMENTO!G186*26.63%+ORÇAMENTO!G186</f>
        <v>26.250399000000002</v>
      </c>
      <c r="F204" s="183">
        <f>ORÇAMENTO!F186</f>
        <v>994.53</v>
      </c>
      <c r="G204" s="201"/>
      <c r="H204" s="201"/>
      <c r="I204" s="183">
        <f t="shared" si="11"/>
        <v>26106.81</v>
      </c>
      <c r="J204" s="169">
        <f t="shared" si="12"/>
        <v>0</v>
      </c>
      <c r="K204" s="169">
        <f t="shared" si="13"/>
        <v>0</v>
      </c>
      <c r="L204" s="202">
        <f t="shared" si="14"/>
        <v>0</v>
      </c>
    </row>
    <row r="205" spans="1:12" s="203" customFormat="1">
      <c r="A205" s="200" t="str">
        <f>ORÇAMENTO!A187</f>
        <v>11.3</v>
      </c>
      <c r="B205" s="187" t="str">
        <f>ORÇAMENTO!D187</f>
        <v>APLICAÇÃO DE FUNDO SELADOR ACRÍLICO EM PAREDES, UMA DEMÃO. AF_06/2014</v>
      </c>
      <c r="C205" s="201" t="str">
        <f>ORÇAMENTO!E187</f>
        <v>m²</v>
      </c>
      <c r="D205" s="201"/>
      <c r="E205" s="183">
        <f>ORÇAMENTO!G187*26.63%+ORÇAMENTO!G187</f>
        <v>2.65923</v>
      </c>
      <c r="F205" s="183">
        <f>ORÇAMENTO!F187</f>
        <v>418.9</v>
      </c>
      <c r="G205" s="201"/>
      <c r="H205" s="201"/>
      <c r="I205" s="183">
        <f t="shared" si="11"/>
        <v>1113.95</v>
      </c>
      <c r="J205" s="169">
        <f t="shared" si="12"/>
        <v>0</v>
      </c>
      <c r="K205" s="169">
        <f t="shared" si="13"/>
        <v>0</v>
      </c>
      <c r="L205" s="202">
        <f t="shared" si="14"/>
        <v>0</v>
      </c>
    </row>
    <row r="206" spans="1:12" s="203" customFormat="1">
      <c r="A206" s="200" t="str">
        <f>ORÇAMENTO!A188</f>
        <v>11.4</v>
      </c>
      <c r="B206" s="187" t="str">
        <f>ORÇAMENTO!D188</f>
        <v>APLICAÇÃO E LIXAMENTO DE MASSA LÁTEX EM PAREDES, DUAS DEMÃOS. AF_06/2014</v>
      </c>
      <c r="C206" s="201" t="str">
        <f>ORÇAMENTO!E188</f>
        <v>m²</v>
      </c>
      <c r="D206" s="201"/>
      <c r="E206" s="183">
        <f>ORÇAMENTO!G188*26.63%+ORÇAMENTO!G188</f>
        <v>15.144948000000001</v>
      </c>
      <c r="F206" s="183">
        <f>ORÇAMENTO!F188</f>
        <v>961.62</v>
      </c>
      <c r="G206" s="201"/>
      <c r="H206" s="201"/>
      <c r="I206" s="183">
        <f t="shared" si="11"/>
        <v>14563.68</v>
      </c>
      <c r="J206" s="169">
        <f t="shared" si="12"/>
        <v>0</v>
      </c>
      <c r="K206" s="169">
        <f t="shared" si="13"/>
        <v>0</v>
      </c>
      <c r="L206" s="202">
        <f t="shared" si="14"/>
        <v>0</v>
      </c>
    </row>
    <row r="207" spans="1:12" s="203" customFormat="1">
      <c r="A207" s="200" t="str">
        <f>ORÇAMENTO!A189</f>
        <v>11.5</v>
      </c>
      <c r="B207" s="187" t="str">
        <f>ORÇAMENTO!D189</f>
        <v>PINTURA VERNIZ (INCOLOR) ALQUÍDICO EM MADEIRA, USO INTERNO E EXTERNO, 1 DEMÃO. AF_01/2021</v>
      </c>
      <c r="C207" s="201" t="str">
        <f>ORÇAMENTO!E189</f>
        <v>m²</v>
      </c>
      <c r="D207" s="201"/>
      <c r="E207" s="183">
        <f>ORÇAMENTO!G189*26.63%+ORÇAMENTO!G189</f>
        <v>9.0920339999999999</v>
      </c>
      <c r="F207" s="183">
        <f>ORÇAMENTO!F189</f>
        <v>165.06</v>
      </c>
      <c r="G207" s="201"/>
      <c r="H207" s="201"/>
      <c r="I207" s="183">
        <f t="shared" si="11"/>
        <v>1500.73</v>
      </c>
      <c r="J207" s="169">
        <f t="shared" si="12"/>
        <v>0</v>
      </c>
      <c r="K207" s="169">
        <f t="shared" si="13"/>
        <v>0</v>
      </c>
      <c r="L207" s="202">
        <f t="shared" si="14"/>
        <v>0</v>
      </c>
    </row>
    <row r="208" spans="1:12" s="203" customFormat="1" ht="30">
      <c r="A208" s="200" t="str">
        <f>ORÇAMENTO!A190</f>
        <v>11.6</v>
      </c>
      <c r="B208" s="187" t="str">
        <f>ORÇAMENTO!D190</f>
        <v>PINTURA COM TINTA ALQUÍDICA DE FUNDO E ACABAMENTO (ESMALTE SINTÉTICO GRAFITE) PULVERIZADA SOBRE SUPERFÍCIES METÁLICAS (EXCETO PERFIL) EXECUTADO EM OBRA (POR DEMÃO). AF_01/2020_P</v>
      </c>
      <c r="C208" s="201" t="str">
        <f>ORÇAMENTO!E190</f>
        <v>m²</v>
      </c>
      <c r="D208" s="201"/>
      <c r="E208" s="183">
        <f>ORÇAMENTO!G190*26.63%+ORÇAMENTO!G190</f>
        <v>19.918899</v>
      </c>
      <c r="F208" s="183">
        <f>ORÇAMENTO!F190</f>
        <v>57.75</v>
      </c>
      <c r="G208" s="201"/>
      <c r="H208" s="201"/>
      <c r="I208" s="183">
        <f t="shared" si="11"/>
        <v>1150.32</v>
      </c>
      <c r="J208" s="169">
        <f t="shared" si="12"/>
        <v>0</v>
      </c>
      <c r="K208" s="169">
        <f t="shared" si="13"/>
        <v>0</v>
      </c>
      <c r="L208" s="202">
        <f t="shared" si="14"/>
        <v>0</v>
      </c>
    </row>
    <row r="209" spans="1:12" s="203" customFormat="1">
      <c r="A209" s="200"/>
      <c r="B209" s="187"/>
      <c r="C209" s="201"/>
      <c r="D209" s="201"/>
      <c r="E209" s="183"/>
      <c r="F209" s="183"/>
      <c r="G209" s="201"/>
      <c r="H209" s="201"/>
      <c r="I209" s="183"/>
      <c r="J209" s="169"/>
      <c r="K209" s="169"/>
      <c r="L209" s="202"/>
    </row>
    <row r="210" spans="1:12" s="203" customFormat="1">
      <c r="A210" s="200">
        <f>ORÇAMENTO!A192</f>
        <v>12</v>
      </c>
      <c r="B210" s="207" t="s">
        <v>205</v>
      </c>
      <c r="C210" s="201"/>
      <c r="D210" s="201"/>
      <c r="E210" s="183"/>
      <c r="F210" s="183"/>
      <c r="G210" s="201"/>
      <c r="H210" s="201"/>
      <c r="I210" s="183"/>
      <c r="J210" s="169"/>
      <c r="K210" s="169"/>
      <c r="L210" s="202"/>
    </row>
    <row r="211" spans="1:12" s="203" customFormat="1" ht="30">
      <c r="A211" s="200" t="str">
        <f>ORÇAMENTO!A193</f>
        <v>12.1</v>
      </c>
      <c r="B211" s="187" t="str">
        <f>ORÇAMENTO!D193</f>
        <v>Pia de cozinha com bancada em granito cinza andorinha, e=2cm, dim 3,40x0,60m, com duas cubas de aço inóx, sifão cromado, válvula cromada, torneira cromada 1/2", inclusive rodopia 10cm, assentada.</v>
      </c>
      <c r="C211" s="201" t="str">
        <f>ORÇAMENTO!E193</f>
        <v>unid</v>
      </c>
      <c r="D211" s="201"/>
      <c r="E211" s="183">
        <f>ORÇAMENTO!G193*26.63%+ORÇAMENTO!G193</f>
        <v>2916.972702</v>
      </c>
      <c r="F211" s="183">
        <f>ORÇAMENTO!F193</f>
        <v>2</v>
      </c>
      <c r="G211" s="201"/>
      <c r="H211" s="201"/>
      <c r="I211" s="183">
        <f t="shared" si="11"/>
        <v>5833.95</v>
      </c>
      <c r="J211" s="169">
        <f t="shared" si="12"/>
        <v>0</v>
      </c>
      <c r="K211" s="169">
        <f t="shared" si="13"/>
        <v>0</v>
      </c>
      <c r="L211" s="202">
        <f t="shared" si="14"/>
        <v>0</v>
      </c>
    </row>
    <row r="212" spans="1:12" s="203" customFormat="1" ht="30">
      <c r="A212" s="200" t="str">
        <f>ORÇAMENTO!A194</f>
        <v>12.2</v>
      </c>
      <c r="B212" s="187" t="str">
        <f>ORÇAMENTO!D194</f>
        <v>CUBA DE EMBUTIR OVAL EM LOUÇA BRANCA, 35 X 50CM OU EQUIVALENTE, INCLUSO VÁLVULA EM METAL CROMADO E SIFÃO FLEXÍVEL EM PVC - FORNECIMENTO E INSTALAÇÃO. AF_01/2020</v>
      </c>
      <c r="C212" s="201" t="str">
        <f>ORÇAMENTO!E194</f>
        <v>unid</v>
      </c>
      <c r="D212" s="201"/>
      <c r="E212" s="183">
        <f>ORÇAMENTO!G194*26.63%+ORÇAMENTO!G194</f>
        <v>227.02226400000001</v>
      </c>
      <c r="F212" s="183">
        <f>ORÇAMENTO!F194</f>
        <v>26</v>
      </c>
      <c r="G212" s="201"/>
      <c r="H212" s="201"/>
      <c r="I212" s="183">
        <f t="shared" si="11"/>
        <v>5902.58</v>
      </c>
      <c r="J212" s="169">
        <f t="shared" si="12"/>
        <v>0</v>
      </c>
      <c r="K212" s="169">
        <f t="shared" si="13"/>
        <v>0</v>
      </c>
      <c r="L212" s="202">
        <f t="shared" si="14"/>
        <v>0</v>
      </c>
    </row>
    <row r="213" spans="1:12" s="203" customFormat="1">
      <c r="A213" s="200" t="str">
        <f>ORÇAMENTO!A195</f>
        <v>12.3</v>
      </c>
      <c r="B213" s="187" t="str">
        <f>ORÇAMENTO!D195</f>
        <v>TORNEIRA CROMADA DE MESA, 1/2 OU 3/4, PARA LAVATÓRIO, PADRÃO POPULAR - FORNECIMENTO E INSTALAÇÃO. AF_01/2020</v>
      </c>
      <c r="C213" s="201" t="str">
        <f>ORÇAMENTO!E195</f>
        <v>unid</v>
      </c>
      <c r="D213" s="201"/>
      <c r="E213" s="183">
        <f>ORÇAMENTO!G195*26.63%+ORÇAMENTO!G195</f>
        <v>74.762351999999993</v>
      </c>
      <c r="F213" s="183">
        <f>ORÇAMENTO!F195</f>
        <v>26</v>
      </c>
      <c r="G213" s="201"/>
      <c r="H213" s="201"/>
      <c r="I213" s="183">
        <f t="shared" si="11"/>
        <v>1943.82</v>
      </c>
      <c r="J213" s="169">
        <f t="shared" si="12"/>
        <v>0</v>
      </c>
      <c r="K213" s="169">
        <f t="shared" si="13"/>
        <v>0</v>
      </c>
      <c r="L213" s="202">
        <f t="shared" si="14"/>
        <v>0</v>
      </c>
    </row>
    <row r="214" spans="1:12" s="203" customFormat="1">
      <c r="A214" s="200" t="str">
        <f>ORÇAMENTO!A196</f>
        <v>12.4</v>
      </c>
      <c r="B214" s="187" t="str">
        <f>ORÇAMENTO!D196</f>
        <v>Bancada em granito cinza andorinha, e=2cm.</v>
      </c>
      <c r="C214" s="201" t="str">
        <f>ORÇAMENTO!E196</f>
        <v>m²</v>
      </c>
      <c r="D214" s="201"/>
      <c r="E214" s="183">
        <f>ORÇAMENTO!G196*26.63%+ORÇAMENTO!G196</f>
        <v>475.28037899999998</v>
      </c>
      <c r="F214" s="183">
        <f>ORÇAMENTO!F196</f>
        <v>28.2</v>
      </c>
      <c r="G214" s="201"/>
      <c r="H214" s="201"/>
      <c r="I214" s="183">
        <f t="shared" si="11"/>
        <v>13402.91</v>
      </c>
      <c r="J214" s="169">
        <f t="shared" si="12"/>
        <v>0</v>
      </c>
      <c r="K214" s="169">
        <f t="shared" si="13"/>
        <v>0</v>
      </c>
      <c r="L214" s="202">
        <f t="shared" si="14"/>
        <v>0</v>
      </c>
    </row>
    <row r="215" spans="1:12" s="203" customFormat="1" ht="30">
      <c r="A215" s="200" t="str">
        <f>ORÇAMENTO!A197</f>
        <v>12.5</v>
      </c>
      <c r="B215" s="187" t="str">
        <f>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15" s="201" t="str">
        <f>ORÇAMENTO!E197</f>
        <v>unid</v>
      </c>
      <c r="D215" s="201"/>
      <c r="E215" s="183">
        <f>ORÇAMENTO!G197*26.63%+ORÇAMENTO!G197</f>
        <v>265.09990499999998</v>
      </c>
      <c r="F215" s="183">
        <f>ORÇAMENTO!F197</f>
        <v>4</v>
      </c>
      <c r="G215" s="201"/>
      <c r="H215" s="201"/>
      <c r="I215" s="183">
        <f t="shared" si="11"/>
        <v>1060.4000000000001</v>
      </c>
      <c r="J215" s="169">
        <f t="shared" si="12"/>
        <v>0</v>
      </c>
      <c r="K215" s="169">
        <f t="shared" si="13"/>
        <v>0</v>
      </c>
      <c r="L215" s="202">
        <f t="shared" si="14"/>
        <v>0</v>
      </c>
    </row>
    <row r="216" spans="1:12" s="203" customFormat="1">
      <c r="A216" s="200" t="str">
        <f>ORÇAMENTO!A198</f>
        <v>12.6</v>
      </c>
      <c r="B216" s="187" t="str">
        <f>ORÇAMENTO!D198</f>
        <v>BARRA DE APOIO RETA, EM ACO INOX POLIDO, COMPRIMENTO 90 CM,  FIXADA NA PAREDE - FORNECIMENTO E INSTALAÇÃO. AF_01/2020</v>
      </c>
      <c r="C216" s="201" t="str">
        <f>ORÇAMENTO!E198</f>
        <v>unid</v>
      </c>
      <c r="D216" s="201"/>
      <c r="E216" s="183">
        <f>ORÇAMENTO!G198*26.63%+ORÇAMENTO!G198</f>
        <v>404.40556800000002</v>
      </c>
      <c r="F216" s="183">
        <f>ORÇAMENTO!F198</f>
        <v>6</v>
      </c>
      <c r="G216" s="201"/>
      <c r="H216" s="201"/>
      <c r="I216" s="183">
        <f t="shared" si="11"/>
        <v>2426.4299999999998</v>
      </c>
      <c r="J216" s="169">
        <f t="shared" si="12"/>
        <v>0</v>
      </c>
      <c r="K216" s="169">
        <f t="shared" si="13"/>
        <v>0</v>
      </c>
      <c r="L216" s="202">
        <f t="shared" si="14"/>
        <v>0</v>
      </c>
    </row>
    <row r="217" spans="1:12" s="203" customFormat="1">
      <c r="A217" s="200" t="str">
        <f>ORÇAMENTO!A199</f>
        <v>12.7</v>
      </c>
      <c r="B217" s="187" t="str">
        <f>ORÇAMENTO!D199</f>
        <v>ASSENTO SANITÁRIO CONVENCIONAL - FORNECIMENTO E INSTALACAO. AF_01/2020</v>
      </c>
      <c r="C217" s="201" t="str">
        <f>ORÇAMENTO!E199</f>
        <v>unid</v>
      </c>
      <c r="D217" s="201"/>
      <c r="E217" s="183">
        <f>ORÇAMENTO!G199*26.63%+ORÇAMENTO!G199</f>
        <v>50.576021999999995</v>
      </c>
      <c r="F217" s="183">
        <f>ORÇAMENTO!F199</f>
        <v>16</v>
      </c>
      <c r="G217" s="201"/>
      <c r="H217" s="201"/>
      <c r="I217" s="183">
        <f t="shared" si="11"/>
        <v>809.22</v>
      </c>
      <c r="J217" s="169">
        <f t="shared" si="12"/>
        <v>0</v>
      </c>
      <c r="K217" s="169">
        <f t="shared" si="13"/>
        <v>0</v>
      </c>
      <c r="L217" s="202">
        <f t="shared" si="14"/>
        <v>0</v>
      </c>
    </row>
    <row r="218" spans="1:12" s="203" customFormat="1" ht="30">
      <c r="A218" s="200" t="str">
        <f>ORÇAMENTO!A200</f>
        <v>12.8</v>
      </c>
      <c r="B218" s="187" t="str">
        <f>ORÇAMENTO!D200</f>
        <v>VASO SANITÁRIO SIFONADO COM CAIXA ACOPLADA LOUÇA BRANCA, INCLUSO ENGATE FLEXÍVEL EM PLÁSTICO BRANCO, 1/2  X 40CM - FORNECIMENTO E INSTALAÇÃO. AF_01/2020</v>
      </c>
      <c r="C218" s="201" t="str">
        <f>ORÇAMENTO!E200</f>
        <v>unid</v>
      </c>
      <c r="D218" s="201"/>
      <c r="E218" s="183">
        <f>ORÇAMENTO!G200*26.63%+ORÇAMENTO!G200</f>
        <v>529.37671499999999</v>
      </c>
      <c r="F218" s="183">
        <f>ORÇAMENTO!F200</f>
        <v>16</v>
      </c>
      <c r="G218" s="201"/>
      <c r="H218" s="201"/>
      <c r="I218" s="183">
        <f t="shared" si="11"/>
        <v>8470.0300000000007</v>
      </c>
      <c r="J218" s="169">
        <f t="shared" si="12"/>
        <v>0</v>
      </c>
      <c r="K218" s="169">
        <f t="shared" si="13"/>
        <v>0</v>
      </c>
      <c r="L218" s="202">
        <f t="shared" si="14"/>
        <v>0</v>
      </c>
    </row>
    <row r="219" spans="1:12" s="203" customFormat="1" ht="30">
      <c r="A219" s="200" t="str">
        <f>ORÇAMENTO!A201</f>
        <v>12.9</v>
      </c>
      <c r="B219" s="187" t="str">
        <f>ORÇAMENTO!D201</f>
        <v>VASO SANITARIO SIFONADO CONVENCIONAL PARA PCD SEM FURO FRONTAL COM LOUÇA BRANCA SEM ASSENTO, INCLUSO CONJUNTO DE LIGAÇÃO PARA BACIA SANITÁRIA AJUSTÁVEL - FORNECIMENTO E INSTALAÇÃO. AF_01/2020</v>
      </c>
      <c r="C219" s="201" t="str">
        <f>ORÇAMENTO!E201</f>
        <v>unid</v>
      </c>
      <c r="D219" s="201"/>
      <c r="E219" s="183">
        <f>ORÇAMENTO!G201*26.63%+ORÇAMENTO!G201</f>
        <v>819.65066400000001</v>
      </c>
      <c r="F219" s="183">
        <f>ORÇAMENTO!F201</f>
        <v>1</v>
      </c>
      <c r="G219" s="201"/>
      <c r="H219" s="201"/>
      <c r="I219" s="183">
        <f t="shared" si="11"/>
        <v>819.65</v>
      </c>
      <c r="J219" s="169">
        <f t="shared" si="12"/>
        <v>0</v>
      </c>
      <c r="K219" s="169">
        <f t="shared" si="13"/>
        <v>0</v>
      </c>
      <c r="L219" s="202">
        <f t="shared" si="14"/>
        <v>0</v>
      </c>
    </row>
    <row r="220" spans="1:12" s="203" customFormat="1">
      <c r="A220" s="200" t="str">
        <f>ORÇAMENTO!A202</f>
        <v>12.10</v>
      </c>
      <c r="B220" s="187" t="str">
        <f>ORÇAMENTO!D202</f>
        <v>Chuveiro plástico sem registro.</v>
      </c>
      <c r="C220" s="201" t="str">
        <f>ORÇAMENTO!E202</f>
        <v>unid</v>
      </c>
      <c r="D220" s="201"/>
      <c r="E220" s="183">
        <f>ORÇAMENTO!G202*26.63%+ORÇAMENTO!G202</f>
        <v>38.951388000000001</v>
      </c>
      <c r="F220" s="183">
        <f>ORÇAMENTO!F202</f>
        <v>2</v>
      </c>
      <c r="G220" s="201"/>
      <c r="H220" s="201"/>
      <c r="I220" s="183">
        <f t="shared" si="11"/>
        <v>77.900000000000006</v>
      </c>
      <c r="J220" s="169">
        <f t="shared" si="12"/>
        <v>0</v>
      </c>
      <c r="K220" s="169">
        <f t="shared" si="13"/>
        <v>0</v>
      </c>
      <c r="L220" s="202">
        <f t="shared" si="14"/>
        <v>0</v>
      </c>
    </row>
    <row r="221" spans="1:12" s="203" customFormat="1">
      <c r="A221" s="200" t="str">
        <f>ORÇAMENTO!A203</f>
        <v>12.11</v>
      </c>
      <c r="B221" s="187" t="str">
        <f>ORÇAMENTO!D203</f>
        <v>KIT DE ACESSORIOS PARA BANHEIRO EM METAL CROMADO, 5 PECAS, INCLUSO FIXAÇÃO. AF_01/2020</v>
      </c>
      <c r="C221" s="201" t="str">
        <f>ORÇAMENTO!E203</f>
        <v>unid</v>
      </c>
      <c r="D221" s="201"/>
      <c r="E221" s="183">
        <f>ORÇAMENTO!G203*26.63%+ORÇAMENTO!G203</f>
        <v>111.117825</v>
      </c>
      <c r="F221" s="183">
        <f>ORÇAMENTO!F203</f>
        <v>14</v>
      </c>
      <c r="G221" s="201"/>
      <c r="H221" s="201"/>
      <c r="I221" s="183">
        <f t="shared" si="11"/>
        <v>1555.65</v>
      </c>
      <c r="J221" s="169">
        <f t="shared" si="12"/>
        <v>0</v>
      </c>
      <c r="K221" s="169">
        <f t="shared" si="13"/>
        <v>0</v>
      </c>
      <c r="L221" s="202">
        <f t="shared" si="14"/>
        <v>0</v>
      </c>
    </row>
    <row r="222" spans="1:12" s="203" customFormat="1" ht="30">
      <c r="A222" s="200" t="str">
        <f>ORÇAMENTO!A204</f>
        <v>12.12</v>
      </c>
      <c r="B222" s="187" t="str">
        <f>ORÇAMENTO!D204</f>
        <v>TANQUE DE MÁRMORE SINTÉTICO SUSPENSO, 22L OU EQUIVALENTE, INCLUSO SIFÃO FLEXÍVEL EM PVC, VÁLVULA PLÁSTICA E TORNEIRA DE METAL CROMADO PADRÃO POPULAR - FORNECIMENTO E INSTALAÇÃO. AF_01/2020</v>
      </c>
      <c r="C222" s="201" t="str">
        <f>ORÇAMENTO!E204</f>
        <v>unid</v>
      </c>
      <c r="D222" s="201"/>
      <c r="E222" s="183">
        <f>ORÇAMENTO!G204*26.63%+ORÇAMENTO!G204</f>
        <v>360.87017400000002</v>
      </c>
      <c r="F222" s="183">
        <f>ORÇAMENTO!F204</f>
        <v>2</v>
      </c>
      <c r="G222" s="201"/>
      <c r="H222" s="201"/>
      <c r="I222" s="183">
        <f t="shared" si="11"/>
        <v>721.74</v>
      </c>
      <c r="J222" s="169">
        <f t="shared" si="12"/>
        <v>0</v>
      </c>
      <c r="K222" s="169">
        <f t="shared" si="13"/>
        <v>0</v>
      </c>
      <c r="L222" s="202">
        <f t="shared" si="14"/>
        <v>0</v>
      </c>
    </row>
    <row r="223" spans="1:12" s="203" customFormat="1">
      <c r="A223" s="200"/>
      <c r="B223" s="187"/>
      <c r="C223" s="201"/>
      <c r="D223" s="201"/>
      <c r="E223" s="183"/>
      <c r="F223" s="183"/>
      <c r="G223" s="201"/>
      <c r="H223" s="201"/>
      <c r="I223" s="183"/>
      <c r="J223" s="169"/>
      <c r="K223" s="169"/>
      <c r="L223" s="202"/>
    </row>
    <row r="224" spans="1:12">
      <c r="A224" s="31">
        <f>ORÇAMENTO!A206</f>
        <v>13</v>
      </c>
      <c r="B224" s="59" t="s">
        <v>218</v>
      </c>
      <c r="C224" s="22"/>
      <c r="D224" s="22"/>
      <c r="E224" s="23"/>
      <c r="F224" s="23"/>
      <c r="G224" s="22"/>
      <c r="H224" s="22"/>
      <c r="I224" s="23"/>
      <c r="J224" s="53"/>
      <c r="K224" s="53"/>
      <c r="L224" s="35"/>
    </row>
    <row r="225" spans="1:12">
      <c r="A225" s="31" t="str">
        <f>ORÇAMENTO!A207</f>
        <v>13.1</v>
      </c>
      <c r="B225" s="58" t="str">
        <f>ORÇAMENTO!D207</f>
        <v>LIMPEZA DE PISO CERÂMICO OU PORCELANATO COM PANO ÚMIDO. AF_04/2019</v>
      </c>
      <c r="C225" s="22" t="str">
        <f>ORÇAMENTO!E207</f>
        <v>m²</v>
      </c>
      <c r="D225" s="22"/>
      <c r="E225" s="23">
        <f>ORÇAMENTO!G207*26.63%+ORÇAMENTO!G207</f>
        <v>1.7221680000000001</v>
      </c>
      <c r="F225" s="23">
        <f>ORÇAMENTO!F207</f>
        <v>774.83</v>
      </c>
      <c r="G225" s="22"/>
      <c r="H225" s="22"/>
      <c r="I225" s="23">
        <f>ROUND(E225*F225,2)</f>
        <v>1334.39</v>
      </c>
      <c r="J225" s="53">
        <f>ROUND(E225*G225,2)</f>
        <v>0</v>
      </c>
      <c r="K225" s="53">
        <f>ROUND(E225*H225,2)</f>
        <v>0</v>
      </c>
      <c r="L225" s="35">
        <f t="shared" ref="L225:L230" si="15">K225/I225</f>
        <v>0</v>
      </c>
    </row>
    <row r="226" spans="1:12" ht="30">
      <c r="A226" s="31" t="str">
        <f>ORÇAMENTO!A208</f>
        <v>13.2</v>
      </c>
      <c r="B226" s="58" t="str">
        <f>ORÇAMENTO!D208</f>
        <v>Corrimão em tubo de aço galvanizado (altura = 1,05 m), com barras verticais a cada 2,00m (1.1/2"), barra horizontal  superior (2"), barra horizontal intermediária (dupla) (1.1/2") e barra horizontal inferior (1").</v>
      </c>
      <c r="C226" s="22" t="str">
        <f>ORÇAMENTO!E208</f>
        <v>m</v>
      </c>
      <c r="D226" s="22"/>
      <c r="E226" s="23">
        <f>ORÇAMENTO!G208*26.63%+ORÇAMENTO!G208</f>
        <v>496.288296</v>
      </c>
      <c r="F226" s="23">
        <f>ORÇAMENTO!F208</f>
        <v>32.28</v>
      </c>
      <c r="G226" s="22"/>
      <c r="H226" s="22"/>
      <c r="I226" s="23">
        <f>ROUND(E226*F226,2)</f>
        <v>16020.19</v>
      </c>
      <c r="J226" s="53">
        <f>ROUND(E226*G226,2)</f>
        <v>0</v>
      </c>
      <c r="K226" s="53">
        <f>ROUND(E226*H226,2)</f>
        <v>0</v>
      </c>
      <c r="L226" s="35">
        <f t="shared" si="15"/>
        <v>0</v>
      </c>
    </row>
    <row r="227" spans="1:12" ht="30">
      <c r="A227" s="31" t="str">
        <f>ORÇAMENTO!A209</f>
        <v>13.3</v>
      </c>
      <c r="B227" s="58" t="str">
        <f>ORÇAMENTO!D209</f>
        <v>Banco de concreto em alvenaria de tijolo maciço, assento em concreto simples, sem encosto, revestido em todas as faces com cerâmica Elizabeth 20x20cm ou similar.</v>
      </c>
      <c r="C227" s="22" t="str">
        <f>ORÇAMENTO!E209</f>
        <v>m</v>
      </c>
      <c r="D227" s="22"/>
      <c r="E227" s="23">
        <f>ORÇAMENTO!G209*26.63%+ORÇAMENTO!G209</f>
        <v>247.498335</v>
      </c>
      <c r="F227" s="23">
        <f>ORÇAMENTO!F209</f>
        <v>7.8</v>
      </c>
      <c r="G227" s="22"/>
      <c r="H227" s="22"/>
      <c r="I227" s="23">
        <f>ROUND(E227*F227,2)</f>
        <v>1930.49</v>
      </c>
      <c r="J227" s="53">
        <f>ROUND(E227*G227,2)</f>
        <v>0</v>
      </c>
      <c r="K227" s="53">
        <f>ROUND(E227*H227,2)</f>
        <v>0</v>
      </c>
      <c r="L227" s="35">
        <f t="shared" si="15"/>
        <v>0</v>
      </c>
    </row>
    <row r="228" spans="1:12">
      <c r="A228" s="31" t="str">
        <f>ORÇAMENTO!A210</f>
        <v>13.4</v>
      </c>
      <c r="B228" s="58" t="str">
        <f>ORÇAMENTO!D210</f>
        <v>Letra em alumínio 50x50cm - instalado</v>
      </c>
      <c r="C228" s="22" t="str">
        <f>ORÇAMENTO!E210</f>
        <v>unid</v>
      </c>
      <c r="D228" s="22"/>
      <c r="E228" s="23">
        <f>ORÇAMENTO!G210*26.63%+ORÇAMENTO!G210</f>
        <v>262.68127199999998</v>
      </c>
      <c r="F228" s="23">
        <f>ORÇAMENTO!F210</f>
        <v>16</v>
      </c>
      <c r="G228" s="22"/>
      <c r="H228" s="22"/>
      <c r="I228" s="23">
        <f>ROUND(E228*F228,2)</f>
        <v>4202.8999999999996</v>
      </c>
      <c r="J228" s="53">
        <f>ROUND(E228*G228,2)</f>
        <v>0</v>
      </c>
      <c r="K228" s="53">
        <f>ROUND(E228*H228,2)</f>
        <v>0</v>
      </c>
      <c r="L228" s="35">
        <f t="shared" si="15"/>
        <v>0</v>
      </c>
    </row>
    <row r="229" spans="1:12">
      <c r="A229" s="31" t="str">
        <f>ORÇAMENTO!A211</f>
        <v>13.5</v>
      </c>
      <c r="B229" s="58" t="str">
        <f>ORÇAMENTO!D211</f>
        <v>Letra em alumínio 25x25cm - instalado</v>
      </c>
      <c r="C229" s="22" t="str">
        <f>ORÇAMENTO!E211</f>
        <v>unid</v>
      </c>
      <c r="D229" s="22"/>
      <c r="E229" s="23">
        <f>ORÇAMENTO!G211*26.63%+ORÇAMENTO!G211</f>
        <v>135.798012</v>
      </c>
      <c r="F229" s="23">
        <f>ORÇAMENTO!F211</f>
        <v>50</v>
      </c>
      <c r="G229" s="22"/>
      <c r="H229" s="22"/>
      <c r="I229" s="23">
        <f>ROUND(E229*F229,2)</f>
        <v>6789.9</v>
      </c>
      <c r="J229" s="53">
        <f>ROUND(E229*G229,2)</f>
        <v>0</v>
      </c>
      <c r="K229" s="53">
        <f>ROUND(E229*H229,2)</f>
        <v>0</v>
      </c>
      <c r="L229" s="35">
        <f t="shared" si="15"/>
        <v>0</v>
      </c>
    </row>
    <row r="230" spans="1:12">
      <c r="A230" s="30"/>
      <c r="B230" s="194" t="s">
        <v>635</v>
      </c>
      <c r="C230" s="195"/>
      <c r="D230" s="195"/>
      <c r="E230" s="196"/>
      <c r="F230" s="196"/>
      <c r="G230" s="195"/>
      <c r="H230" s="195"/>
      <c r="I230" s="197">
        <f>SUM(I19:I229)</f>
        <v>1140356.9499999997</v>
      </c>
      <c r="J230" s="198">
        <f>SUM(J19:J229)</f>
        <v>143113.48000000004</v>
      </c>
      <c r="K230" s="128">
        <f>SUM(K19:K229)</f>
        <v>315035.53000000003</v>
      </c>
      <c r="L230" s="199">
        <f t="shared" si="15"/>
        <v>0.27626045511451491</v>
      </c>
    </row>
    <row r="231" spans="1:12">
      <c r="E231" s="1"/>
      <c r="F231" s="1"/>
      <c r="I231" s="1"/>
    </row>
    <row r="232" spans="1:12">
      <c r="E232" s="1"/>
      <c r="F232" s="1"/>
      <c r="I232" s="1"/>
    </row>
    <row r="233" spans="1:12">
      <c r="A233" t="s">
        <v>434</v>
      </c>
      <c r="E233" s="1"/>
      <c r="F233" s="1"/>
      <c r="I233" s="1"/>
    </row>
    <row r="234" spans="1:12">
      <c r="B234" s="69"/>
      <c r="E234" s="1"/>
    </row>
    <row r="235" spans="1:12">
      <c r="B235" s="182" t="s">
        <v>434</v>
      </c>
      <c r="C235" s="60"/>
    </row>
    <row r="236" spans="1:12">
      <c r="B236" s="182"/>
      <c r="C236" s="188"/>
    </row>
    <row r="237" spans="1:12" ht="21">
      <c r="B237" s="189" t="s">
        <v>434</v>
      </c>
      <c r="C237" s="190"/>
    </row>
    <row r="238" spans="1:12" ht="21">
      <c r="B238" s="191" t="s">
        <v>640</v>
      </c>
      <c r="C238" s="191"/>
    </row>
    <row r="239" spans="1:12" ht="21">
      <c r="B239" s="191" t="s">
        <v>648</v>
      </c>
      <c r="C239" s="190"/>
    </row>
    <row r="240" spans="1:12" ht="21">
      <c r="B240" s="190"/>
      <c r="C240" s="190"/>
    </row>
    <row r="241" spans="2:3" ht="21">
      <c r="B241" s="192" t="s">
        <v>646</v>
      </c>
      <c r="C241" s="190"/>
    </row>
    <row r="242" spans="2:3" ht="21">
      <c r="B242" s="192" t="s">
        <v>641</v>
      </c>
      <c r="C242" s="190"/>
    </row>
    <row r="243" spans="2:3" ht="21">
      <c r="B243" s="192" t="s">
        <v>642</v>
      </c>
      <c r="C243" s="190"/>
    </row>
    <row r="244" spans="2:3" ht="21">
      <c r="B244" s="193" t="s">
        <v>643</v>
      </c>
      <c r="C244" s="190"/>
    </row>
    <row r="245" spans="2:3" ht="21">
      <c r="B245" s="193"/>
      <c r="C245" s="60"/>
    </row>
    <row r="246" spans="2:3">
      <c r="C246" s="60"/>
    </row>
    <row r="247" spans="2:3">
      <c r="B247" s="60" t="s">
        <v>647</v>
      </c>
      <c r="C247" s="60"/>
    </row>
    <row r="248" spans="2:3">
      <c r="C248" s="60"/>
    </row>
    <row r="249" spans="2:3">
      <c r="B249" s="60" t="s">
        <v>644</v>
      </c>
      <c r="C249" s="60"/>
    </row>
    <row r="250" spans="2:3">
      <c r="B250" s="60" t="s">
        <v>645</v>
      </c>
      <c r="C250" s="60"/>
    </row>
  </sheetData>
  <mergeCells count="31"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I16:K16"/>
    <mergeCell ref="A15:L15"/>
    <mergeCell ref="A16:A17"/>
    <mergeCell ref="C12:F12"/>
    <mergeCell ref="C1:L5"/>
    <mergeCell ref="A6:F6"/>
    <mergeCell ref="G6:J6"/>
    <mergeCell ref="A7:F8"/>
    <mergeCell ref="G7:J8"/>
    <mergeCell ref="K10:K11"/>
    <mergeCell ref="A13:B14"/>
    <mergeCell ref="C13:F14"/>
    <mergeCell ref="G13:H14"/>
    <mergeCell ref="I13:J14"/>
    <mergeCell ref="K13:L14"/>
    <mergeCell ref="A12:B12"/>
    <mergeCell ref="L16:L17"/>
  </mergeCells>
  <conditionalFormatting sqref="G19:G229">
    <cfRule type="cellIs" dxfId="4" priority="3" operator="greaterThan">
      <formula>0</formula>
    </cfRule>
  </conditionalFormatting>
  <conditionalFormatting sqref="L1:L1048576">
    <cfRule type="cellIs" dxfId="3" priority="1" operator="greaterThan">
      <formula>1</formula>
    </cfRule>
    <cfRule type="cellIs" dxfId="2" priority="2" operator="greaterThan">
      <formula>100</formula>
    </cfRule>
  </conditionalFormatting>
  <hyperlinks>
    <hyperlink ref="B24" r:id="rId1" display="http://orse.cehop.se.gov.br/composicao.asp?font_sg_fonte=ORSE&amp;serv_nr_codigo=3141&amp;peri_nr_ano=2022&amp;peri_nr_mes=2&amp;peri_nr_ordem=1" xr:uid="{00000000-0004-0000-0200-000000000000}"/>
    <hyperlink ref="C24" r:id="rId2" display="http://orse.cehop.se.gov.br/composicao.asp?font_sg_fonte=ORSE&amp;serv_nr_codigo=3141&amp;peri_nr_ano=2022&amp;peri_nr_mes=2&amp;peri_nr_ordem=1" xr:uid="{00000000-0004-0000-0200-000001000000}"/>
    <hyperlink ref="B60" r:id="rId3" display="http://orse.cehop.se.gov.br/composicao.asp?font_sg_fonte=ORSE&amp;serv_nr_codigo=12625&amp;peri_nr_ano=2022&amp;peri_nr_mes=2&amp;peri_nr_ordem=1" xr:uid="{00000000-0004-0000-0200-000002000000}"/>
    <hyperlink ref="B63" r:id="rId4" display="http://orse.cehop.se.gov.br/composicao.asp?font_sg_fonte=ORSE&amp;serv_nr_codigo=8269&amp;peri_nr_ano=2022&amp;peri_nr_mes=2&amp;peri_nr_ordem=1" xr:uid="{00000000-0004-0000-0200-000003000000}"/>
    <hyperlink ref="C63" r:id="rId5" display="http://orse.cehop.se.gov.br/composicao.asp?font_sg_fonte=ORSE&amp;serv_nr_codigo=8269&amp;peri_nr_ano=2022&amp;peri_nr_mes=2&amp;peri_nr_ordem=1" xr:uid="{00000000-0004-0000-0200-000004000000}"/>
  </hyperlinks>
  <pageMargins left="0.51181102362204722" right="0.51181102362204722" top="0.78740157480314965" bottom="0.78740157480314965" header="0.31496062992125984" footer="0.31496062992125984"/>
  <pageSetup paperSize="9" scale="46" fitToHeight="5" orientation="landscape" horizontalDpi="300" verticalDpi="300" r:id="rId6"/>
  <rowBreaks count="1" manualBreakCount="1">
    <brk id="9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869"/>
  <sheetViews>
    <sheetView view="pageBreakPreview" zoomScale="91" zoomScaleNormal="28" zoomScaleSheetLayoutView="91" workbookViewId="0">
      <selection activeCell="A728" sqref="A727:A728"/>
    </sheetView>
  </sheetViews>
  <sheetFormatPr defaultRowHeight="15"/>
  <cols>
    <col min="1" max="1" width="9.140625" style="203"/>
    <col min="2" max="2" width="21.7109375" style="203" customWidth="1"/>
    <col min="3" max="3" width="17.140625" style="203" customWidth="1"/>
    <col min="4" max="4" width="9.140625" style="203"/>
    <col min="5" max="5" width="11.42578125" style="203" customWidth="1"/>
    <col min="6" max="6" width="13.85546875" style="203" customWidth="1"/>
    <col min="7" max="7" width="9.140625" style="203"/>
    <col min="8" max="8" width="11.42578125" style="203" customWidth="1"/>
    <col min="9" max="9" width="9.140625" style="203"/>
    <col min="10" max="10" width="11.28515625" style="203" customWidth="1"/>
    <col min="11" max="11" width="14.28515625" style="203" customWidth="1"/>
    <col min="12" max="12" width="11.85546875" style="203" bestFit="1" customWidth="1"/>
    <col min="13" max="13" width="9" style="203" bestFit="1" customWidth="1"/>
    <col min="14" max="14" width="41.140625" style="70" bestFit="1" customWidth="1"/>
    <col min="15" max="16384" width="9.140625" style="203"/>
  </cols>
  <sheetData>
    <row r="1" spans="1:13" ht="16.5" thickBot="1">
      <c r="A1" s="368"/>
      <c r="B1" s="369"/>
      <c r="C1" s="374" t="s">
        <v>409</v>
      </c>
      <c r="D1" s="375"/>
      <c r="E1" s="375"/>
      <c r="F1" s="375"/>
      <c r="G1" s="375"/>
      <c r="H1" s="375"/>
      <c r="I1" s="375"/>
      <c r="J1" s="375"/>
      <c r="K1" s="375"/>
      <c r="L1" s="375"/>
      <c r="M1" s="376"/>
    </row>
    <row r="2" spans="1:13">
      <c r="A2" s="370"/>
      <c r="B2" s="371"/>
      <c r="C2" s="377" t="s">
        <v>410</v>
      </c>
      <c r="D2" s="378"/>
      <c r="E2" s="378"/>
      <c r="F2" s="378"/>
      <c r="G2" s="379"/>
      <c r="H2" s="377" t="s">
        <v>411</v>
      </c>
      <c r="I2" s="378"/>
      <c r="J2" s="378"/>
      <c r="K2" s="378"/>
      <c r="L2" s="378"/>
      <c r="M2" s="379"/>
    </row>
    <row r="3" spans="1:13" ht="15.75" thickBot="1">
      <c r="A3" s="370"/>
      <c r="B3" s="371"/>
      <c r="C3" s="380" t="s">
        <v>431</v>
      </c>
      <c r="D3" s="381"/>
      <c r="E3" s="381"/>
      <c r="F3" s="381"/>
      <c r="G3" s="382"/>
      <c r="H3" s="383" t="s">
        <v>412</v>
      </c>
      <c r="I3" s="384"/>
      <c r="J3" s="384"/>
      <c r="K3" s="384"/>
      <c r="L3" s="384"/>
      <c r="M3" s="385"/>
    </row>
    <row r="4" spans="1:13">
      <c r="A4" s="370"/>
      <c r="B4" s="371"/>
      <c r="C4" s="377" t="s">
        <v>413</v>
      </c>
      <c r="D4" s="378"/>
      <c r="E4" s="378"/>
      <c r="F4" s="378"/>
      <c r="G4" s="379"/>
      <c r="H4" s="386" t="s">
        <v>414</v>
      </c>
      <c r="I4" s="387"/>
      <c r="J4" s="387"/>
      <c r="K4" s="388"/>
      <c r="L4" s="213"/>
      <c r="M4" s="214"/>
    </row>
    <row r="5" spans="1:13" ht="15.75" thickBot="1">
      <c r="A5" s="372"/>
      <c r="B5" s="373"/>
      <c r="C5" s="389" t="s">
        <v>432</v>
      </c>
      <c r="D5" s="390"/>
      <c r="E5" s="390"/>
      <c r="F5" s="390"/>
      <c r="G5" s="391"/>
      <c r="H5" s="392"/>
      <c r="I5" s="393"/>
      <c r="J5" s="393"/>
      <c r="K5" s="394"/>
      <c r="L5" s="215"/>
      <c r="M5" s="216"/>
    </row>
    <row r="6" spans="1:13" ht="15.75" thickBot="1">
      <c r="A6" s="217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9"/>
    </row>
    <row r="7" spans="1:13">
      <c r="A7" s="355" t="s">
        <v>415</v>
      </c>
      <c r="B7" s="357" t="s">
        <v>416</v>
      </c>
      <c r="C7" s="358"/>
      <c r="D7" s="361" t="s">
        <v>417</v>
      </c>
      <c r="E7" s="363" t="s">
        <v>418</v>
      </c>
      <c r="F7" s="364"/>
      <c r="G7" s="364"/>
      <c r="H7" s="364"/>
      <c r="I7" s="364"/>
      <c r="J7" s="365"/>
      <c r="K7" s="363" t="s">
        <v>419</v>
      </c>
      <c r="L7" s="365"/>
      <c r="M7" s="366" t="s">
        <v>420</v>
      </c>
    </row>
    <row r="8" spans="1:13" ht="15.75" thickBot="1">
      <c r="A8" s="356"/>
      <c r="B8" s="359"/>
      <c r="C8" s="360"/>
      <c r="D8" s="362"/>
      <c r="E8" s="181" t="s">
        <v>421</v>
      </c>
      <c r="F8" s="181" t="s">
        <v>422</v>
      </c>
      <c r="G8" s="181" t="s">
        <v>423</v>
      </c>
      <c r="H8" s="181" t="s">
        <v>424</v>
      </c>
      <c r="I8" s="181" t="s">
        <v>425</v>
      </c>
      <c r="J8" s="181" t="s">
        <v>426</v>
      </c>
      <c r="K8" s="181" t="s">
        <v>427</v>
      </c>
      <c r="L8" s="181" t="s">
        <v>428</v>
      </c>
      <c r="M8" s="367"/>
    </row>
    <row r="10" spans="1:13" ht="14.45" customHeight="1">
      <c r="A10" s="220" t="s">
        <v>571</v>
      </c>
      <c r="B10" s="337" t="str">
        <f>[1]REPROGRAMAÇÃO!C9</f>
        <v>SERVIÇOS PRELIMINARES</v>
      </c>
      <c r="C10" s="337"/>
      <c r="D10" s="337"/>
      <c r="E10" s="337"/>
      <c r="F10" s="337"/>
      <c r="G10" s="337"/>
      <c r="H10" s="337"/>
      <c r="I10" s="337"/>
      <c r="J10" s="337"/>
      <c r="K10" s="337"/>
      <c r="L10" s="220"/>
      <c r="M10" s="220"/>
    </row>
    <row r="11" spans="1:13">
      <c r="A11" s="220"/>
      <c r="B11" s="335"/>
      <c r="C11" s="335"/>
      <c r="D11" s="335"/>
      <c r="E11" s="335"/>
      <c r="F11" s="335"/>
      <c r="G11" s="335"/>
      <c r="H11" s="335"/>
      <c r="I11" s="335"/>
      <c r="J11" s="335"/>
      <c r="K11" s="335"/>
      <c r="L11" s="220"/>
      <c r="M11" s="220"/>
    </row>
    <row r="12" spans="1:13">
      <c r="A12" s="221" t="s">
        <v>4</v>
      </c>
      <c r="B12" s="334" t="str">
        <f>BM_06!B21</f>
        <v>Demolição de piso de alta resistência</v>
      </c>
      <c r="C12" s="334"/>
      <c r="D12" s="334"/>
      <c r="E12" s="334"/>
      <c r="F12" s="334"/>
      <c r="G12" s="334"/>
      <c r="H12" s="334"/>
      <c r="I12" s="334"/>
      <c r="J12" s="334"/>
      <c r="K12" s="334"/>
      <c r="L12" s="221"/>
      <c r="M12" s="222" t="s">
        <v>429</v>
      </c>
    </row>
    <row r="13" spans="1:13">
      <c r="A13" s="220"/>
      <c r="B13" s="220"/>
      <c r="C13" s="220"/>
      <c r="D13" s="220"/>
      <c r="E13" s="220"/>
      <c r="F13" s="223" t="s">
        <v>463</v>
      </c>
      <c r="G13" s="220"/>
      <c r="H13" s="223" t="s">
        <v>463</v>
      </c>
      <c r="I13" s="220"/>
      <c r="J13" s="220"/>
      <c r="K13" s="224" t="s">
        <v>454</v>
      </c>
      <c r="L13" s="225">
        <f>SUM(L16:L40)</f>
        <v>736.73</v>
      </c>
      <c r="M13" s="223"/>
    </row>
    <row r="14" spans="1:13">
      <c r="A14" s="220"/>
      <c r="B14" s="220"/>
      <c r="C14" s="220"/>
      <c r="D14" s="220"/>
      <c r="E14" s="220"/>
      <c r="F14" s="223"/>
      <c r="G14" s="220"/>
      <c r="H14" s="223"/>
      <c r="I14" s="220"/>
      <c r="J14" s="220"/>
      <c r="K14" s="224" t="s">
        <v>455</v>
      </c>
      <c r="L14" s="225">
        <v>664.61</v>
      </c>
      <c r="M14" s="223"/>
    </row>
    <row r="15" spans="1:13">
      <c r="A15" s="220"/>
      <c r="B15" s="220"/>
      <c r="C15" s="220"/>
      <c r="D15" s="220"/>
      <c r="E15" s="220"/>
      <c r="F15" s="223"/>
      <c r="G15" s="220"/>
      <c r="H15" s="223"/>
      <c r="I15" s="220"/>
      <c r="J15" s="220"/>
      <c r="K15" s="224" t="s">
        <v>480</v>
      </c>
      <c r="L15" s="225">
        <f>L13-L14</f>
        <v>72.12</v>
      </c>
      <c r="M15" s="223"/>
    </row>
    <row r="16" spans="1:13">
      <c r="A16" s="220"/>
      <c r="B16" s="335" t="s">
        <v>435</v>
      </c>
      <c r="C16" s="335"/>
      <c r="D16" s="220">
        <v>1</v>
      </c>
      <c r="E16" s="220">
        <v>5.2</v>
      </c>
      <c r="F16" s="220"/>
      <c r="G16" s="220">
        <v>5.6</v>
      </c>
      <c r="H16" s="220"/>
      <c r="I16" s="220"/>
      <c r="J16" s="220"/>
      <c r="K16" s="220">
        <f>(E16*G16)+(F16*H16)</f>
        <v>29.119999999999997</v>
      </c>
      <c r="L16" s="223">
        <f t="shared" ref="L16:L40" si="0">K16*D16</f>
        <v>29.119999999999997</v>
      </c>
      <c r="M16" s="223"/>
    </row>
    <row r="17" spans="1:13">
      <c r="A17" s="220"/>
      <c r="B17" s="335" t="s">
        <v>436</v>
      </c>
      <c r="C17" s="335"/>
      <c r="D17" s="220">
        <v>1</v>
      </c>
      <c r="E17" s="220">
        <v>5.2</v>
      </c>
      <c r="F17" s="220"/>
      <c r="G17" s="220">
        <v>5.6</v>
      </c>
      <c r="H17" s="220"/>
      <c r="I17" s="220"/>
      <c r="J17" s="220"/>
      <c r="K17" s="220">
        <f t="shared" ref="K17:K40" si="1">(E17*G17)+(F17*H17)</f>
        <v>29.119999999999997</v>
      </c>
      <c r="L17" s="223">
        <f t="shared" si="0"/>
        <v>29.119999999999997</v>
      </c>
      <c r="M17" s="223"/>
    </row>
    <row r="18" spans="1:13">
      <c r="A18" s="220"/>
      <c r="B18" s="335" t="s">
        <v>437</v>
      </c>
      <c r="C18" s="335"/>
      <c r="D18" s="220">
        <v>1</v>
      </c>
      <c r="E18" s="220">
        <v>5.2</v>
      </c>
      <c r="F18" s="220"/>
      <c r="G18" s="220">
        <v>5.6</v>
      </c>
      <c r="H18" s="220"/>
      <c r="I18" s="220"/>
      <c r="J18" s="220"/>
      <c r="K18" s="220">
        <f t="shared" si="1"/>
        <v>29.119999999999997</v>
      </c>
      <c r="L18" s="223">
        <f t="shared" si="0"/>
        <v>29.119999999999997</v>
      </c>
      <c r="M18" s="223"/>
    </row>
    <row r="19" spans="1:13">
      <c r="A19" s="220"/>
      <c r="B19" s="335" t="s">
        <v>437</v>
      </c>
      <c r="C19" s="335"/>
      <c r="D19" s="220">
        <v>1</v>
      </c>
      <c r="E19" s="220">
        <v>5.2</v>
      </c>
      <c r="F19" s="220"/>
      <c r="G19" s="220">
        <v>5.6</v>
      </c>
      <c r="H19" s="220"/>
      <c r="I19" s="220"/>
      <c r="J19" s="220"/>
      <c r="K19" s="220">
        <f t="shared" si="1"/>
        <v>29.119999999999997</v>
      </c>
      <c r="L19" s="223">
        <f t="shared" si="0"/>
        <v>29.119999999999997</v>
      </c>
      <c r="M19" s="223"/>
    </row>
    <row r="20" spans="1:13">
      <c r="A20" s="220"/>
      <c r="B20" s="335" t="s">
        <v>461</v>
      </c>
      <c r="C20" s="335"/>
      <c r="D20" s="220">
        <v>1</v>
      </c>
      <c r="E20" s="220">
        <v>2</v>
      </c>
      <c r="F20" s="220"/>
      <c r="G20" s="220">
        <v>20</v>
      </c>
      <c r="H20" s="220"/>
      <c r="I20" s="220"/>
      <c r="J20" s="220"/>
      <c r="K20" s="220">
        <f t="shared" si="1"/>
        <v>40</v>
      </c>
      <c r="L20" s="223">
        <f t="shared" si="0"/>
        <v>40</v>
      </c>
      <c r="M20" s="223"/>
    </row>
    <row r="21" spans="1:13">
      <c r="A21" s="221"/>
      <c r="B21" s="336" t="s">
        <v>440</v>
      </c>
      <c r="C21" s="336"/>
      <c r="D21" s="221">
        <v>1</v>
      </c>
      <c r="E21" s="221">
        <v>2</v>
      </c>
      <c r="F21" s="226"/>
      <c r="G21" s="221">
        <v>34.700000000000003</v>
      </c>
      <c r="H21" s="226"/>
      <c r="I21" s="226"/>
      <c r="J21" s="226"/>
      <c r="K21" s="220">
        <f t="shared" si="1"/>
        <v>69.400000000000006</v>
      </c>
      <c r="L21" s="223">
        <f t="shared" si="0"/>
        <v>69.400000000000006</v>
      </c>
      <c r="M21" s="223"/>
    </row>
    <row r="22" spans="1:13">
      <c r="A22" s="221"/>
      <c r="B22" s="227"/>
      <c r="C22" s="228"/>
      <c r="D22" s="221"/>
      <c r="E22" s="221"/>
      <c r="F22" s="226"/>
      <c r="G22" s="221"/>
      <c r="H22" s="226"/>
      <c r="I22" s="226"/>
      <c r="J22" s="226"/>
      <c r="K22" s="220">
        <f t="shared" si="1"/>
        <v>0</v>
      </c>
      <c r="L22" s="223">
        <f t="shared" si="0"/>
        <v>0</v>
      </c>
      <c r="M22" s="223"/>
    </row>
    <row r="23" spans="1:13">
      <c r="A23" s="220"/>
      <c r="B23" s="329" t="s">
        <v>445</v>
      </c>
      <c r="C23" s="330"/>
      <c r="D23" s="220">
        <v>1</v>
      </c>
      <c r="E23" s="220">
        <v>4.3</v>
      </c>
      <c r="F23" s="223"/>
      <c r="G23" s="220">
        <v>3</v>
      </c>
      <c r="H23" s="223"/>
      <c r="I23" s="223"/>
      <c r="J23" s="223"/>
      <c r="K23" s="220">
        <f t="shared" si="1"/>
        <v>12.899999999999999</v>
      </c>
      <c r="L23" s="223">
        <f t="shared" si="0"/>
        <v>12.899999999999999</v>
      </c>
      <c r="M23" s="223"/>
    </row>
    <row r="24" spans="1:13">
      <c r="A24" s="220"/>
      <c r="B24" s="329" t="s">
        <v>451</v>
      </c>
      <c r="C24" s="330"/>
      <c r="D24" s="220">
        <v>1</v>
      </c>
      <c r="E24" s="220">
        <v>8.6999999999999993</v>
      </c>
      <c r="F24" s="223"/>
      <c r="G24" s="220">
        <v>6</v>
      </c>
      <c r="H24" s="223"/>
      <c r="I24" s="223"/>
      <c r="J24" s="223"/>
      <c r="K24" s="220">
        <f t="shared" si="1"/>
        <v>52.199999999999996</v>
      </c>
      <c r="L24" s="223">
        <f t="shared" si="0"/>
        <v>52.199999999999996</v>
      </c>
      <c r="M24" s="223"/>
    </row>
    <row r="25" spans="1:13">
      <c r="A25" s="220"/>
      <c r="B25" s="329" t="s">
        <v>456</v>
      </c>
      <c r="C25" s="330"/>
      <c r="D25" s="220">
        <v>1</v>
      </c>
      <c r="E25" s="220">
        <v>7.5</v>
      </c>
      <c r="F25" s="223"/>
      <c r="G25" s="220">
        <v>4</v>
      </c>
      <c r="H25" s="223"/>
      <c r="I25" s="223"/>
      <c r="J25" s="223"/>
      <c r="K25" s="220">
        <f t="shared" si="1"/>
        <v>30</v>
      </c>
      <c r="L25" s="223">
        <f t="shared" si="0"/>
        <v>30</v>
      </c>
      <c r="M25" s="223"/>
    </row>
    <row r="26" spans="1:13">
      <c r="A26" s="220"/>
      <c r="B26" s="329" t="s">
        <v>444</v>
      </c>
      <c r="C26" s="330"/>
      <c r="D26" s="220">
        <v>1</v>
      </c>
      <c r="E26" s="220">
        <v>14.6</v>
      </c>
      <c r="F26" s="223"/>
      <c r="G26" s="220">
        <v>2.7</v>
      </c>
      <c r="H26" s="223"/>
      <c r="I26" s="223"/>
      <c r="J26" s="223"/>
      <c r="K26" s="220">
        <f t="shared" si="1"/>
        <v>39.42</v>
      </c>
      <c r="L26" s="223">
        <f t="shared" si="0"/>
        <v>39.42</v>
      </c>
      <c r="M26" s="223"/>
    </row>
    <row r="27" spans="1:13">
      <c r="A27" s="220"/>
      <c r="B27" s="329" t="s">
        <v>443</v>
      </c>
      <c r="C27" s="330"/>
      <c r="D27" s="220">
        <v>1</v>
      </c>
      <c r="E27" s="220">
        <v>6.3</v>
      </c>
      <c r="F27" s="223">
        <v>3.9</v>
      </c>
      <c r="G27" s="220">
        <v>3.9</v>
      </c>
      <c r="H27" s="223">
        <v>1.4</v>
      </c>
      <c r="I27" s="223"/>
      <c r="J27" s="223"/>
      <c r="K27" s="220">
        <f t="shared" si="1"/>
        <v>30.03</v>
      </c>
      <c r="L27" s="223">
        <f t="shared" si="0"/>
        <v>30.03</v>
      </c>
      <c r="M27" s="223"/>
    </row>
    <row r="28" spans="1:13">
      <c r="A28" s="220"/>
      <c r="B28" s="329" t="s">
        <v>442</v>
      </c>
      <c r="C28" s="330"/>
      <c r="D28" s="220">
        <v>1</v>
      </c>
      <c r="E28" s="220">
        <v>6.3</v>
      </c>
      <c r="F28" s="223"/>
      <c r="G28" s="220">
        <v>3.9</v>
      </c>
      <c r="H28" s="223"/>
      <c r="I28" s="223"/>
      <c r="J28" s="223"/>
      <c r="K28" s="220">
        <f t="shared" si="1"/>
        <v>24.57</v>
      </c>
      <c r="L28" s="223">
        <f t="shared" si="0"/>
        <v>24.57</v>
      </c>
      <c r="M28" s="223"/>
    </row>
    <row r="29" spans="1:13">
      <c r="A29" s="220"/>
      <c r="B29" s="329" t="s">
        <v>457</v>
      </c>
      <c r="C29" s="330"/>
      <c r="D29" s="220">
        <v>1</v>
      </c>
      <c r="E29" s="220">
        <v>3.2</v>
      </c>
      <c r="F29" s="223"/>
      <c r="G29" s="220">
        <v>3.5</v>
      </c>
      <c r="H29" s="223"/>
      <c r="I29" s="223"/>
      <c r="J29" s="223"/>
      <c r="K29" s="220">
        <f t="shared" si="1"/>
        <v>11.200000000000001</v>
      </c>
      <c r="L29" s="223">
        <f t="shared" si="0"/>
        <v>11.200000000000001</v>
      </c>
      <c r="M29" s="223"/>
    </row>
    <row r="30" spans="1:13">
      <c r="A30" s="220"/>
      <c r="B30" s="329" t="s">
        <v>458</v>
      </c>
      <c r="C30" s="330"/>
      <c r="D30" s="220">
        <v>1</v>
      </c>
      <c r="E30" s="220">
        <v>5</v>
      </c>
      <c r="F30" s="223"/>
      <c r="G30" s="220">
        <v>4.2</v>
      </c>
      <c r="H30" s="223"/>
      <c r="I30" s="223"/>
      <c r="J30" s="223"/>
      <c r="K30" s="220">
        <f t="shared" si="1"/>
        <v>21</v>
      </c>
      <c r="L30" s="223">
        <f t="shared" si="0"/>
        <v>21</v>
      </c>
      <c r="M30" s="223"/>
    </row>
    <row r="31" spans="1:13">
      <c r="A31" s="220"/>
      <c r="B31" s="329" t="s">
        <v>447</v>
      </c>
      <c r="C31" s="330"/>
      <c r="D31" s="220">
        <v>1</v>
      </c>
      <c r="E31" s="220">
        <v>3.5</v>
      </c>
      <c r="F31" s="223">
        <v>1.5</v>
      </c>
      <c r="G31" s="220">
        <v>3</v>
      </c>
      <c r="H31" s="223">
        <v>1.6</v>
      </c>
      <c r="I31" s="223"/>
      <c r="J31" s="223"/>
      <c r="K31" s="220">
        <f t="shared" si="1"/>
        <v>12.9</v>
      </c>
      <c r="L31" s="223">
        <f t="shared" si="0"/>
        <v>12.9</v>
      </c>
      <c r="M31" s="223"/>
    </row>
    <row r="32" spans="1:13">
      <c r="A32" s="220"/>
      <c r="B32" s="329" t="s">
        <v>453</v>
      </c>
      <c r="C32" s="330"/>
      <c r="D32" s="220">
        <v>1</v>
      </c>
      <c r="E32" s="220">
        <v>4.2</v>
      </c>
      <c r="F32" s="223"/>
      <c r="G32" s="220">
        <v>3.1</v>
      </c>
      <c r="H32" s="223"/>
      <c r="I32" s="223"/>
      <c r="J32" s="223"/>
      <c r="K32" s="220">
        <f t="shared" si="1"/>
        <v>13.020000000000001</v>
      </c>
      <c r="L32" s="223">
        <f t="shared" si="0"/>
        <v>13.020000000000001</v>
      </c>
      <c r="M32" s="223"/>
    </row>
    <row r="33" spans="1:13">
      <c r="A33" s="220"/>
      <c r="B33" s="329" t="s">
        <v>459</v>
      </c>
      <c r="C33" s="330"/>
      <c r="D33" s="220">
        <v>1</v>
      </c>
      <c r="E33" s="220">
        <v>7</v>
      </c>
      <c r="F33" s="223"/>
      <c r="G33" s="220">
        <v>4.5999999999999996</v>
      </c>
      <c r="H33" s="223"/>
      <c r="I33" s="223"/>
      <c r="J33" s="223"/>
      <c r="K33" s="220">
        <f t="shared" si="1"/>
        <v>32.199999999999996</v>
      </c>
      <c r="L33" s="223">
        <f t="shared" si="0"/>
        <v>32.199999999999996</v>
      </c>
      <c r="M33" s="223"/>
    </row>
    <row r="34" spans="1:13">
      <c r="A34" s="220"/>
      <c r="B34" s="329" t="s">
        <v>460</v>
      </c>
      <c r="C34" s="330"/>
      <c r="D34" s="220">
        <v>1</v>
      </c>
      <c r="E34" s="220">
        <v>3.7</v>
      </c>
      <c r="F34" s="223"/>
      <c r="G34" s="220">
        <v>4.2</v>
      </c>
      <c r="H34" s="223"/>
      <c r="I34" s="223"/>
      <c r="J34" s="223"/>
      <c r="K34" s="220">
        <f t="shared" si="1"/>
        <v>15.540000000000001</v>
      </c>
      <c r="L34" s="223">
        <f t="shared" si="0"/>
        <v>15.540000000000001</v>
      </c>
      <c r="M34" s="223"/>
    </row>
    <row r="35" spans="1:13">
      <c r="A35" s="220"/>
      <c r="B35" s="329" t="s">
        <v>449</v>
      </c>
      <c r="C35" s="330"/>
      <c r="D35" s="220">
        <v>1</v>
      </c>
      <c r="E35" s="220">
        <v>34.700000000000003</v>
      </c>
      <c r="F35" s="223"/>
      <c r="G35" s="220">
        <v>1.9</v>
      </c>
      <c r="H35" s="223"/>
      <c r="I35" s="223"/>
      <c r="J35" s="223"/>
      <c r="K35" s="220">
        <f t="shared" si="1"/>
        <v>65.930000000000007</v>
      </c>
      <c r="L35" s="223">
        <f t="shared" si="0"/>
        <v>65.930000000000007</v>
      </c>
      <c r="M35" s="223"/>
    </row>
    <row r="36" spans="1:13">
      <c r="A36" s="220"/>
      <c r="B36" s="329" t="s">
        <v>462</v>
      </c>
      <c r="C36" s="330"/>
      <c r="D36" s="220">
        <v>1</v>
      </c>
      <c r="E36" s="220">
        <v>3.5</v>
      </c>
      <c r="F36" s="223"/>
      <c r="G36" s="220">
        <v>2.7</v>
      </c>
      <c r="H36" s="223"/>
      <c r="I36" s="223"/>
      <c r="J36" s="223"/>
      <c r="K36" s="220">
        <f t="shared" si="1"/>
        <v>9.4500000000000011</v>
      </c>
      <c r="L36" s="223">
        <f t="shared" si="0"/>
        <v>9.4500000000000011</v>
      </c>
      <c r="M36" s="223"/>
    </row>
    <row r="37" spans="1:13">
      <c r="A37" s="220"/>
      <c r="B37" s="329" t="s">
        <v>448</v>
      </c>
      <c r="C37" s="330"/>
      <c r="D37" s="220">
        <v>1</v>
      </c>
      <c r="E37" s="220">
        <v>3.4</v>
      </c>
      <c r="F37" s="223">
        <v>2.2000000000000002</v>
      </c>
      <c r="G37" s="220">
        <v>3.1</v>
      </c>
      <c r="H37" s="223">
        <v>1</v>
      </c>
      <c r="I37" s="223"/>
      <c r="J37" s="223"/>
      <c r="K37" s="220">
        <f t="shared" si="1"/>
        <v>12.739999999999998</v>
      </c>
      <c r="L37" s="223">
        <f t="shared" si="0"/>
        <v>12.739999999999998</v>
      </c>
      <c r="M37" s="223"/>
    </row>
    <row r="38" spans="1:13">
      <c r="A38" s="220"/>
      <c r="B38" s="329" t="s">
        <v>452</v>
      </c>
      <c r="C38" s="330"/>
      <c r="D38" s="220">
        <v>1</v>
      </c>
      <c r="E38" s="220">
        <v>2.2000000000000002</v>
      </c>
      <c r="F38" s="223"/>
      <c r="G38" s="220">
        <v>1</v>
      </c>
      <c r="H38" s="223"/>
      <c r="I38" s="223"/>
      <c r="J38" s="223"/>
      <c r="K38" s="220">
        <f t="shared" si="1"/>
        <v>2.2000000000000002</v>
      </c>
      <c r="L38" s="223">
        <f t="shared" si="0"/>
        <v>2.2000000000000002</v>
      </c>
      <c r="M38" s="223"/>
    </row>
    <row r="39" spans="1:13">
      <c r="A39" s="220"/>
      <c r="B39" s="329" t="s">
        <v>452</v>
      </c>
      <c r="C39" s="330"/>
      <c r="D39" s="220">
        <v>1</v>
      </c>
      <c r="E39" s="220">
        <v>5.9</v>
      </c>
      <c r="F39" s="223"/>
      <c r="G39" s="220">
        <v>4.5</v>
      </c>
      <c r="H39" s="223"/>
      <c r="I39" s="223"/>
      <c r="J39" s="223"/>
      <c r="K39" s="220">
        <f t="shared" si="1"/>
        <v>26.55</v>
      </c>
      <c r="L39" s="223">
        <f t="shared" si="0"/>
        <v>26.55</v>
      </c>
      <c r="M39" s="223"/>
    </row>
    <row r="40" spans="1:13">
      <c r="A40" s="220"/>
      <c r="B40" s="329" t="s">
        <v>438</v>
      </c>
      <c r="C40" s="330"/>
      <c r="D40" s="220">
        <v>1</v>
      </c>
      <c r="E40" s="220">
        <v>15</v>
      </c>
      <c r="F40" s="223"/>
      <c r="G40" s="220">
        <v>6.6</v>
      </c>
      <c r="H40" s="223"/>
      <c r="I40" s="223"/>
      <c r="J40" s="223"/>
      <c r="K40" s="220">
        <f t="shared" si="1"/>
        <v>99</v>
      </c>
      <c r="L40" s="223">
        <f t="shared" si="0"/>
        <v>99</v>
      </c>
      <c r="M40" s="223"/>
    </row>
    <row r="41" spans="1:13">
      <c r="A41" s="220"/>
      <c r="B41" s="229"/>
      <c r="C41" s="230"/>
      <c r="D41" s="220"/>
      <c r="E41" s="220"/>
      <c r="F41" s="223"/>
      <c r="G41" s="220"/>
      <c r="H41" s="223"/>
      <c r="I41" s="223"/>
      <c r="J41" s="223"/>
      <c r="K41" s="220"/>
      <c r="L41" s="223"/>
      <c r="M41" s="223"/>
    </row>
    <row r="42" spans="1:13">
      <c r="A42" s="220"/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</row>
    <row r="43" spans="1:13">
      <c r="A43" s="220" t="s">
        <v>491</v>
      </c>
      <c r="B43" s="337" t="str">
        <f>'[1]ITENS NOVOS'!D9</f>
        <v>Remoção de caixão de madeira (aduela)</v>
      </c>
      <c r="C43" s="337"/>
      <c r="D43" s="337"/>
      <c r="E43" s="337"/>
      <c r="F43" s="337"/>
      <c r="G43" s="337"/>
      <c r="H43" s="337"/>
      <c r="I43" s="337"/>
      <c r="J43" s="337"/>
      <c r="K43" s="337"/>
      <c r="L43" s="220">
        <f>SUM(L45:L69)</f>
        <v>36</v>
      </c>
      <c r="M43" s="220" t="s">
        <v>581</v>
      </c>
    </row>
    <row r="44" spans="1:13">
      <c r="A44" s="220"/>
      <c r="B44" s="220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</row>
    <row r="45" spans="1:13">
      <c r="A45" s="220"/>
      <c r="B45" s="329" t="s">
        <v>465</v>
      </c>
      <c r="C45" s="330"/>
      <c r="D45" s="220">
        <v>1</v>
      </c>
      <c r="E45" s="220">
        <v>2</v>
      </c>
      <c r="F45" s="220"/>
      <c r="G45" s="220"/>
      <c r="H45" s="220"/>
      <c r="I45" s="220"/>
      <c r="J45" s="220"/>
      <c r="K45" s="220"/>
      <c r="L45" s="220">
        <f>E45*D45</f>
        <v>2</v>
      </c>
      <c r="M45" s="220"/>
    </row>
    <row r="46" spans="1:13">
      <c r="A46" s="220"/>
      <c r="B46" s="329" t="s">
        <v>436</v>
      </c>
      <c r="C46" s="330"/>
      <c r="D46" s="220">
        <v>1</v>
      </c>
      <c r="E46" s="220">
        <v>1</v>
      </c>
      <c r="F46" s="220"/>
      <c r="G46" s="220"/>
      <c r="H46" s="220"/>
      <c r="I46" s="220"/>
      <c r="J46" s="220"/>
      <c r="K46" s="220"/>
      <c r="L46" s="220">
        <f t="shared" ref="L46:L69" si="2">E46*D46</f>
        <v>1</v>
      </c>
      <c r="M46" s="220"/>
    </row>
    <row r="47" spans="1:13">
      <c r="A47" s="220"/>
      <c r="B47" s="329" t="s">
        <v>437</v>
      </c>
      <c r="C47" s="330"/>
      <c r="D47" s="220">
        <v>1</v>
      </c>
      <c r="E47" s="220">
        <v>2</v>
      </c>
      <c r="F47" s="220"/>
      <c r="G47" s="220"/>
      <c r="H47" s="220"/>
      <c r="I47" s="220"/>
      <c r="J47" s="220"/>
      <c r="K47" s="220"/>
      <c r="L47" s="220">
        <f t="shared" si="2"/>
        <v>2</v>
      </c>
      <c r="M47" s="220"/>
    </row>
    <row r="48" spans="1:13">
      <c r="A48" s="220"/>
      <c r="B48" s="329" t="s">
        <v>437</v>
      </c>
      <c r="C48" s="330"/>
      <c r="D48" s="220">
        <v>1</v>
      </c>
      <c r="E48" s="220">
        <v>2</v>
      </c>
      <c r="F48" s="220"/>
      <c r="G48" s="220"/>
      <c r="H48" s="220"/>
      <c r="I48" s="220"/>
      <c r="J48" s="220"/>
      <c r="K48" s="220"/>
      <c r="L48" s="220">
        <f t="shared" si="2"/>
        <v>2</v>
      </c>
      <c r="M48" s="220"/>
    </row>
    <row r="49" spans="1:13">
      <c r="A49" s="220"/>
      <c r="B49" s="329" t="s">
        <v>572</v>
      </c>
      <c r="C49" s="330"/>
      <c r="D49" s="220">
        <v>1</v>
      </c>
      <c r="E49" s="220">
        <v>1</v>
      </c>
      <c r="F49" s="220"/>
      <c r="G49" s="220"/>
      <c r="H49" s="220"/>
      <c r="I49" s="220"/>
      <c r="J49" s="220"/>
      <c r="K49" s="220"/>
      <c r="L49" s="220">
        <f t="shared" si="2"/>
        <v>1</v>
      </c>
      <c r="M49" s="220"/>
    </row>
    <row r="50" spans="1:13">
      <c r="A50" s="220"/>
      <c r="B50" s="329" t="s">
        <v>573</v>
      </c>
      <c r="C50" s="330"/>
      <c r="D50" s="220">
        <v>1</v>
      </c>
      <c r="E50" s="220">
        <v>1</v>
      </c>
      <c r="F50" s="220"/>
      <c r="G50" s="220"/>
      <c r="H50" s="220"/>
      <c r="I50" s="220"/>
      <c r="J50" s="220"/>
      <c r="K50" s="220"/>
      <c r="L50" s="220">
        <f t="shared" si="2"/>
        <v>1</v>
      </c>
      <c r="M50" s="220"/>
    </row>
    <row r="51" spans="1:13">
      <c r="A51" s="220"/>
      <c r="B51" s="329" t="s">
        <v>574</v>
      </c>
      <c r="C51" s="330"/>
      <c r="D51" s="220">
        <v>1</v>
      </c>
      <c r="E51" s="220">
        <v>2</v>
      </c>
      <c r="F51" s="220"/>
      <c r="G51" s="220"/>
      <c r="H51" s="220"/>
      <c r="I51" s="220"/>
      <c r="J51" s="220"/>
      <c r="K51" s="220"/>
      <c r="L51" s="220">
        <f t="shared" si="2"/>
        <v>2</v>
      </c>
      <c r="M51" s="220"/>
    </row>
    <row r="52" spans="1:13">
      <c r="A52" s="220"/>
      <c r="B52" s="329" t="s">
        <v>575</v>
      </c>
      <c r="C52" s="330"/>
      <c r="D52" s="220">
        <v>1</v>
      </c>
      <c r="E52" s="220">
        <v>1</v>
      </c>
      <c r="F52" s="220"/>
      <c r="G52" s="220"/>
      <c r="H52" s="220"/>
      <c r="I52" s="220"/>
      <c r="J52" s="220"/>
      <c r="K52" s="220"/>
      <c r="L52" s="220">
        <f t="shared" si="2"/>
        <v>1</v>
      </c>
      <c r="M52" s="220"/>
    </row>
    <row r="53" spans="1:13">
      <c r="A53" s="220"/>
      <c r="B53" s="329" t="s">
        <v>573</v>
      </c>
      <c r="C53" s="330"/>
      <c r="D53" s="220">
        <v>1</v>
      </c>
      <c r="E53" s="220">
        <v>1</v>
      </c>
      <c r="F53" s="220"/>
      <c r="G53" s="220"/>
      <c r="H53" s="220"/>
      <c r="I53" s="220"/>
      <c r="J53" s="220"/>
      <c r="K53" s="220"/>
      <c r="L53" s="220">
        <f t="shared" si="2"/>
        <v>1</v>
      </c>
      <c r="M53" s="220"/>
    </row>
    <row r="54" spans="1:13">
      <c r="A54" s="220"/>
      <c r="B54" s="329" t="s">
        <v>441</v>
      </c>
      <c r="C54" s="330"/>
      <c r="D54" s="220">
        <v>1</v>
      </c>
      <c r="E54" s="220">
        <v>2</v>
      </c>
      <c r="F54" s="220"/>
      <c r="G54" s="220"/>
      <c r="H54" s="220"/>
      <c r="I54" s="220"/>
      <c r="J54" s="220"/>
      <c r="K54" s="220"/>
      <c r="L54" s="220">
        <f t="shared" si="2"/>
        <v>2</v>
      </c>
      <c r="M54" s="220"/>
    </row>
    <row r="55" spans="1:13">
      <c r="A55" s="220"/>
      <c r="B55" s="329" t="s">
        <v>442</v>
      </c>
      <c r="C55" s="330"/>
      <c r="D55" s="220">
        <v>1</v>
      </c>
      <c r="E55" s="220">
        <v>2</v>
      </c>
      <c r="F55" s="220"/>
      <c r="G55" s="220"/>
      <c r="H55" s="220"/>
      <c r="I55" s="220"/>
      <c r="J55" s="220"/>
      <c r="K55" s="220"/>
      <c r="L55" s="220">
        <f t="shared" si="2"/>
        <v>2</v>
      </c>
      <c r="M55" s="220"/>
    </row>
    <row r="56" spans="1:13">
      <c r="A56" s="220"/>
      <c r="B56" s="329" t="s">
        <v>443</v>
      </c>
      <c r="C56" s="330"/>
      <c r="D56" s="220">
        <v>1</v>
      </c>
      <c r="E56" s="220">
        <v>2</v>
      </c>
      <c r="F56" s="220"/>
      <c r="G56" s="220"/>
      <c r="H56" s="220"/>
      <c r="I56" s="220"/>
      <c r="J56" s="220"/>
      <c r="K56" s="220"/>
      <c r="L56" s="220">
        <f t="shared" si="2"/>
        <v>2</v>
      </c>
      <c r="M56" s="220"/>
    </row>
    <row r="57" spans="1:13">
      <c r="A57" s="220"/>
      <c r="B57" s="329" t="s">
        <v>481</v>
      </c>
      <c r="C57" s="330"/>
      <c r="D57" s="220">
        <v>1</v>
      </c>
      <c r="E57" s="220">
        <v>2</v>
      </c>
      <c r="F57" s="220"/>
      <c r="G57" s="220"/>
      <c r="H57" s="220"/>
      <c r="I57" s="220"/>
      <c r="J57" s="220"/>
      <c r="K57" s="220"/>
      <c r="L57" s="220">
        <f t="shared" si="2"/>
        <v>2</v>
      </c>
      <c r="M57" s="220"/>
    </row>
    <row r="58" spans="1:13">
      <c r="A58" s="220"/>
      <c r="B58" s="329" t="s">
        <v>445</v>
      </c>
      <c r="C58" s="330"/>
      <c r="D58" s="220">
        <v>1</v>
      </c>
      <c r="E58" s="220">
        <v>1</v>
      </c>
      <c r="F58" s="220"/>
      <c r="G58" s="220"/>
      <c r="H58" s="220"/>
      <c r="I58" s="220"/>
      <c r="J58" s="220"/>
      <c r="K58" s="220"/>
      <c r="L58" s="220">
        <f t="shared" si="2"/>
        <v>1</v>
      </c>
      <c r="M58" s="220"/>
    </row>
    <row r="59" spans="1:13">
      <c r="A59" s="220"/>
      <c r="B59" s="329" t="s">
        <v>576</v>
      </c>
      <c r="C59" s="330"/>
      <c r="D59" s="220">
        <v>1</v>
      </c>
      <c r="E59" s="220">
        <v>1</v>
      </c>
      <c r="F59" s="220"/>
      <c r="G59" s="220"/>
      <c r="H59" s="220"/>
      <c r="I59" s="220"/>
      <c r="J59" s="220"/>
      <c r="K59" s="220"/>
      <c r="L59" s="220">
        <f t="shared" si="2"/>
        <v>1</v>
      </c>
      <c r="M59" s="220"/>
    </row>
    <row r="60" spans="1:13">
      <c r="A60" s="220"/>
      <c r="B60" s="329" t="s">
        <v>446</v>
      </c>
      <c r="C60" s="330"/>
      <c r="D60" s="220">
        <v>1</v>
      </c>
      <c r="E60" s="220">
        <v>1</v>
      </c>
      <c r="F60" s="220"/>
      <c r="G60" s="220"/>
      <c r="H60" s="220"/>
      <c r="I60" s="220"/>
      <c r="J60" s="220"/>
      <c r="K60" s="220"/>
      <c r="L60" s="220">
        <f t="shared" si="2"/>
        <v>1</v>
      </c>
      <c r="M60" s="220"/>
    </row>
    <row r="61" spans="1:13">
      <c r="A61" s="220"/>
      <c r="B61" s="329" t="s">
        <v>577</v>
      </c>
      <c r="C61" s="330"/>
      <c r="D61" s="220">
        <v>1</v>
      </c>
      <c r="E61" s="220">
        <v>1</v>
      </c>
      <c r="F61" s="220"/>
      <c r="G61" s="220"/>
      <c r="H61" s="220"/>
      <c r="I61" s="220"/>
      <c r="J61" s="220"/>
      <c r="K61" s="220"/>
      <c r="L61" s="220">
        <f t="shared" si="2"/>
        <v>1</v>
      </c>
      <c r="M61" s="220"/>
    </row>
    <row r="62" spans="1:13">
      <c r="A62" s="220"/>
      <c r="B62" s="329" t="s">
        <v>447</v>
      </c>
      <c r="C62" s="330"/>
      <c r="D62" s="220">
        <v>1</v>
      </c>
      <c r="E62" s="220">
        <v>2</v>
      </c>
      <c r="F62" s="220"/>
      <c r="G62" s="220"/>
      <c r="H62" s="220"/>
      <c r="I62" s="220"/>
      <c r="J62" s="220"/>
      <c r="K62" s="220"/>
      <c r="L62" s="220">
        <f t="shared" si="2"/>
        <v>2</v>
      </c>
      <c r="M62" s="220"/>
    </row>
    <row r="63" spans="1:13">
      <c r="A63" s="220"/>
      <c r="B63" s="329" t="s">
        <v>457</v>
      </c>
      <c r="C63" s="330"/>
      <c r="D63" s="220">
        <v>1</v>
      </c>
      <c r="E63" s="220">
        <v>1</v>
      </c>
      <c r="F63" s="220"/>
      <c r="G63" s="220"/>
      <c r="H63" s="220"/>
      <c r="I63" s="220"/>
      <c r="J63" s="220"/>
      <c r="K63" s="220"/>
      <c r="L63" s="220">
        <f t="shared" si="2"/>
        <v>1</v>
      </c>
      <c r="M63" s="220"/>
    </row>
    <row r="64" spans="1:13">
      <c r="A64" s="220"/>
      <c r="B64" s="329" t="s">
        <v>578</v>
      </c>
      <c r="C64" s="330"/>
      <c r="D64" s="220">
        <v>1</v>
      </c>
      <c r="E64" s="220">
        <v>2</v>
      </c>
      <c r="F64" s="220"/>
      <c r="G64" s="220"/>
      <c r="H64" s="220"/>
      <c r="I64" s="220"/>
      <c r="J64" s="220"/>
      <c r="K64" s="220"/>
      <c r="L64" s="220">
        <f t="shared" si="2"/>
        <v>2</v>
      </c>
      <c r="M64" s="220"/>
    </row>
    <row r="65" spans="1:13">
      <c r="A65" s="220"/>
      <c r="B65" s="329" t="s">
        <v>460</v>
      </c>
      <c r="C65" s="330"/>
      <c r="D65" s="220">
        <v>1</v>
      </c>
      <c r="E65" s="220">
        <v>1</v>
      </c>
      <c r="F65" s="220"/>
      <c r="G65" s="220"/>
      <c r="H65" s="220"/>
      <c r="I65" s="220"/>
      <c r="J65" s="220"/>
      <c r="K65" s="220"/>
      <c r="L65" s="220">
        <f t="shared" si="2"/>
        <v>1</v>
      </c>
      <c r="M65" s="220"/>
    </row>
    <row r="66" spans="1:13">
      <c r="A66" s="220"/>
      <c r="B66" s="329" t="s">
        <v>579</v>
      </c>
      <c r="C66" s="330"/>
      <c r="D66" s="220">
        <v>1</v>
      </c>
      <c r="E66" s="220">
        <v>2</v>
      </c>
      <c r="F66" s="220"/>
      <c r="G66" s="220"/>
      <c r="H66" s="220"/>
      <c r="I66" s="220"/>
      <c r="J66" s="220"/>
      <c r="K66" s="220"/>
      <c r="L66" s="220">
        <f t="shared" si="2"/>
        <v>2</v>
      </c>
      <c r="M66" s="220"/>
    </row>
    <row r="67" spans="1:13">
      <c r="A67" s="220"/>
      <c r="B67" s="329" t="s">
        <v>453</v>
      </c>
      <c r="C67" s="330"/>
      <c r="D67" s="220">
        <v>1</v>
      </c>
      <c r="E67" s="220">
        <v>1</v>
      </c>
      <c r="F67" s="220"/>
      <c r="G67" s="220"/>
      <c r="H67" s="220"/>
      <c r="I67" s="220"/>
      <c r="J67" s="220"/>
      <c r="K67" s="220"/>
      <c r="L67" s="220">
        <f t="shared" si="2"/>
        <v>1</v>
      </c>
      <c r="M67" s="220"/>
    </row>
    <row r="68" spans="1:13">
      <c r="A68" s="220"/>
      <c r="B68" s="329" t="s">
        <v>458</v>
      </c>
      <c r="C68" s="330"/>
      <c r="D68" s="220">
        <v>1</v>
      </c>
      <c r="E68" s="220">
        <v>1</v>
      </c>
      <c r="F68" s="220"/>
      <c r="G68" s="220"/>
      <c r="H68" s="220"/>
      <c r="I68" s="220"/>
      <c r="J68" s="220"/>
      <c r="K68" s="220"/>
      <c r="L68" s="220">
        <f t="shared" si="2"/>
        <v>1</v>
      </c>
      <c r="M68" s="220"/>
    </row>
    <row r="69" spans="1:13">
      <c r="A69" s="220"/>
      <c r="B69" s="329" t="s">
        <v>580</v>
      </c>
      <c r="C69" s="330"/>
      <c r="D69" s="220">
        <v>1</v>
      </c>
      <c r="E69" s="220">
        <v>1</v>
      </c>
      <c r="F69" s="220"/>
      <c r="G69" s="220"/>
      <c r="H69" s="220"/>
      <c r="I69" s="220"/>
      <c r="J69" s="220"/>
      <c r="K69" s="220"/>
      <c r="L69" s="220">
        <f t="shared" si="2"/>
        <v>1</v>
      </c>
      <c r="M69" s="220"/>
    </row>
    <row r="70" spans="1:13">
      <c r="A70" s="220"/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</row>
    <row r="71" spans="1:13">
      <c r="A71" s="220"/>
      <c r="B71" s="220"/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</row>
    <row r="72" spans="1:13" ht="24" customHeight="1">
      <c r="A72" s="220" t="s">
        <v>492</v>
      </c>
      <c r="B72" s="337" t="str">
        <f>'[1]ITENS NOVOS'!D10</f>
        <v>REMOÇÃO DE JANELAS, DE FORMA MANUAL, SEM REAPROVEITAMENTO. AF_12/2017</v>
      </c>
      <c r="C72" s="337"/>
      <c r="D72" s="337"/>
      <c r="E72" s="337"/>
      <c r="F72" s="337"/>
      <c r="G72" s="337"/>
      <c r="H72" s="337"/>
      <c r="I72" s="337"/>
      <c r="J72" s="337"/>
      <c r="K72" s="337"/>
      <c r="L72" s="220">
        <f>SUM(L74:L92)</f>
        <v>14</v>
      </c>
      <c r="M72" s="220" t="s">
        <v>429</v>
      </c>
    </row>
    <row r="73" spans="1:13">
      <c r="A73" s="220"/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</row>
    <row r="74" spans="1:13">
      <c r="A74" s="220"/>
      <c r="B74" s="353" t="s">
        <v>465</v>
      </c>
      <c r="C74" s="354"/>
      <c r="D74" s="220">
        <v>1</v>
      </c>
      <c r="E74" s="220">
        <v>1</v>
      </c>
      <c r="F74" s="220"/>
      <c r="G74" s="220">
        <v>1</v>
      </c>
      <c r="H74" s="220"/>
      <c r="I74" s="220"/>
      <c r="J74" s="220"/>
      <c r="K74" s="220">
        <f t="shared" ref="K74:K92" si="3">E74*G74</f>
        <v>1</v>
      </c>
      <c r="L74" s="220">
        <f t="shared" ref="L74:L92" si="4">K74*D74</f>
        <v>1</v>
      </c>
      <c r="M74" s="220"/>
    </row>
    <row r="75" spans="1:13">
      <c r="A75" s="220"/>
      <c r="B75" s="353" t="s">
        <v>582</v>
      </c>
      <c r="C75" s="354"/>
      <c r="D75" s="220">
        <v>1</v>
      </c>
      <c r="E75" s="220">
        <v>0.5</v>
      </c>
      <c r="F75" s="220"/>
      <c r="G75" s="220">
        <v>0.5</v>
      </c>
      <c r="H75" s="220"/>
      <c r="I75" s="220"/>
      <c r="J75" s="220"/>
      <c r="K75" s="220">
        <f t="shared" si="3"/>
        <v>0.25</v>
      </c>
      <c r="L75" s="220">
        <f t="shared" si="4"/>
        <v>0.25</v>
      </c>
      <c r="M75" s="220"/>
    </row>
    <row r="76" spans="1:13">
      <c r="A76" s="220"/>
      <c r="B76" s="353" t="s">
        <v>436</v>
      </c>
      <c r="C76" s="354"/>
      <c r="D76" s="220">
        <v>1</v>
      </c>
      <c r="E76" s="220">
        <v>1</v>
      </c>
      <c r="F76" s="220"/>
      <c r="G76" s="220">
        <v>1</v>
      </c>
      <c r="H76" s="220"/>
      <c r="I76" s="220"/>
      <c r="J76" s="220"/>
      <c r="K76" s="220">
        <f t="shared" si="3"/>
        <v>1</v>
      </c>
      <c r="L76" s="220">
        <f t="shared" si="4"/>
        <v>1</v>
      </c>
      <c r="M76" s="220"/>
    </row>
    <row r="77" spans="1:13">
      <c r="A77" s="220"/>
      <c r="B77" s="353" t="s">
        <v>437</v>
      </c>
      <c r="C77" s="354"/>
      <c r="D77" s="220">
        <v>1</v>
      </c>
      <c r="E77" s="220">
        <v>1</v>
      </c>
      <c r="F77" s="220"/>
      <c r="G77" s="220">
        <v>1</v>
      </c>
      <c r="H77" s="220"/>
      <c r="I77" s="220"/>
      <c r="J77" s="220"/>
      <c r="K77" s="220">
        <f t="shared" si="3"/>
        <v>1</v>
      </c>
      <c r="L77" s="220">
        <f t="shared" si="4"/>
        <v>1</v>
      </c>
      <c r="M77" s="220"/>
    </row>
    <row r="78" spans="1:13">
      <c r="A78" s="220"/>
      <c r="B78" s="353" t="s">
        <v>582</v>
      </c>
      <c r="C78" s="354"/>
      <c r="D78" s="220">
        <v>1</v>
      </c>
      <c r="E78" s="220">
        <v>0.5</v>
      </c>
      <c r="F78" s="220"/>
      <c r="G78" s="220">
        <v>0.5</v>
      </c>
      <c r="H78" s="220"/>
      <c r="I78" s="220"/>
      <c r="J78" s="220"/>
      <c r="K78" s="220">
        <f t="shared" si="3"/>
        <v>0.25</v>
      </c>
      <c r="L78" s="220">
        <f t="shared" si="4"/>
        <v>0.25</v>
      </c>
      <c r="M78" s="220"/>
    </row>
    <row r="79" spans="1:13">
      <c r="A79" s="220"/>
      <c r="B79" s="353" t="s">
        <v>437</v>
      </c>
      <c r="C79" s="354"/>
      <c r="D79" s="220">
        <v>1</v>
      </c>
      <c r="E79" s="220">
        <v>1</v>
      </c>
      <c r="F79" s="220"/>
      <c r="G79" s="220">
        <v>1</v>
      </c>
      <c r="H79" s="220"/>
      <c r="I79" s="220"/>
      <c r="J79" s="220"/>
      <c r="K79" s="220">
        <f t="shared" si="3"/>
        <v>1</v>
      </c>
      <c r="L79" s="220">
        <f t="shared" si="4"/>
        <v>1</v>
      </c>
      <c r="M79" s="220"/>
    </row>
    <row r="80" spans="1:13">
      <c r="A80" s="220"/>
      <c r="B80" s="353" t="s">
        <v>582</v>
      </c>
      <c r="C80" s="354"/>
      <c r="D80" s="220">
        <v>1</v>
      </c>
      <c r="E80" s="220">
        <v>0.5</v>
      </c>
      <c r="F80" s="220"/>
      <c r="G80" s="220">
        <v>0.5</v>
      </c>
      <c r="H80" s="220"/>
      <c r="I80" s="220"/>
      <c r="J80" s="220"/>
      <c r="K80" s="220">
        <f t="shared" si="3"/>
        <v>0.25</v>
      </c>
      <c r="L80" s="220">
        <f t="shared" si="4"/>
        <v>0.25</v>
      </c>
      <c r="M80" s="220"/>
    </row>
    <row r="81" spans="1:13">
      <c r="A81" s="220"/>
      <c r="B81" s="353" t="s">
        <v>579</v>
      </c>
      <c r="C81" s="354"/>
      <c r="D81" s="220">
        <v>2</v>
      </c>
      <c r="E81" s="220">
        <v>0.5</v>
      </c>
      <c r="F81" s="220"/>
      <c r="G81" s="220">
        <v>0.5</v>
      </c>
      <c r="H81" s="220"/>
      <c r="I81" s="220"/>
      <c r="J81" s="220"/>
      <c r="K81" s="220">
        <f t="shared" si="3"/>
        <v>0.25</v>
      </c>
      <c r="L81" s="220">
        <f t="shared" si="4"/>
        <v>0.5</v>
      </c>
      <c r="M81" s="220"/>
    </row>
    <row r="82" spans="1:13">
      <c r="A82" s="220"/>
      <c r="B82" s="353" t="s">
        <v>442</v>
      </c>
      <c r="C82" s="354"/>
      <c r="D82" s="220">
        <v>1</v>
      </c>
      <c r="E82" s="220">
        <v>1</v>
      </c>
      <c r="F82" s="220"/>
      <c r="G82" s="220">
        <v>1</v>
      </c>
      <c r="H82" s="220"/>
      <c r="I82" s="220"/>
      <c r="J82" s="220"/>
      <c r="K82" s="220">
        <f t="shared" si="3"/>
        <v>1</v>
      </c>
      <c r="L82" s="220">
        <f t="shared" si="4"/>
        <v>1</v>
      </c>
      <c r="M82" s="220"/>
    </row>
    <row r="83" spans="1:13">
      <c r="A83" s="220"/>
      <c r="B83" s="353" t="s">
        <v>443</v>
      </c>
      <c r="C83" s="354"/>
      <c r="D83" s="220">
        <v>1</v>
      </c>
      <c r="E83" s="220">
        <v>1</v>
      </c>
      <c r="F83" s="220"/>
      <c r="G83" s="220">
        <v>1</v>
      </c>
      <c r="H83" s="220"/>
      <c r="I83" s="220"/>
      <c r="J83" s="220"/>
      <c r="K83" s="220">
        <f t="shared" si="3"/>
        <v>1</v>
      </c>
      <c r="L83" s="220">
        <f t="shared" si="4"/>
        <v>1</v>
      </c>
      <c r="M83" s="220"/>
    </row>
    <row r="84" spans="1:13">
      <c r="A84" s="220"/>
      <c r="B84" s="353" t="s">
        <v>481</v>
      </c>
      <c r="C84" s="354"/>
      <c r="D84" s="220">
        <v>1</v>
      </c>
      <c r="E84" s="220">
        <v>1</v>
      </c>
      <c r="F84" s="220"/>
      <c r="G84" s="220">
        <v>1</v>
      </c>
      <c r="H84" s="220"/>
      <c r="I84" s="220"/>
      <c r="J84" s="220"/>
      <c r="K84" s="220">
        <f t="shared" si="3"/>
        <v>1</v>
      </c>
      <c r="L84" s="220">
        <f t="shared" si="4"/>
        <v>1</v>
      </c>
      <c r="M84" s="220"/>
    </row>
    <row r="85" spans="1:13">
      <c r="A85" s="220"/>
      <c r="B85" s="353" t="s">
        <v>445</v>
      </c>
      <c r="C85" s="354"/>
      <c r="D85" s="220">
        <v>1</v>
      </c>
      <c r="E85" s="220">
        <v>1</v>
      </c>
      <c r="F85" s="220"/>
      <c r="G85" s="220">
        <v>1</v>
      </c>
      <c r="H85" s="220"/>
      <c r="I85" s="220"/>
      <c r="J85" s="220"/>
      <c r="K85" s="220">
        <f t="shared" si="3"/>
        <v>1</v>
      </c>
      <c r="L85" s="220">
        <f t="shared" si="4"/>
        <v>1</v>
      </c>
      <c r="M85" s="220"/>
    </row>
    <row r="86" spans="1:13">
      <c r="A86" s="220"/>
      <c r="B86" s="353" t="s">
        <v>446</v>
      </c>
      <c r="C86" s="354"/>
      <c r="D86" s="220">
        <v>1</v>
      </c>
      <c r="E86" s="220">
        <v>0.5</v>
      </c>
      <c r="F86" s="220"/>
      <c r="G86" s="220">
        <v>0.5</v>
      </c>
      <c r="H86" s="220"/>
      <c r="I86" s="220"/>
      <c r="J86" s="220"/>
      <c r="K86" s="220">
        <f t="shared" si="3"/>
        <v>0.25</v>
      </c>
      <c r="L86" s="220">
        <f t="shared" si="4"/>
        <v>0.25</v>
      </c>
      <c r="M86" s="220"/>
    </row>
    <row r="87" spans="1:13">
      <c r="A87" s="220"/>
      <c r="B87" s="353" t="s">
        <v>447</v>
      </c>
      <c r="C87" s="354"/>
      <c r="D87" s="220">
        <v>1</v>
      </c>
      <c r="E87" s="220">
        <v>1</v>
      </c>
      <c r="F87" s="220"/>
      <c r="G87" s="220">
        <v>1</v>
      </c>
      <c r="H87" s="220"/>
      <c r="I87" s="220"/>
      <c r="J87" s="220"/>
      <c r="K87" s="220">
        <f t="shared" si="3"/>
        <v>1</v>
      </c>
      <c r="L87" s="220">
        <f t="shared" si="4"/>
        <v>1</v>
      </c>
      <c r="M87" s="220"/>
    </row>
    <row r="88" spans="1:13">
      <c r="A88" s="220"/>
      <c r="B88" s="353" t="s">
        <v>457</v>
      </c>
      <c r="C88" s="354"/>
      <c r="D88" s="220">
        <v>1</v>
      </c>
      <c r="E88" s="220">
        <v>1</v>
      </c>
      <c r="F88" s="220"/>
      <c r="G88" s="220">
        <v>1</v>
      </c>
      <c r="H88" s="220"/>
      <c r="I88" s="220"/>
      <c r="J88" s="220"/>
      <c r="K88" s="220">
        <f t="shared" si="3"/>
        <v>1</v>
      </c>
      <c r="L88" s="220">
        <f t="shared" si="4"/>
        <v>1</v>
      </c>
      <c r="M88" s="220"/>
    </row>
    <row r="89" spans="1:13">
      <c r="A89" s="220"/>
      <c r="B89" s="353" t="s">
        <v>578</v>
      </c>
      <c r="C89" s="354"/>
      <c r="D89" s="220">
        <v>1</v>
      </c>
      <c r="E89" s="220">
        <v>0.5</v>
      </c>
      <c r="F89" s="220"/>
      <c r="G89" s="220">
        <v>0.5</v>
      </c>
      <c r="H89" s="220"/>
      <c r="I89" s="220"/>
      <c r="J89" s="220"/>
      <c r="K89" s="220">
        <f t="shared" si="3"/>
        <v>0.25</v>
      </c>
      <c r="L89" s="220">
        <f t="shared" si="4"/>
        <v>0.25</v>
      </c>
      <c r="M89" s="220"/>
    </row>
    <row r="90" spans="1:13">
      <c r="A90" s="220"/>
      <c r="B90" s="353" t="s">
        <v>460</v>
      </c>
      <c r="C90" s="354"/>
      <c r="D90" s="220">
        <v>1</v>
      </c>
      <c r="E90" s="220">
        <v>1</v>
      </c>
      <c r="F90" s="220"/>
      <c r="G90" s="220">
        <v>1</v>
      </c>
      <c r="H90" s="220"/>
      <c r="I90" s="220"/>
      <c r="J90" s="220"/>
      <c r="K90" s="220">
        <f t="shared" si="3"/>
        <v>1</v>
      </c>
      <c r="L90" s="220">
        <f t="shared" si="4"/>
        <v>1</v>
      </c>
      <c r="M90" s="220"/>
    </row>
    <row r="91" spans="1:13">
      <c r="A91" s="220"/>
      <c r="B91" s="353" t="s">
        <v>579</v>
      </c>
      <c r="C91" s="354"/>
      <c r="D91" s="220">
        <v>1</v>
      </c>
      <c r="E91" s="220">
        <v>1</v>
      </c>
      <c r="F91" s="220"/>
      <c r="G91" s="220">
        <v>1</v>
      </c>
      <c r="H91" s="220"/>
      <c r="I91" s="220"/>
      <c r="J91" s="220"/>
      <c r="K91" s="220">
        <f t="shared" si="3"/>
        <v>1</v>
      </c>
      <c r="L91" s="220">
        <f t="shared" si="4"/>
        <v>1</v>
      </c>
      <c r="M91" s="220"/>
    </row>
    <row r="92" spans="1:13">
      <c r="A92" s="220"/>
      <c r="B92" s="353" t="s">
        <v>580</v>
      </c>
      <c r="C92" s="354"/>
      <c r="D92" s="220">
        <v>1</v>
      </c>
      <c r="E92" s="220">
        <v>0.5</v>
      </c>
      <c r="F92" s="220"/>
      <c r="G92" s="220">
        <v>0.5</v>
      </c>
      <c r="H92" s="220"/>
      <c r="I92" s="220"/>
      <c r="J92" s="220"/>
      <c r="K92" s="220">
        <f t="shared" si="3"/>
        <v>0.25</v>
      </c>
      <c r="L92" s="220">
        <f t="shared" si="4"/>
        <v>0.25</v>
      </c>
      <c r="M92" s="220"/>
    </row>
    <row r="93" spans="1:13">
      <c r="A93" s="220"/>
      <c r="B93" s="220"/>
      <c r="C93" s="220"/>
      <c r="D93" s="220"/>
      <c r="E93" s="220"/>
      <c r="F93" s="220"/>
      <c r="G93" s="220"/>
      <c r="H93" s="220"/>
      <c r="I93" s="220"/>
      <c r="J93" s="220"/>
      <c r="K93" s="220"/>
      <c r="L93" s="220"/>
      <c r="M93" s="220"/>
    </row>
    <row r="94" spans="1:13">
      <c r="A94" s="220" t="s">
        <v>493</v>
      </c>
      <c r="B94" s="348" t="str">
        <f>'[1]ITENS NOVOS'!D11</f>
        <v>REMOÇÃO DE FORRO DE GESSO, DE FORMA MANUAL, SEM REAPROVEITAMENTO. AF_12/2017</v>
      </c>
      <c r="C94" s="348"/>
      <c r="D94" s="348"/>
      <c r="E94" s="348"/>
      <c r="F94" s="348"/>
      <c r="G94" s="348"/>
      <c r="H94" s="348"/>
      <c r="I94" s="348"/>
      <c r="J94" s="348"/>
      <c r="K94" s="348"/>
      <c r="L94" s="220">
        <f>SUM(L96:L104)</f>
        <v>396.84</v>
      </c>
      <c r="M94" s="220" t="s">
        <v>429</v>
      </c>
    </row>
    <row r="95" spans="1:13">
      <c r="A95" s="220"/>
      <c r="B95" s="220"/>
      <c r="C95" s="220"/>
      <c r="D95" s="220"/>
      <c r="E95" s="220"/>
      <c r="F95" s="220"/>
      <c r="G95" s="220"/>
      <c r="H95" s="220"/>
      <c r="I95" s="220"/>
      <c r="J95" s="220"/>
      <c r="K95" s="220"/>
      <c r="L95" s="220"/>
      <c r="M95" s="220"/>
    </row>
    <row r="96" spans="1:13">
      <c r="A96" s="220"/>
      <c r="B96" s="352" t="s">
        <v>438</v>
      </c>
      <c r="C96" s="352"/>
      <c r="D96" s="220">
        <v>1</v>
      </c>
      <c r="E96" s="220">
        <v>6.7</v>
      </c>
      <c r="F96" s="220"/>
      <c r="G96" s="220">
        <v>19.2</v>
      </c>
      <c r="H96" s="220"/>
      <c r="I96" s="220"/>
      <c r="J96" s="220"/>
      <c r="K96" s="220">
        <f>E96*G96</f>
        <v>128.63999999999999</v>
      </c>
      <c r="L96" s="220">
        <f>K96*D96</f>
        <v>128.63999999999999</v>
      </c>
      <c r="M96" s="220"/>
    </row>
    <row r="97" spans="1:14">
      <c r="A97" s="220"/>
      <c r="B97" s="352" t="s">
        <v>583</v>
      </c>
      <c r="C97" s="352"/>
      <c r="D97" s="220">
        <v>1</v>
      </c>
      <c r="E97" s="220">
        <v>6.2</v>
      </c>
      <c r="F97" s="220"/>
      <c r="G97" s="220">
        <v>4.0999999999999996</v>
      </c>
      <c r="H97" s="220"/>
      <c r="I97" s="220"/>
      <c r="J97" s="220"/>
      <c r="K97" s="220">
        <f t="shared" ref="K97:K104" si="5">E97*G97</f>
        <v>25.419999999999998</v>
      </c>
      <c r="L97" s="220">
        <f t="shared" ref="L97:L104" si="6">K97*D97</f>
        <v>25.419999999999998</v>
      </c>
      <c r="M97" s="220"/>
    </row>
    <row r="98" spans="1:14">
      <c r="A98" s="220"/>
      <c r="B98" s="352" t="s">
        <v>435</v>
      </c>
      <c r="C98" s="352"/>
      <c r="D98" s="220">
        <v>1</v>
      </c>
      <c r="E98" s="220">
        <v>5.2</v>
      </c>
      <c r="F98" s="220"/>
      <c r="G98" s="220">
        <v>5.6</v>
      </c>
      <c r="H98" s="220"/>
      <c r="I98" s="220"/>
      <c r="J98" s="220"/>
      <c r="K98" s="220">
        <f t="shared" si="5"/>
        <v>29.119999999999997</v>
      </c>
      <c r="L98" s="220">
        <f t="shared" si="6"/>
        <v>29.119999999999997</v>
      </c>
      <c r="M98" s="220"/>
    </row>
    <row r="99" spans="1:14">
      <c r="A99" s="220"/>
      <c r="B99" s="352" t="s">
        <v>436</v>
      </c>
      <c r="C99" s="352"/>
      <c r="D99" s="220">
        <v>1</v>
      </c>
      <c r="E99" s="220">
        <v>5.2</v>
      </c>
      <c r="F99" s="220"/>
      <c r="G99" s="220">
        <v>5.6</v>
      </c>
      <c r="H99" s="220"/>
      <c r="I99" s="220"/>
      <c r="J99" s="220"/>
      <c r="K99" s="220">
        <f t="shared" si="5"/>
        <v>29.119999999999997</v>
      </c>
      <c r="L99" s="220">
        <f t="shared" si="6"/>
        <v>29.119999999999997</v>
      </c>
      <c r="M99" s="220"/>
    </row>
    <row r="100" spans="1:14">
      <c r="A100" s="220"/>
      <c r="B100" s="352" t="s">
        <v>437</v>
      </c>
      <c r="C100" s="352"/>
      <c r="D100" s="220">
        <v>1</v>
      </c>
      <c r="E100" s="220">
        <v>5.2</v>
      </c>
      <c r="F100" s="220"/>
      <c r="G100" s="220">
        <v>5.6</v>
      </c>
      <c r="H100" s="220"/>
      <c r="I100" s="220"/>
      <c r="J100" s="220"/>
      <c r="K100" s="220">
        <f t="shared" si="5"/>
        <v>29.119999999999997</v>
      </c>
      <c r="L100" s="220">
        <f t="shared" si="6"/>
        <v>29.119999999999997</v>
      </c>
      <c r="M100" s="220"/>
    </row>
    <row r="101" spans="1:14">
      <c r="A101" s="220"/>
      <c r="B101" s="352" t="s">
        <v>437</v>
      </c>
      <c r="C101" s="352"/>
      <c r="D101" s="220">
        <v>1</v>
      </c>
      <c r="E101" s="220">
        <v>5.2</v>
      </c>
      <c r="F101" s="220"/>
      <c r="G101" s="220">
        <v>5.6</v>
      </c>
      <c r="H101" s="220"/>
      <c r="I101" s="220"/>
      <c r="J101" s="220"/>
      <c r="K101" s="220">
        <f t="shared" si="5"/>
        <v>29.119999999999997</v>
      </c>
      <c r="L101" s="220">
        <f t="shared" si="6"/>
        <v>29.119999999999997</v>
      </c>
      <c r="M101" s="220"/>
    </row>
    <row r="102" spans="1:14">
      <c r="A102" s="220"/>
      <c r="B102" s="352" t="s">
        <v>584</v>
      </c>
      <c r="C102" s="352"/>
      <c r="D102" s="220">
        <v>1</v>
      </c>
      <c r="E102" s="220">
        <v>2</v>
      </c>
      <c r="F102" s="220"/>
      <c r="G102" s="220">
        <v>22.9</v>
      </c>
      <c r="H102" s="220"/>
      <c r="I102" s="220"/>
      <c r="J102" s="220"/>
      <c r="K102" s="220">
        <f t="shared" si="5"/>
        <v>45.8</v>
      </c>
      <c r="L102" s="220">
        <f t="shared" si="6"/>
        <v>45.8</v>
      </c>
      <c r="M102" s="220"/>
    </row>
    <row r="103" spans="1:14">
      <c r="A103" s="220"/>
      <c r="B103" s="352" t="s">
        <v>585</v>
      </c>
      <c r="C103" s="352"/>
      <c r="D103" s="220">
        <v>1</v>
      </c>
      <c r="E103" s="220">
        <v>5.2</v>
      </c>
      <c r="F103" s="220"/>
      <c r="G103" s="220">
        <v>13</v>
      </c>
      <c r="H103" s="220"/>
      <c r="I103" s="220"/>
      <c r="J103" s="220"/>
      <c r="K103" s="220">
        <f t="shared" si="5"/>
        <v>67.600000000000009</v>
      </c>
      <c r="L103" s="220">
        <f t="shared" si="6"/>
        <v>67.600000000000009</v>
      </c>
      <c r="M103" s="220"/>
    </row>
    <row r="104" spans="1:14">
      <c r="A104" s="220"/>
      <c r="B104" s="352" t="s">
        <v>586</v>
      </c>
      <c r="C104" s="352"/>
      <c r="D104" s="220">
        <v>1</v>
      </c>
      <c r="E104" s="220">
        <v>3</v>
      </c>
      <c r="F104" s="220"/>
      <c r="G104" s="220">
        <v>4.3</v>
      </c>
      <c r="H104" s="220"/>
      <c r="I104" s="220"/>
      <c r="J104" s="220"/>
      <c r="K104" s="220">
        <f t="shared" si="5"/>
        <v>12.899999999999999</v>
      </c>
      <c r="L104" s="220">
        <f t="shared" si="6"/>
        <v>12.899999999999999</v>
      </c>
      <c r="M104" s="220"/>
    </row>
    <row r="105" spans="1:14">
      <c r="A105" s="220"/>
      <c r="B105" s="220"/>
      <c r="C105" s="220"/>
      <c r="D105" s="220"/>
      <c r="E105" s="220"/>
      <c r="F105" s="220"/>
      <c r="G105" s="220"/>
      <c r="H105" s="220"/>
      <c r="I105" s="220"/>
      <c r="J105" s="220"/>
      <c r="K105" s="220"/>
      <c r="L105" s="220"/>
      <c r="M105" s="220"/>
    </row>
    <row r="106" spans="1:14" ht="37.5" customHeight="1">
      <c r="A106" s="220" t="s">
        <v>494</v>
      </c>
      <c r="B106" s="348" t="str">
        <f>'[1]ITENS NOVOS'!D12</f>
        <v>DEMOLIÇÃO DE LAJES, DE FORMA MANUAL, SEM REAPROVEITAMENTO. AF_12/2017</v>
      </c>
      <c r="C106" s="348"/>
      <c r="D106" s="348"/>
      <c r="E106" s="348"/>
      <c r="F106" s="348"/>
      <c r="G106" s="348"/>
      <c r="H106" s="348"/>
      <c r="I106" s="348"/>
      <c r="J106" s="348"/>
      <c r="K106" s="348"/>
      <c r="L106" s="220">
        <f>SUM(L108:L114)</f>
        <v>28.949999999999996</v>
      </c>
      <c r="M106" s="220" t="s">
        <v>498</v>
      </c>
    </row>
    <row r="107" spans="1:14">
      <c r="A107" s="220"/>
      <c r="B107" s="220"/>
      <c r="C107" s="220"/>
      <c r="D107" s="220"/>
      <c r="E107" s="220"/>
      <c r="F107" s="220"/>
      <c r="G107" s="220"/>
      <c r="H107" s="220"/>
      <c r="I107" s="220"/>
      <c r="J107" s="220"/>
      <c r="K107" s="220"/>
      <c r="L107" s="220"/>
      <c r="M107" s="220"/>
    </row>
    <row r="108" spans="1:14">
      <c r="A108" s="220"/>
      <c r="B108" s="335"/>
      <c r="C108" s="335"/>
      <c r="D108" s="220"/>
      <c r="E108" s="220"/>
      <c r="F108" s="220"/>
      <c r="G108" s="220"/>
      <c r="H108" s="220"/>
      <c r="I108" s="220"/>
      <c r="J108" s="220"/>
      <c r="K108" s="220"/>
      <c r="L108" s="220"/>
      <c r="M108" s="220"/>
    </row>
    <row r="109" spans="1:14">
      <c r="A109" s="220"/>
      <c r="B109" s="335"/>
      <c r="C109" s="335"/>
      <c r="D109" s="220"/>
      <c r="E109" s="220"/>
      <c r="F109" s="220"/>
      <c r="G109" s="220"/>
      <c r="H109" s="220"/>
      <c r="I109" s="220"/>
      <c r="J109" s="220"/>
      <c r="K109" s="220"/>
      <c r="L109" s="220"/>
      <c r="M109" s="220"/>
    </row>
    <row r="110" spans="1:14">
      <c r="A110" s="220"/>
      <c r="B110" s="335"/>
      <c r="C110" s="335"/>
      <c r="D110" s="220"/>
      <c r="E110" s="220"/>
      <c r="F110" s="220"/>
      <c r="G110" s="220"/>
      <c r="H110" s="220"/>
      <c r="I110" s="220"/>
      <c r="J110" s="220"/>
      <c r="K110" s="220"/>
      <c r="L110" s="220"/>
      <c r="M110" s="220"/>
    </row>
    <row r="111" spans="1:14">
      <c r="A111" s="220"/>
      <c r="B111" s="335"/>
      <c r="C111" s="335"/>
      <c r="D111" s="220"/>
      <c r="E111" s="220"/>
      <c r="F111" s="220"/>
      <c r="G111" s="220"/>
      <c r="H111" s="220"/>
      <c r="I111" s="220"/>
      <c r="J111" s="220"/>
      <c r="K111" s="220"/>
      <c r="L111" s="220"/>
      <c r="M111" s="220"/>
      <c r="N111" s="326"/>
    </row>
    <row r="112" spans="1:14">
      <c r="A112" s="220"/>
      <c r="B112" s="335"/>
      <c r="C112" s="335"/>
      <c r="D112" s="220"/>
      <c r="E112" s="220"/>
      <c r="F112" s="220"/>
      <c r="G112" s="220"/>
      <c r="H112" s="220"/>
      <c r="I112" s="220"/>
      <c r="J112" s="220"/>
      <c r="K112" s="220"/>
      <c r="L112" s="220"/>
      <c r="M112" s="220"/>
      <c r="N112" s="326"/>
    </row>
    <row r="113" spans="1:13" ht="49.5" customHeight="1">
      <c r="A113" s="220"/>
      <c r="B113" s="327" t="s">
        <v>637</v>
      </c>
      <c r="C113" s="328"/>
      <c r="D113" s="220"/>
      <c r="E113" s="220"/>
      <c r="F113" s="220"/>
      <c r="G113" s="220"/>
      <c r="H113" s="220"/>
      <c r="I113" s="220"/>
      <c r="J113" s="220">
        <v>0.15</v>
      </c>
      <c r="K113" s="220">
        <f>69</f>
        <v>69</v>
      </c>
      <c r="L113" s="224">
        <f>K113*J113</f>
        <v>10.35</v>
      </c>
      <c r="M113" s="220"/>
    </row>
    <row r="114" spans="1:13" ht="36" customHeight="1">
      <c r="A114" s="220"/>
      <c r="B114" s="327" t="s">
        <v>638</v>
      </c>
      <c r="C114" s="328"/>
      <c r="D114" s="220"/>
      <c r="E114" s="220"/>
      <c r="F114" s="220"/>
      <c r="G114" s="220"/>
      <c r="H114" s="220"/>
      <c r="I114" s="220"/>
      <c r="J114" s="220">
        <v>0.15</v>
      </c>
      <c r="K114" s="220">
        <v>124</v>
      </c>
      <c r="L114" s="224">
        <f>K114*J114</f>
        <v>18.599999999999998</v>
      </c>
      <c r="M114" s="220"/>
    </row>
    <row r="115" spans="1:13">
      <c r="A115" s="220"/>
      <c r="B115" s="220"/>
      <c r="C115" s="220"/>
      <c r="D115" s="220"/>
      <c r="E115" s="220"/>
      <c r="F115" s="220"/>
      <c r="G115" s="220"/>
      <c r="H115" s="220"/>
      <c r="I115" s="220"/>
      <c r="J115" s="220"/>
      <c r="K115" s="220"/>
      <c r="L115" s="220"/>
      <c r="M115" s="220"/>
    </row>
    <row r="116" spans="1:13" ht="48.75" customHeight="1">
      <c r="A116" s="220" t="s">
        <v>495</v>
      </c>
      <c r="B116" s="348" t="str">
        <f>'[1]ITENS NOVOS'!D15</f>
        <v>REMOÇÃO DE TELHAS, DE FIBROCIMENTO, METÁLICA E CERÂMICA, DE FORMA MANUAL, SEM REAPROVEITAMENTO. AF_12/2017</v>
      </c>
      <c r="C116" s="348"/>
      <c r="D116" s="348"/>
      <c r="E116" s="348"/>
      <c r="F116" s="348"/>
      <c r="G116" s="348"/>
      <c r="H116" s="348"/>
      <c r="I116" s="348"/>
      <c r="J116" s="348"/>
      <c r="K116" s="348"/>
      <c r="L116" s="220">
        <f>SUM(L118:L122)</f>
        <v>636.83999999999992</v>
      </c>
      <c r="M116" s="220" t="s">
        <v>429</v>
      </c>
    </row>
    <row r="117" spans="1:13">
      <c r="A117" s="220"/>
      <c r="B117" s="220"/>
      <c r="C117" s="220"/>
      <c r="D117" s="220"/>
      <c r="E117" s="220"/>
      <c r="F117" s="220"/>
      <c r="G117" s="220"/>
      <c r="H117" s="220"/>
      <c r="I117" s="220"/>
      <c r="J117" s="220"/>
      <c r="K117" s="220"/>
      <c r="L117" s="220"/>
      <c r="M117" s="220"/>
    </row>
    <row r="118" spans="1:13">
      <c r="A118" s="220"/>
      <c r="B118" s="335" t="s">
        <v>589</v>
      </c>
      <c r="C118" s="335"/>
      <c r="D118" s="220">
        <v>1</v>
      </c>
      <c r="E118" s="220">
        <v>211.67</v>
      </c>
      <c r="F118" s="220"/>
      <c r="G118" s="220"/>
      <c r="H118" s="220"/>
      <c r="I118" s="220"/>
      <c r="J118" s="220"/>
      <c r="K118" s="220">
        <f>E118</f>
        <v>211.67</v>
      </c>
      <c r="L118" s="220">
        <f>K118*D118</f>
        <v>211.67</v>
      </c>
      <c r="M118" s="220"/>
    </row>
    <row r="119" spans="1:13">
      <c r="A119" s="220"/>
      <c r="B119" s="335" t="s">
        <v>590</v>
      </c>
      <c r="C119" s="335"/>
      <c r="D119" s="220">
        <v>1</v>
      </c>
      <c r="E119" s="220">
        <v>5</v>
      </c>
      <c r="F119" s="220"/>
      <c r="G119" s="220"/>
      <c r="H119" s="220">
        <v>11.4</v>
      </c>
      <c r="I119" s="220"/>
      <c r="J119" s="220"/>
      <c r="K119" s="220">
        <f t="shared" ref="K119" si="7">E119*H119</f>
        <v>57</v>
      </c>
      <c r="L119" s="220">
        <f t="shared" ref="L119:L122" si="8">K119*D119</f>
        <v>57</v>
      </c>
      <c r="M119" s="220"/>
    </row>
    <row r="120" spans="1:13">
      <c r="A120" s="220"/>
      <c r="B120" s="335" t="s">
        <v>591</v>
      </c>
      <c r="C120" s="335"/>
      <c r="D120" s="220">
        <v>1</v>
      </c>
      <c r="E120" s="220">
        <v>159.29</v>
      </c>
      <c r="F120" s="220"/>
      <c r="G120" s="220"/>
      <c r="H120" s="220"/>
      <c r="I120" s="220"/>
      <c r="J120" s="220"/>
      <c r="K120" s="220">
        <f>E120</f>
        <v>159.29</v>
      </c>
      <c r="L120" s="220">
        <f t="shared" si="8"/>
        <v>159.29</v>
      </c>
      <c r="M120" s="220"/>
    </row>
    <row r="121" spans="1:13">
      <c r="A121" s="220"/>
      <c r="B121" s="335" t="s">
        <v>591</v>
      </c>
      <c r="C121" s="335"/>
      <c r="D121" s="220">
        <v>1</v>
      </c>
      <c r="E121" s="220">
        <v>180.53</v>
      </c>
      <c r="F121" s="220"/>
      <c r="G121" s="220"/>
      <c r="H121" s="220"/>
      <c r="I121" s="220"/>
      <c r="J121" s="220"/>
      <c r="K121" s="220">
        <f>E121</f>
        <v>180.53</v>
      </c>
      <c r="L121" s="220">
        <f t="shared" si="8"/>
        <v>180.53</v>
      </c>
      <c r="M121" s="220"/>
    </row>
    <row r="122" spans="1:13">
      <c r="A122" s="220"/>
      <c r="B122" s="335" t="s">
        <v>592</v>
      </c>
      <c r="C122" s="335"/>
      <c r="D122" s="220">
        <v>1</v>
      </c>
      <c r="E122" s="220">
        <v>28.35</v>
      </c>
      <c r="F122" s="220"/>
      <c r="G122" s="220"/>
      <c r="H122" s="220"/>
      <c r="I122" s="220"/>
      <c r="J122" s="220"/>
      <c r="K122" s="220">
        <f>E122</f>
        <v>28.35</v>
      </c>
      <c r="L122" s="220">
        <f t="shared" si="8"/>
        <v>28.35</v>
      </c>
      <c r="M122" s="220"/>
    </row>
    <row r="123" spans="1:13">
      <c r="A123" s="220"/>
      <c r="B123" s="220"/>
      <c r="C123" s="220"/>
      <c r="D123" s="220"/>
      <c r="E123" s="220"/>
      <c r="F123" s="220"/>
      <c r="G123" s="220"/>
      <c r="H123" s="220"/>
      <c r="I123" s="220"/>
      <c r="J123" s="220"/>
      <c r="K123" s="220"/>
      <c r="L123" s="220"/>
      <c r="M123" s="220"/>
    </row>
    <row r="124" spans="1:13">
      <c r="A124" s="220"/>
      <c r="B124" s="220"/>
      <c r="C124" s="220"/>
      <c r="D124" s="220"/>
      <c r="E124" s="220"/>
      <c r="F124" s="220"/>
      <c r="G124" s="220"/>
      <c r="H124" s="220"/>
      <c r="I124" s="220"/>
      <c r="J124" s="220"/>
      <c r="K124" s="220"/>
      <c r="L124" s="220"/>
      <c r="M124" s="220"/>
    </row>
    <row r="125" spans="1:13">
      <c r="A125" s="220"/>
      <c r="B125" s="220"/>
      <c r="C125" s="220"/>
      <c r="D125" s="220"/>
      <c r="E125" s="220"/>
      <c r="F125" s="220"/>
      <c r="G125" s="220"/>
      <c r="H125" s="220"/>
      <c r="I125" s="220"/>
      <c r="J125" s="220"/>
      <c r="K125" s="220"/>
      <c r="L125" s="220"/>
      <c r="M125" s="220"/>
    </row>
    <row r="126" spans="1:13">
      <c r="A126" s="220" t="s">
        <v>593</v>
      </c>
      <c r="B126" s="337" t="str">
        <f>[1]REPROGRAMAÇÃO!C25</f>
        <v>INFRA ESTRUTURA E SUPERESTRUTURA</v>
      </c>
      <c r="C126" s="337"/>
      <c r="D126" s="337"/>
      <c r="E126" s="337"/>
      <c r="F126" s="337"/>
      <c r="G126" s="337"/>
      <c r="H126" s="337"/>
      <c r="I126" s="337"/>
      <c r="J126" s="337"/>
      <c r="K126" s="337"/>
      <c r="L126" s="220"/>
      <c r="M126" s="220"/>
    </row>
    <row r="127" spans="1:13">
      <c r="A127" s="220"/>
      <c r="B127" s="220"/>
      <c r="C127" s="220"/>
      <c r="D127" s="220"/>
      <c r="E127" s="220"/>
      <c r="F127" s="220"/>
      <c r="G127" s="220"/>
      <c r="H127" s="220"/>
      <c r="I127" s="220"/>
      <c r="J127" s="220"/>
      <c r="K127" s="220"/>
      <c r="L127" s="220"/>
      <c r="M127" s="220"/>
    </row>
    <row r="128" spans="1:13" ht="24" customHeight="1">
      <c r="A128" s="220" t="str">
        <f>[1]REPROGRAMAÇÃO!A30</f>
        <v>2.5</v>
      </c>
      <c r="B128" s="337" t="str">
        <f>[1]REPROGRAMAÇÃO!C30</f>
        <v>CONCRETO FCK = 30MPA, TRAÇO 1:2,1:2,5 (EM MASSA SECA DE CIMENTO/ AREIA MÉDIA/ BRITA 1) - PREPARO MECÂNICO COM BETONEIRA 600 L. AF_05/2021</v>
      </c>
      <c r="C128" s="337"/>
      <c r="D128" s="337"/>
      <c r="E128" s="337"/>
      <c r="F128" s="337"/>
      <c r="G128" s="337"/>
      <c r="H128" s="337"/>
      <c r="I128" s="337"/>
      <c r="J128" s="337"/>
      <c r="K128" s="337"/>
      <c r="L128" s="220">
        <f>SUM(L130:L144)</f>
        <v>11.023950000000005</v>
      </c>
      <c r="M128" s="220" t="s">
        <v>498</v>
      </c>
    </row>
    <row r="129" spans="1:13">
      <c r="A129" s="220"/>
      <c r="B129" s="220"/>
      <c r="C129" s="220"/>
      <c r="D129" s="220"/>
      <c r="E129" s="220"/>
      <c r="F129" s="220"/>
      <c r="G129" s="220"/>
      <c r="H129" s="220"/>
      <c r="I129" s="220"/>
      <c r="J129" s="220"/>
      <c r="K129" s="220"/>
      <c r="L129" s="220"/>
      <c r="M129" s="220"/>
    </row>
    <row r="130" spans="1:13">
      <c r="A130" s="220"/>
      <c r="B130" s="329" t="s">
        <v>594</v>
      </c>
      <c r="C130" s="330"/>
      <c r="D130" s="253">
        <v>2</v>
      </c>
      <c r="E130" s="220">
        <v>6.08</v>
      </c>
      <c r="F130" s="220"/>
      <c r="G130" s="220">
        <v>0.5</v>
      </c>
      <c r="H130" s="220"/>
      <c r="I130" s="220">
        <v>0.15</v>
      </c>
      <c r="J130" s="220"/>
      <c r="K130" s="220">
        <f>E130*G130*I130</f>
        <v>0.45599999999999996</v>
      </c>
      <c r="L130" s="220">
        <f>K130*D130</f>
        <v>0.91199999999999992</v>
      </c>
      <c r="M130" s="220"/>
    </row>
    <row r="131" spans="1:13" ht="21.6" customHeight="1">
      <c r="A131" s="220"/>
      <c r="B131" s="329" t="s">
        <v>595</v>
      </c>
      <c r="C131" s="330"/>
      <c r="D131" s="253">
        <v>2</v>
      </c>
      <c r="E131" s="220">
        <v>1.28</v>
      </c>
      <c r="F131" s="220"/>
      <c r="G131" s="220">
        <v>0.3</v>
      </c>
      <c r="H131" s="220"/>
      <c r="I131" s="220">
        <v>0.15</v>
      </c>
      <c r="J131" s="220"/>
      <c r="K131" s="220">
        <f t="shared" ref="K131:K144" si="9">E131*G131*I131</f>
        <v>5.7599999999999998E-2</v>
      </c>
      <c r="L131" s="220">
        <f t="shared" ref="L131:L144" si="10">K131*D131</f>
        <v>0.1152</v>
      </c>
      <c r="M131" s="220"/>
    </row>
    <row r="132" spans="1:13">
      <c r="A132" s="220"/>
      <c r="B132" s="329" t="s">
        <v>596</v>
      </c>
      <c r="C132" s="330"/>
      <c r="D132" s="253">
        <v>2</v>
      </c>
      <c r="E132" s="220">
        <v>19.23</v>
      </c>
      <c r="F132" s="220"/>
      <c r="G132" s="220">
        <v>0.5</v>
      </c>
      <c r="H132" s="220"/>
      <c r="I132" s="220">
        <v>0.15</v>
      </c>
      <c r="J132" s="220"/>
      <c r="K132" s="220">
        <f t="shared" si="9"/>
        <v>1.44225</v>
      </c>
      <c r="L132" s="220">
        <f t="shared" si="10"/>
        <v>2.8845000000000001</v>
      </c>
      <c r="M132" s="220"/>
    </row>
    <row r="133" spans="1:13">
      <c r="A133" s="220"/>
      <c r="B133" s="329" t="s">
        <v>597</v>
      </c>
      <c r="C133" s="330"/>
      <c r="D133" s="253">
        <v>2</v>
      </c>
      <c r="E133" s="220">
        <v>10.9</v>
      </c>
      <c r="F133" s="220"/>
      <c r="G133" s="220">
        <v>0.5</v>
      </c>
      <c r="H133" s="220"/>
      <c r="I133" s="220">
        <v>0.15</v>
      </c>
      <c r="J133" s="220"/>
      <c r="K133" s="220">
        <f t="shared" si="9"/>
        <v>0.8175</v>
      </c>
      <c r="L133" s="220">
        <f t="shared" si="10"/>
        <v>1.635</v>
      </c>
      <c r="M133" s="220"/>
    </row>
    <row r="134" spans="1:13">
      <c r="A134" s="220"/>
      <c r="B134" s="329" t="s">
        <v>598</v>
      </c>
      <c r="C134" s="330"/>
      <c r="D134" s="253">
        <v>2</v>
      </c>
      <c r="E134" s="220">
        <f>E153</f>
        <v>19.809999999999999</v>
      </c>
      <c r="F134" s="220"/>
      <c r="G134" s="220">
        <v>0.5</v>
      </c>
      <c r="H134" s="220"/>
      <c r="I134" s="220">
        <v>0.15</v>
      </c>
      <c r="J134" s="220"/>
      <c r="K134" s="220">
        <f t="shared" si="9"/>
        <v>1.4857499999999999</v>
      </c>
      <c r="L134" s="220">
        <f t="shared" si="10"/>
        <v>2.9714999999999998</v>
      </c>
      <c r="M134" s="220"/>
    </row>
    <row r="135" spans="1:13">
      <c r="A135" s="220"/>
      <c r="B135" s="329" t="s">
        <v>599</v>
      </c>
      <c r="C135" s="330"/>
      <c r="D135" s="253">
        <v>2</v>
      </c>
      <c r="E135" s="220">
        <v>1.48</v>
      </c>
      <c r="F135" s="220"/>
      <c r="G135" s="220">
        <v>0.3</v>
      </c>
      <c r="H135" s="220"/>
      <c r="I135" s="220">
        <v>0.15</v>
      </c>
      <c r="J135" s="220"/>
      <c r="K135" s="220">
        <f t="shared" si="9"/>
        <v>6.6599999999999993E-2</v>
      </c>
      <c r="L135" s="220">
        <f t="shared" si="10"/>
        <v>0.13319999999999999</v>
      </c>
      <c r="M135" s="220"/>
    </row>
    <row r="136" spans="1:13">
      <c r="A136" s="220"/>
      <c r="B136" s="329" t="s">
        <v>600</v>
      </c>
      <c r="C136" s="330"/>
      <c r="D136" s="253">
        <v>2</v>
      </c>
      <c r="E136" s="220">
        <v>1.48</v>
      </c>
      <c r="F136" s="220"/>
      <c r="G136" s="220">
        <v>0.3</v>
      </c>
      <c r="H136" s="220"/>
      <c r="I136" s="220">
        <v>0.15</v>
      </c>
      <c r="J136" s="220"/>
      <c r="K136" s="220">
        <f t="shared" si="9"/>
        <v>6.6599999999999993E-2</v>
      </c>
      <c r="L136" s="220">
        <f t="shared" si="10"/>
        <v>0.13319999999999999</v>
      </c>
      <c r="M136" s="220"/>
    </row>
    <row r="137" spans="1:13">
      <c r="A137" s="220"/>
      <c r="B137" s="329" t="s">
        <v>601</v>
      </c>
      <c r="C137" s="330"/>
      <c r="D137" s="253">
        <v>2</v>
      </c>
      <c r="E137" s="220">
        <v>1.58</v>
      </c>
      <c r="F137" s="220"/>
      <c r="G137" s="220">
        <v>0.4</v>
      </c>
      <c r="H137" s="220"/>
      <c r="I137" s="220">
        <v>0.15</v>
      </c>
      <c r="J137" s="220"/>
      <c r="K137" s="220">
        <f t="shared" si="9"/>
        <v>9.4800000000000009E-2</v>
      </c>
      <c r="L137" s="220">
        <f t="shared" si="10"/>
        <v>0.18960000000000002</v>
      </c>
      <c r="M137" s="220"/>
    </row>
    <row r="138" spans="1:13">
      <c r="A138" s="220"/>
      <c r="B138" s="329" t="s">
        <v>602</v>
      </c>
      <c r="C138" s="330"/>
      <c r="D138" s="253">
        <v>2</v>
      </c>
      <c r="E138" s="220">
        <v>1.58</v>
      </c>
      <c r="F138" s="220"/>
      <c r="G138" s="220">
        <v>0.3</v>
      </c>
      <c r="H138" s="220"/>
      <c r="I138" s="220">
        <v>0.15</v>
      </c>
      <c r="J138" s="220"/>
      <c r="K138" s="220">
        <f t="shared" si="9"/>
        <v>7.1099999999999997E-2</v>
      </c>
      <c r="L138" s="220">
        <f t="shared" si="10"/>
        <v>0.14219999999999999</v>
      </c>
      <c r="M138" s="220"/>
    </row>
    <row r="139" spans="1:13">
      <c r="A139" s="220"/>
      <c r="B139" s="329" t="s">
        <v>603</v>
      </c>
      <c r="C139" s="330"/>
      <c r="D139" s="253">
        <v>2</v>
      </c>
      <c r="E139" s="220">
        <v>1.58</v>
      </c>
      <c r="F139" s="220"/>
      <c r="G139" s="220">
        <v>0.3</v>
      </c>
      <c r="H139" s="220"/>
      <c r="I139" s="220">
        <v>0.15</v>
      </c>
      <c r="J139" s="220"/>
      <c r="K139" s="220">
        <f t="shared" si="9"/>
        <v>7.1099999999999997E-2</v>
      </c>
      <c r="L139" s="220">
        <f t="shared" si="10"/>
        <v>0.14219999999999999</v>
      </c>
      <c r="M139" s="220"/>
    </row>
    <row r="140" spans="1:13">
      <c r="A140" s="220"/>
      <c r="B140" s="329" t="s">
        <v>604</v>
      </c>
      <c r="C140" s="330"/>
      <c r="D140" s="253">
        <v>2</v>
      </c>
      <c r="E140" s="220">
        <v>1.58</v>
      </c>
      <c r="F140" s="220"/>
      <c r="G140" s="220">
        <v>0.3</v>
      </c>
      <c r="H140" s="220"/>
      <c r="I140" s="220">
        <v>0.15</v>
      </c>
      <c r="J140" s="220"/>
      <c r="K140" s="220">
        <f t="shared" si="9"/>
        <v>7.1099999999999997E-2</v>
      </c>
      <c r="L140" s="220">
        <f t="shared" si="10"/>
        <v>0.14219999999999999</v>
      </c>
      <c r="M140" s="220"/>
    </row>
    <row r="141" spans="1:13">
      <c r="A141" s="220"/>
      <c r="B141" s="229"/>
      <c r="C141" s="230"/>
      <c r="D141" s="220"/>
      <c r="E141" s="220"/>
      <c r="F141" s="220"/>
      <c r="G141" s="220"/>
      <c r="H141" s="220"/>
      <c r="I141" s="220"/>
      <c r="J141" s="220"/>
      <c r="K141" s="220"/>
      <c r="L141" s="220"/>
      <c r="M141" s="220"/>
    </row>
    <row r="142" spans="1:13">
      <c r="A142" s="220"/>
      <c r="B142" s="331" t="s">
        <v>451</v>
      </c>
      <c r="C142" s="331"/>
      <c r="D142" s="167"/>
      <c r="E142" s="167"/>
      <c r="F142" s="167"/>
      <c r="G142" s="167"/>
      <c r="H142" s="167"/>
      <c r="I142" s="167"/>
      <c r="J142" s="167"/>
      <c r="K142" s="220"/>
      <c r="L142" s="220"/>
      <c r="M142" s="220"/>
    </row>
    <row r="143" spans="1:13">
      <c r="A143" s="220"/>
      <c r="B143" s="332" t="s">
        <v>606</v>
      </c>
      <c r="C143" s="332"/>
      <c r="D143" s="231">
        <v>1</v>
      </c>
      <c r="E143" s="179">
        <f>(2*7.68)+(3*4.73)</f>
        <v>29.55</v>
      </c>
      <c r="F143" s="179"/>
      <c r="G143" s="220">
        <v>0.3</v>
      </c>
      <c r="H143" s="220"/>
      <c r="I143" s="220">
        <v>0.15</v>
      </c>
      <c r="J143" s="179"/>
      <c r="K143" s="220">
        <f t="shared" si="9"/>
        <v>1.32975</v>
      </c>
      <c r="L143" s="220">
        <f t="shared" si="10"/>
        <v>1.32975</v>
      </c>
      <c r="M143" s="220"/>
    </row>
    <row r="144" spans="1:13">
      <c r="A144" s="220"/>
      <c r="B144" s="332" t="s">
        <v>607</v>
      </c>
      <c r="C144" s="332"/>
      <c r="D144" s="179">
        <v>1</v>
      </c>
      <c r="E144" s="179">
        <v>6.52</v>
      </c>
      <c r="F144" s="179"/>
      <c r="G144" s="220">
        <v>0.3</v>
      </c>
      <c r="H144" s="220"/>
      <c r="I144" s="220">
        <v>0.15</v>
      </c>
      <c r="J144" s="179"/>
      <c r="K144" s="220">
        <f t="shared" si="9"/>
        <v>0.29339999999999994</v>
      </c>
      <c r="L144" s="220">
        <f t="shared" si="10"/>
        <v>0.29339999999999994</v>
      </c>
      <c r="M144" s="220"/>
    </row>
    <row r="145" spans="1:13">
      <c r="A145" s="220"/>
      <c r="B145" s="229"/>
      <c r="C145" s="230"/>
      <c r="D145" s="220"/>
      <c r="E145" s="220"/>
      <c r="F145" s="220"/>
      <c r="G145" s="220"/>
      <c r="H145" s="220"/>
      <c r="I145" s="220"/>
      <c r="J145" s="220"/>
      <c r="K145" s="220"/>
      <c r="L145" s="220"/>
      <c r="M145" s="220"/>
    </row>
    <row r="146" spans="1:13">
      <c r="A146" s="220"/>
      <c r="B146" s="229"/>
      <c r="C146" s="230"/>
      <c r="D146" s="220"/>
      <c r="E146" s="220"/>
      <c r="F146" s="220"/>
      <c r="G146" s="220"/>
      <c r="H146" s="220"/>
      <c r="I146" s="220"/>
      <c r="J146" s="220"/>
      <c r="K146" s="220"/>
      <c r="L146" s="220"/>
      <c r="M146" s="220"/>
    </row>
    <row r="147" spans="1:13" ht="51" customHeight="1">
      <c r="A147" s="220" t="str">
        <f>[1]REPROGRAMAÇÃO!A31</f>
        <v>2.6</v>
      </c>
      <c r="B147" s="337" t="str">
        <f>[1]REPROGRAMAÇÃO!C31</f>
        <v>LANÇAMENTO COM USO DE BALDES, ADENSAMENTO E ACABAMENTO DE CONCRETO EM ESTRUTURAS. AF_12/2015</v>
      </c>
      <c r="C147" s="337"/>
      <c r="D147" s="337"/>
      <c r="E147" s="337"/>
      <c r="F147" s="337"/>
      <c r="G147" s="337"/>
      <c r="H147" s="337"/>
      <c r="I147" s="337"/>
      <c r="J147" s="337"/>
      <c r="K147" s="337"/>
      <c r="L147" s="220">
        <f>SUM(L149:L162)</f>
        <v>11.023950000000005</v>
      </c>
      <c r="M147" s="220" t="s">
        <v>498</v>
      </c>
    </row>
    <row r="148" spans="1:13">
      <c r="A148" s="220"/>
      <c r="B148" s="229"/>
      <c r="C148" s="230"/>
      <c r="D148" s="220"/>
      <c r="E148" s="220"/>
      <c r="F148" s="220"/>
      <c r="G148" s="220"/>
      <c r="H148" s="220"/>
      <c r="I148" s="220"/>
      <c r="J148" s="220"/>
      <c r="K148" s="220"/>
      <c r="L148" s="220"/>
      <c r="M148" s="220"/>
    </row>
    <row r="149" spans="1:13">
      <c r="A149" s="220"/>
      <c r="B149" s="329" t="s">
        <v>594</v>
      </c>
      <c r="C149" s="330"/>
      <c r="D149" s="253">
        <v>2</v>
      </c>
      <c r="E149" s="220">
        <v>6.08</v>
      </c>
      <c r="F149" s="220"/>
      <c r="G149" s="220">
        <v>0.5</v>
      </c>
      <c r="H149" s="220"/>
      <c r="I149" s="220">
        <v>0.15</v>
      </c>
      <c r="J149" s="220"/>
      <c r="K149" s="220">
        <f>E149*G149*I149</f>
        <v>0.45599999999999996</v>
      </c>
      <c r="L149" s="220">
        <f>K149*D149</f>
        <v>0.91199999999999992</v>
      </c>
      <c r="M149" s="220"/>
    </row>
    <row r="150" spans="1:13">
      <c r="A150" s="220"/>
      <c r="B150" s="329" t="s">
        <v>595</v>
      </c>
      <c r="C150" s="330"/>
      <c r="D150" s="253">
        <v>2</v>
      </c>
      <c r="E150" s="220">
        <v>1.28</v>
      </c>
      <c r="F150" s="220"/>
      <c r="G150" s="220">
        <v>0.3</v>
      </c>
      <c r="H150" s="220"/>
      <c r="I150" s="220">
        <v>0.15</v>
      </c>
      <c r="J150" s="220"/>
      <c r="K150" s="220">
        <f t="shared" ref="K150:K159" si="11">E150*G150*I150</f>
        <v>5.7599999999999998E-2</v>
      </c>
      <c r="L150" s="220">
        <f t="shared" ref="L150:L159" si="12">K150*D150</f>
        <v>0.1152</v>
      </c>
      <c r="M150" s="220"/>
    </row>
    <row r="151" spans="1:13">
      <c r="A151" s="220"/>
      <c r="B151" s="329" t="s">
        <v>596</v>
      </c>
      <c r="C151" s="330"/>
      <c r="D151" s="253">
        <v>2</v>
      </c>
      <c r="E151" s="220">
        <v>19.23</v>
      </c>
      <c r="F151" s="220"/>
      <c r="G151" s="220">
        <v>0.5</v>
      </c>
      <c r="H151" s="220"/>
      <c r="I151" s="220">
        <v>0.15</v>
      </c>
      <c r="J151" s="220"/>
      <c r="K151" s="220">
        <f t="shared" si="11"/>
        <v>1.44225</v>
      </c>
      <c r="L151" s="220">
        <f t="shared" si="12"/>
        <v>2.8845000000000001</v>
      </c>
      <c r="M151" s="220"/>
    </row>
    <row r="152" spans="1:13">
      <c r="A152" s="220"/>
      <c r="B152" s="329" t="s">
        <v>597</v>
      </c>
      <c r="C152" s="330"/>
      <c r="D152" s="253">
        <v>2</v>
      </c>
      <c r="E152" s="220">
        <v>10.9</v>
      </c>
      <c r="F152" s="220"/>
      <c r="G152" s="220">
        <v>0.5</v>
      </c>
      <c r="H152" s="220"/>
      <c r="I152" s="220">
        <v>0.15</v>
      </c>
      <c r="J152" s="220"/>
      <c r="K152" s="220">
        <f t="shared" si="11"/>
        <v>0.8175</v>
      </c>
      <c r="L152" s="220">
        <f t="shared" si="12"/>
        <v>1.635</v>
      </c>
      <c r="M152" s="220"/>
    </row>
    <row r="153" spans="1:13">
      <c r="A153" s="220"/>
      <c r="B153" s="329" t="s">
        <v>598</v>
      </c>
      <c r="C153" s="330"/>
      <c r="D153" s="253">
        <v>2</v>
      </c>
      <c r="E153" s="220">
        <f>E170</f>
        <v>19.809999999999999</v>
      </c>
      <c r="F153" s="220"/>
      <c r="G153" s="220">
        <v>0.5</v>
      </c>
      <c r="H153" s="220"/>
      <c r="I153" s="220">
        <v>0.15</v>
      </c>
      <c r="J153" s="220"/>
      <c r="K153" s="220">
        <f t="shared" si="11"/>
        <v>1.4857499999999999</v>
      </c>
      <c r="L153" s="220">
        <f t="shared" si="12"/>
        <v>2.9714999999999998</v>
      </c>
      <c r="M153" s="220"/>
    </row>
    <row r="154" spans="1:13">
      <c r="A154" s="220"/>
      <c r="B154" s="329" t="s">
        <v>599</v>
      </c>
      <c r="C154" s="330"/>
      <c r="D154" s="253">
        <v>2</v>
      </c>
      <c r="E154" s="220">
        <v>1.48</v>
      </c>
      <c r="F154" s="220"/>
      <c r="G154" s="220">
        <v>0.3</v>
      </c>
      <c r="H154" s="220"/>
      <c r="I154" s="220">
        <v>0.15</v>
      </c>
      <c r="J154" s="220"/>
      <c r="K154" s="220">
        <f t="shared" si="11"/>
        <v>6.6599999999999993E-2</v>
      </c>
      <c r="L154" s="220">
        <f t="shared" si="12"/>
        <v>0.13319999999999999</v>
      </c>
      <c r="M154" s="220"/>
    </row>
    <row r="155" spans="1:13">
      <c r="A155" s="220"/>
      <c r="B155" s="329" t="s">
        <v>600</v>
      </c>
      <c r="C155" s="330"/>
      <c r="D155" s="253">
        <v>2</v>
      </c>
      <c r="E155" s="220">
        <v>1.48</v>
      </c>
      <c r="F155" s="220"/>
      <c r="G155" s="220">
        <v>0.3</v>
      </c>
      <c r="H155" s="220"/>
      <c r="I155" s="220">
        <v>0.15</v>
      </c>
      <c r="J155" s="220"/>
      <c r="K155" s="220">
        <f t="shared" si="11"/>
        <v>6.6599999999999993E-2</v>
      </c>
      <c r="L155" s="220">
        <f t="shared" si="12"/>
        <v>0.13319999999999999</v>
      </c>
      <c r="M155" s="220"/>
    </row>
    <row r="156" spans="1:13">
      <c r="A156" s="220"/>
      <c r="B156" s="329" t="s">
        <v>601</v>
      </c>
      <c r="C156" s="330"/>
      <c r="D156" s="253">
        <v>2</v>
      </c>
      <c r="E156" s="220">
        <v>1.58</v>
      </c>
      <c r="F156" s="220"/>
      <c r="G156" s="220">
        <v>0.4</v>
      </c>
      <c r="H156" s="220"/>
      <c r="I156" s="220">
        <v>0.15</v>
      </c>
      <c r="J156" s="220"/>
      <c r="K156" s="220">
        <f t="shared" si="11"/>
        <v>9.4800000000000009E-2</v>
      </c>
      <c r="L156" s="220">
        <f t="shared" si="12"/>
        <v>0.18960000000000002</v>
      </c>
      <c r="M156" s="220"/>
    </row>
    <row r="157" spans="1:13">
      <c r="A157" s="220"/>
      <c r="B157" s="329" t="s">
        <v>602</v>
      </c>
      <c r="C157" s="330"/>
      <c r="D157" s="253">
        <v>2</v>
      </c>
      <c r="E157" s="220">
        <v>1.58</v>
      </c>
      <c r="F157" s="220"/>
      <c r="G157" s="220">
        <v>0.3</v>
      </c>
      <c r="H157" s="220"/>
      <c r="I157" s="220">
        <v>0.15</v>
      </c>
      <c r="J157" s="220"/>
      <c r="K157" s="220">
        <f t="shared" si="11"/>
        <v>7.1099999999999997E-2</v>
      </c>
      <c r="L157" s="220">
        <f t="shared" si="12"/>
        <v>0.14219999999999999</v>
      </c>
      <c r="M157" s="220"/>
    </row>
    <row r="158" spans="1:13">
      <c r="A158" s="220"/>
      <c r="B158" s="329" t="s">
        <v>603</v>
      </c>
      <c r="C158" s="330"/>
      <c r="D158" s="253">
        <v>2</v>
      </c>
      <c r="E158" s="220">
        <v>1.58</v>
      </c>
      <c r="F158" s="220"/>
      <c r="G158" s="220">
        <v>0.3</v>
      </c>
      <c r="H158" s="220"/>
      <c r="I158" s="220">
        <v>0.15</v>
      </c>
      <c r="J158" s="220"/>
      <c r="K158" s="220">
        <f t="shared" si="11"/>
        <v>7.1099999999999997E-2</v>
      </c>
      <c r="L158" s="220">
        <f t="shared" si="12"/>
        <v>0.14219999999999999</v>
      </c>
      <c r="M158" s="220"/>
    </row>
    <row r="159" spans="1:13">
      <c r="A159" s="220"/>
      <c r="B159" s="329" t="s">
        <v>604</v>
      </c>
      <c r="C159" s="330"/>
      <c r="D159" s="253">
        <v>2</v>
      </c>
      <c r="E159" s="220">
        <v>1.58</v>
      </c>
      <c r="F159" s="220"/>
      <c r="G159" s="220">
        <v>0.3</v>
      </c>
      <c r="H159" s="220"/>
      <c r="I159" s="220">
        <v>0.15</v>
      </c>
      <c r="J159" s="220"/>
      <c r="K159" s="220">
        <f t="shared" si="11"/>
        <v>7.1099999999999997E-2</v>
      </c>
      <c r="L159" s="220">
        <f t="shared" si="12"/>
        <v>0.14219999999999999</v>
      </c>
      <c r="M159" s="220"/>
    </row>
    <row r="160" spans="1:13">
      <c r="A160" s="220"/>
      <c r="B160" s="331" t="s">
        <v>451</v>
      </c>
      <c r="C160" s="331"/>
      <c r="D160" s="167"/>
      <c r="E160" s="167"/>
      <c r="F160" s="167"/>
      <c r="G160" s="167"/>
      <c r="H160" s="167"/>
      <c r="I160" s="167"/>
      <c r="J160" s="167"/>
      <c r="K160" s="220"/>
      <c r="L160" s="220"/>
      <c r="M160" s="220"/>
    </row>
    <row r="161" spans="1:14">
      <c r="A161" s="220"/>
      <c r="B161" s="332" t="s">
        <v>606</v>
      </c>
      <c r="C161" s="332"/>
      <c r="D161" s="231">
        <v>1</v>
      </c>
      <c r="E161" s="179">
        <f>(2*7.68)+(3*4.73)</f>
        <v>29.55</v>
      </c>
      <c r="F161" s="179"/>
      <c r="G161" s="220">
        <v>0.3</v>
      </c>
      <c r="H161" s="220"/>
      <c r="I161" s="220">
        <v>0.15</v>
      </c>
      <c r="J161" s="179"/>
      <c r="K161" s="220">
        <f t="shared" ref="K161:K162" si="13">E161*G161*I161</f>
        <v>1.32975</v>
      </c>
      <c r="L161" s="220">
        <f t="shared" ref="L161:L162" si="14">K161*D161</f>
        <v>1.32975</v>
      </c>
      <c r="M161" s="220"/>
    </row>
    <row r="162" spans="1:14">
      <c r="A162" s="220"/>
      <c r="B162" s="332" t="s">
        <v>607</v>
      </c>
      <c r="C162" s="332"/>
      <c r="D162" s="179">
        <v>1</v>
      </c>
      <c r="E162" s="179">
        <v>6.52</v>
      </c>
      <c r="F162" s="179"/>
      <c r="G162" s="220">
        <v>0.3</v>
      </c>
      <c r="H162" s="220"/>
      <c r="I162" s="220">
        <v>0.15</v>
      </c>
      <c r="J162" s="179"/>
      <c r="K162" s="220">
        <f t="shared" si="13"/>
        <v>0.29339999999999994</v>
      </c>
      <c r="L162" s="220">
        <f t="shared" si="14"/>
        <v>0.29339999999999994</v>
      </c>
      <c r="M162" s="220"/>
    </row>
    <row r="163" spans="1:14">
      <c r="A163" s="220"/>
      <c r="B163" s="229"/>
      <c r="C163" s="230"/>
      <c r="D163" s="220"/>
      <c r="E163" s="220"/>
      <c r="F163" s="220"/>
      <c r="G163" s="220"/>
      <c r="H163" s="220"/>
      <c r="I163" s="220"/>
      <c r="J163" s="220"/>
      <c r="K163" s="220"/>
      <c r="L163" s="220"/>
      <c r="M163" s="220"/>
    </row>
    <row r="164" spans="1:14">
      <c r="A164" s="220" t="s">
        <v>28</v>
      </c>
      <c r="B164" s="337" t="str">
        <f>BM_06!B37</f>
        <v>Forma plana para estruturas, em compensado plastificado de 12mm, 07 usos.</v>
      </c>
      <c r="C164" s="337"/>
      <c r="D164" s="337"/>
      <c r="E164" s="337"/>
      <c r="F164" s="337"/>
      <c r="G164" s="337"/>
      <c r="H164" s="337"/>
      <c r="I164" s="337"/>
      <c r="J164" s="337"/>
      <c r="K164" s="337"/>
      <c r="L164" s="220">
        <f>SUM(L166:L180)</f>
        <v>172.37049999999999</v>
      </c>
      <c r="M164" s="220" t="s">
        <v>516</v>
      </c>
    </row>
    <row r="165" spans="1:14">
      <c r="A165" s="220"/>
      <c r="B165" s="229"/>
      <c r="C165" s="230"/>
      <c r="D165" s="220"/>
      <c r="E165" s="220"/>
      <c r="F165" s="220"/>
      <c r="G165" s="220"/>
      <c r="H165" s="220"/>
      <c r="I165" s="220"/>
      <c r="J165" s="220"/>
      <c r="K165" s="220"/>
      <c r="L165" s="220"/>
      <c r="M165" s="220"/>
    </row>
    <row r="166" spans="1:14" ht="15.75" thickBot="1">
      <c r="A166" s="220"/>
      <c r="B166" s="329" t="s">
        <v>594</v>
      </c>
      <c r="C166" s="330"/>
      <c r="D166" s="220">
        <v>2</v>
      </c>
      <c r="E166" s="220">
        <v>6.08</v>
      </c>
      <c r="F166" s="220"/>
      <c r="G166" s="220">
        <f>0.5+0.5+0.15</f>
        <v>1.1499999999999999</v>
      </c>
      <c r="H166" s="220"/>
      <c r="I166" s="220"/>
      <c r="J166" s="220"/>
      <c r="K166" s="220">
        <f>E166*G166</f>
        <v>6.9919999999999991</v>
      </c>
      <c r="L166" s="220">
        <f>K166*D166</f>
        <v>13.983999999999998</v>
      </c>
      <c r="M166" s="220"/>
    </row>
    <row r="167" spans="1:14">
      <c r="A167" s="220"/>
      <c r="B167" s="329" t="s">
        <v>595</v>
      </c>
      <c r="C167" s="330"/>
      <c r="D167" s="220">
        <v>2</v>
      </c>
      <c r="E167" s="220">
        <v>1.28</v>
      </c>
      <c r="F167" s="220"/>
      <c r="G167" s="220">
        <f>0.3+0.3+0.15</f>
        <v>0.75</v>
      </c>
      <c r="H167" s="220"/>
      <c r="I167" s="220"/>
      <c r="J167" s="220"/>
      <c r="K167" s="220">
        <f t="shared" ref="K167:K176" si="15">E167*G167</f>
        <v>0.96</v>
      </c>
      <c r="L167" s="220">
        <f t="shared" ref="L167:L176" si="16">K167*D167</f>
        <v>1.92</v>
      </c>
      <c r="M167" s="229"/>
      <c r="N167" s="395" t="s">
        <v>636</v>
      </c>
    </row>
    <row r="168" spans="1:14">
      <c r="A168" s="220"/>
      <c r="B168" s="329" t="s">
        <v>596</v>
      </c>
      <c r="C168" s="330"/>
      <c r="D168" s="220">
        <v>2</v>
      </c>
      <c r="E168" s="220">
        <v>19.23</v>
      </c>
      <c r="F168" s="220"/>
      <c r="G168" s="220">
        <f>0.5+0.5+0.15</f>
        <v>1.1499999999999999</v>
      </c>
      <c r="H168" s="220"/>
      <c r="I168" s="220"/>
      <c r="J168" s="220"/>
      <c r="K168" s="220">
        <f t="shared" si="15"/>
        <v>22.1145</v>
      </c>
      <c r="L168" s="220">
        <f t="shared" si="16"/>
        <v>44.228999999999999</v>
      </c>
      <c r="M168" s="229"/>
      <c r="N168" s="396"/>
    </row>
    <row r="169" spans="1:14">
      <c r="A169" s="220"/>
      <c r="B169" s="329" t="s">
        <v>597</v>
      </c>
      <c r="C169" s="330"/>
      <c r="D169" s="220">
        <v>2</v>
      </c>
      <c r="E169" s="220">
        <v>10.9</v>
      </c>
      <c r="F169" s="220"/>
      <c r="G169" s="220">
        <f>0.5+0.5+0.15</f>
        <v>1.1499999999999999</v>
      </c>
      <c r="H169" s="220"/>
      <c r="I169" s="220"/>
      <c r="J169" s="220"/>
      <c r="K169" s="220">
        <f t="shared" si="15"/>
        <v>12.535</v>
      </c>
      <c r="L169" s="220">
        <f t="shared" si="16"/>
        <v>25.07</v>
      </c>
      <c r="M169" s="229"/>
      <c r="N169" s="396"/>
    </row>
    <row r="170" spans="1:14">
      <c r="A170" s="220"/>
      <c r="B170" s="329" t="s">
        <v>598</v>
      </c>
      <c r="C170" s="330"/>
      <c r="D170" s="220">
        <v>2</v>
      </c>
      <c r="E170" s="220">
        <f>39.11-12.5-6.8</f>
        <v>19.809999999999999</v>
      </c>
      <c r="F170" s="220"/>
      <c r="G170" s="220">
        <f>0.5+0.5+0.15</f>
        <v>1.1499999999999999</v>
      </c>
      <c r="H170" s="220"/>
      <c r="I170" s="220"/>
      <c r="J170" s="220"/>
      <c r="K170" s="220">
        <f t="shared" si="15"/>
        <v>22.781499999999998</v>
      </c>
      <c r="L170" s="220">
        <f t="shared" si="16"/>
        <v>45.562999999999995</v>
      </c>
      <c r="M170" s="229"/>
      <c r="N170" s="396"/>
    </row>
    <row r="171" spans="1:14" ht="15.75" thickBot="1">
      <c r="A171" s="220"/>
      <c r="B171" s="329" t="s">
        <v>599</v>
      </c>
      <c r="C171" s="330"/>
      <c r="D171" s="220">
        <v>2</v>
      </c>
      <c r="E171" s="220">
        <v>1.48</v>
      </c>
      <c r="F171" s="220"/>
      <c r="G171" s="220">
        <f>0.3+0.3+0.15</f>
        <v>0.75</v>
      </c>
      <c r="H171" s="220"/>
      <c r="I171" s="220"/>
      <c r="J171" s="220"/>
      <c r="K171" s="220">
        <f t="shared" si="15"/>
        <v>1.1099999999999999</v>
      </c>
      <c r="L171" s="220">
        <f t="shared" si="16"/>
        <v>2.2199999999999998</v>
      </c>
      <c r="M171" s="229"/>
      <c r="N171" s="397"/>
    </row>
    <row r="172" spans="1:14">
      <c r="A172" s="220"/>
      <c r="B172" s="329" t="s">
        <v>600</v>
      </c>
      <c r="C172" s="330"/>
      <c r="D172" s="220">
        <v>2</v>
      </c>
      <c r="E172" s="220">
        <v>1.48</v>
      </c>
      <c r="F172" s="220"/>
      <c r="G172" s="220">
        <f>0.3+0.3+0.15</f>
        <v>0.75</v>
      </c>
      <c r="H172" s="220"/>
      <c r="I172" s="220"/>
      <c r="J172" s="220"/>
      <c r="K172" s="220">
        <f t="shared" si="15"/>
        <v>1.1099999999999999</v>
      </c>
      <c r="L172" s="220">
        <f t="shared" si="16"/>
        <v>2.2199999999999998</v>
      </c>
      <c r="M172" s="220"/>
      <c r="N172" s="232"/>
    </row>
    <row r="173" spans="1:14">
      <c r="A173" s="220"/>
      <c r="B173" s="329" t="s">
        <v>601</v>
      </c>
      <c r="C173" s="330"/>
      <c r="D173" s="220">
        <v>2</v>
      </c>
      <c r="E173" s="220">
        <v>1.58</v>
      </c>
      <c r="F173" s="220"/>
      <c r="G173" s="220">
        <f>0.4+0.4+0.15</f>
        <v>0.95000000000000007</v>
      </c>
      <c r="H173" s="220"/>
      <c r="I173" s="220"/>
      <c r="J173" s="220"/>
      <c r="K173" s="220">
        <f t="shared" si="15"/>
        <v>1.5010000000000001</v>
      </c>
      <c r="L173" s="220">
        <f t="shared" si="16"/>
        <v>3.0020000000000002</v>
      </c>
      <c r="M173" s="220"/>
      <c r="N173" s="232"/>
    </row>
    <row r="174" spans="1:14">
      <c r="A174" s="220"/>
      <c r="B174" s="329" t="s">
        <v>602</v>
      </c>
      <c r="C174" s="330"/>
      <c r="D174" s="220">
        <v>2</v>
      </c>
      <c r="E174" s="220">
        <v>1.58</v>
      </c>
      <c r="F174" s="220"/>
      <c r="G174" s="220">
        <f>0.3+0.3+0.15</f>
        <v>0.75</v>
      </c>
      <c r="H174" s="220"/>
      <c r="I174" s="220"/>
      <c r="J174" s="220"/>
      <c r="K174" s="220">
        <f t="shared" si="15"/>
        <v>1.1850000000000001</v>
      </c>
      <c r="L174" s="220">
        <f t="shared" si="16"/>
        <v>2.37</v>
      </c>
      <c r="M174" s="220"/>
      <c r="N174" s="232"/>
    </row>
    <row r="175" spans="1:14">
      <c r="A175" s="220"/>
      <c r="B175" s="329" t="s">
        <v>603</v>
      </c>
      <c r="C175" s="330"/>
      <c r="D175" s="220">
        <v>2</v>
      </c>
      <c r="E175" s="220">
        <v>1.58</v>
      </c>
      <c r="F175" s="220"/>
      <c r="G175" s="220">
        <f>0.3+0.3+0.15</f>
        <v>0.75</v>
      </c>
      <c r="H175" s="220"/>
      <c r="I175" s="220"/>
      <c r="J175" s="220"/>
      <c r="K175" s="220">
        <f t="shared" si="15"/>
        <v>1.1850000000000001</v>
      </c>
      <c r="L175" s="220">
        <f t="shared" si="16"/>
        <v>2.37</v>
      </c>
      <c r="M175" s="220"/>
      <c r="N175" s="232"/>
    </row>
    <row r="176" spans="1:14">
      <c r="A176" s="220"/>
      <c r="B176" s="329" t="s">
        <v>604</v>
      </c>
      <c r="C176" s="330"/>
      <c r="D176" s="220">
        <v>2</v>
      </c>
      <c r="E176" s="220">
        <v>1.58</v>
      </c>
      <c r="F176" s="220"/>
      <c r="G176" s="220">
        <f>0.3+0.3+0.15</f>
        <v>0.75</v>
      </c>
      <c r="H176" s="220"/>
      <c r="I176" s="220"/>
      <c r="J176" s="220"/>
      <c r="K176" s="220">
        <f t="shared" si="15"/>
        <v>1.1850000000000001</v>
      </c>
      <c r="L176" s="220">
        <f t="shared" si="16"/>
        <v>2.37</v>
      </c>
      <c r="M176" s="220"/>
      <c r="N176" s="232"/>
    </row>
    <row r="177" spans="1:14" ht="15.75" thickBot="1">
      <c r="A177" s="220"/>
      <c r="B177" s="229"/>
      <c r="C177" s="230"/>
      <c r="D177" s="220"/>
      <c r="E177" s="220"/>
      <c r="F177" s="220"/>
      <c r="G177" s="220"/>
      <c r="H177" s="220"/>
      <c r="I177" s="220"/>
      <c r="J177" s="220"/>
      <c r="K177" s="220"/>
      <c r="L177" s="220"/>
      <c r="M177" s="220"/>
      <c r="N177" s="232"/>
    </row>
    <row r="178" spans="1:14">
      <c r="A178" s="220"/>
      <c r="B178" s="331" t="s">
        <v>451</v>
      </c>
      <c r="C178" s="331"/>
      <c r="D178" s="167"/>
      <c r="E178" s="167"/>
      <c r="F178" s="167"/>
      <c r="G178" s="167"/>
      <c r="H178" s="167"/>
      <c r="I178" s="167"/>
      <c r="J178" s="167"/>
      <c r="K178" s="167"/>
      <c r="L178" s="167"/>
      <c r="M178" s="220"/>
      <c r="N178" s="395" t="str">
        <f>N167</f>
        <v>obs: todas as vigas sem apoios em parede</v>
      </c>
    </row>
    <row r="179" spans="1:14">
      <c r="A179" s="220"/>
      <c r="B179" s="332" t="s">
        <v>606</v>
      </c>
      <c r="C179" s="332"/>
      <c r="D179" s="231">
        <v>1</v>
      </c>
      <c r="E179" s="179">
        <f>(2*7.68)+(3*4.73)</f>
        <v>29.55</v>
      </c>
      <c r="F179" s="179"/>
      <c r="G179" s="179">
        <f>0.3+0.3+0.15</f>
        <v>0.75</v>
      </c>
      <c r="H179" s="179"/>
      <c r="I179" s="179"/>
      <c r="J179" s="179"/>
      <c r="K179" s="179">
        <f>E179*G179</f>
        <v>22.162500000000001</v>
      </c>
      <c r="L179" s="179">
        <f>K179*1</f>
        <v>22.162500000000001</v>
      </c>
      <c r="M179" s="220"/>
      <c r="N179" s="396"/>
    </row>
    <row r="180" spans="1:14">
      <c r="A180" s="220"/>
      <c r="B180" s="332" t="s">
        <v>607</v>
      </c>
      <c r="C180" s="332"/>
      <c r="D180" s="179">
        <v>1</v>
      </c>
      <c r="E180" s="179">
        <v>6.52</v>
      </c>
      <c r="F180" s="179"/>
      <c r="G180" s="179">
        <f>0.3+0.3+0.15</f>
        <v>0.75</v>
      </c>
      <c r="H180" s="179"/>
      <c r="I180" s="179"/>
      <c r="J180" s="179"/>
      <c r="K180" s="179">
        <f>E180*G180</f>
        <v>4.8899999999999997</v>
      </c>
      <c r="L180" s="179">
        <f t="shared" ref="L180" si="17">K180*1</f>
        <v>4.8899999999999997</v>
      </c>
      <c r="M180" s="220"/>
      <c r="N180" s="396"/>
    </row>
    <row r="181" spans="1:14">
      <c r="A181" s="220"/>
      <c r="B181" s="229"/>
      <c r="C181" s="230"/>
      <c r="D181" s="220"/>
      <c r="E181" s="220"/>
      <c r="F181" s="220"/>
      <c r="G181" s="220"/>
      <c r="H181" s="220"/>
      <c r="I181" s="220"/>
      <c r="J181" s="220"/>
      <c r="K181" s="220"/>
      <c r="L181" s="220"/>
      <c r="M181" s="220"/>
      <c r="N181" s="396"/>
    </row>
    <row r="182" spans="1:14" ht="15.75" thickBot="1">
      <c r="A182" s="220"/>
      <c r="B182" s="220"/>
      <c r="C182" s="220"/>
      <c r="D182" s="220"/>
      <c r="E182" s="220"/>
      <c r="F182" s="220"/>
      <c r="G182" s="220"/>
      <c r="H182" s="220"/>
      <c r="I182" s="220"/>
      <c r="J182" s="220"/>
      <c r="K182" s="220"/>
      <c r="L182" s="220"/>
      <c r="M182" s="220"/>
      <c r="N182" s="397"/>
    </row>
    <row r="183" spans="1:14" ht="23.45" customHeight="1">
      <c r="A183" s="220" t="str">
        <f>[1]REPROGRAMAÇÃO!A34</f>
        <v>2.9</v>
      </c>
      <c r="B183" s="348" t="str">
        <f>[1]REPROGRAMAÇÃO!C34</f>
        <v>ARMAÇÃO DE PILAR OU VIGA DE UMA ESTRUTURA CONVENCIONAL DE CONCRETO ARMADO EM UM EDIFÍCIO DE MÚLTIPLOS PAVIMENTOS UTILIZANDO AÇO CA-50 DE 12,5 MM - MONTAGEM. AF_12/2015</v>
      </c>
      <c r="C183" s="348"/>
      <c r="D183" s="348"/>
      <c r="E183" s="348"/>
      <c r="F183" s="348"/>
      <c r="G183" s="348"/>
      <c r="H183" s="348"/>
      <c r="I183" s="348"/>
      <c r="J183" s="348"/>
      <c r="K183" s="348"/>
      <c r="L183" s="220">
        <f>SUM(L185:L191)</f>
        <v>95.08799999999998</v>
      </c>
      <c r="M183" s="220" t="s">
        <v>605</v>
      </c>
    </row>
    <row r="184" spans="1:14">
      <c r="A184" s="220"/>
      <c r="B184" s="220"/>
      <c r="C184" s="220"/>
      <c r="D184" s="220"/>
      <c r="E184" s="220"/>
      <c r="F184" s="220"/>
      <c r="G184" s="220"/>
      <c r="H184" s="220"/>
      <c r="I184" s="220"/>
      <c r="J184" s="220"/>
      <c r="K184" s="220"/>
      <c r="L184" s="220"/>
      <c r="M184" s="220"/>
    </row>
    <row r="185" spans="1:14">
      <c r="A185" s="220"/>
      <c r="B185" s="329" t="s">
        <v>597</v>
      </c>
      <c r="C185" s="330"/>
      <c r="D185" s="220">
        <v>2</v>
      </c>
      <c r="E185" s="220">
        <f>2*4.2</f>
        <v>8.4</v>
      </c>
      <c r="F185" s="220"/>
      <c r="G185" s="220"/>
      <c r="H185" s="220"/>
      <c r="I185" s="220"/>
      <c r="J185" s="220"/>
      <c r="K185" s="220">
        <f>D185*E185</f>
        <v>16.8</v>
      </c>
      <c r="L185" s="220">
        <f>K185*0.96</f>
        <v>16.128</v>
      </c>
      <c r="M185" s="220"/>
      <c r="N185" s="70">
        <f>11.56/12</f>
        <v>0.96333333333333337</v>
      </c>
    </row>
    <row r="186" spans="1:14">
      <c r="A186" s="220"/>
      <c r="B186" s="329" t="s">
        <v>601</v>
      </c>
      <c r="C186" s="330"/>
      <c r="D186" s="220">
        <v>2</v>
      </c>
      <c r="E186" s="220">
        <f>3*2.28+1.79</f>
        <v>8.629999999999999</v>
      </c>
      <c r="F186" s="220"/>
      <c r="G186" s="220"/>
      <c r="H186" s="220"/>
      <c r="I186" s="220"/>
      <c r="J186" s="220"/>
      <c r="K186" s="220">
        <f t="shared" ref="K186:K187" si="18">D186*E186</f>
        <v>17.259999999999998</v>
      </c>
      <c r="L186" s="220">
        <f>K186*0.96</f>
        <v>16.569599999999998</v>
      </c>
      <c r="M186" s="220"/>
    </row>
    <row r="187" spans="1:14">
      <c r="A187" s="220"/>
      <c r="B187" s="329" t="s">
        <v>602</v>
      </c>
      <c r="C187" s="330"/>
      <c r="D187" s="220">
        <v>2</v>
      </c>
      <c r="E187" s="220">
        <f>2*1.92</f>
        <v>3.84</v>
      </c>
      <c r="F187" s="220"/>
      <c r="G187" s="220"/>
      <c r="H187" s="220"/>
      <c r="I187" s="220"/>
      <c r="J187" s="220"/>
      <c r="K187" s="220">
        <f t="shared" si="18"/>
        <v>7.68</v>
      </c>
      <c r="L187" s="220">
        <f>K187*0.96</f>
        <v>7.3727999999999998</v>
      </c>
      <c r="M187" s="220"/>
    </row>
    <row r="188" spans="1:14">
      <c r="A188" s="220"/>
      <c r="B188" s="331" t="s">
        <v>451</v>
      </c>
      <c r="C188" s="331"/>
      <c r="D188" s="167"/>
      <c r="E188" s="167"/>
      <c r="F188" s="167"/>
      <c r="G188" s="167"/>
      <c r="H188" s="167"/>
      <c r="I188" s="167"/>
      <c r="J188" s="167"/>
      <c r="K188" s="167"/>
      <c r="L188" s="167"/>
      <c r="M188" s="220"/>
    </row>
    <row r="189" spans="1:14">
      <c r="A189" s="220"/>
      <c r="B189" s="167"/>
      <c r="C189" s="167"/>
      <c r="D189" s="167"/>
      <c r="E189" s="167"/>
      <c r="F189" s="179" t="s">
        <v>634</v>
      </c>
      <c r="G189" s="167"/>
      <c r="H189" s="167"/>
      <c r="I189" s="167"/>
      <c r="J189" s="167"/>
      <c r="K189" s="167"/>
      <c r="L189" s="167"/>
      <c r="M189" s="220"/>
    </row>
    <row r="190" spans="1:14">
      <c r="A190" s="220"/>
      <c r="B190" s="332" t="s">
        <v>606</v>
      </c>
      <c r="C190" s="332"/>
      <c r="D190" s="231">
        <v>1</v>
      </c>
      <c r="E190" s="179">
        <f>(2*7.68)+(3*4.73)</f>
        <v>29.55</v>
      </c>
      <c r="F190" s="179"/>
      <c r="G190" s="179"/>
      <c r="H190" s="179"/>
      <c r="I190" s="179"/>
      <c r="J190" s="179"/>
      <c r="K190" s="179">
        <f>E190</f>
        <v>29.55</v>
      </c>
      <c r="L190" s="179">
        <f>K190*0.96</f>
        <v>28.367999999999999</v>
      </c>
      <c r="M190" s="220"/>
    </row>
    <row r="191" spans="1:14">
      <c r="A191" s="220"/>
      <c r="B191" s="332" t="s">
        <v>607</v>
      </c>
      <c r="C191" s="332"/>
      <c r="D191" s="179">
        <v>1</v>
      </c>
      <c r="E191" s="179">
        <v>6.52</v>
      </c>
      <c r="F191" s="179">
        <f>4*3.68</f>
        <v>14.72</v>
      </c>
      <c r="G191" s="179">
        <v>2</v>
      </c>
      <c r="H191" s="179"/>
      <c r="I191" s="179"/>
      <c r="J191" s="179"/>
      <c r="K191" s="179">
        <f>(E191*G191)+F191</f>
        <v>27.759999999999998</v>
      </c>
      <c r="L191" s="179">
        <f>K191*0.96</f>
        <v>26.649599999999996</v>
      </c>
      <c r="M191" s="220"/>
    </row>
    <row r="192" spans="1:14">
      <c r="A192" s="220"/>
      <c r="B192" s="220"/>
      <c r="C192" s="220"/>
      <c r="D192" s="220"/>
      <c r="E192" s="220"/>
      <c r="F192" s="220"/>
      <c r="G192" s="220"/>
      <c r="H192" s="220"/>
      <c r="I192" s="220"/>
      <c r="J192" s="220"/>
      <c r="K192" s="220"/>
      <c r="L192" s="220"/>
      <c r="M192" s="220"/>
    </row>
    <row r="193" spans="1:13" ht="24" customHeight="1">
      <c r="A193" s="220" t="str">
        <f>[1]REPROGRAMAÇÃO!A35</f>
        <v>2.10</v>
      </c>
      <c r="B193" s="348" t="str">
        <f>[1]REPROGRAMAÇÃO!C35</f>
        <v>ARMAÇÃO DE PILAR OU VIGA DE UMA ESTRUTURA CONVENCIONAL DE CONCRETO ARMADO EM UM EDIFÍCIO DE MÚLTIPLOS PAVIMENTOS UTILIZANDO AÇO CA-50 DE 10,0 MM - MONTAGEM. AF_12/2015</v>
      </c>
      <c r="C193" s="348"/>
      <c r="D193" s="348"/>
      <c r="E193" s="348"/>
      <c r="F193" s="348"/>
      <c r="G193" s="348"/>
      <c r="H193" s="348"/>
      <c r="I193" s="348"/>
      <c r="J193" s="348"/>
      <c r="K193" s="348"/>
      <c r="L193" s="220">
        <f>SUM(L195:L205)</f>
        <v>446.57226000000009</v>
      </c>
      <c r="M193" s="220" t="s">
        <v>605</v>
      </c>
    </row>
    <row r="194" spans="1:13">
      <c r="A194" s="220"/>
      <c r="B194" s="220"/>
      <c r="C194" s="220"/>
      <c r="D194" s="220"/>
      <c r="E194" s="220"/>
      <c r="F194" s="220"/>
      <c r="G194" s="220"/>
      <c r="H194" s="220"/>
      <c r="I194" s="220"/>
      <c r="J194" s="220"/>
      <c r="K194" s="220"/>
      <c r="L194" s="220"/>
      <c r="M194" s="220"/>
    </row>
    <row r="195" spans="1:13">
      <c r="A195" s="220"/>
      <c r="B195" s="329" t="s">
        <v>594</v>
      </c>
      <c r="C195" s="330"/>
      <c r="D195" s="220">
        <v>2</v>
      </c>
      <c r="E195" s="220">
        <f>2*7.2+2*6.62</f>
        <v>27.64</v>
      </c>
      <c r="F195" s="220"/>
      <c r="G195" s="220"/>
      <c r="H195" s="220"/>
      <c r="I195" s="220"/>
      <c r="J195" s="220"/>
      <c r="K195" s="220">
        <f>E195*D195</f>
        <v>55.28</v>
      </c>
      <c r="L195" s="220">
        <f>K195*0.617</f>
        <v>34.107759999999999</v>
      </c>
      <c r="M195" s="220"/>
    </row>
    <row r="196" spans="1:13">
      <c r="A196" s="220"/>
      <c r="B196" s="329" t="s">
        <v>595</v>
      </c>
      <c r="C196" s="330"/>
      <c r="D196" s="220">
        <v>2</v>
      </c>
      <c r="E196" s="220">
        <f>2*2.31+2.1</f>
        <v>6.7200000000000006</v>
      </c>
      <c r="F196" s="220"/>
      <c r="G196" s="220"/>
      <c r="H196" s="220"/>
      <c r="I196" s="220"/>
      <c r="J196" s="220"/>
      <c r="K196" s="220">
        <f t="shared" ref="K196:K205" si="19">E196*D196</f>
        <v>13.440000000000001</v>
      </c>
      <c r="L196" s="220">
        <f t="shared" ref="L196:L205" si="20">K196*0.617</f>
        <v>8.2924800000000012</v>
      </c>
      <c r="M196" s="220"/>
    </row>
    <row r="197" spans="1:13">
      <c r="A197" s="220"/>
      <c r="B197" s="329" t="s">
        <v>596</v>
      </c>
      <c r="C197" s="330"/>
      <c r="D197" s="220">
        <v>2</v>
      </c>
      <c r="E197" s="220">
        <f>2*11.98+2*9.04+3.7+2*7.14+2*5.75+2*7.23+1.85+1.41</f>
        <v>89.240000000000009</v>
      </c>
      <c r="F197" s="220"/>
      <c r="G197" s="220"/>
      <c r="H197" s="220"/>
      <c r="I197" s="220"/>
      <c r="J197" s="220"/>
      <c r="K197" s="220">
        <f t="shared" si="19"/>
        <v>178.48000000000002</v>
      </c>
      <c r="L197" s="220">
        <f t="shared" si="20"/>
        <v>110.12216000000001</v>
      </c>
      <c r="M197" s="220"/>
    </row>
    <row r="198" spans="1:13">
      <c r="A198" s="220"/>
      <c r="B198" s="329" t="s">
        <v>597</v>
      </c>
      <c r="C198" s="330"/>
      <c r="D198" s="220">
        <v>2</v>
      </c>
      <c r="E198" s="220">
        <f>2*7.43+2*11.29</f>
        <v>37.44</v>
      </c>
      <c r="F198" s="220"/>
      <c r="G198" s="220"/>
      <c r="H198" s="220"/>
      <c r="I198" s="220"/>
      <c r="J198" s="220"/>
      <c r="K198" s="220">
        <f t="shared" si="19"/>
        <v>74.88</v>
      </c>
      <c r="L198" s="220">
        <f t="shared" si="20"/>
        <v>46.200959999999995</v>
      </c>
      <c r="M198" s="220"/>
    </row>
    <row r="199" spans="1:13">
      <c r="A199" s="220"/>
      <c r="B199" s="329" t="s">
        <v>598</v>
      </c>
      <c r="C199" s="330"/>
      <c r="D199" s="220">
        <v>2</v>
      </c>
      <c r="E199" s="220">
        <f>6*12+2*5.57+2*9.5+2*9.8+2*6.87+2*5.75+2*7.23</f>
        <v>161.44000000000003</v>
      </c>
      <c r="F199" s="220"/>
      <c r="G199" s="220"/>
      <c r="H199" s="220"/>
      <c r="I199" s="220"/>
      <c r="J199" s="220"/>
      <c r="K199" s="220">
        <f t="shared" si="19"/>
        <v>322.88000000000005</v>
      </c>
      <c r="L199" s="220">
        <f t="shared" si="20"/>
        <v>199.21696000000003</v>
      </c>
      <c r="M199" s="220"/>
    </row>
    <row r="200" spans="1:13">
      <c r="A200" s="220"/>
      <c r="B200" s="329" t="s">
        <v>599</v>
      </c>
      <c r="C200" s="330"/>
      <c r="D200" s="220">
        <v>2</v>
      </c>
      <c r="E200" s="220">
        <f>2*1.75+2*1.5</f>
        <v>6.5</v>
      </c>
      <c r="F200" s="220"/>
      <c r="G200" s="220"/>
      <c r="H200" s="220"/>
      <c r="I200" s="220"/>
      <c r="J200" s="220"/>
      <c r="K200" s="220">
        <f t="shared" si="19"/>
        <v>13</v>
      </c>
      <c r="L200" s="220">
        <f t="shared" si="20"/>
        <v>8.0210000000000008</v>
      </c>
      <c r="M200" s="220"/>
    </row>
    <row r="201" spans="1:13">
      <c r="A201" s="220"/>
      <c r="B201" s="329" t="s">
        <v>600</v>
      </c>
      <c r="C201" s="330"/>
      <c r="D201" s="220">
        <v>2</v>
      </c>
      <c r="E201" s="220">
        <f>2*1.9+1.8+1.67+2*1.5</f>
        <v>10.27</v>
      </c>
      <c r="F201" s="220"/>
      <c r="G201" s="220"/>
      <c r="H201" s="220"/>
      <c r="I201" s="220"/>
      <c r="J201" s="220"/>
      <c r="K201" s="220">
        <f t="shared" si="19"/>
        <v>20.54</v>
      </c>
      <c r="L201" s="220">
        <f t="shared" si="20"/>
        <v>12.673179999999999</v>
      </c>
      <c r="M201" s="220"/>
    </row>
    <row r="202" spans="1:13">
      <c r="A202" s="220"/>
      <c r="B202" s="329" t="s">
        <v>601</v>
      </c>
      <c r="C202" s="330"/>
      <c r="D202" s="220">
        <v>2</v>
      </c>
      <c r="E202" s="220">
        <f>2*1.66</f>
        <v>3.32</v>
      </c>
      <c r="F202" s="220"/>
      <c r="G202" s="220"/>
      <c r="H202" s="220"/>
      <c r="I202" s="220"/>
      <c r="J202" s="220"/>
      <c r="K202" s="220">
        <f t="shared" si="19"/>
        <v>6.64</v>
      </c>
      <c r="L202" s="220">
        <f t="shared" si="20"/>
        <v>4.0968799999999996</v>
      </c>
      <c r="M202" s="220"/>
    </row>
    <row r="203" spans="1:13">
      <c r="A203" s="220"/>
      <c r="B203" s="329" t="s">
        <v>602</v>
      </c>
      <c r="C203" s="330"/>
      <c r="D203" s="220">
        <v>2</v>
      </c>
      <c r="E203" s="220">
        <f>2*1.65</f>
        <v>3.3</v>
      </c>
      <c r="F203" s="220"/>
      <c r="G203" s="220"/>
      <c r="H203" s="220"/>
      <c r="I203" s="220"/>
      <c r="J203" s="220"/>
      <c r="K203" s="220">
        <f t="shared" si="19"/>
        <v>6.6</v>
      </c>
      <c r="L203" s="220">
        <f t="shared" si="20"/>
        <v>4.0721999999999996</v>
      </c>
      <c r="M203" s="220"/>
    </row>
    <row r="204" spans="1:13">
      <c r="A204" s="220"/>
      <c r="B204" s="329" t="s">
        <v>603</v>
      </c>
      <c r="C204" s="330"/>
      <c r="D204" s="220">
        <v>2</v>
      </c>
      <c r="E204" s="220">
        <f>2*1.93+1.8+2*1.65</f>
        <v>8.9600000000000009</v>
      </c>
      <c r="F204" s="220"/>
      <c r="G204" s="220"/>
      <c r="H204" s="220"/>
      <c r="I204" s="220"/>
      <c r="J204" s="220"/>
      <c r="K204" s="220">
        <f t="shared" si="19"/>
        <v>17.920000000000002</v>
      </c>
      <c r="L204" s="220">
        <f t="shared" si="20"/>
        <v>11.056640000000002</v>
      </c>
      <c r="M204" s="220"/>
    </row>
    <row r="205" spans="1:13">
      <c r="A205" s="220"/>
      <c r="B205" s="329" t="s">
        <v>604</v>
      </c>
      <c r="C205" s="330"/>
      <c r="D205" s="220">
        <v>2</v>
      </c>
      <c r="E205" s="220">
        <f>2*1.93+2*1.6</f>
        <v>7.0600000000000005</v>
      </c>
      <c r="F205" s="220"/>
      <c r="G205" s="220"/>
      <c r="H205" s="220"/>
      <c r="I205" s="220"/>
      <c r="J205" s="220"/>
      <c r="K205" s="220">
        <f t="shared" si="19"/>
        <v>14.120000000000001</v>
      </c>
      <c r="L205" s="220">
        <f t="shared" si="20"/>
        <v>8.71204</v>
      </c>
      <c r="M205" s="220"/>
    </row>
    <row r="206" spans="1:13">
      <c r="A206" s="220"/>
      <c r="B206" s="220"/>
      <c r="C206" s="220"/>
      <c r="D206" s="220"/>
      <c r="E206" s="220"/>
      <c r="F206" s="220"/>
      <c r="G206" s="220"/>
      <c r="H206" s="220"/>
      <c r="I206" s="220"/>
      <c r="J206" s="220"/>
      <c r="K206" s="220"/>
      <c r="L206" s="220"/>
      <c r="M206" s="220"/>
    </row>
    <row r="207" spans="1:13" ht="30" customHeight="1">
      <c r="A207" s="220" t="str">
        <f>BM_06!A41</f>
        <v>2.12</v>
      </c>
      <c r="B207" s="337" t="str">
        <f>BM_06!B41</f>
        <v>ARMAÇÃO DE PILAR OU VIGA DE UMA ESTRUTURA CONVENCIONAL DE CONCRETO ARMADO EM UM EDIFÍCIO DE MÚLTIPLOS PAVIMENTOS UTILIZANDO AÇO CA-60 DE 5,0 MM - MONTAGEM. AF_12/2015</v>
      </c>
      <c r="C207" s="337"/>
      <c r="D207" s="337"/>
      <c r="E207" s="337"/>
      <c r="F207" s="337"/>
      <c r="G207" s="337"/>
      <c r="H207" s="337"/>
      <c r="I207" s="337"/>
      <c r="J207" s="337"/>
      <c r="K207" s="337"/>
      <c r="L207" s="220">
        <f>SUM(L209:L223)</f>
        <v>159.76999999999998</v>
      </c>
      <c r="M207" s="220" t="s">
        <v>605</v>
      </c>
    </row>
    <row r="208" spans="1:13">
      <c r="A208" s="220"/>
      <c r="B208" s="220"/>
      <c r="C208" s="220"/>
      <c r="D208" s="220"/>
      <c r="E208" s="220"/>
      <c r="F208" s="220"/>
      <c r="G208" s="220"/>
      <c r="H208" s="220"/>
      <c r="I208" s="220"/>
      <c r="J208" s="220"/>
      <c r="K208" s="220"/>
      <c r="L208" s="220"/>
      <c r="M208" s="220"/>
    </row>
    <row r="209" spans="1:13">
      <c r="A209" s="220"/>
      <c r="B209" s="329" t="s">
        <v>594</v>
      </c>
      <c r="C209" s="330"/>
      <c r="D209" s="220">
        <v>2</v>
      </c>
      <c r="E209" s="220">
        <v>6.08</v>
      </c>
      <c r="F209" s="220"/>
      <c r="G209" s="220">
        <v>1.17</v>
      </c>
      <c r="H209" s="220"/>
      <c r="I209" s="220"/>
      <c r="J209" s="220"/>
      <c r="K209" s="233">
        <f>ROUND(E209/0.12,2)*G209</f>
        <v>59.283899999999996</v>
      </c>
      <c r="L209" s="233">
        <f>ROUND(K209*0.154,2)</f>
        <v>9.1300000000000008</v>
      </c>
      <c r="M209" s="220"/>
    </row>
    <row r="210" spans="1:13">
      <c r="A210" s="220"/>
      <c r="B210" s="329" t="s">
        <v>595</v>
      </c>
      <c r="C210" s="330"/>
      <c r="D210" s="220">
        <v>2</v>
      </c>
      <c r="E210" s="220">
        <v>1.28</v>
      </c>
      <c r="F210" s="220"/>
      <c r="G210" s="220">
        <v>0.77</v>
      </c>
      <c r="H210" s="220"/>
      <c r="I210" s="220"/>
      <c r="J210" s="220"/>
      <c r="K210" s="233">
        <f t="shared" ref="K210:K223" si="21">ROUND(E210/0.12,2)*G210</f>
        <v>8.2158999999999995</v>
      </c>
      <c r="L210" s="233">
        <f t="shared" ref="L210:L223" si="22">ROUND(K210*0.154,2)</f>
        <v>1.27</v>
      </c>
      <c r="M210" s="220"/>
    </row>
    <row r="211" spans="1:13">
      <c r="A211" s="220"/>
      <c r="B211" s="329" t="s">
        <v>596</v>
      </c>
      <c r="C211" s="330"/>
      <c r="D211" s="220">
        <v>2</v>
      </c>
      <c r="E211" s="220">
        <v>19.23</v>
      </c>
      <c r="F211" s="220"/>
      <c r="G211" s="220">
        <v>1.17</v>
      </c>
      <c r="H211" s="220"/>
      <c r="I211" s="220"/>
      <c r="J211" s="220"/>
      <c r="K211" s="233">
        <f t="shared" si="21"/>
        <v>187.49249999999998</v>
      </c>
      <c r="L211" s="233">
        <f t="shared" si="22"/>
        <v>28.87</v>
      </c>
      <c r="M211" s="220"/>
    </row>
    <row r="212" spans="1:13">
      <c r="A212" s="220"/>
      <c r="B212" s="329" t="s">
        <v>597</v>
      </c>
      <c r="C212" s="330"/>
      <c r="D212" s="220">
        <v>2</v>
      </c>
      <c r="E212" s="220">
        <v>10.9</v>
      </c>
      <c r="F212" s="220"/>
      <c r="G212" s="220">
        <v>1.17</v>
      </c>
      <c r="H212" s="220"/>
      <c r="I212" s="220"/>
      <c r="J212" s="220"/>
      <c r="K212" s="233">
        <f t="shared" si="21"/>
        <v>106.27109999999999</v>
      </c>
      <c r="L212" s="233">
        <f t="shared" si="22"/>
        <v>16.37</v>
      </c>
      <c r="M212" s="220"/>
    </row>
    <row r="213" spans="1:13">
      <c r="A213" s="220"/>
      <c r="B213" s="329" t="s">
        <v>598</v>
      </c>
      <c r="C213" s="330"/>
      <c r="D213" s="220">
        <v>2</v>
      </c>
      <c r="E213" s="220">
        <v>39.11</v>
      </c>
      <c r="F213" s="220"/>
      <c r="G213" s="220">
        <v>1.17</v>
      </c>
      <c r="H213" s="220"/>
      <c r="I213" s="220"/>
      <c r="J213" s="220"/>
      <c r="K213" s="233">
        <f t="shared" si="21"/>
        <v>381.32639999999998</v>
      </c>
      <c r="L213" s="233">
        <f t="shared" si="22"/>
        <v>58.72</v>
      </c>
      <c r="M213" s="220"/>
    </row>
    <row r="214" spans="1:13">
      <c r="A214" s="220"/>
      <c r="B214" s="329" t="s">
        <v>599</v>
      </c>
      <c r="C214" s="330"/>
      <c r="D214" s="220">
        <v>2</v>
      </c>
      <c r="E214" s="220">
        <v>1.48</v>
      </c>
      <c r="F214" s="220"/>
      <c r="G214" s="220">
        <v>0.77</v>
      </c>
      <c r="H214" s="220"/>
      <c r="I214" s="220"/>
      <c r="J214" s="220"/>
      <c r="K214" s="233">
        <f t="shared" si="21"/>
        <v>9.4940999999999995</v>
      </c>
      <c r="L214" s="233">
        <f t="shared" si="22"/>
        <v>1.46</v>
      </c>
      <c r="M214" s="220"/>
    </row>
    <row r="215" spans="1:13">
      <c r="A215" s="220"/>
      <c r="B215" s="329" t="s">
        <v>600</v>
      </c>
      <c r="C215" s="330"/>
      <c r="D215" s="220">
        <v>2</v>
      </c>
      <c r="E215" s="220">
        <v>1.48</v>
      </c>
      <c r="F215" s="220"/>
      <c r="G215" s="220">
        <v>0.77</v>
      </c>
      <c r="H215" s="220"/>
      <c r="I215" s="220"/>
      <c r="J215" s="220"/>
      <c r="K215" s="233">
        <f t="shared" si="21"/>
        <v>9.4940999999999995</v>
      </c>
      <c r="L215" s="233">
        <f t="shared" si="22"/>
        <v>1.46</v>
      </c>
      <c r="M215" s="220"/>
    </row>
    <row r="216" spans="1:13">
      <c r="A216" s="220"/>
      <c r="B216" s="329" t="s">
        <v>601</v>
      </c>
      <c r="C216" s="330"/>
      <c r="D216" s="220">
        <v>2</v>
      </c>
      <c r="E216" s="220">
        <v>1.58</v>
      </c>
      <c r="F216" s="220"/>
      <c r="G216" s="220">
        <v>1.07</v>
      </c>
      <c r="H216" s="220"/>
      <c r="I216" s="220"/>
      <c r="J216" s="220"/>
      <c r="K216" s="233">
        <f t="shared" si="21"/>
        <v>14.091900000000001</v>
      </c>
      <c r="L216" s="233">
        <f t="shared" si="22"/>
        <v>2.17</v>
      </c>
      <c r="M216" s="220"/>
    </row>
    <row r="217" spans="1:13">
      <c r="A217" s="220"/>
      <c r="B217" s="329" t="s">
        <v>602</v>
      </c>
      <c r="C217" s="330"/>
      <c r="D217" s="220">
        <v>2</v>
      </c>
      <c r="E217" s="220">
        <v>1.58</v>
      </c>
      <c r="F217" s="220"/>
      <c r="G217" s="220">
        <v>0.77</v>
      </c>
      <c r="H217" s="220"/>
      <c r="I217" s="220"/>
      <c r="J217" s="220"/>
      <c r="K217" s="233">
        <f t="shared" si="21"/>
        <v>10.1409</v>
      </c>
      <c r="L217" s="233">
        <f t="shared" si="22"/>
        <v>1.56</v>
      </c>
      <c r="M217" s="220"/>
    </row>
    <row r="218" spans="1:13">
      <c r="A218" s="220"/>
      <c r="B218" s="329" t="s">
        <v>603</v>
      </c>
      <c r="C218" s="330"/>
      <c r="D218" s="220">
        <v>2</v>
      </c>
      <c r="E218" s="220">
        <v>1.58</v>
      </c>
      <c r="F218" s="220"/>
      <c r="G218" s="220">
        <v>0.77</v>
      </c>
      <c r="H218" s="220"/>
      <c r="I218" s="220"/>
      <c r="J218" s="220"/>
      <c r="K218" s="233">
        <f t="shared" si="21"/>
        <v>10.1409</v>
      </c>
      <c r="L218" s="233">
        <f t="shared" si="22"/>
        <v>1.56</v>
      </c>
      <c r="M218" s="220"/>
    </row>
    <row r="219" spans="1:13">
      <c r="A219" s="220"/>
      <c r="B219" s="329" t="s">
        <v>604</v>
      </c>
      <c r="C219" s="330"/>
      <c r="D219" s="220">
        <v>2</v>
      </c>
      <c r="E219" s="220">
        <v>1.58</v>
      </c>
      <c r="F219" s="220"/>
      <c r="G219" s="220">
        <v>0.77</v>
      </c>
      <c r="H219" s="220"/>
      <c r="I219" s="220"/>
      <c r="J219" s="220"/>
      <c r="K219" s="233">
        <f t="shared" si="21"/>
        <v>10.1409</v>
      </c>
      <c r="L219" s="233">
        <f t="shared" si="22"/>
        <v>1.56</v>
      </c>
      <c r="M219" s="220"/>
    </row>
    <row r="220" spans="1:13">
      <c r="A220" s="220"/>
      <c r="B220" s="229"/>
      <c r="C220" s="230"/>
      <c r="D220" s="220"/>
      <c r="E220" s="220"/>
      <c r="F220" s="220"/>
      <c r="G220" s="220"/>
      <c r="H220" s="220"/>
      <c r="I220" s="220"/>
      <c r="J220" s="220"/>
      <c r="K220" s="233"/>
      <c r="L220" s="233"/>
      <c r="M220" s="220"/>
    </row>
    <row r="221" spans="1:13">
      <c r="A221" s="220"/>
      <c r="B221" s="331" t="s">
        <v>451</v>
      </c>
      <c r="C221" s="331"/>
      <c r="D221" s="167"/>
      <c r="E221" s="167"/>
      <c r="F221" s="167"/>
      <c r="G221" s="167"/>
      <c r="H221" s="167"/>
      <c r="I221" s="167"/>
      <c r="J221" s="167"/>
      <c r="K221" s="233"/>
      <c r="L221" s="233"/>
      <c r="M221" s="220"/>
    </row>
    <row r="222" spans="1:13">
      <c r="A222" s="220"/>
      <c r="B222" s="332" t="s">
        <v>606</v>
      </c>
      <c r="C222" s="332"/>
      <c r="D222" s="231">
        <v>1</v>
      </c>
      <c r="E222" s="179">
        <f>(2*7.68)+(3*4.73)</f>
        <v>29.55</v>
      </c>
      <c r="F222" s="179"/>
      <c r="G222" s="220">
        <v>0.77</v>
      </c>
      <c r="H222" s="220"/>
      <c r="I222" s="220"/>
      <c r="J222" s="179"/>
      <c r="K222" s="233">
        <f t="shared" si="21"/>
        <v>189.61250000000001</v>
      </c>
      <c r="L222" s="233">
        <f t="shared" si="22"/>
        <v>29.2</v>
      </c>
      <c r="M222" s="220"/>
    </row>
    <row r="223" spans="1:13">
      <c r="A223" s="220"/>
      <c r="B223" s="332" t="s">
        <v>607</v>
      </c>
      <c r="C223" s="332"/>
      <c r="D223" s="179">
        <v>1</v>
      </c>
      <c r="E223" s="179">
        <v>6.52</v>
      </c>
      <c r="F223" s="179"/>
      <c r="G223" s="220">
        <v>0.77</v>
      </c>
      <c r="H223" s="220"/>
      <c r="I223" s="220"/>
      <c r="J223" s="179"/>
      <c r="K223" s="233">
        <f t="shared" si="21"/>
        <v>41.834099999999999</v>
      </c>
      <c r="L223" s="233">
        <f t="shared" si="22"/>
        <v>6.44</v>
      </c>
      <c r="M223" s="220"/>
    </row>
    <row r="224" spans="1:13">
      <c r="A224" s="220"/>
      <c r="B224" s="220"/>
      <c r="C224" s="220"/>
      <c r="D224" s="220"/>
      <c r="E224" s="220"/>
      <c r="F224" s="220"/>
      <c r="G224" s="220"/>
      <c r="H224" s="220"/>
      <c r="I224" s="220"/>
      <c r="J224" s="220"/>
      <c r="K224" s="220"/>
      <c r="L224" s="220"/>
      <c r="M224" s="220"/>
    </row>
    <row r="225" spans="1:13">
      <c r="A225" s="220"/>
      <c r="B225" s="220"/>
      <c r="C225" s="220"/>
      <c r="D225" s="220"/>
      <c r="E225" s="220"/>
      <c r="F225" s="220"/>
      <c r="G225" s="220"/>
      <c r="H225" s="220"/>
      <c r="I225" s="220"/>
      <c r="J225" s="220"/>
      <c r="K225" s="220"/>
      <c r="L225" s="220"/>
      <c r="M225" s="220"/>
    </row>
    <row r="226" spans="1:13" ht="14.45" customHeight="1">
      <c r="A226" s="220" t="s">
        <v>608</v>
      </c>
      <c r="B226" s="344" t="str">
        <f>[1]ORÇAMENTO!B36</f>
        <v>ALVENARIA E VEDAÇÕES</v>
      </c>
      <c r="C226" s="345"/>
      <c r="D226" s="345"/>
      <c r="E226" s="345"/>
      <c r="F226" s="345"/>
      <c r="G226" s="345"/>
      <c r="H226" s="345"/>
      <c r="I226" s="345"/>
      <c r="J226" s="345"/>
      <c r="K226" s="346"/>
      <c r="L226" s="220"/>
      <c r="M226" s="220"/>
    </row>
    <row r="227" spans="1:13">
      <c r="A227" s="220"/>
      <c r="B227" s="220"/>
      <c r="C227" s="220"/>
      <c r="D227" s="220"/>
      <c r="E227" s="220"/>
      <c r="F227" s="220"/>
      <c r="G227" s="220"/>
      <c r="H227" s="220"/>
      <c r="I227" s="220"/>
      <c r="J227" s="220"/>
      <c r="K227" s="220"/>
      <c r="L227" s="220"/>
      <c r="M227" s="220"/>
    </row>
    <row r="228" spans="1:13" ht="28.9" customHeight="1">
      <c r="A228" s="220" t="s">
        <v>48</v>
      </c>
      <c r="B228" s="344" t="str">
        <f>[1]REPROGRAMAÇÃO!C45</f>
        <v>ALVENARIA DE VEDAÇÃO DE BLOCOS CERÂMICOS FURADOS NA HORIZONTAL DE 9X19X19 CM (ESPESSURA 9 CM) E ARGAMASSA DE ASSENTAMENTO COM PREPARO EM BETONEIRA.</v>
      </c>
      <c r="C228" s="345"/>
      <c r="D228" s="345"/>
      <c r="E228" s="345"/>
      <c r="F228" s="345"/>
      <c r="G228" s="345"/>
      <c r="H228" s="345"/>
      <c r="I228" s="345"/>
      <c r="J228" s="345"/>
      <c r="K228" s="346"/>
      <c r="L228" s="220" t="e">
        <f>L231</f>
        <v>#REF!</v>
      </c>
      <c r="M228" s="220" t="s">
        <v>429</v>
      </c>
    </row>
    <row r="229" spans="1:13">
      <c r="A229" s="220"/>
      <c r="B229" s="220"/>
      <c r="C229" s="220"/>
      <c r="D229" s="220"/>
      <c r="E229" s="220"/>
      <c r="F229" s="220"/>
      <c r="G229" s="220"/>
      <c r="H229" s="220"/>
      <c r="I229" s="220"/>
      <c r="J229" s="220"/>
      <c r="K229" s="224" t="s">
        <v>454</v>
      </c>
      <c r="L229" s="225" t="e">
        <f>#REF!</f>
        <v>#REF!</v>
      </c>
      <c r="M229" s="220"/>
    </row>
    <row r="230" spans="1:13">
      <c r="A230" s="220"/>
      <c r="B230" s="220"/>
      <c r="C230" s="220"/>
      <c r="D230" s="220"/>
      <c r="E230" s="220"/>
      <c r="F230" s="220"/>
      <c r="G230" s="220"/>
      <c r="H230" s="220"/>
      <c r="I230" s="220"/>
      <c r="J230" s="220"/>
      <c r="K230" s="224" t="s">
        <v>455</v>
      </c>
      <c r="L230" s="225">
        <v>209.45</v>
      </c>
      <c r="M230" s="220"/>
    </row>
    <row r="231" spans="1:13">
      <c r="A231" s="220"/>
      <c r="B231" s="332"/>
      <c r="C231" s="332"/>
      <c r="D231" s="178"/>
      <c r="E231" s="178"/>
      <c r="F231" s="178"/>
      <c r="G231" s="178"/>
      <c r="H231" s="178"/>
      <c r="I231" s="178"/>
      <c r="J231" s="178"/>
      <c r="K231" s="224" t="s">
        <v>480</v>
      </c>
      <c r="L231" s="225" t="e">
        <f>L229-L230</f>
        <v>#REF!</v>
      </c>
      <c r="M231" s="220"/>
    </row>
    <row r="232" spans="1:13">
      <c r="A232" s="220"/>
      <c r="B232" s="332" t="s">
        <v>439</v>
      </c>
      <c r="C232" s="332"/>
      <c r="D232" s="178">
        <v>1</v>
      </c>
      <c r="E232" s="178">
        <v>5.3</v>
      </c>
      <c r="F232" s="178"/>
      <c r="G232" s="178">
        <v>3.3</v>
      </c>
      <c r="H232" s="178"/>
      <c r="I232" s="178"/>
      <c r="J232" s="178"/>
      <c r="K232" s="178">
        <f>E232*G232</f>
        <v>17.489999999999998</v>
      </c>
      <c r="L232" s="178">
        <f>(D232*K232)+F232</f>
        <v>17.489999999999998</v>
      </c>
      <c r="M232" s="220"/>
    </row>
    <row r="233" spans="1:13">
      <c r="A233" s="220"/>
      <c r="B233" s="332" t="s">
        <v>625</v>
      </c>
      <c r="C233" s="332"/>
      <c r="D233" s="178">
        <v>1</v>
      </c>
      <c r="E233" s="178">
        <v>4.5</v>
      </c>
      <c r="F233" s="234"/>
      <c r="G233" s="234">
        <v>3.1</v>
      </c>
      <c r="H233" s="178"/>
      <c r="I233" s="178"/>
      <c r="J233" s="178"/>
      <c r="K233" s="178">
        <f>E233*G233</f>
        <v>13.950000000000001</v>
      </c>
      <c r="L233" s="178">
        <f>(D233*K233)+F233</f>
        <v>13.950000000000001</v>
      </c>
      <c r="M233" s="220"/>
    </row>
    <row r="234" spans="1:13">
      <c r="A234" s="220"/>
      <c r="B234" s="332" t="s">
        <v>575</v>
      </c>
      <c r="C234" s="332"/>
      <c r="D234" s="178">
        <v>2</v>
      </c>
      <c r="E234" s="178">
        <v>2.0499999999999998</v>
      </c>
      <c r="F234" s="234">
        <f>-0.8*2.1</f>
        <v>-1.6800000000000002</v>
      </c>
      <c r="G234" s="234">
        <v>3.1</v>
      </c>
      <c r="H234" s="178"/>
      <c r="I234" s="178"/>
      <c r="J234" s="178"/>
      <c r="K234" s="178">
        <f>E234*G234</f>
        <v>6.3549999999999995</v>
      </c>
      <c r="L234" s="178">
        <f t="shared" ref="L234:L259" si="23">(D234*K234)+F234</f>
        <v>11.03</v>
      </c>
      <c r="M234" s="220"/>
    </row>
    <row r="235" spans="1:13">
      <c r="A235" s="220"/>
      <c r="B235" s="332"/>
      <c r="C235" s="332"/>
      <c r="D235" s="178">
        <v>1</v>
      </c>
      <c r="E235" s="178">
        <v>1.95</v>
      </c>
      <c r="F235" s="234"/>
      <c r="G235" s="234">
        <v>3.1</v>
      </c>
      <c r="H235" s="178"/>
      <c r="I235" s="178"/>
      <c r="J235" s="178"/>
      <c r="K235" s="178">
        <f>E235*G235</f>
        <v>6.0449999999999999</v>
      </c>
      <c r="L235" s="178">
        <f t="shared" si="23"/>
        <v>6.0449999999999999</v>
      </c>
      <c r="M235" s="220"/>
    </row>
    <row r="236" spans="1:13">
      <c r="A236" s="220"/>
      <c r="B236" s="332" t="s">
        <v>440</v>
      </c>
      <c r="C236" s="332"/>
      <c r="D236" s="178">
        <v>1</v>
      </c>
      <c r="E236" s="178">
        <v>4.2</v>
      </c>
      <c r="F236" s="234"/>
      <c r="G236" s="234">
        <v>2.2000000000000002</v>
      </c>
      <c r="H236" s="178"/>
      <c r="I236" s="178"/>
      <c r="J236" s="178"/>
      <c r="K236" s="178">
        <f t="shared" ref="K236:K259" si="24">E236*G236</f>
        <v>9.240000000000002</v>
      </c>
      <c r="L236" s="178">
        <f t="shared" si="23"/>
        <v>9.240000000000002</v>
      </c>
      <c r="M236" s="220"/>
    </row>
    <row r="237" spans="1:13">
      <c r="A237" s="220"/>
      <c r="B237" s="234"/>
      <c r="C237" s="234"/>
      <c r="D237" s="178">
        <v>1</v>
      </c>
      <c r="E237" s="178">
        <v>1</v>
      </c>
      <c r="F237" s="234"/>
      <c r="G237" s="234">
        <v>2.1</v>
      </c>
      <c r="H237" s="178"/>
      <c r="I237" s="178"/>
      <c r="J237" s="178"/>
      <c r="K237" s="178">
        <f t="shared" si="24"/>
        <v>2.1</v>
      </c>
      <c r="L237" s="178">
        <f t="shared" si="23"/>
        <v>2.1</v>
      </c>
      <c r="M237" s="220"/>
    </row>
    <row r="238" spans="1:13">
      <c r="A238" s="220"/>
      <c r="B238" s="234"/>
      <c r="C238" s="234"/>
      <c r="D238" s="178">
        <v>1</v>
      </c>
      <c r="E238" s="178">
        <v>0.9</v>
      </c>
      <c r="F238" s="234"/>
      <c r="G238" s="234">
        <v>2.1</v>
      </c>
      <c r="H238" s="178"/>
      <c r="I238" s="178"/>
      <c r="J238" s="178"/>
      <c r="K238" s="178">
        <f t="shared" si="24"/>
        <v>1.8900000000000001</v>
      </c>
      <c r="L238" s="178">
        <f t="shared" si="23"/>
        <v>1.8900000000000001</v>
      </c>
      <c r="M238" s="220"/>
    </row>
    <row r="239" spans="1:13">
      <c r="A239" s="220"/>
      <c r="B239" s="234"/>
      <c r="C239" s="234"/>
      <c r="D239" s="178">
        <v>1</v>
      </c>
      <c r="E239" s="178">
        <v>1.4</v>
      </c>
      <c r="F239" s="234"/>
      <c r="G239" s="234">
        <v>2.1</v>
      </c>
      <c r="H239" s="178"/>
      <c r="I239" s="178"/>
      <c r="J239" s="178"/>
      <c r="K239" s="178">
        <f t="shared" si="24"/>
        <v>2.94</v>
      </c>
      <c r="L239" s="178">
        <f t="shared" si="23"/>
        <v>2.94</v>
      </c>
      <c r="M239" s="220"/>
    </row>
    <row r="240" spans="1:13">
      <c r="A240" s="220"/>
      <c r="B240" s="234"/>
      <c r="C240" s="234"/>
      <c r="D240" s="178">
        <v>1</v>
      </c>
      <c r="E240" s="178">
        <v>1.3</v>
      </c>
      <c r="F240" s="234"/>
      <c r="G240" s="234">
        <v>0.7</v>
      </c>
      <c r="H240" s="178"/>
      <c r="I240" s="178"/>
      <c r="J240" s="178"/>
      <c r="K240" s="178">
        <f t="shared" si="24"/>
        <v>0.90999999999999992</v>
      </c>
      <c r="L240" s="178">
        <f t="shared" si="23"/>
        <v>0.90999999999999992</v>
      </c>
      <c r="M240" s="220"/>
    </row>
    <row r="241" spans="1:13">
      <c r="A241" s="220"/>
      <c r="B241" s="332" t="s">
        <v>441</v>
      </c>
      <c r="C241" s="332"/>
      <c r="D241" s="178">
        <v>1</v>
      </c>
      <c r="E241" s="178">
        <v>2.4500000000000002</v>
      </c>
      <c r="F241" s="234"/>
      <c r="G241" s="234">
        <v>2.9</v>
      </c>
      <c r="H241" s="178"/>
      <c r="I241" s="178"/>
      <c r="J241" s="178"/>
      <c r="K241" s="178">
        <f t="shared" si="24"/>
        <v>7.1050000000000004</v>
      </c>
      <c r="L241" s="178">
        <f t="shared" si="23"/>
        <v>7.1050000000000004</v>
      </c>
      <c r="M241" s="220"/>
    </row>
    <row r="242" spans="1:13">
      <c r="A242" s="220"/>
      <c r="B242" s="234"/>
      <c r="C242" s="234"/>
      <c r="D242" s="178">
        <v>2</v>
      </c>
      <c r="E242" s="178">
        <v>2.2999999999999998</v>
      </c>
      <c r="F242" s="234"/>
      <c r="G242" s="234">
        <v>2.9</v>
      </c>
      <c r="H242" s="178"/>
      <c r="I242" s="178"/>
      <c r="J242" s="178"/>
      <c r="K242" s="178">
        <f t="shared" si="24"/>
        <v>6.669999999999999</v>
      </c>
      <c r="L242" s="178">
        <f t="shared" si="23"/>
        <v>13.339999999999998</v>
      </c>
      <c r="M242" s="220"/>
    </row>
    <row r="243" spans="1:13">
      <c r="A243" s="220"/>
      <c r="B243" s="332" t="s">
        <v>609</v>
      </c>
      <c r="C243" s="332"/>
      <c r="D243" s="178">
        <v>2</v>
      </c>
      <c r="E243" s="178">
        <v>1.9</v>
      </c>
      <c r="F243" s="234"/>
      <c r="G243" s="234">
        <v>2.9</v>
      </c>
      <c r="H243" s="178"/>
      <c r="I243" s="178"/>
      <c r="J243" s="178"/>
      <c r="K243" s="178">
        <f t="shared" si="24"/>
        <v>5.51</v>
      </c>
      <c r="L243" s="178">
        <f t="shared" si="23"/>
        <v>11.02</v>
      </c>
      <c r="M243" s="220"/>
    </row>
    <row r="244" spans="1:13">
      <c r="A244" s="220"/>
      <c r="B244" s="332"/>
      <c r="C244" s="332"/>
      <c r="D244" s="178">
        <v>2</v>
      </c>
      <c r="E244" s="178">
        <v>2.4500000000000002</v>
      </c>
      <c r="F244" s="234">
        <f>-0.8*2.1</f>
        <v>-1.6800000000000002</v>
      </c>
      <c r="G244" s="234">
        <v>2.9</v>
      </c>
      <c r="H244" s="178"/>
      <c r="I244" s="178"/>
      <c r="J244" s="178"/>
      <c r="K244" s="178">
        <f t="shared" si="24"/>
        <v>7.1050000000000004</v>
      </c>
      <c r="L244" s="178">
        <f t="shared" si="23"/>
        <v>12.530000000000001</v>
      </c>
      <c r="M244" s="220"/>
    </row>
    <row r="245" spans="1:13">
      <c r="A245" s="220"/>
      <c r="B245" s="332" t="s">
        <v>442</v>
      </c>
      <c r="C245" s="332"/>
      <c r="D245" s="178">
        <v>1</v>
      </c>
      <c r="E245" s="178">
        <v>6.1</v>
      </c>
      <c r="F245" s="234"/>
      <c r="G245" s="234">
        <v>2.7</v>
      </c>
      <c r="H245" s="178"/>
      <c r="I245" s="178"/>
      <c r="J245" s="178"/>
      <c r="K245" s="178">
        <f t="shared" si="24"/>
        <v>16.47</v>
      </c>
      <c r="L245" s="178">
        <f t="shared" si="23"/>
        <v>16.47</v>
      </c>
      <c r="M245" s="220"/>
    </row>
    <row r="246" spans="1:13" ht="24" customHeight="1">
      <c r="A246" s="220"/>
      <c r="B246" s="332" t="s">
        <v>443</v>
      </c>
      <c r="C246" s="332"/>
      <c r="D246" s="178">
        <v>1</v>
      </c>
      <c r="E246" s="178">
        <v>6.7</v>
      </c>
      <c r="F246" s="234"/>
      <c r="G246" s="234">
        <v>2.7</v>
      </c>
      <c r="H246" s="178"/>
      <c r="I246" s="178"/>
      <c r="J246" s="178"/>
      <c r="K246" s="178">
        <f t="shared" si="24"/>
        <v>18.090000000000003</v>
      </c>
      <c r="L246" s="178">
        <f t="shared" si="23"/>
        <v>18.090000000000003</v>
      </c>
      <c r="M246" s="220"/>
    </row>
    <row r="247" spans="1:13">
      <c r="A247" s="220"/>
      <c r="B247" s="332" t="s">
        <v>445</v>
      </c>
      <c r="C247" s="332"/>
      <c r="D247" s="178">
        <v>1</v>
      </c>
      <c r="E247" s="178">
        <v>3.3</v>
      </c>
      <c r="F247" s="234">
        <f>-1.2*1.2</f>
        <v>-1.44</v>
      </c>
      <c r="G247" s="234">
        <v>2.9</v>
      </c>
      <c r="H247" s="178"/>
      <c r="I247" s="178"/>
      <c r="J247" s="178"/>
      <c r="K247" s="178">
        <f t="shared" si="24"/>
        <v>9.5699999999999985</v>
      </c>
      <c r="L247" s="178">
        <f t="shared" si="23"/>
        <v>8.129999999999999</v>
      </c>
      <c r="M247" s="220"/>
    </row>
    <row r="248" spans="1:13">
      <c r="A248" s="220"/>
      <c r="B248" s="332" t="s">
        <v>610</v>
      </c>
      <c r="C248" s="332"/>
      <c r="D248" s="178">
        <v>1</v>
      </c>
      <c r="E248" s="178">
        <v>6.95</v>
      </c>
      <c r="F248" s="234"/>
      <c r="G248" s="234">
        <v>3.1</v>
      </c>
      <c r="H248" s="178"/>
      <c r="I248" s="178"/>
      <c r="J248" s="178"/>
      <c r="K248" s="178">
        <f t="shared" si="24"/>
        <v>21.545000000000002</v>
      </c>
      <c r="L248" s="178">
        <f t="shared" si="23"/>
        <v>21.545000000000002</v>
      </c>
      <c r="M248" s="220"/>
    </row>
    <row r="249" spans="1:13">
      <c r="A249" s="220"/>
      <c r="B249" s="332"/>
      <c r="C249" s="332"/>
      <c r="D249" s="178">
        <v>1</v>
      </c>
      <c r="E249" s="178">
        <v>7.2</v>
      </c>
      <c r="F249" s="234"/>
      <c r="G249" s="234">
        <v>3.1</v>
      </c>
      <c r="H249" s="178"/>
      <c r="I249" s="178"/>
      <c r="J249" s="178"/>
      <c r="K249" s="178">
        <f t="shared" si="24"/>
        <v>22.32</v>
      </c>
      <c r="L249" s="178">
        <f t="shared" si="23"/>
        <v>22.32</v>
      </c>
      <c r="M249" s="220"/>
    </row>
    <row r="250" spans="1:13">
      <c r="A250" s="220"/>
      <c r="B250" s="332"/>
      <c r="C250" s="332"/>
      <c r="D250" s="178">
        <v>1</v>
      </c>
      <c r="E250" s="178">
        <v>1.5</v>
      </c>
      <c r="F250" s="234"/>
      <c r="G250" s="234">
        <v>2.8</v>
      </c>
      <c r="H250" s="178"/>
      <c r="I250" s="178"/>
      <c r="J250" s="178"/>
      <c r="K250" s="178">
        <f t="shared" si="24"/>
        <v>4.1999999999999993</v>
      </c>
      <c r="L250" s="178">
        <f t="shared" si="23"/>
        <v>4.1999999999999993</v>
      </c>
      <c r="M250" s="220"/>
    </row>
    <row r="251" spans="1:13">
      <c r="A251" s="220"/>
      <c r="B251" s="332" t="s">
        <v>576</v>
      </c>
      <c r="C251" s="332"/>
      <c r="D251" s="178">
        <v>1</v>
      </c>
      <c r="E251" s="178">
        <v>3.05</v>
      </c>
      <c r="F251" s="234">
        <f>-0.8*2.1</f>
        <v>-1.6800000000000002</v>
      </c>
      <c r="G251" s="234">
        <v>2.8</v>
      </c>
      <c r="H251" s="178"/>
      <c r="I251" s="178"/>
      <c r="J251" s="178"/>
      <c r="K251" s="178">
        <f t="shared" si="24"/>
        <v>8.5399999999999991</v>
      </c>
      <c r="L251" s="178">
        <f t="shared" si="23"/>
        <v>6.8599999999999994</v>
      </c>
      <c r="M251" s="220"/>
    </row>
    <row r="252" spans="1:13">
      <c r="A252" s="220"/>
      <c r="B252" s="332" t="s">
        <v>446</v>
      </c>
      <c r="C252" s="332"/>
      <c r="D252" s="178">
        <v>1</v>
      </c>
      <c r="E252" s="178">
        <v>5.3</v>
      </c>
      <c r="F252" s="234"/>
      <c r="G252" s="234">
        <v>2.8</v>
      </c>
      <c r="H252" s="178"/>
      <c r="I252" s="178"/>
      <c r="J252" s="178"/>
      <c r="K252" s="178">
        <f t="shared" si="24"/>
        <v>14.839999999999998</v>
      </c>
      <c r="L252" s="178">
        <f t="shared" si="23"/>
        <v>14.839999999999998</v>
      </c>
      <c r="M252" s="220"/>
    </row>
    <row r="253" spans="1:13">
      <c r="A253" s="220"/>
      <c r="B253" s="332"/>
      <c r="C253" s="332"/>
      <c r="D253" s="178">
        <v>1</v>
      </c>
      <c r="E253" s="178">
        <v>0.8</v>
      </c>
      <c r="F253" s="234"/>
      <c r="G253" s="234">
        <v>1.2</v>
      </c>
      <c r="H253" s="178"/>
      <c r="I253" s="178"/>
      <c r="J253" s="178"/>
      <c r="K253" s="178">
        <f t="shared" si="24"/>
        <v>0.96</v>
      </c>
      <c r="L253" s="178">
        <f t="shared" si="23"/>
        <v>0.96</v>
      </c>
      <c r="M253" s="220"/>
    </row>
    <row r="254" spans="1:13">
      <c r="A254" s="220"/>
      <c r="B254" s="332" t="s">
        <v>450</v>
      </c>
      <c r="C254" s="332"/>
      <c r="D254" s="178">
        <v>1</v>
      </c>
      <c r="E254" s="178">
        <v>3.15</v>
      </c>
      <c r="F254" s="234"/>
      <c r="G254" s="234">
        <v>2.7</v>
      </c>
      <c r="H254" s="178"/>
      <c r="I254" s="178"/>
      <c r="J254" s="178"/>
      <c r="K254" s="178">
        <f t="shared" si="24"/>
        <v>8.5050000000000008</v>
      </c>
      <c r="L254" s="178">
        <f t="shared" si="23"/>
        <v>8.5050000000000008</v>
      </c>
      <c r="M254" s="220"/>
    </row>
    <row r="255" spans="1:13">
      <c r="A255" s="220"/>
      <c r="B255" s="332" t="s">
        <v>611</v>
      </c>
      <c r="C255" s="332"/>
      <c r="D255" s="178">
        <v>2</v>
      </c>
      <c r="E255" s="178">
        <v>2.15</v>
      </c>
      <c r="F255" s="234"/>
      <c r="G255" s="234">
        <v>2.7</v>
      </c>
      <c r="H255" s="178"/>
      <c r="I255" s="178"/>
      <c r="J255" s="178"/>
      <c r="K255" s="178">
        <f t="shared" si="24"/>
        <v>5.8049999999999997</v>
      </c>
      <c r="L255" s="178">
        <f t="shared" si="23"/>
        <v>11.61</v>
      </c>
      <c r="M255" s="220"/>
    </row>
    <row r="256" spans="1:13">
      <c r="A256" s="220"/>
      <c r="B256" s="332"/>
      <c r="C256" s="332"/>
      <c r="D256" s="178">
        <v>2</v>
      </c>
      <c r="E256" s="178">
        <v>2.7</v>
      </c>
      <c r="F256" s="234"/>
      <c r="G256" s="234">
        <v>2.7</v>
      </c>
      <c r="H256" s="178"/>
      <c r="I256" s="178"/>
      <c r="J256" s="178"/>
      <c r="K256" s="178">
        <f t="shared" si="24"/>
        <v>7.2900000000000009</v>
      </c>
      <c r="L256" s="178">
        <f t="shared" si="23"/>
        <v>14.580000000000002</v>
      </c>
      <c r="M256" s="220"/>
    </row>
    <row r="257" spans="1:13">
      <c r="A257" s="220"/>
      <c r="B257" s="332" t="s">
        <v>452</v>
      </c>
      <c r="C257" s="332"/>
      <c r="D257" s="178">
        <v>3</v>
      </c>
      <c r="E257" s="178">
        <v>2.6</v>
      </c>
      <c r="F257" s="234"/>
      <c r="G257" s="234">
        <v>3.5</v>
      </c>
      <c r="H257" s="178"/>
      <c r="I257" s="178"/>
      <c r="J257" s="178"/>
      <c r="K257" s="178">
        <f t="shared" si="24"/>
        <v>9.1</v>
      </c>
      <c r="L257" s="178">
        <f t="shared" si="23"/>
        <v>27.299999999999997</v>
      </c>
      <c r="M257" s="220"/>
    </row>
    <row r="258" spans="1:13">
      <c r="A258" s="220"/>
      <c r="B258" s="332" t="s">
        <v>438</v>
      </c>
      <c r="C258" s="332"/>
      <c r="D258" s="178">
        <v>1</v>
      </c>
      <c r="E258" s="178">
        <v>0.4</v>
      </c>
      <c r="F258" s="234"/>
      <c r="G258" s="234">
        <v>3.1</v>
      </c>
      <c r="H258" s="178"/>
      <c r="I258" s="178"/>
      <c r="J258" s="178"/>
      <c r="K258" s="178">
        <f t="shared" si="24"/>
        <v>1.2400000000000002</v>
      </c>
      <c r="L258" s="178">
        <f t="shared" si="23"/>
        <v>1.2400000000000002</v>
      </c>
      <c r="M258" s="220"/>
    </row>
    <row r="259" spans="1:13">
      <c r="A259" s="220"/>
      <c r="B259" s="332" t="s">
        <v>612</v>
      </c>
      <c r="C259" s="332"/>
      <c r="D259" s="178">
        <v>1</v>
      </c>
      <c r="E259" s="178">
        <v>11.5</v>
      </c>
      <c r="F259" s="234"/>
      <c r="G259" s="234">
        <v>3.4</v>
      </c>
      <c r="H259" s="178"/>
      <c r="I259" s="178"/>
      <c r="J259" s="178"/>
      <c r="K259" s="178">
        <f t="shared" si="24"/>
        <v>39.1</v>
      </c>
      <c r="L259" s="178">
        <f t="shared" si="23"/>
        <v>39.1</v>
      </c>
      <c r="M259" s="220"/>
    </row>
    <row r="260" spans="1:13">
      <c r="A260" s="220"/>
      <c r="B260" s="220"/>
      <c r="C260" s="220"/>
      <c r="D260" s="220"/>
      <c r="E260" s="220"/>
      <c r="F260" s="220"/>
      <c r="G260" s="220"/>
      <c r="H260" s="220"/>
      <c r="I260" s="220"/>
      <c r="J260" s="220"/>
      <c r="K260" s="220"/>
      <c r="L260" s="220"/>
      <c r="M260" s="220"/>
    </row>
    <row r="261" spans="1:13">
      <c r="A261" s="220"/>
      <c r="B261" s="220"/>
      <c r="C261" s="220"/>
      <c r="D261" s="220"/>
      <c r="E261" s="220"/>
      <c r="F261" s="220"/>
      <c r="G261" s="220"/>
      <c r="H261" s="220"/>
      <c r="I261" s="220"/>
      <c r="J261" s="220"/>
      <c r="K261" s="220"/>
      <c r="L261" s="220"/>
      <c r="M261" s="220"/>
    </row>
    <row r="262" spans="1:13">
      <c r="A262" s="220" t="s">
        <v>530</v>
      </c>
      <c r="B262" s="337" t="str">
        <f>'[1]ITENS NOVOS'!D17</f>
        <v>ALVENARIA DE TIJOLO CERÂMICO FURADO (9x19x19)cm C/ARGAMASSA MISTA DE CAL HIDRATADA ESP=20 cm</v>
      </c>
      <c r="C262" s="337"/>
      <c r="D262" s="337"/>
      <c r="E262" s="337"/>
      <c r="F262" s="337"/>
      <c r="G262" s="337"/>
      <c r="H262" s="337"/>
      <c r="I262" s="337"/>
      <c r="J262" s="337"/>
      <c r="K262" s="337"/>
      <c r="L262" s="220">
        <f>SUM(L264:L285)</f>
        <v>85.483000000000004</v>
      </c>
      <c r="M262" s="220" t="s">
        <v>429</v>
      </c>
    </row>
    <row r="263" spans="1:13">
      <c r="A263" s="220"/>
      <c r="B263" s="220"/>
      <c r="C263" s="220"/>
      <c r="D263" s="220"/>
      <c r="E263" s="220" t="s">
        <v>613</v>
      </c>
      <c r="F263" s="220"/>
      <c r="G263" s="220" t="s">
        <v>588</v>
      </c>
      <c r="H263" s="220"/>
      <c r="I263" s="220"/>
      <c r="J263" s="220"/>
      <c r="K263" s="220"/>
      <c r="L263" s="220"/>
      <c r="M263" s="220"/>
    </row>
    <row r="264" spans="1:13">
      <c r="A264" s="220"/>
      <c r="B264" s="335" t="s">
        <v>612</v>
      </c>
      <c r="C264" s="335"/>
      <c r="D264" s="220">
        <v>1</v>
      </c>
      <c r="E264" s="220">
        <v>21.8</v>
      </c>
      <c r="F264" s="220"/>
      <c r="G264" s="220">
        <v>1.5</v>
      </c>
      <c r="H264" s="220"/>
      <c r="I264" s="220"/>
      <c r="J264" s="220"/>
      <c r="K264" s="220"/>
      <c r="L264" s="220">
        <f>E264*G264</f>
        <v>32.700000000000003</v>
      </c>
      <c r="M264" s="220"/>
    </row>
    <row r="265" spans="1:13">
      <c r="A265" s="220"/>
      <c r="B265" s="220"/>
      <c r="C265" s="220"/>
      <c r="D265" s="220">
        <v>1</v>
      </c>
      <c r="E265" s="220">
        <v>14</v>
      </c>
      <c r="F265" s="220"/>
      <c r="G265" s="220">
        <v>1.5</v>
      </c>
      <c r="H265" s="220"/>
      <c r="I265" s="220"/>
      <c r="J265" s="220"/>
      <c r="K265" s="220"/>
      <c r="L265" s="220">
        <f t="shared" ref="L265:L285" si="25">E265*G265</f>
        <v>21</v>
      </c>
      <c r="M265" s="220"/>
    </row>
    <row r="266" spans="1:13">
      <c r="A266" s="220"/>
      <c r="B266" s="335" t="s">
        <v>438</v>
      </c>
      <c r="C266" s="335"/>
      <c r="D266" s="220">
        <v>1</v>
      </c>
      <c r="E266" s="220">
        <v>4.45</v>
      </c>
      <c r="F266" s="220"/>
      <c r="G266" s="220">
        <v>3.1</v>
      </c>
      <c r="H266" s="220"/>
      <c r="I266" s="220"/>
      <c r="J266" s="220"/>
      <c r="K266" s="220"/>
      <c r="L266" s="220">
        <f t="shared" si="25"/>
        <v>13.795000000000002</v>
      </c>
      <c r="M266" s="220"/>
    </row>
    <row r="267" spans="1:13">
      <c r="A267" s="220"/>
      <c r="B267" s="220"/>
      <c r="C267" s="220"/>
      <c r="D267" s="220">
        <v>1</v>
      </c>
      <c r="E267" s="220">
        <v>2.1</v>
      </c>
      <c r="F267" s="220"/>
      <c r="G267" s="220">
        <v>1</v>
      </c>
      <c r="H267" s="220"/>
      <c r="I267" s="220"/>
      <c r="J267" s="220"/>
      <c r="K267" s="220"/>
      <c r="L267" s="220">
        <f t="shared" si="25"/>
        <v>2.1</v>
      </c>
      <c r="M267" s="220"/>
    </row>
    <row r="268" spans="1:13">
      <c r="A268" s="220"/>
      <c r="B268" s="220"/>
      <c r="C268" s="220"/>
      <c r="D268" s="220">
        <v>1</v>
      </c>
      <c r="E268" s="220">
        <v>0.7</v>
      </c>
      <c r="F268" s="220"/>
      <c r="G268" s="220">
        <v>3.1</v>
      </c>
      <c r="H268" s="220"/>
      <c r="I268" s="220"/>
      <c r="J268" s="220"/>
      <c r="K268" s="220"/>
      <c r="L268" s="220">
        <f t="shared" si="25"/>
        <v>2.17</v>
      </c>
      <c r="M268" s="220"/>
    </row>
    <row r="269" spans="1:13">
      <c r="A269" s="220"/>
      <c r="B269" s="335" t="s">
        <v>614</v>
      </c>
      <c r="C269" s="335"/>
      <c r="D269" s="220">
        <v>1</v>
      </c>
      <c r="E269" s="220">
        <v>1</v>
      </c>
      <c r="F269" s="220"/>
      <c r="G269" s="220">
        <v>2.1</v>
      </c>
      <c r="H269" s="220"/>
      <c r="I269" s="220"/>
      <c r="J269" s="220"/>
      <c r="K269" s="220"/>
      <c r="L269" s="220">
        <f t="shared" si="25"/>
        <v>2.1</v>
      </c>
      <c r="M269" s="220"/>
    </row>
    <row r="270" spans="1:13">
      <c r="A270" s="220"/>
      <c r="B270" s="220"/>
      <c r="C270" s="220"/>
      <c r="D270" s="220">
        <v>1</v>
      </c>
      <c r="E270" s="220">
        <v>1.2</v>
      </c>
      <c r="F270" s="220"/>
      <c r="G270" s="220">
        <v>0.7</v>
      </c>
      <c r="H270" s="220"/>
      <c r="I270" s="220"/>
      <c r="J270" s="220"/>
      <c r="K270" s="220"/>
      <c r="L270" s="220">
        <f t="shared" si="25"/>
        <v>0.84</v>
      </c>
      <c r="M270" s="220"/>
    </row>
    <row r="271" spans="1:13">
      <c r="A271" s="220"/>
      <c r="B271" s="329" t="s">
        <v>615</v>
      </c>
      <c r="C271" s="330"/>
      <c r="D271" s="220"/>
      <c r="E271" s="220"/>
      <c r="F271" s="220"/>
      <c r="G271" s="220"/>
      <c r="H271" s="220"/>
      <c r="I271" s="220"/>
      <c r="J271" s="220"/>
      <c r="K271" s="220"/>
      <c r="L271" s="220"/>
      <c r="M271" s="220"/>
    </row>
    <row r="272" spans="1:13">
      <c r="A272" s="220"/>
      <c r="B272" s="347" t="s">
        <v>597</v>
      </c>
      <c r="C272" s="347"/>
      <c r="D272" s="233">
        <v>1</v>
      </c>
      <c r="E272" s="233">
        <v>4.2</v>
      </c>
      <c r="F272" s="220"/>
      <c r="G272" s="220">
        <v>0.2</v>
      </c>
      <c r="H272" s="220"/>
      <c r="I272" s="220"/>
      <c r="J272" s="220"/>
      <c r="K272" s="220"/>
      <c r="L272" s="220">
        <f t="shared" si="25"/>
        <v>0.84000000000000008</v>
      </c>
      <c r="M272" s="220"/>
    </row>
    <row r="273" spans="1:13" ht="22.15" customHeight="1">
      <c r="A273" s="220"/>
      <c r="B273" s="347" t="s">
        <v>600</v>
      </c>
      <c r="C273" s="347"/>
      <c r="D273" s="233">
        <v>2</v>
      </c>
      <c r="E273" s="233">
        <v>6.38</v>
      </c>
      <c r="F273" s="220"/>
      <c r="G273" s="220">
        <v>0.2</v>
      </c>
      <c r="H273" s="220"/>
      <c r="I273" s="220"/>
      <c r="J273" s="220"/>
      <c r="K273" s="220"/>
      <c r="L273" s="220">
        <f t="shared" si="25"/>
        <v>1.276</v>
      </c>
      <c r="M273" s="220"/>
    </row>
    <row r="274" spans="1:13">
      <c r="A274" s="220"/>
      <c r="B274" s="347" t="s">
        <v>601</v>
      </c>
      <c r="C274" s="347"/>
      <c r="D274" s="233">
        <v>1</v>
      </c>
      <c r="E274" s="233">
        <v>5.45</v>
      </c>
      <c r="F274" s="220"/>
      <c r="G274" s="220">
        <v>0.2</v>
      </c>
      <c r="H274" s="220"/>
      <c r="I274" s="220"/>
      <c r="J274" s="220"/>
      <c r="K274" s="220"/>
      <c r="L274" s="220">
        <f t="shared" si="25"/>
        <v>1.0900000000000001</v>
      </c>
      <c r="M274" s="220"/>
    </row>
    <row r="275" spans="1:13">
      <c r="A275" s="220"/>
      <c r="B275" s="347" t="s">
        <v>616</v>
      </c>
      <c r="C275" s="347"/>
      <c r="D275" s="233">
        <v>1</v>
      </c>
      <c r="E275" s="233">
        <v>2.67</v>
      </c>
      <c r="F275" s="220"/>
      <c r="G275" s="220">
        <v>0.2</v>
      </c>
      <c r="H275" s="220"/>
      <c r="I275" s="220"/>
      <c r="J275" s="220"/>
      <c r="K275" s="220"/>
      <c r="L275" s="220">
        <f t="shared" si="25"/>
        <v>0.53400000000000003</v>
      </c>
      <c r="M275" s="220"/>
    </row>
    <row r="276" spans="1:13">
      <c r="A276" s="220"/>
      <c r="B276" s="347" t="s">
        <v>617</v>
      </c>
      <c r="C276" s="347"/>
      <c r="D276" s="233">
        <v>1</v>
      </c>
      <c r="E276" s="233">
        <v>3.82</v>
      </c>
      <c r="F276" s="220"/>
      <c r="G276" s="220">
        <v>0.2</v>
      </c>
      <c r="H276" s="220"/>
      <c r="I276" s="220"/>
      <c r="J276" s="220"/>
      <c r="K276" s="220"/>
      <c r="L276" s="220">
        <f t="shared" si="25"/>
        <v>0.76400000000000001</v>
      </c>
      <c r="M276" s="220"/>
    </row>
    <row r="277" spans="1:13">
      <c r="A277" s="220"/>
      <c r="B277" s="347" t="s">
        <v>618</v>
      </c>
      <c r="C277" s="347"/>
      <c r="D277" s="233">
        <v>1</v>
      </c>
      <c r="E277" s="233">
        <v>4.88</v>
      </c>
      <c r="F277" s="220"/>
      <c r="G277" s="220">
        <v>0.2</v>
      </c>
      <c r="H277" s="220"/>
      <c r="I277" s="220"/>
      <c r="J277" s="220"/>
      <c r="K277" s="220"/>
      <c r="L277" s="220">
        <f t="shared" si="25"/>
        <v>0.97599999999999998</v>
      </c>
      <c r="M277" s="220"/>
    </row>
    <row r="278" spans="1:13">
      <c r="A278" s="220"/>
      <c r="B278" s="347" t="s">
        <v>619</v>
      </c>
      <c r="C278" s="347"/>
      <c r="D278" s="233">
        <v>1</v>
      </c>
      <c r="E278" s="233">
        <v>2.67</v>
      </c>
      <c r="F278" s="220"/>
      <c r="G278" s="220">
        <v>0.2</v>
      </c>
      <c r="H278" s="220"/>
      <c r="I278" s="220"/>
      <c r="J278" s="220"/>
      <c r="K278" s="220"/>
      <c r="L278" s="220">
        <f t="shared" si="25"/>
        <v>0.53400000000000003</v>
      </c>
      <c r="M278" s="220"/>
    </row>
    <row r="279" spans="1:13">
      <c r="A279" s="220"/>
      <c r="B279" s="347" t="s">
        <v>620</v>
      </c>
      <c r="C279" s="347"/>
      <c r="D279" s="233">
        <v>1</v>
      </c>
      <c r="E279" s="233">
        <v>2.67</v>
      </c>
      <c r="F279" s="220"/>
      <c r="G279" s="220">
        <v>0.2</v>
      </c>
      <c r="H279" s="220"/>
      <c r="I279" s="220"/>
      <c r="J279" s="220"/>
      <c r="K279" s="220"/>
      <c r="L279" s="220">
        <f t="shared" si="25"/>
        <v>0.53400000000000003</v>
      </c>
      <c r="M279" s="220"/>
    </row>
    <row r="280" spans="1:13">
      <c r="A280" s="220"/>
      <c r="B280" s="347" t="s">
        <v>621</v>
      </c>
      <c r="C280" s="347"/>
      <c r="D280" s="233">
        <v>1</v>
      </c>
      <c r="E280" s="233">
        <v>2.95</v>
      </c>
      <c r="F280" s="220"/>
      <c r="G280" s="220">
        <v>0.2</v>
      </c>
      <c r="H280" s="220"/>
      <c r="I280" s="220"/>
      <c r="J280" s="220"/>
      <c r="K280" s="220"/>
      <c r="L280" s="220">
        <f t="shared" si="25"/>
        <v>0.59000000000000008</v>
      </c>
      <c r="M280" s="220"/>
    </row>
    <row r="281" spans="1:13">
      <c r="A281" s="220"/>
      <c r="B281" s="347"/>
      <c r="C281" s="347"/>
      <c r="D281" s="233">
        <v>1</v>
      </c>
      <c r="E281" s="233">
        <v>2.8</v>
      </c>
      <c r="F281" s="220"/>
      <c r="G281" s="220">
        <v>0.2</v>
      </c>
      <c r="H281" s="220"/>
      <c r="I281" s="220"/>
      <c r="J281" s="220"/>
      <c r="K281" s="220"/>
      <c r="L281" s="220">
        <f t="shared" si="25"/>
        <v>0.55999999999999994</v>
      </c>
      <c r="M281" s="220"/>
    </row>
    <row r="282" spans="1:13">
      <c r="A282" s="220"/>
      <c r="B282" s="347"/>
      <c r="C282" s="347"/>
      <c r="D282" s="233">
        <v>1</v>
      </c>
      <c r="E282" s="233">
        <v>4.8</v>
      </c>
      <c r="F282" s="220"/>
      <c r="G282" s="220">
        <v>0.2</v>
      </c>
      <c r="H282" s="220"/>
      <c r="I282" s="220"/>
      <c r="J282" s="220"/>
      <c r="K282" s="220"/>
      <c r="L282" s="220">
        <f t="shared" si="25"/>
        <v>0.96</v>
      </c>
      <c r="M282" s="220"/>
    </row>
    <row r="283" spans="1:13" ht="19.149999999999999" customHeight="1">
      <c r="A283" s="220"/>
      <c r="B283" s="347"/>
      <c r="C283" s="347"/>
      <c r="D283" s="233">
        <v>1</v>
      </c>
      <c r="E283" s="233">
        <v>1.75</v>
      </c>
      <c r="F283" s="220"/>
      <c r="G283" s="220">
        <v>0.2</v>
      </c>
      <c r="H283" s="220"/>
      <c r="I283" s="220"/>
      <c r="J283" s="220"/>
      <c r="K283" s="220"/>
      <c r="L283" s="220">
        <f t="shared" si="25"/>
        <v>0.35000000000000003</v>
      </c>
      <c r="M283" s="220"/>
    </row>
    <row r="284" spans="1:13">
      <c r="A284" s="220"/>
      <c r="B284" s="347"/>
      <c r="C284" s="347"/>
      <c r="D284" s="233">
        <v>1</v>
      </c>
      <c r="E284" s="233">
        <v>3</v>
      </c>
      <c r="F284" s="220"/>
      <c r="G284" s="220">
        <v>0.2</v>
      </c>
      <c r="H284" s="220"/>
      <c r="I284" s="220"/>
      <c r="J284" s="220"/>
      <c r="K284" s="220"/>
      <c r="L284" s="220">
        <f t="shared" si="25"/>
        <v>0.60000000000000009</v>
      </c>
      <c r="M284" s="220"/>
    </row>
    <row r="285" spans="1:13">
      <c r="A285" s="220"/>
      <c r="B285" s="347"/>
      <c r="C285" s="347"/>
      <c r="D285" s="233">
        <v>1</v>
      </c>
      <c r="E285" s="233">
        <v>5.85</v>
      </c>
      <c r="F285" s="220"/>
      <c r="G285" s="220">
        <v>0.2</v>
      </c>
      <c r="H285" s="220"/>
      <c r="I285" s="220"/>
      <c r="J285" s="220"/>
      <c r="K285" s="220"/>
      <c r="L285" s="220">
        <f t="shared" si="25"/>
        <v>1.17</v>
      </c>
      <c r="M285" s="220"/>
    </row>
    <row r="286" spans="1:13">
      <c r="A286" s="220"/>
      <c r="B286" s="220"/>
      <c r="C286" s="220"/>
      <c r="D286" s="220"/>
      <c r="E286" s="220"/>
      <c r="F286" s="220"/>
      <c r="G286" s="220"/>
      <c r="H286" s="220"/>
      <c r="I286" s="220"/>
      <c r="J286" s="220"/>
      <c r="K286" s="220"/>
      <c r="L286" s="220"/>
      <c r="M286" s="220"/>
    </row>
    <row r="287" spans="1:13">
      <c r="A287" s="220"/>
      <c r="B287" s="169"/>
      <c r="C287" s="169"/>
      <c r="D287" s="169"/>
      <c r="E287" s="169"/>
      <c r="F287" s="169"/>
      <c r="G287" s="169"/>
      <c r="H287" s="169"/>
      <c r="I287" s="169"/>
      <c r="J287" s="169"/>
      <c r="K287" s="220"/>
      <c r="L287" s="220"/>
      <c r="M287" s="220"/>
    </row>
    <row r="288" spans="1:13">
      <c r="A288" s="220" t="s">
        <v>622</v>
      </c>
      <c r="B288" s="337" t="str">
        <f>[1]ORÇAMENTO!B44</f>
        <v>COBERTURAS E PROTEÇÕES</v>
      </c>
      <c r="C288" s="337"/>
      <c r="D288" s="337"/>
      <c r="E288" s="337"/>
      <c r="F288" s="337"/>
      <c r="G288" s="337"/>
      <c r="H288" s="337"/>
      <c r="I288" s="337"/>
      <c r="J288" s="337"/>
      <c r="K288" s="337"/>
      <c r="L288" s="220"/>
      <c r="M288" s="220"/>
    </row>
    <row r="289" spans="1:13">
      <c r="A289" s="220"/>
      <c r="B289" s="169"/>
      <c r="C289" s="169"/>
      <c r="D289" s="169"/>
      <c r="E289" s="169"/>
      <c r="F289" s="169"/>
      <c r="G289" s="169"/>
      <c r="H289" s="169"/>
      <c r="I289" s="169"/>
      <c r="J289" s="169"/>
      <c r="K289" s="220"/>
      <c r="L289" s="220"/>
      <c r="M289" s="220"/>
    </row>
    <row r="290" spans="1:13">
      <c r="A290" s="220"/>
      <c r="B290" s="169"/>
      <c r="C290" s="169"/>
      <c r="D290" s="169"/>
      <c r="E290" s="169"/>
      <c r="F290" s="169"/>
      <c r="G290" s="169"/>
      <c r="H290" s="169"/>
      <c r="I290" s="169"/>
      <c r="J290" s="169"/>
      <c r="K290" s="220"/>
      <c r="L290" s="220"/>
      <c r="M290" s="220"/>
    </row>
    <row r="291" spans="1:13">
      <c r="A291" s="220"/>
      <c r="B291" s="169"/>
      <c r="C291" s="169"/>
      <c r="D291" s="169"/>
      <c r="E291" s="169"/>
      <c r="F291" s="169"/>
      <c r="G291" s="169"/>
      <c r="H291" s="169"/>
      <c r="I291" s="169"/>
      <c r="J291" s="169"/>
      <c r="K291" s="220"/>
      <c r="L291" s="220"/>
      <c r="M291" s="220"/>
    </row>
    <row r="292" spans="1:13">
      <c r="A292" s="220"/>
      <c r="B292" s="169"/>
      <c r="C292" s="169"/>
      <c r="D292" s="169"/>
      <c r="E292" s="169"/>
      <c r="F292" s="169"/>
      <c r="G292" s="169"/>
      <c r="H292" s="169"/>
      <c r="I292" s="169"/>
      <c r="J292" s="169"/>
      <c r="K292" s="220"/>
      <c r="L292" s="220"/>
      <c r="M292" s="220"/>
    </row>
    <row r="293" spans="1:13">
      <c r="A293" s="220"/>
      <c r="B293" s="169"/>
      <c r="C293" s="169"/>
      <c r="D293" s="169"/>
      <c r="E293" s="169"/>
      <c r="F293" s="169"/>
      <c r="G293" s="169"/>
      <c r="H293" s="169"/>
      <c r="I293" s="169"/>
      <c r="J293" s="169"/>
      <c r="K293" s="220"/>
      <c r="L293" s="220"/>
      <c r="M293" s="220"/>
    </row>
    <row r="294" spans="1:13">
      <c r="A294" s="220"/>
      <c r="B294" s="169"/>
      <c r="C294" s="169"/>
      <c r="D294" s="169"/>
      <c r="E294" s="169"/>
      <c r="F294" s="169"/>
      <c r="G294" s="169"/>
      <c r="H294" s="169"/>
      <c r="I294" s="169"/>
      <c r="J294" s="169"/>
      <c r="K294" s="220"/>
      <c r="L294" s="220"/>
      <c r="M294" s="220"/>
    </row>
    <row r="295" spans="1:13">
      <c r="A295" s="220"/>
      <c r="B295" s="169"/>
      <c r="C295" s="169"/>
      <c r="D295" s="169"/>
      <c r="E295" s="169"/>
      <c r="F295" s="169"/>
      <c r="G295" s="169"/>
      <c r="H295" s="169"/>
      <c r="I295" s="169"/>
      <c r="J295" s="169"/>
      <c r="K295" s="220"/>
      <c r="L295" s="220"/>
      <c r="M295" s="220"/>
    </row>
    <row r="296" spans="1:13">
      <c r="A296" s="220"/>
      <c r="B296" s="169"/>
      <c r="C296" s="169"/>
      <c r="D296" s="169"/>
      <c r="E296" s="169"/>
      <c r="F296" s="169"/>
      <c r="G296" s="169"/>
      <c r="H296" s="169"/>
      <c r="I296" s="169"/>
      <c r="J296" s="169"/>
      <c r="K296" s="220"/>
      <c r="L296" s="220"/>
      <c r="M296" s="220"/>
    </row>
    <row r="297" spans="1:13">
      <c r="A297" s="220"/>
      <c r="B297" s="169"/>
      <c r="C297" s="169"/>
      <c r="D297" s="169"/>
      <c r="E297" s="169"/>
      <c r="F297" s="169"/>
      <c r="G297" s="169"/>
      <c r="H297" s="169"/>
      <c r="I297" s="169"/>
      <c r="J297" s="169"/>
      <c r="K297" s="220"/>
      <c r="L297" s="220"/>
      <c r="M297" s="220"/>
    </row>
    <row r="298" spans="1:13">
      <c r="A298" s="220"/>
      <c r="B298" s="169"/>
      <c r="C298" s="169"/>
      <c r="D298" s="169"/>
      <c r="E298" s="169"/>
      <c r="F298" s="169"/>
      <c r="G298" s="169"/>
      <c r="H298" s="169"/>
      <c r="I298" s="169"/>
      <c r="J298" s="169"/>
      <c r="K298" s="220"/>
      <c r="L298" s="220"/>
      <c r="M298" s="220"/>
    </row>
    <row r="299" spans="1:13">
      <c r="A299" s="220"/>
      <c r="B299" s="169"/>
      <c r="C299" s="169"/>
      <c r="D299" s="169"/>
      <c r="E299" s="169"/>
      <c r="F299" s="169"/>
      <c r="G299" s="169"/>
      <c r="H299" s="169"/>
      <c r="I299" s="169"/>
      <c r="J299" s="169"/>
      <c r="K299" s="220"/>
      <c r="L299" s="220"/>
      <c r="M299" s="220"/>
    </row>
    <row r="300" spans="1:13">
      <c r="A300" s="220"/>
      <c r="B300" s="169"/>
      <c r="C300" s="169"/>
      <c r="D300" s="169"/>
      <c r="E300" s="169"/>
      <c r="F300" s="169"/>
      <c r="G300" s="169"/>
      <c r="H300" s="169"/>
      <c r="I300" s="169"/>
      <c r="J300" s="169"/>
      <c r="K300" s="220"/>
      <c r="L300" s="220"/>
      <c r="M300" s="220"/>
    </row>
    <row r="301" spans="1:13" ht="25.9" customHeight="1">
      <c r="A301" s="220"/>
      <c r="B301" s="169"/>
      <c r="C301" s="169"/>
      <c r="D301" s="169"/>
      <c r="E301" s="169"/>
      <c r="F301" s="169"/>
      <c r="G301" s="169"/>
      <c r="H301" s="169"/>
      <c r="I301" s="169"/>
      <c r="J301" s="169"/>
      <c r="K301" s="220"/>
      <c r="L301" s="220"/>
      <c r="M301" s="220"/>
    </row>
    <row r="302" spans="1:13">
      <c r="A302" s="220"/>
      <c r="B302" s="169"/>
      <c r="C302" s="169"/>
      <c r="D302" s="169"/>
      <c r="E302" s="169"/>
      <c r="F302" s="169"/>
      <c r="G302" s="169"/>
      <c r="H302" s="169"/>
      <c r="I302" s="169"/>
      <c r="J302" s="169"/>
      <c r="K302" s="220"/>
      <c r="L302" s="220"/>
      <c r="M302" s="220"/>
    </row>
    <row r="303" spans="1:13">
      <c r="A303" s="220"/>
      <c r="B303" s="169"/>
      <c r="C303" s="169"/>
      <c r="D303" s="169"/>
      <c r="E303" s="169"/>
      <c r="F303" s="169"/>
      <c r="G303" s="169"/>
      <c r="H303" s="169"/>
      <c r="I303" s="169"/>
      <c r="J303" s="169"/>
      <c r="K303" s="220"/>
      <c r="L303" s="220"/>
      <c r="M303" s="220"/>
    </row>
    <row r="304" spans="1:13">
      <c r="A304" s="220"/>
      <c r="B304" s="169"/>
      <c r="C304" s="169"/>
      <c r="D304" s="169"/>
      <c r="E304" s="169"/>
      <c r="F304" s="169"/>
      <c r="G304" s="169"/>
      <c r="H304" s="169"/>
      <c r="I304" s="169"/>
      <c r="J304" s="169"/>
      <c r="K304" s="220"/>
      <c r="L304" s="220"/>
      <c r="M304" s="220"/>
    </row>
    <row r="305" spans="1:13">
      <c r="A305" s="220"/>
      <c r="B305" s="169"/>
      <c r="C305" s="169"/>
      <c r="D305" s="169"/>
      <c r="E305" s="169"/>
      <c r="F305" s="169"/>
      <c r="G305" s="169"/>
      <c r="H305" s="169"/>
      <c r="I305" s="169"/>
      <c r="J305" s="169"/>
      <c r="K305" s="220"/>
      <c r="L305" s="220"/>
      <c r="M305" s="220"/>
    </row>
    <row r="306" spans="1:13">
      <c r="A306" s="220"/>
      <c r="B306" s="169"/>
      <c r="C306" s="169"/>
      <c r="D306" s="169"/>
      <c r="E306" s="169"/>
      <c r="F306" s="169"/>
      <c r="G306" s="169"/>
      <c r="H306" s="169"/>
      <c r="I306" s="169"/>
      <c r="J306" s="169"/>
      <c r="K306" s="220"/>
      <c r="L306" s="220"/>
      <c r="M306" s="220"/>
    </row>
    <row r="307" spans="1:13">
      <c r="A307" s="220"/>
      <c r="B307" s="169"/>
      <c r="C307" s="169"/>
      <c r="D307" s="169"/>
      <c r="E307" s="169"/>
      <c r="F307" s="169"/>
      <c r="G307" s="169"/>
      <c r="H307" s="169"/>
      <c r="I307" s="169"/>
      <c r="J307" s="169"/>
      <c r="K307" s="220"/>
      <c r="L307" s="220"/>
      <c r="M307" s="220"/>
    </row>
    <row r="308" spans="1:13">
      <c r="A308" s="220"/>
      <c r="B308" s="169"/>
      <c r="C308" s="169"/>
      <c r="D308" s="169"/>
      <c r="E308" s="169"/>
      <c r="F308" s="169"/>
      <c r="G308" s="169"/>
      <c r="H308" s="169"/>
      <c r="I308" s="169"/>
      <c r="J308" s="169"/>
      <c r="K308" s="220"/>
      <c r="L308" s="220"/>
      <c r="M308" s="220"/>
    </row>
    <row r="309" spans="1:13">
      <c r="A309" s="220"/>
      <c r="B309" s="169"/>
      <c r="C309" s="169"/>
      <c r="D309" s="169"/>
      <c r="E309" s="169"/>
      <c r="F309" s="169"/>
      <c r="G309" s="169"/>
      <c r="H309" s="169"/>
      <c r="I309" s="169"/>
      <c r="J309" s="169"/>
      <c r="K309" s="220"/>
      <c r="L309" s="220"/>
      <c r="M309" s="220"/>
    </row>
    <row r="310" spans="1:13">
      <c r="A310" s="220"/>
      <c r="B310" s="169"/>
      <c r="C310" s="169"/>
      <c r="D310" s="169"/>
      <c r="E310" s="169"/>
      <c r="F310" s="169"/>
      <c r="G310" s="169"/>
      <c r="H310" s="169"/>
      <c r="I310" s="169"/>
      <c r="J310" s="169"/>
      <c r="K310" s="220"/>
      <c r="L310" s="220"/>
      <c r="M310" s="220"/>
    </row>
    <row r="311" spans="1:13">
      <c r="A311" s="220"/>
      <c r="B311" s="169"/>
      <c r="C311" s="169"/>
      <c r="D311" s="169"/>
      <c r="E311" s="169"/>
      <c r="F311" s="169"/>
      <c r="G311" s="169"/>
      <c r="H311" s="169"/>
      <c r="I311" s="169"/>
      <c r="J311" s="169"/>
      <c r="K311" s="220"/>
      <c r="L311" s="220"/>
      <c r="M311" s="220"/>
    </row>
    <row r="312" spans="1:13">
      <c r="A312" s="220"/>
      <c r="B312" s="169"/>
      <c r="C312" s="169"/>
      <c r="D312" s="169"/>
      <c r="E312" s="169"/>
      <c r="F312" s="169"/>
      <c r="G312" s="169"/>
      <c r="H312" s="169"/>
      <c r="I312" s="169"/>
      <c r="J312" s="169"/>
      <c r="K312" s="220"/>
      <c r="L312" s="220"/>
      <c r="M312" s="220"/>
    </row>
    <row r="313" spans="1:13">
      <c r="A313" s="220"/>
      <c r="B313" s="169"/>
      <c r="C313" s="169"/>
      <c r="D313" s="169"/>
      <c r="E313" s="169"/>
      <c r="F313" s="169"/>
      <c r="G313" s="169"/>
      <c r="H313" s="169"/>
      <c r="I313" s="169"/>
      <c r="J313" s="169"/>
      <c r="K313" s="220"/>
      <c r="L313" s="220"/>
      <c r="M313" s="220"/>
    </row>
    <row r="314" spans="1:13">
      <c r="A314" s="220"/>
      <c r="B314" s="169"/>
      <c r="C314" s="169"/>
      <c r="D314" s="169"/>
      <c r="E314" s="169"/>
      <c r="F314" s="169"/>
      <c r="G314" s="169"/>
      <c r="H314" s="169"/>
      <c r="I314" s="169"/>
      <c r="J314" s="169"/>
      <c r="K314" s="220"/>
      <c r="L314" s="220"/>
      <c r="M314" s="220"/>
    </row>
    <row r="315" spans="1:13">
      <c r="A315" s="220"/>
      <c r="B315" s="169"/>
      <c r="C315" s="169"/>
      <c r="D315" s="169"/>
      <c r="E315" s="169"/>
      <c r="F315" s="169"/>
      <c r="G315" s="169"/>
      <c r="H315" s="169"/>
      <c r="I315" s="169"/>
      <c r="J315" s="169"/>
      <c r="K315" s="220"/>
      <c r="L315" s="220"/>
      <c r="M315" s="220"/>
    </row>
    <row r="316" spans="1:13">
      <c r="A316" s="220"/>
      <c r="B316" s="169"/>
      <c r="C316" s="169"/>
      <c r="D316" s="169"/>
      <c r="E316" s="169"/>
      <c r="F316" s="169"/>
      <c r="G316" s="169"/>
      <c r="H316" s="169"/>
      <c r="I316" s="169"/>
      <c r="J316" s="169"/>
      <c r="K316" s="220"/>
      <c r="L316" s="220"/>
      <c r="M316" s="220"/>
    </row>
    <row r="317" spans="1:13">
      <c r="A317" s="220"/>
      <c r="B317" s="169"/>
      <c r="C317" s="169"/>
      <c r="D317" s="169"/>
      <c r="E317" s="169"/>
      <c r="F317" s="169"/>
      <c r="G317" s="169"/>
      <c r="H317" s="169"/>
      <c r="I317" s="169"/>
      <c r="J317" s="169"/>
      <c r="K317" s="220"/>
      <c r="L317" s="220"/>
      <c r="M317" s="220"/>
    </row>
    <row r="318" spans="1:13">
      <c r="A318" s="220"/>
      <c r="B318" s="169"/>
      <c r="C318" s="169"/>
      <c r="D318" s="169"/>
      <c r="E318" s="169"/>
      <c r="F318" s="169"/>
      <c r="G318" s="169"/>
      <c r="H318" s="169"/>
      <c r="I318" s="169"/>
      <c r="J318" s="169"/>
      <c r="K318" s="220"/>
      <c r="L318" s="220"/>
      <c r="M318" s="220"/>
    </row>
    <row r="319" spans="1:13">
      <c r="A319" s="220"/>
      <c r="B319" s="169"/>
      <c r="C319" s="169"/>
      <c r="D319" s="169"/>
      <c r="E319" s="169"/>
      <c r="F319" s="169"/>
      <c r="G319" s="169"/>
      <c r="H319" s="169"/>
      <c r="I319" s="169"/>
      <c r="J319" s="169"/>
      <c r="K319" s="220"/>
      <c r="L319" s="220"/>
      <c r="M319" s="220"/>
    </row>
    <row r="320" spans="1:13" ht="28.9" customHeight="1">
      <c r="A320" s="220" t="s">
        <v>57</v>
      </c>
      <c r="B320" s="348" t="str">
        <f>BM_06!B57</f>
        <v>TRAMA DE MADEIRA COMPOSTA POR RIPAS, CAIBROS E TERÇAS PARA TELHADOS DE ATÉ 2 ÁGUAS PARA TELHA DE ENCAIXE DE CERÂMICA OU DE CONCRETO, INCLUSO TRANSPORTE VERTICAL. AF_07/2019</v>
      </c>
      <c r="C320" s="348"/>
      <c r="D320" s="348"/>
      <c r="E320" s="348"/>
      <c r="F320" s="348"/>
      <c r="G320" s="348"/>
      <c r="H320" s="348"/>
      <c r="I320" s="348"/>
      <c r="J320" s="348"/>
      <c r="K320" s="348"/>
      <c r="L320" s="220">
        <f>L322-L321</f>
        <v>183.39</v>
      </c>
      <c r="M320" s="220" t="s">
        <v>429</v>
      </c>
    </row>
    <row r="321" spans="1:13">
      <c r="A321" s="220"/>
      <c r="B321" s="169"/>
      <c r="C321" s="169"/>
      <c r="D321" s="169"/>
      <c r="E321" s="169"/>
      <c r="F321" s="169"/>
      <c r="G321" s="169"/>
      <c r="H321" s="169"/>
      <c r="I321" s="169"/>
      <c r="J321" s="169"/>
      <c r="K321" s="220" t="s">
        <v>626</v>
      </c>
      <c r="L321" s="220">
        <v>107.5</v>
      </c>
      <c r="M321" s="220"/>
    </row>
    <row r="322" spans="1:13">
      <c r="A322" s="220"/>
      <c r="B322" s="235"/>
      <c r="C322" s="236"/>
      <c r="D322" s="169"/>
      <c r="E322" s="169"/>
      <c r="F322" s="169"/>
      <c r="G322" s="169"/>
      <c r="H322" s="169"/>
      <c r="I322" s="169"/>
      <c r="J322" s="169"/>
      <c r="K322" s="220"/>
      <c r="L322" s="220">
        <f>SUM(L323:L324)</f>
        <v>290.89</v>
      </c>
      <c r="M322" s="220"/>
    </row>
    <row r="323" spans="1:13">
      <c r="A323" s="220"/>
      <c r="B323" s="350" t="s">
        <v>627</v>
      </c>
      <c r="C323" s="351"/>
      <c r="D323" s="169"/>
      <c r="E323" s="169"/>
      <c r="F323" s="169"/>
      <c r="G323" s="169"/>
      <c r="H323" s="169"/>
      <c r="I323" s="169"/>
      <c r="J323" s="169"/>
      <c r="K323" s="220"/>
      <c r="L323" s="220">
        <v>131.6</v>
      </c>
      <c r="M323" s="220"/>
    </row>
    <row r="324" spans="1:13">
      <c r="A324" s="220"/>
      <c r="B324" s="350" t="s">
        <v>628</v>
      </c>
      <c r="C324" s="351"/>
      <c r="D324" s="169"/>
      <c r="E324" s="169"/>
      <c r="F324" s="169"/>
      <c r="G324" s="169"/>
      <c r="H324" s="169"/>
      <c r="I324" s="169"/>
      <c r="J324" s="169"/>
      <c r="K324" s="220"/>
      <c r="L324" s="220">
        <v>159.29</v>
      </c>
      <c r="M324" s="220"/>
    </row>
    <row r="325" spans="1:13">
      <c r="A325" s="220"/>
      <c r="B325" s="169"/>
      <c r="C325" s="169"/>
      <c r="D325" s="169"/>
      <c r="E325" s="169"/>
      <c r="F325" s="169"/>
      <c r="G325" s="169"/>
      <c r="H325" s="169"/>
      <c r="I325" s="169"/>
      <c r="J325" s="169"/>
      <c r="K325" s="220"/>
      <c r="L325" s="220"/>
      <c r="M325" s="220"/>
    </row>
    <row r="326" spans="1:13" ht="32.25" customHeight="1">
      <c r="A326" s="220" t="s">
        <v>58</v>
      </c>
      <c r="B326" s="348" t="str">
        <f>BM_06!B58</f>
        <v>TELHAMENTO COM TELHA CERÂMICA CAPA-CANAL, TIPO COLONIAL, COM ATÉ 2 ÁGUAS, INCLUSO TRANSPORTE VERTICAL. AF_07/2019</v>
      </c>
      <c r="C326" s="348"/>
      <c r="D326" s="348"/>
      <c r="E326" s="348"/>
      <c r="F326" s="348"/>
      <c r="G326" s="348"/>
      <c r="H326" s="348"/>
      <c r="I326" s="348"/>
      <c r="J326" s="348"/>
      <c r="K326" s="348"/>
      <c r="L326" s="220">
        <f>SUM(L328:L328)</f>
        <v>159.29</v>
      </c>
      <c r="M326" s="220" t="s">
        <v>429</v>
      </c>
    </row>
    <row r="327" spans="1:13">
      <c r="A327" s="220"/>
      <c r="B327" s="235"/>
      <c r="C327" s="236"/>
      <c r="D327" s="169"/>
      <c r="E327" s="169"/>
      <c r="F327" s="169"/>
      <c r="G327" s="169"/>
      <c r="H327" s="169"/>
      <c r="I327" s="169"/>
      <c r="J327" s="169"/>
      <c r="K327" s="220"/>
      <c r="L327" s="220"/>
      <c r="M327" s="220"/>
    </row>
    <row r="328" spans="1:13">
      <c r="A328" s="220"/>
      <c r="B328" s="350" t="s">
        <v>628</v>
      </c>
      <c r="C328" s="351"/>
      <c r="D328" s="169"/>
      <c r="E328" s="169"/>
      <c r="F328" s="169"/>
      <c r="G328" s="169"/>
      <c r="H328" s="169"/>
      <c r="I328" s="169"/>
      <c r="J328" s="169"/>
      <c r="K328" s="220"/>
      <c r="L328" s="220">
        <v>159.29</v>
      </c>
      <c r="M328" s="220"/>
    </row>
    <row r="329" spans="1:13">
      <c r="A329" s="220"/>
      <c r="B329" s="169"/>
      <c r="C329" s="169"/>
      <c r="D329" s="169"/>
      <c r="E329" s="169"/>
      <c r="F329" s="169"/>
      <c r="G329" s="169"/>
      <c r="H329" s="169"/>
      <c r="I329" s="169"/>
      <c r="J329" s="169"/>
      <c r="K329" s="220"/>
      <c r="L329" s="220"/>
      <c r="M329" s="220"/>
    </row>
    <row r="330" spans="1:13">
      <c r="A330" s="220" t="s">
        <v>534</v>
      </c>
      <c r="B330" s="348" t="str">
        <f>'[1]ITENS NOVOS'!D16</f>
        <v>Retelhamento em cobertura com telha ceramica tipo canal comum, Itabaiana ou similar.</v>
      </c>
      <c r="C330" s="348"/>
      <c r="D330" s="348"/>
      <c r="E330" s="348"/>
      <c r="F330" s="348"/>
      <c r="G330" s="348"/>
      <c r="H330" s="348"/>
      <c r="I330" s="348"/>
      <c r="J330" s="348"/>
      <c r="K330" s="348"/>
      <c r="L330" s="220">
        <f>SUM(L332:L333)</f>
        <v>250</v>
      </c>
      <c r="M330" s="220" t="s">
        <v>429</v>
      </c>
    </row>
    <row r="331" spans="1:13">
      <c r="A331" s="220"/>
      <c r="B331" s="237"/>
      <c r="C331" s="237"/>
      <c r="D331" s="237"/>
      <c r="E331" s="237"/>
      <c r="F331" s="237"/>
      <c r="G331" s="237"/>
      <c r="H331" s="237"/>
      <c r="I331" s="237"/>
      <c r="J331" s="237"/>
      <c r="K331" s="237"/>
      <c r="L331" s="220"/>
      <c r="M331" s="220"/>
    </row>
    <row r="332" spans="1:13" ht="23.45" customHeight="1">
      <c r="A332" s="220"/>
      <c r="B332" s="349" t="s">
        <v>623</v>
      </c>
      <c r="C332" s="349"/>
      <c r="D332" s="169">
        <v>1</v>
      </c>
      <c r="E332" s="169">
        <v>131.6</v>
      </c>
      <c r="F332" s="169"/>
      <c r="G332" s="169"/>
      <c r="H332" s="169"/>
      <c r="I332" s="169"/>
      <c r="J332" s="169"/>
      <c r="K332" s="220"/>
      <c r="L332" s="220">
        <v>180</v>
      </c>
      <c r="M332" s="220"/>
    </row>
    <row r="333" spans="1:13">
      <c r="A333" s="220"/>
      <c r="B333" s="349" t="s">
        <v>624</v>
      </c>
      <c r="C333" s="349"/>
      <c r="D333" s="169">
        <v>1</v>
      </c>
      <c r="E333" s="169">
        <v>82.18</v>
      </c>
      <c r="F333" s="169"/>
      <c r="G333" s="169"/>
      <c r="H333" s="169"/>
      <c r="I333" s="169"/>
      <c r="J333" s="169"/>
      <c r="K333" s="220"/>
      <c r="L333" s="220">
        <v>70</v>
      </c>
      <c r="M333" s="220"/>
    </row>
    <row r="334" spans="1:13">
      <c r="A334" s="220"/>
      <c r="B334" s="169"/>
      <c r="C334" s="169"/>
      <c r="D334" s="169"/>
      <c r="E334" s="169"/>
      <c r="F334" s="169"/>
      <c r="G334" s="169"/>
      <c r="H334" s="169"/>
      <c r="I334" s="169"/>
      <c r="J334" s="169"/>
      <c r="K334" s="220"/>
      <c r="L334" s="220"/>
      <c r="M334" s="220"/>
    </row>
    <row r="335" spans="1:13">
      <c r="A335" s="220"/>
      <c r="B335" s="229"/>
      <c r="C335" s="230"/>
      <c r="D335" s="169"/>
      <c r="E335" s="169"/>
      <c r="F335" s="169"/>
      <c r="G335" s="169"/>
      <c r="H335" s="169"/>
      <c r="I335" s="169"/>
      <c r="J335" s="169"/>
      <c r="K335" s="220"/>
      <c r="L335" s="220"/>
      <c r="M335" s="220"/>
    </row>
    <row r="336" spans="1:13" ht="25.9" customHeight="1">
      <c r="A336" s="220" t="s">
        <v>544</v>
      </c>
      <c r="B336" s="337" t="str">
        <f>'[1]ITENS NOVOS'!D34</f>
        <v>CUMEEIRA E ESPIGÃO PARA TELHA CERÂMICA EMBOÇADA COM ARGAMASSA TRAÇO 1:2:9 (CIMENTO, CAL E AREIA), PARA TELHADOS COM MAIS DE 2 ÁGUAS, INCLUSO TRANSPORTE VERTICAL. AF_07/2019</v>
      </c>
      <c r="C336" s="337"/>
      <c r="D336" s="337"/>
      <c r="E336" s="337"/>
      <c r="F336" s="337"/>
      <c r="G336" s="337"/>
      <c r="H336" s="337"/>
      <c r="I336" s="337"/>
      <c r="J336" s="337"/>
      <c r="K336" s="337"/>
      <c r="L336" s="220">
        <f>SUM(L338:L338)</f>
        <v>14.61</v>
      </c>
      <c r="M336" s="220" t="s">
        <v>519</v>
      </c>
    </row>
    <row r="337" spans="1:13">
      <c r="A337" s="220"/>
      <c r="B337" s="169"/>
      <c r="C337" s="169"/>
      <c r="D337" s="169"/>
      <c r="E337" s="169"/>
      <c r="F337" s="169"/>
      <c r="G337" s="169"/>
      <c r="H337" s="169"/>
      <c r="I337" s="169"/>
      <c r="J337" s="169"/>
      <c r="K337" s="220"/>
      <c r="L337" s="220"/>
      <c r="M337" s="220"/>
    </row>
    <row r="338" spans="1:13">
      <c r="A338" s="220"/>
      <c r="B338" s="329" t="s">
        <v>623</v>
      </c>
      <c r="C338" s="330"/>
      <c r="D338" s="169">
        <v>1</v>
      </c>
      <c r="E338" s="169">
        <v>14.61</v>
      </c>
      <c r="F338" s="169"/>
      <c r="G338" s="169"/>
      <c r="H338" s="169"/>
      <c r="I338" s="169"/>
      <c r="J338" s="169"/>
      <c r="K338" s="220"/>
      <c r="L338" s="220">
        <f>D338*E338</f>
        <v>14.61</v>
      </c>
      <c r="M338" s="220"/>
    </row>
    <row r="339" spans="1:13">
      <c r="A339" s="220"/>
      <c r="B339" s="169"/>
      <c r="C339" s="169"/>
      <c r="D339" s="169"/>
      <c r="E339" s="169"/>
      <c r="F339" s="169"/>
      <c r="G339" s="169"/>
      <c r="H339" s="169"/>
      <c r="I339" s="169"/>
      <c r="J339" s="169"/>
      <c r="K339" s="220"/>
      <c r="L339" s="220"/>
      <c r="M339" s="220"/>
    </row>
    <row r="340" spans="1:13">
      <c r="A340" s="169"/>
      <c r="B340" s="169"/>
      <c r="C340" s="169"/>
      <c r="D340" s="169"/>
      <c r="E340" s="169"/>
      <c r="F340" s="169"/>
      <c r="G340" s="169"/>
      <c r="H340" s="169"/>
      <c r="I340" s="169"/>
      <c r="J340" s="169"/>
      <c r="K340" s="169"/>
      <c r="L340" s="169"/>
      <c r="M340" s="169"/>
    </row>
    <row r="341" spans="1:13">
      <c r="A341" s="238">
        <v>7</v>
      </c>
      <c r="B341" s="337" t="str">
        <f>[1]REPROGRAMAÇÃO!C94</f>
        <v>REVESTIMENTO</v>
      </c>
      <c r="C341" s="337"/>
      <c r="D341" s="337"/>
      <c r="E341" s="337"/>
      <c r="F341" s="337"/>
      <c r="G341" s="337"/>
      <c r="H341" s="337"/>
      <c r="I341" s="337"/>
      <c r="J341" s="337"/>
      <c r="K341" s="337"/>
      <c r="L341" s="220"/>
      <c r="M341" s="220"/>
    </row>
    <row r="342" spans="1:13">
      <c r="A342" s="220"/>
      <c r="B342" s="169"/>
      <c r="C342" s="169"/>
      <c r="D342" s="169"/>
      <c r="E342" s="169"/>
      <c r="F342" s="169"/>
      <c r="G342" s="169"/>
      <c r="H342" s="169"/>
      <c r="I342" s="169"/>
      <c r="J342" s="169"/>
      <c r="K342" s="220"/>
      <c r="L342" s="220"/>
      <c r="M342" s="220"/>
    </row>
    <row r="343" spans="1:13" ht="24" customHeight="1">
      <c r="A343" s="169" t="str">
        <f>[1]REPROGRAMAÇÃO!A95</f>
        <v>7.1</v>
      </c>
      <c r="B343" s="337" t="str">
        <f>[1]REPROGRAMAÇÃO!C95</f>
        <v>MASSA ÚNICA, PARA RECEBIMENTO DE PINTURA, EM ARGAMASSA TRAÇO 1:2:8, PREPARO MECÂNICO COM BETONEIRA 400L, APLICADA MANUALMENTE EM FACES INTERNAS DE PAREDES, ESPESSURA DE 20MM, COM EXECUÇÃO DE TALISCAS. AF_06/2014</v>
      </c>
      <c r="C343" s="337"/>
      <c r="D343" s="337"/>
      <c r="E343" s="337"/>
      <c r="F343" s="337"/>
      <c r="G343" s="337"/>
      <c r="H343" s="337"/>
      <c r="I343" s="337"/>
      <c r="J343" s="337"/>
      <c r="K343" s="337"/>
      <c r="L343" s="220">
        <f>L346</f>
        <v>467.8239999999995</v>
      </c>
      <c r="M343" s="220" t="s">
        <v>516</v>
      </c>
    </row>
    <row r="344" spans="1:13" ht="24.6" customHeight="1">
      <c r="A344" s="239"/>
      <c r="B344" s="201"/>
      <c r="C344" s="201"/>
      <c r="D344" s="201"/>
      <c r="E344" s="201"/>
      <c r="F344" s="201"/>
      <c r="G344" s="201"/>
      <c r="H344" s="201"/>
      <c r="I344" s="201"/>
      <c r="J344" s="201"/>
      <c r="K344" s="203" t="s">
        <v>454</v>
      </c>
      <c r="L344" s="240">
        <f>SUM(L348:L448)</f>
        <v>886.72399999999948</v>
      </c>
      <c r="M344" s="169"/>
    </row>
    <row r="345" spans="1:13">
      <c r="A345" s="239"/>
      <c r="B345" s="201"/>
      <c r="C345" s="201"/>
      <c r="D345" s="201"/>
      <c r="E345" s="201"/>
      <c r="F345" s="201"/>
      <c r="G345" s="201"/>
      <c r="H345" s="201"/>
      <c r="I345" s="201"/>
      <c r="J345" s="201"/>
      <c r="K345" s="203" t="s">
        <v>455</v>
      </c>
      <c r="L345" s="240">
        <v>418.9</v>
      </c>
      <c r="M345" s="169"/>
    </row>
    <row r="346" spans="1:13">
      <c r="A346" s="239"/>
      <c r="B346" s="201"/>
      <c r="C346" s="201"/>
      <c r="D346" s="201"/>
      <c r="E346" s="201"/>
      <c r="F346" s="201"/>
      <c r="G346" s="201"/>
      <c r="H346" s="201"/>
      <c r="I346" s="201"/>
      <c r="J346" s="201"/>
      <c r="K346" s="203" t="s">
        <v>480</v>
      </c>
      <c r="L346" s="240">
        <f>L344-L345</f>
        <v>467.8239999999995</v>
      </c>
      <c r="M346" s="169"/>
    </row>
    <row r="347" spans="1:13">
      <c r="A347" s="239"/>
      <c r="B347" s="201"/>
      <c r="C347" s="201"/>
      <c r="D347" s="201"/>
      <c r="E347" s="201"/>
      <c r="F347" s="241" t="s">
        <v>629</v>
      </c>
      <c r="G347" s="241"/>
      <c r="H347" s="201"/>
      <c r="I347" s="201"/>
      <c r="J347" s="201"/>
      <c r="K347" s="201"/>
      <c r="L347" s="240"/>
      <c r="M347" s="169"/>
    </row>
    <row r="348" spans="1:13">
      <c r="A348" s="239"/>
      <c r="B348" s="342" t="s">
        <v>630</v>
      </c>
      <c r="C348" s="342"/>
      <c r="D348" s="169">
        <v>2</v>
      </c>
      <c r="E348" s="169">
        <v>2</v>
      </c>
      <c r="F348" s="201"/>
      <c r="G348" s="201">
        <v>2.8</v>
      </c>
      <c r="H348" s="201"/>
      <c r="I348" s="201"/>
      <c r="J348" s="201"/>
      <c r="K348" s="186">
        <f>E348*G348</f>
        <v>5.6</v>
      </c>
      <c r="L348" s="169">
        <f>(K348*D348)+F348</f>
        <v>11.2</v>
      </c>
      <c r="M348" s="169"/>
    </row>
    <row r="349" spans="1:13" ht="15.75" thickBot="1">
      <c r="A349" s="239"/>
      <c r="B349" s="201"/>
      <c r="C349" s="201"/>
      <c r="D349" s="169">
        <v>1</v>
      </c>
      <c r="E349" s="169">
        <v>1</v>
      </c>
      <c r="F349" s="201"/>
      <c r="G349" s="201">
        <v>2.8</v>
      </c>
      <c r="H349" s="201"/>
      <c r="I349" s="201"/>
      <c r="J349" s="201"/>
      <c r="K349" s="186">
        <f t="shared" ref="K349:K412" si="26">E349*G349</f>
        <v>2.8</v>
      </c>
      <c r="L349" s="169">
        <f t="shared" ref="L349:L412" si="27">(K349*D349)+F349</f>
        <v>2.8</v>
      </c>
      <c r="M349" s="169"/>
    </row>
    <row r="350" spans="1:13">
      <c r="A350" s="242"/>
      <c r="B350" s="342" t="s">
        <v>631</v>
      </c>
      <c r="C350" s="342"/>
      <c r="D350" s="169">
        <v>2</v>
      </c>
      <c r="E350" s="169">
        <v>2</v>
      </c>
      <c r="F350" s="201"/>
      <c r="G350" s="201">
        <v>2.8</v>
      </c>
      <c r="H350" s="201"/>
      <c r="I350" s="201"/>
      <c r="J350" s="201"/>
      <c r="K350" s="186">
        <f t="shared" si="26"/>
        <v>5.6</v>
      </c>
      <c r="L350" s="169">
        <f t="shared" si="27"/>
        <v>11.2</v>
      </c>
      <c r="M350" s="169"/>
    </row>
    <row r="351" spans="1:13">
      <c r="A351" s="239"/>
      <c r="B351" s="342"/>
      <c r="C351" s="342"/>
      <c r="D351" s="169">
        <v>2</v>
      </c>
      <c r="E351" s="169">
        <v>1.4</v>
      </c>
      <c r="F351" s="201">
        <f>-0.6*2.1</f>
        <v>-1.26</v>
      </c>
      <c r="G351" s="201">
        <v>2.8</v>
      </c>
      <c r="H351" s="201"/>
      <c r="I351" s="201"/>
      <c r="J351" s="201"/>
      <c r="K351" s="186">
        <f t="shared" si="26"/>
        <v>3.9199999999999995</v>
      </c>
      <c r="L351" s="169">
        <f t="shared" si="27"/>
        <v>6.5799999999999992</v>
      </c>
      <c r="M351" s="169"/>
    </row>
    <row r="352" spans="1:13">
      <c r="A352" s="239"/>
      <c r="B352" s="342" t="s">
        <v>625</v>
      </c>
      <c r="C352" s="342"/>
      <c r="D352" s="169">
        <v>2</v>
      </c>
      <c r="E352" s="169">
        <v>4.5</v>
      </c>
      <c r="F352" s="201"/>
      <c r="G352" s="201">
        <v>3.1</v>
      </c>
      <c r="H352" s="201"/>
      <c r="I352" s="201"/>
      <c r="J352" s="201"/>
      <c r="K352" s="186">
        <f t="shared" si="26"/>
        <v>13.950000000000001</v>
      </c>
      <c r="L352" s="169">
        <f t="shared" si="27"/>
        <v>27.900000000000002</v>
      </c>
      <c r="M352" s="169"/>
    </row>
    <row r="353" spans="1:13">
      <c r="A353" s="239"/>
      <c r="B353" s="342" t="s">
        <v>575</v>
      </c>
      <c r="C353" s="342"/>
      <c r="D353" s="169">
        <v>2</v>
      </c>
      <c r="E353" s="169">
        <v>2.0499999999999998</v>
      </c>
      <c r="F353" s="201">
        <f>-0.8*2.1</f>
        <v>-1.6800000000000002</v>
      </c>
      <c r="G353" s="201">
        <v>3.1</v>
      </c>
      <c r="H353" s="201"/>
      <c r="I353" s="201"/>
      <c r="J353" s="201"/>
      <c r="K353" s="186">
        <f t="shared" si="26"/>
        <v>6.3549999999999995</v>
      </c>
      <c r="L353" s="169">
        <f t="shared" si="27"/>
        <v>11.03</v>
      </c>
      <c r="M353" s="169"/>
    </row>
    <row r="354" spans="1:13">
      <c r="A354" s="239"/>
      <c r="B354" s="342"/>
      <c r="C354" s="342"/>
      <c r="D354" s="169">
        <v>1</v>
      </c>
      <c r="E354" s="169">
        <v>1.95</v>
      </c>
      <c r="F354" s="201"/>
      <c r="G354" s="201">
        <v>3.1</v>
      </c>
      <c r="H354" s="201"/>
      <c r="I354" s="201"/>
      <c r="J354" s="201"/>
      <c r="K354" s="186">
        <f t="shared" si="26"/>
        <v>6.0449999999999999</v>
      </c>
      <c r="L354" s="169">
        <f t="shared" si="27"/>
        <v>6.0449999999999999</v>
      </c>
      <c r="M354" s="169"/>
    </row>
    <row r="355" spans="1:13">
      <c r="A355" s="239"/>
      <c r="B355" s="342" t="s">
        <v>632</v>
      </c>
      <c r="C355" s="342"/>
      <c r="D355" s="169">
        <v>2</v>
      </c>
      <c r="E355" s="169">
        <v>2.0499999999999998</v>
      </c>
      <c r="F355" s="201">
        <f>-0.8*2.1</f>
        <v>-1.6800000000000002</v>
      </c>
      <c r="G355" s="201">
        <v>3.1</v>
      </c>
      <c r="H355" s="201"/>
      <c r="I355" s="201"/>
      <c r="J355" s="201"/>
      <c r="K355" s="186">
        <f t="shared" si="26"/>
        <v>6.3549999999999995</v>
      </c>
      <c r="L355" s="169">
        <f t="shared" si="27"/>
        <v>11.03</v>
      </c>
      <c r="M355" s="169"/>
    </row>
    <row r="356" spans="1:13">
      <c r="A356" s="239"/>
      <c r="B356" s="342"/>
      <c r="C356" s="342"/>
      <c r="D356" s="169">
        <v>2</v>
      </c>
      <c r="E356" s="169">
        <v>1.95</v>
      </c>
      <c r="F356" s="201"/>
      <c r="G356" s="201">
        <v>3.1</v>
      </c>
      <c r="H356" s="201"/>
      <c r="I356" s="201"/>
      <c r="J356" s="201"/>
      <c r="K356" s="186">
        <f t="shared" si="26"/>
        <v>6.0449999999999999</v>
      </c>
      <c r="L356" s="169">
        <f t="shared" si="27"/>
        <v>12.09</v>
      </c>
      <c r="M356" s="169"/>
    </row>
    <row r="357" spans="1:13">
      <c r="A357" s="239"/>
      <c r="B357" s="342" t="s">
        <v>440</v>
      </c>
      <c r="C357" s="342"/>
      <c r="D357" s="169">
        <v>1</v>
      </c>
      <c r="E357" s="169">
        <v>4.2</v>
      </c>
      <c r="F357" s="201"/>
      <c r="G357" s="201">
        <v>2.2000000000000002</v>
      </c>
      <c r="H357" s="201"/>
      <c r="I357" s="201"/>
      <c r="J357" s="201"/>
      <c r="K357" s="186">
        <f t="shared" si="26"/>
        <v>9.240000000000002</v>
      </c>
      <c r="L357" s="169">
        <f t="shared" si="27"/>
        <v>9.240000000000002</v>
      </c>
      <c r="M357" s="169"/>
    </row>
    <row r="358" spans="1:13">
      <c r="A358" s="239"/>
      <c r="B358" s="342"/>
      <c r="C358" s="342"/>
      <c r="D358" s="169">
        <v>1</v>
      </c>
      <c r="E358" s="169">
        <v>0.8</v>
      </c>
      <c r="F358" s="201"/>
      <c r="G358" s="201">
        <v>2.85</v>
      </c>
      <c r="H358" s="201"/>
      <c r="I358" s="201"/>
      <c r="J358" s="201"/>
      <c r="K358" s="186">
        <f t="shared" si="26"/>
        <v>2.2800000000000002</v>
      </c>
      <c r="L358" s="169">
        <f t="shared" si="27"/>
        <v>2.2800000000000002</v>
      </c>
      <c r="M358" s="169"/>
    </row>
    <row r="359" spans="1:13">
      <c r="A359" s="239"/>
      <c r="B359" s="342"/>
      <c r="C359" s="342"/>
      <c r="D359" s="169">
        <v>1</v>
      </c>
      <c r="E359" s="169">
        <v>1</v>
      </c>
      <c r="F359" s="201"/>
      <c r="G359" s="201">
        <v>2.1</v>
      </c>
      <c r="H359" s="201"/>
      <c r="I359" s="201"/>
      <c r="J359" s="201"/>
      <c r="K359" s="186">
        <f t="shared" si="26"/>
        <v>2.1</v>
      </c>
      <c r="L359" s="169">
        <f t="shared" si="27"/>
        <v>2.1</v>
      </c>
      <c r="M359" s="169"/>
    </row>
    <row r="360" spans="1:13">
      <c r="A360" s="239"/>
      <c r="B360" s="342"/>
      <c r="C360" s="342"/>
      <c r="D360" s="169">
        <v>1</v>
      </c>
      <c r="E360" s="169">
        <v>1.1000000000000001</v>
      </c>
      <c r="F360" s="201"/>
      <c r="G360" s="201">
        <v>0.8</v>
      </c>
      <c r="H360" s="201"/>
      <c r="I360" s="201"/>
      <c r="J360" s="201"/>
      <c r="K360" s="186">
        <f t="shared" si="26"/>
        <v>0.88000000000000012</v>
      </c>
      <c r="L360" s="169">
        <f t="shared" si="27"/>
        <v>0.88000000000000012</v>
      </c>
      <c r="M360" s="169"/>
    </row>
    <row r="361" spans="1:13">
      <c r="A361" s="239"/>
      <c r="B361" s="342"/>
      <c r="C361" s="342"/>
      <c r="D361" s="169">
        <v>2</v>
      </c>
      <c r="E361" s="169">
        <v>0.9</v>
      </c>
      <c r="F361" s="201"/>
      <c r="G361" s="201">
        <v>2.1</v>
      </c>
      <c r="H361" s="201"/>
      <c r="I361" s="201"/>
      <c r="J361" s="201"/>
      <c r="K361" s="186">
        <f t="shared" si="26"/>
        <v>1.8900000000000001</v>
      </c>
      <c r="L361" s="169">
        <f t="shared" si="27"/>
        <v>3.7800000000000002</v>
      </c>
      <c r="M361" s="169"/>
    </row>
    <row r="362" spans="1:13">
      <c r="A362" s="239"/>
      <c r="B362" s="342"/>
      <c r="C362" s="342"/>
      <c r="D362" s="169">
        <v>1</v>
      </c>
      <c r="E362" s="169">
        <v>1.4</v>
      </c>
      <c r="F362" s="201"/>
      <c r="G362" s="201">
        <v>2.1</v>
      </c>
      <c r="H362" s="201"/>
      <c r="I362" s="201"/>
      <c r="J362" s="201"/>
      <c r="K362" s="186">
        <f t="shared" si="26"/>
        <v>2.94</v>
      </c>
      <c r="L362" s="169">
        <f t="shared" si="27"/>
        <v>2.94</v>
      </c>
      <c r="M362" s="169"/>
    </row>
    <row r="363" spans="1:13">
      <c r="A363" s="239"/>
      <c r="B363" s="342"/>
      <c r="C363" s="342"/>
      <c r="D363" s="169">
        <v>1</v>
      </c>
      <c r="E363" s="169">
        <v>2.1</v>
      </c>
      <c r="F363" s="201"/>
      <c r="G363" s="201">
        <v>2.1</v>
      </c>
      <c r="H363" s="201"/>
      <c r="I363" s="201"/>
      <c r="J363" s="201"/>
      <c r="K363" s="186">
        <f t="shared" si="26"/>
        <v>4.41</v>
      </c>
      <c r="L363" s="169">
        <f t="shared" si="27"/>
        <v>4.41</v>
      </c>
      <c r="M363" s="169"/>
    </row>
    <row r="364" spans="1:13">
      <c r="A364" s="239"/>
      <c r="B364" s="342"/>
      <c r="C364" s="342"/>
      <c r="D364" s="169">
        <v>1</v>
      </c>
      <c r="E364" s="169">
        <v>1.3</v>
      </c>
      <c r="F364" s="201"/>
      <c r="G364" s="201">
        <v>0.7</v>
      </c>
      <c r="H364" s="201"/>
      <c r="I364" s="201"/>
      <c r="J364" s="201"/>
      <c r="K364" s="186">
        <f t="shared" si="26"/>
        <v>0.90999999999999992</v>
      </c>
      <c r="L364" s="169">
        <f t="shared" si="27"/>
        <v>0.90999999999999992</v>
      </c>
      <c r="M364" s="169"/>
    </row>
    <row r="365" spans="1:13">
      <c r="A365" s="239"/>
      <c r="B365" s="342" t="s">
        <v>441</v>
      </c>
      <c r="C365" s="342"/>
      <c r="D365" s="169">
        <v>2</v>
      </c>
      <c r="E365" s="169">
        <v>2.4500000000000002</v>
      </c>
      <c r="F365" s="201"/>
      <c r="G365" s="201">
        <v>2.9</v>
      </c>
      <c r="H365" s="201"/>
      <c r="I365" s="201"/>
      <c r="J365" s="201"/>
      <c r="K365" s="186">
        <f t="shared" si="26"/>
        <v>7.1050000000000004</v>
      </c>
      <c r="L365" s="169">
        <f t="shared" si="27"/>
        <v>14.21</v>
      </c>
      <c r="M365" s="169"/>
    </row>
    <row r="366" spans="1:13">
      <c r="A366" s="239"/>
      <c r="B366" s="342"/>
      <c r="C366" s="342"/>
      <c r="D366" s="169">
        <v>2</v>
      </c>
      <c r="E366" s="169">
        <v>2.2999999999999998</v>
      </c>
      <c r="F366" s="201"/>
      <c r="G366" s="201">
        <v>2.9</v>
      </c>
      <c r="H366" s="201"/>
      <c r="I366" s="201"/>
      <c r="J366" s="201"/>
      <c r="K366" s="186">
        <f t="shared" si="26"/>
        <v>6.669999999999999</v>
      </c>
      <c r="L366" s="169">
        <f t="shared" si="27"/>
        <v>13.339999999999998</v>
      </c>
      <c r="M366" s="169"/>
    </row>
    <row r="367" spans="1:13">
      <c r="A367" s="239"/>
      <c r="B367" s="342"/>
      <c r="C367" s="342"/>
      <c r="D367" s="169">
        <v>1</v>
      </c>
      <c r="E367" s="169">
        <v>5.4</v>
      </c>
      <c r="F367" s="201"/>
      <c r="G367" s="201">
        <v>2.8</v>
      </c>
      <c r="H367" s="201"/>
      <c r="I367" s="201"/>
      <c r="J367" s="201"/>
      <c r="K367" s="186">
        <f t="shared" si="26"/>
        <v>15.12</v>
      </c>
      <c r="L367" s="169">
        <f t="shared" si="27"/>
        <v>15.12</v>
      </c>
      <c r="M367" s="169"/>
    </row>
    <row r="368" spans="1:13">
      <c r="A368" s="239"/>
      <c r="B368" s="342" t="s">
        <v>609</v>
      </c>
      <c r="C368" s="342"/>
      <c r="D368" s="169">
        <v>2</v>
      </c>
      <c r="E368" s="169">
        <v>1.9</v>
      </c>
      <c r="F368" s="201"/>
      <c r="G368" s="201">
        <v>2.9</v>
      </c>
      <c r="H368" s="201"/>
      <c r="I368" s="201"/>
      <c r="J368" s="201"/>
      <c r="K368" s="186">
        <f t="shared" si="26"/>
        <v>5.51</v>
      </c>
      <c r="L368" s="169">
        <f t="shared" si="27"/>
        <v>11.02</v>
      </c>
      <c r="M368" s="169"/>
    </row>
    <row r="369" spans="1:13">
      <c r="A369" s="239"/>
      <c r="B369" s="342"/>
      <c r="C369" s="342"/>
      <c r="D369" s="169">
        <v>2</v>
      </c>
      <c r="E369" s="169">
        <v>2.4500000000000002</v>
      </c>
      <c r="F369" s="201">
        <f>-0.8*2.1</f>
        <v>-1.6800000000000002</v>
      </c>
      <c r="G369" s="201">
        <v>2.9</v>
      </c>
      <c r="H369" s="201"/>
      <c r="I369" s="201"/>
      <c r="J369" s="201"/>
      <c r="K369" s="186">
        <f t="shared" si="26"/>
        <v>7.1050000000000004</v>
      </c>
      <c r="L369" s="169">
        <f t="shared" si="27"/>
        <v>12.530000000000001</v>
      </c>
      <c r="M369" s="169"/>
    </row>
    <row r="370" spans="1:13">
      <c r="A370" s="239"/>
      <c r="B370" s="342" t="s">
        <v>442</v>
      </c>
      <c r="C370" s="342"/>
      <c r="D370" s="169">
        <v>2</v>
      </c>
      <c r="E370" s="169">
        <v>6.1</v>
      </c>
      <c r="F370" s="201"/>
      <c r="G370" s="201">
        <v>2.7</v>
      </c>
      <c r="H370" s="201"/>
      <c r="I370" s="201"/>
      <c r="J370" s="201"/>
      <c r="K370" s="186">
        <f t="shared" si="26"/>
        <v>16.47</v>
      </c>
      <c r="L370" s="169">
        <f t="shared" si="27"/>
        <v>32.94</v>
      </c>
      <c r="M370" s="169"/>
    </row>
    <row r="371" spans="1:13">
      <c r="A371" s="239"/>
      <c r="B371" s="342"/>
      <c r="C371" s="342"/>
      <c r="D371" s="169">
        <v>1</v>
      </c>
      <c r="E371" s="169">
        <v>3.8</v>
      </c>
      <c r="F371" s="201"/>
      <c r="G371" s="201">
        <v>2.7</v>
      </c>
      <c r="H371" s="201"/>
      <c r="I371" s="201"/>
      <c r="J371" s="201"/>
      <c r="K371" s="186">
        <f t="shared" si="26"/>
        <v>10.26</v>
      </c>
      <c r="L371" s="169">
        <f t="shared" si="27"/>
        <v>10.26</v>
      </c>
      <c r="M371" s="169"/>
    </row>
    <row r="372" spans="1:13">
      <c r="A372" s="239"/>
      <c r="B372" s="342"/>
      <c r="C372" s="342"/>
      <c r="D372" s="169">
        <v>1</v>
      </c>
      <c r="E372" s="169">
        <v>0.7</v>
      </c>
      <c r="F372" s="201"/>
      <c r="G372" s="201">
        <v>2.7</v>
      </c>
      <c r="H372" s="201"/>
      <c r="I372" s="201"/>
      <c r="J372" s="201"/>
      <c r="K372" s="186">
        <f t="shared" si="26"/>
        <v>1.89</v>
      </c>
      <c r="L372" s="169">
        <f t="shared" si="27"/>
        <v>1.89</v>
      </c>
      <c r="M372" s="169"/>
    </row>
    <row r="373" spans="1:13">
      <c r="A373" s="239"/>
      <c r="B373" s="342" t="s">
        <v>443</v>
      </c>
      <c r="C373" s="342"/>
      <c r="D373" s="169">
        <v>2</v>
      </c>
      <c r="E373" s="169">
        <v>6.7</v>
      </c>
      <c r="F373" s="201"/>
      <c r="G373" s="201">
        <v>2.7</v>
      </c>
      <c r="H373" s="201"/>
      <c r="I373" s="201"/>
      <c r="J373" s="201"/>
      <c r="K373" s="186">
        <f t="shared" si="26"/>
        <v>18.090000000000003</v>
      </c>
      <c r="L373" s="169">
        <f t="shared" si="27"/>
        <v>36.180000000000007</v>
      </c>
      <c r="M373" s="169"/>
    </row>
    <row r="374" spans="1:13">
      <c r="A374" s="239"/>
      <c r="B374" s="342"/>
      <c r="C374" s="342"/>
      <c r="D374" s="169">
        <v>1</v>
      </c>
      <c r="E374" s="169">
        <v>1.2</v>
      </c>
      <c r="F374" s="201"/>
      <c r="G374" s="201">
        <v>2.1</v>
      </c>
      <c r="H374" s="201"/>
      <c r="I374" s="201"/>
      <c r="J374" s="201"/>
      <c r="K374" s="186">
        <f t="shared" si="26"/>
        <v>2.52</v>
      </c>
      <c r="L374" s="169">
        <f t="shared" si="27"/>
        <v>2.52</v>
      </c>
      <c r="M374" s="169"/>
    </row>
    <row r="375" spans="1:13">
      <c r="A375" s="239"/>
      <c r="B375" s="342"/>
      <c r="C375" s="342"/>
      <c r="D375" s="169">
        <v>2</v>
      </c>
      <c r="E375" s="169">
        <v>3.8</v>
      </c>
      <c r="F375" s="201">
        <f>-0.8*2.1</f>
        <v>-1.6800000000000002</v>
      </c>
      <c r="G375" s="201">
        <v>2.7</v>
      </c>
      <c r="H375" s="201"/>
      <c r="I375" s="201"/>
      <c r="J375" s="201"/>
      <c r="K375" s="186">
        <f t="shared" si="26"/>
        <v>10.26</v>
      </c>
      <c r="L375" s="169">
        <f t="shared" si="27"/>
        <v>18.84</v>
      </c>
      <c r="M375" s="169"/>
    </row>
    <row r="376" spans="1:13">
      <c r="A376" s="239"/>
      <c r="B376" s="342"/>
      <c r="C376" s="342"/>
      <c r="D376" s="169">
        <v>2</v>
      </c>
      <c r="E376" s="169">
        <v>1.4</v>
      </c>
      <c r="F376" s="201"/>
      <c r="G376" s="201">
        <v>2.7</v>
      </c>
      <c r="H376" s="201"/>
      <c r="I376" s="201"/>
      <c r="J376" s="201"/>
      <c r="K376" s="186">
        <f t="shared" si="26"/>
        <v>3.78</v>
      </c>
      <c r="L376" s="169">
        <f t="shared" si="27"/>
        <v>7.56</v>
      </c>
      <c r="M376" s="169"/>
    </row>
    <row r="377" spans="1:13">
      <c r="A377" s="239"/>
      <c r="B377" s="342" t="s">
        <v>444</v>
      </c>
      <c r="C377" s="342"/>
      <c r="D377" s="169">
        <v>1</v>
      </c>
      <c r="E377" s="169">
        <v>1.4</v>
      </c>
      <c r="F377" s="201"/>
      <c r="G377" s="201">
        <v>2.9</v>
      </c>
      <c r="H377" s="201"/>
      <c r="I377" s="201"/>
      <c r="J377" s="201"/>
      <c r="K377" s="186">
        <f t="shared" si="26"/>
        <v>4.0599999999999996</v>
      </c>
      <c r="L377" s="169">
        <f t="shared" si="27"/>
        <v>4.0599999999999996</v>
      </c>
      <c r="M377" s="169"/>
    </row>
    <row r="378" spans="1:13">
      <c r="A378" s="239"/>
      <c r="B378" s="342"/>
      <c r="C378" s="342"/>
      <c r="D378" s="169">
        <v>1</v>
      </c>
      <c r="E378" s="169">
        <v>0.75</v>
      </c>
      <c r="F378" s="201"/>
      <c r="G378" s="201">
        <v>2.9</v>
      </c>
      <c r="H378" s="201"/>
      <c r="I378" s="201"/>
      <c r="J378" s="201"/>
      <c r="K378" s="186">
        <f t="shared" si="26"/>
        <v>2.1749999999999998</v>
      </c>
      <c r="L378" s="169">
        <f t="shared" si="27"/>
        <v>2.1749999999999998</v>
      </c>
      <c r="M378" s="169"/>
    </row>
    <row r="379" spans="1:13">
      <c r="A379" s="239"/>
      <c r="B379" s="342"/>
      <c r="C379" s="342"/>
      <c r="D379" s="169">
        <v>1</v>
      </c>
      <c r="E379" s="169">
        <v>0.7</v>
      </c>
      <c r="F379" s="201"/>
      <c r="G379" s="201">
        <v>2.9</v>
      </c>
      <c r="H379" s="201"/>
      <c r="I379" s="201"/>
      <c r="J379" s="201"/>
      <c r="K379" s="186">
        <f t="shared" si="26"/>
        <v>2.0299999999999998</v>
      </c>
      <c r="L379" s="169">
        <f t="shared" si="27"/>
        <v>2.0299999999999998</v>
      </c>
      <c r="M379" s="169"/>
    </row>
    <row r="380" spans="1:13">
      <c r="A380" s="239"/>
      <c r="B380" s="342"/>
      <c r="C380" s="342"/>
      <c r="D380" s="169">
        <v>1</v>
      </c>
      <c r="E380" s="169">
        <v>2.2000000000000002</v>
      </c>
      <c r="F380" s="201"/>
      <c r="G380" s="201">
        <v>1.2</v>
      </c>
      <c r="H380" s="201"/>
      <c r="I380" s="201"/>
      <c r="J380" s="201"/>
      <c r="K380" s="186">
        <f t="shared" si="26"/>
        <v>2.64</v>
      </c>
      <c r="L380" s="169">
        <f t="shared" si="27"/>
        <v>2.64</v>
      </c>
      <c r="M380" s="169"/>
    </row>
    <row r="381" spans="1:13">
      <c r="A381" s="239"/>
      <c r="B381" s="342" t="s">
        <v>445</v>
      </c>
      <c r="C381" s="342"/>
      <c r="D381" s="169">
        <v>1</v>
      </c>
      <c r="E381" s="169">
        <v>3.3</v>
      </c>
      <c r="F381" s="201">
        <f>-1.2*1.2</f>
        <v>-1.44</v>
      </c>
      <c r="G381" s="201">
        <v>2.9</v>
      </c>
      <c r="H381" s="201"/>
      <c r="I381" s="201"/>
      <c r="J381" s="201"/>
      <c r="K381" s="186">
        <f t="shared" si="26"/>
        <v>9.5699999999999985</v>
      </c>
      <c r="L381" s="169">
        <f t="shared" si="27"/>
        <v>8.129999999999999</v>
      </c>
      <c r="M381" s="169"/>
    </row>
    <row r="382" spans="1:13">
      <c r="A382" s="239"/>
      <c r="B382" s="342" t="s">
        <v>610</v>
      </c>
      <c r="C382" s="342"/>
      <c r="D382" s="169">
        <v>1</v>
      </c>
      <c r="E382" s="169">
        <v>5.5</v>
      </c>
      <c r="F382" s="201"/>
      <c r="G382" s="201">
        <v>3.1</v>
      </c>
      <c r="H382" s="201"/>
      <c r="I382" s="201"/>
      <c r="J382" s="201"/>
      <c r="K382" s="186">
        <f t="shared" si="26"/>
        <v>17.05</v>
      </c>
      <c r="L382" s="169">
        <f t="shared" si="27"/>
        <v>17.05</v>
      </c>
      <c r="M382" s="169"/>
    </row>
    <row r="383" spans="1:13">
      <c r="A383" s="239"/>
      <c r="B383" s="342"/>
      <c r="C383" s="342"/>
      <c r="D383" s="169">
        <v>1</v>
      </c>
      <c r="E383" s="169">
        <v>6.95</v>
      </c>
      <c r="F383" s="201"/>
      <c r="G383" s="201">
        <v>3.1</v>
      </c>
      <c r="H383" s="201"/>
      <c r="I383" s="201"/>
      <c r="J383" s="201"/>
      <c r="K383" s="186">
        <f t="shared" si="26"/>
        <v>21.545000000000002</v>
      </c>
      <c r="L383" s="169">
        <f t="shared" si="27"/>
        <v>21.545000000000002</v>
      </c>
      <c r="M383" s="169"/>
    </row>
    <row r="384" spans="1:13">
      <c r="A384" s="239"/>
      <c r="B384" s="342"/>
      <c r="C384" s="342"/>
      <c r="D384" s="169">
        <v>1</v>
      </c>
      <c r="E384" s="169">
        <v>7.2</v>
      </c>
      <c r="F384" s="201"/>
      <c r="G384" s="201">
        <v>3.1</v>
      </c>
      <c r="H384" s="201"/>
      <c r="I384" s="201"/>
      <c r="J384" s="201"/>
      <c r="K384" s="186">
        <f t="shared" si="26"/>
        <v>22.32</v>
      </c>
      <c r="L384" s="169">
        <f t="shared" si="27"/>
        <v>22.32</v>
      </c>
      <c r="M384" s="169"/>
    </row>
    <row r="385" spans="1:13">
      <c r="A385" s="239"/>
      <c r="B385" s="342"/>
      <c r="C385" s="342"/>
      <c r="D385" s="169">
        <v>2</v>
      </c>
      <c r="E385" s="169">
        <v>1.5</v>
      </c>
      <c r="F385" s="201"/>
      <c r="G385" s="201">
        <v>2.8</v>
      </c>
      <c r="H385" s="201"/>
      <c r="I385" s="201"/>
      <c r="J385" s="201"/>
      <c r="K385" s="186">
        <f t="shared" si="26"/>
        <v>4.1999999999999993</v>
      </c>
      <c r="L385" s="169">
        <f t="shared" si="27"/>
        <v>8.3999999999999986</v>
      </c>
      <c r="M385" s="169"/>
    </row>
    <row r="386" spans="1:13">
      <c r="A386" s="239"/>
      <c r="B386" s="342"/>
      <c r="C386" s="342"/>
      <c r="D386" s="169">
        <v>2</v>
      </c>
      <c r="E386" s="169">
        <v>3</v>
      </c>
      <c r="F386" s="201">
        <f>-0.8*2.1</f>
        <v>-1.6800000000000002</v>
      </c>
      <c r="G386" s="201">
        <v>2.8</v>
      </c>
      <c r="H386" s="201"/>
      <c r="I386" s="201"/>
      <c r="J386" s="201"/>
      <c r="K386" s="186">
        <f t="shared" si="26"/>
        <v>8.3999999999999986</v>
      </c>
      <c r="L386" s="169">
        <f t="shared" si="27"/>
        <v>15.119999999999997</v>
      </c>
      <c r="M386" s="169"/>
    </row>
    <row r="387" spans="1:13">
      <c r="A387" s="239"/>
      <c r="B387" s="342" t="s">
        <v>576</v>
      </c>
      <c r="C387" s="342"/>
      <c r="D387" s="169">
        <v>1</v>
      </c>
      <c r="E387" s="169">
        <v>3.05</v>
      </c>
      <c r="F387" s="201">
        <f>-0.8*2.1</f>
        <v>-1.6800000000000002</v>
      </c>
      <c r="G387" s="201">
        <v>2.8</v>
      </c>
      <c r="H387" s="201"/>
      <c r="I387" s="201"/>
      <c r="J387" s="201"/>
      <c r="K387" s="186">
        <f t="shared" si="26"/>
        <v>8.5399999999999991</v>
      </c>
      <c r="L387" s="169">
        <f t="shared" si="27"/>
        <v>6.8599999999999994</v>
      </c>
      <c r="M387" s="169"/>
    </row>
    <row r="388" spans="1:13">
      <c r="A388" s="239"/>
      <c r="B388" s="342"/>
      <c r="C388" s="342"/>
      <c r="D388" s="169">
        <v>1</v>
      </c>
      <c r="E388" s="169">
        <v>1.2</v>
      </c>
      <c r="F388" s="201"/>
      <c r="G388" s="201">
        <v>0.6</v>
      </c>
      <c r="H388" s="201"/>
      <c r="I388" s="201"/>
      <c r="J388" s="201"/>
      <c r="K388" s="186">
        <f t="shared" si="26"/>
        <v>0.72</v>
      </c>
      <c r="L388" s="169">
        <f t="shared" si="27"/>
        <v>0.72</v>
      </c>
      <c r="M388" s="169"/>
    </row>
    <row r="389" spans="1:13">
      <c r="A389" s="239"/>
      <c r="B389" s="342"/>
      <c r="C389" s="342"/>
      <c r="D389" s="169">
        <v>1</v>
      </c>
      <c r="E389" s="169">
        <v>3.4</v>
      </c>
      <c r="F389" s="201"/>
      <c r="G389" s="201">
        <v>2.8</v>
      </c>
      <c r="H389" s="201"/>
      <c r="I389" s="201"/>
      <c r="J389" s="201"/>
      <c r="K389" s="186">
        <f t="shared" si="26"/>
        <v>9.52</v>
      </c>
      <c r="L389" s="169">
        <f t="shared" si="27"/>
        <v>9.52</v>
      </c>
      <c r="M389" s="169"/>
    </row>
    <row r="390" spans="1:13">
      <c r="A390" s="239"/>
      <c r="B390" s="342"/>
      <c r="C390" s="342"/>
      <c r="D390" s="169">
        <v>1</v>
      </c>
      <c r="E390" s="169">
        <v>1</v>
      </c>
      <c r="F390" s="201"/>
      <c r="G390" s="201">
        <v>1.1000000000000001</v>
      </c>
      <c r="H390" s="201"/>
      <c r="I390" s="201"/>
      <c r="J390" s="201"/>
      <c r="K390" s="186">
        <f t="shared" si="26"/>
        <v>1.1000000000000001</v>
      </c>
      <c r="L390" s="169">
        <f t="shared" si="27"/>
        <v>1.1000000000000001</v>
      </c>
      <c r="M390" s="169"/>
    </row>
    <row r="391" spans="1:13">
      <c r="A391" s="239"/>
      <c r="B391" s="342" t="s">
        <v>446</v>
      </c>
      <c r="C391" s="342"/>
      <c r="D391" s="169">
        <v>1</v>
      </c>
      <c r="E391" s="169">
        <v>5.3</v>
      </c>
      <c r="F391" s="201"/>
      <c r="G391" s="201">
        <v>2.8</v>
      </c>
      <c r="H391" s="201"/>
      <c r="I391" s="201"/>
      <c r="J391" s="201"/>
      <c r="K391" s="186">
        <f t="shared" si="26"/>
        <v>14.839999999999998</v>
      </c>
      <c r="L391" s="169">
        <f t="shared" si="27"/>
        <v>14.839999999999998</v>
      </c>
      <c r="M391" s="169"/>
    </row>
    <row r="392" spans="1:13">
      <c r="A392" s="239"/>
      <c r="B392" s="342"/>
      <c r="C392" s="342"/>
      <c r="D392" s="169">
        <v>1</v>
      </c>
      <c r="E392" s="169">
        <v>0.8</v>
      </c>
      <c r="F392" s="201"/>
      <c r="G392" s="201">
        <v>1.2</v>
      </c>
      <c r="H392" s="201"/>
      <c r="I392" s="201"/>
      <c r="J392" s="201"/>
      <c r="K392" s="186">
        <f t="shared" si="26"/>
        <v>0.96</v>
      </c>
      <c r="L392" s="169">
        <f t="shared" si="27"/>
        <v>0.96</v>
      </c>
      <c r="M392" s="169"/>
    </row>
    <row r="393" spans="1:13">
      <c r="A393" s="239"/>
      <c r="B393" s="342"/>
      <c r="C393" s="342"/>
      <c r="D393" s="169">
        <v>1</v>
      </c>
      <c r="E393" s="169">
        <v>1.9</v>
      </c>
      <c r="F393" s="201"/>
      <c r="G393" s="201">
        <v>2.8</v>
      </c>
      <c r="H393" s="201"/>
      <c r="I393" s="201"/>
      <c r="J393" s="201"/>
      <c r="K393" s="186">
        <f t="shared" si="26"/>
        <v>5.3199999999999994</v>
      </c>
      <c r="L393" s="169">
        <f t="shared" si="27"/>
        <v>5.3199999999999994</v>
      </c>
      <c r="M393" s="169"/>
    </row>
    <row r="394" spans="1:13">
      <c r="A394" s="239"/>
      <c r="B394" s="342" t="s">
        <v>577</v>
      </c>
      <c r="C394" s="342"/>
      <c r="D394" s="169">
        <v>1</v>
      </c>
      <c r="E394" s="169">
        <v>4.7</v>
      </c>
      <c r="F394" s="201"/>
      <c r="G394" s="201">
        <v>2.8</v>
      </c>
      <c r="H394" s="201"/>
      <c r="I394" s="201"/>
      <c r="J394" s="201"/>
      <c r="K394" s="186">
        <f t="shared" si="26"/>
        <v>13.16</v>
      </c>
      <c r="L394" s="169">
        <f t="shared" si="27"/>
        <v>13.16</v>
      </c>
      <c r="M394" s="169"/>
    </row>
    <row r="395" spans="1:13">
      <c r="A395" s="239"/>
      <c r="B395" s="342"/>
      <c r="C395" s="342"/>
      <c r="D395" s="169">
        <v>1</v>
      </c>
      <c r="E395" s="169">
        <v>3.05</v>
      </c>
      <c r="F395" s="201"/>
      <c r="G395" s="201">
        <v>2.8</v>
      </c>
      <c r="H395" s="201"/>
      <c r="I395" s="201"/>
      <c r="J395" s="201"/>
      <c r="K395" s="186">
        <f t="shared" si="26"/>
        <v>8.5399999999999991</v>
      </c>
      <c r="L395" s="169">
        <f t="shared" si="27"/>
        <v>8.5399999999999991</v>
      </c>
      <c r="M395" s="169"/>
    </row>
    <row r="396" spans="1:13">
      <c r="A396" s="239"/>
      <c r="B396" s="342" t="s">
        <v>447</v>
      </c>
      <c r="C396" s="342"/>
      <c r="D396" s="169">
        <v>1</v>
      </c>
      <c r="E396" s="169">
        <v>1.1000000000000001</v>
      </c>
      <c r="F396" s="201"/>
      <c r="G396" s="201">
        <v>2.4</v>
      </c>
      <c r="H396" s="201"/>
      <c r="I396" s="201"/>
      <c r="J396" s="201"/>
      <c r="K396" s="186">
        <f t="shared" si="26"/>
        <v>2.64</v>
      </c>
      <c r="L396" s="169">
        <f t="shared" si="27"/>
        <v>2.64</v>
      </c>
      <c r="M396" s="169"/>
    </row>
    <row r="397" spans="1:13">
      <c r="A397" s="239"/>
      <c r="B397" s="342"/>
      <c r="C397" s="342"/>
      <c r="D397" s="169">
        <v>2</v>
      </c>
      <c r="E397" s="169">
        <v>1.45</v>
      </c>
      <c r="F397" s="201"/>
      <c r="G397" s="201">
        <v>2.8</v>
      </c>
      <c r="H397" s="201"/>
      <c r="I397" s="201"/>
      <c r="J397" s="201"/>
      <c r="K397" s="186">
        <f t="shared" si="26"/>
        <v>4.0599999999999996</v>
      </c>
      <c r="L397" s="169">
        <f t="shared" si="27"/>
        <v>8.1199999999999992</v>
      </c>
      <c r="M397" s="169"/>
    </row>
    <row r="398" spans="1:13">
      <c r="A398" s="239"/>
      <c r="B398" s="342"/>
      <c r="C398" s="342"/>
      <c r="D398" s="169">
        <v>2</v>
      </c>
      <c r="E398" s="169">
        <v>1.6</v>
      </c>
      <c r="F398" s="201">
        <f>-0.8*2.1</f>
        <v>-1.6800000000000002</v>
      </c>
      <c r="G398" s="201">
        <v>2.8</v>
      </c>
      <c r="H398" s="201"/>
      <c r="I398" s="201"/>
      <c r="J398" s="201"/>
      <c r="K398" s="186">
        <f t="shared" si="26"/>
        <v>4.4799999999999995</v>
      </c>
      <c r="L398" s="169">
        <f t="shared" si="27"/>
        <v>7.2799999999999994</v>
      </c>
      <c r="M398" s="169"/>
    </row>
    <row r="399" spans="1:13">
      <c r="A399" s="239"/>
      <c r="B399" s="342"/>
      <c r="C399" s="342"/>
      <c r="D399" s="169">
        <v>1</v>
      </c>
      <c r="E399" s="169">
        <v>0.4</v>
      </c>
      <c r="F399" s="201"/>
      <c r="G399" s="201">
        <v>3.7</v>
      </c>
      <c r="H399" s="201"/>
      <c r="I399" s="201"/>
      <c r="J399" s="201"/>
      <c r="K399" s="186">
        <f t="shared" si="26"/>
        <v>1.4800000000000002</v>
      </c>
      <c r="L399" s="169">
        <f t="shared" si="27"/>
        <v>1.4800000000000002</v>
      </c>
      <c r="M399" s="169"/>
    </row>
    <row r="400" spans="1:13" ht="25.9" customHeight="1">
      <c r="A400" s="239"/>
      <c r="B400" s="342" t="s">
        <v>633</v>
      </c>
      <c r="C400" s="342"/>
      <c r="D400" s="169">
        <v>2</v>
      </c>
      <c r="E400" s="169">
        <v>3.7</v>
      </c>
      <c r="F400" s="201"/>
      <c r="G400" s="201">
        <v>0.4</v>
      </c>
      <c r="H400" s="201"/>
      <c r="I400" s="201"/>
      <c r="J400" s="201"/>
      <c r="K400" s="186">
        <f t="shared" si="26"/>
        <v>1.4800000000000002</v>
      </c>
      <c r="L400" s="169">
        <f t="shared" si="27"/>
        <v>2.9600000000000004</v>
      </c>
      <c r="M400" s="169"/>
    </row>
    <row r="401" spans="1:13">
      <c r="A401" s="239"/>
      <c r="B401" s="342" t="s">
        <v>448</v>
      </c>
      <c r="C401" s="342"/>
      <c r="D401" s="169">
        <v>2</v>
      </c>
      <c r="E401" s="169">
        <v>2.1</v>
      </c>
      <c r="F401" s="201"/>
      <c r="G401" s="201">
        <v>2.85</v>
      </c>
      <c r="H401" s="201"/>
      <c r="I401" s="201"/>
      <c r="J401" s="201"/>
      <c r="K401" s="186">
        <f t="shared" si="26"/>
        <v>5.9850000000000003</v>
      </c>
      <c r="L401" s="169">
        <f t="shared" si="27"/>
        <v>11.97</v>
      </c>
      <c r="M401" s="169"/>
    </row>
    <row r="402" spans="1:13">
      <c r="A402" s="239"/>
      <c r="B402" s="342"/>
      <c r="C402" s="342"/>
      <c r="D402" s="169">
        <v>2</v>
      </c>
      <c r="E402" s="169">
        <v>1.07</v>
      </c>
      <c r="F402" s="201">
        <f>-0.8*2.1</f>
        <v>-1.6800000000000002</v>
      </c>
      <c r="G402" s="201">
        <v>2.85</v>
      </c>
      <c r="H402" s="201"/>
      <c r="I402" s="201"/>
      <c r="J402" s="201"/>
      <c r="K402" s="186">
        <f t="shared" si="26"/>
        <v>3.0495000000000001</v>
      </c>
      <c r="L402" s="169">
        <f t="shared" si="27"/>
        <v>4.4190000000000005</v>
      </c>
      <c r="M402" s="169"/>
    </row>
    <row r="403" spans="1:13">
      <c r="A403" s="239"/>
      <c r="B403" s="342"/>
      <c r="C403" s="342"/>
      <c r="D403" s="169">
        <v>1</v>
      </c>
      <c r="E403" s="169">
        <v>0.9</v>
      </c>
      <c r="F403" s="201"/>
      <c r="G403" s="201">
        <v>2.85</v>
      </c>
      <c r="H403" s="201"/>
      <c r="I403" s="201"/>
      <c r="J403" s="201"/>
      <c r="K403" s="186">
        <f t="shared" si="26"/>
        <v>2.5649999999999999</v>
      </c>
      <c r="L403" s="169">
        <f t="shared" si="27"/>
        <v>2.5649999999999999</v>
      </c>
      <c r="M403" s="169"/>
    </row>
    <row r="404" spans="1:13">
      <c r="A404" s="239"/>
      <c r="B404" s="342"/>
      <c r="C404" s="342"/>
      <c r="D404" s="169">
        <v>1</v>
      </c>
      <c r="E404" s="169">
        <v>0.8</v>
      </c>
      <c r="F404" s="201"/>
      <c r="G404" s="201">
        <v>2.85</v>
      </c>
      <c r="H404" s="201"/>
      <c r="I404" s="201"/>
      <c r="J404" s="201"/>
      <c r="K404" s="186">
        <f t="shared" si="26"/>
        <v>2.2800000000000002</v>
      </c>
      <c r="L404" s="169">
        <f t="shared" si="27"/>
        <v>2.2800000000000002</v>
      </c>
      <c r="M404" s="169"/>
    </row>
    <row r="405" spans="1:13" ht="23.45" customHeight="1">
      <c r="A405" s="239"/>
      <c r="B405" s="342" t="s">
        <v>449</v>
      </c>
      <c r="C405" s="342"/>
      <c r="D405" s="169">
        <v>1</v>
      </c>
      <c r="E405" s="169">
        <v>1.4</v>
      </c>
      <c r="F405" s="201"/>
      <c r="G405" s="201">
        <v>2.1</v>
      </c>
      <c r="H405" s="201"/>
      <c r="I405" s="201"/>
      <c r="J405" s="201"/>
      <c r="K405" s="186">
        <f t="shared" si="26"/>
        <v>2.94</v>
      </c>
      <c r="L405" s="169">
        <f t="shared" si="27"/>
        <v>2.94</v>
      </c>
      <c r="M405" s="169"/>
    </row>
    <row r="406" spans="1:13">
      <c r="A406" s="239"/>
      <c r="B406" s="342" t="s">
        <v>450</v>
      </c>
      <c r="C406" s="342"/>
      <c r="D406" s="169">
        <v>2</v>
      </c>
      <c r="E406" s="169">
        <v>3.15</v>
      </c>
      <c r="F406" s="201"/>
      <c r="G406" s="201">
        <v>2.7</v>
      </c>
      <c r="H406" s="201"/>
      <c r="I406" s="201"/>
      <c r="J406" s="201"/>
      <c r="K406" s="186">
        <f t="shared" si="26"/>
        <v>8.5050000000000008</v>
      </c>
      <c r="L406" s="169">
        <f t="shared" si="27"/>
        <v>17.010000000000002</v>
      </c>
      <c r="M406" s="169"/>
    </row>
    <row r="407" spans="1:13">
      <c r="A407" s="239"/>
      <c r="B407" s="342"/>
      <c r="C407" s="342"/>
      <c r="D407" s="169">
        <v>1</v>
      </c>
      <c r="E407" s="169">
        <v>0.9</v>
      </c>
      <c r="F407" s="201"/>
      <c r="G407" s="201">
        <v>1.1000000000000001</v>
      </c>
      <c r="H407" s="201"/>
      <c r="I407" s="201"/>
      <c r="J407" s="201"/>
      <c r="K407" s="186">
        <f t="shared" si="26"/>
        <v>0.9900000000000001</v>
      </c>
      <c r="L407" s="169">
        <f t="shared" si="27"/>
        <v>0.9900000000000001</v>
      </c>
      <c r="M407" s="169"/>
    </row>
    <row r="408" spans="1:13">
      <c r="A408" s="239"/>
      <c r="B408" s="342"/>
      <c r="C408" s="342"/>
      <c r="D408" s="169">
        <v>1</v>
      </c>
      <c r="E408" s="169">
        <v>0.5</v>
      </c>
      <c r="F408" s="201"/>
      <c r="G408" s="201">
        <v>1.35</v>
      </c>
      <c r="H408" s="201"/>
      <c r="I408" s="201"/>
      <c r="J408" s="201"/>
      <c r="K408" s="186">
        <f t="shared" si="26"/>
        <v>0.67500000000000004</v>
      </c>
      <c r="L408" s="169">
        <f t="shared" si="27"/>
        <v>0.67500000000000004</v>
      </c>
      <c r="M408" s="169"/>
    </row>
    <row r="409" spans="1:13">
      <c r="A409" s="239"/>
      <c r="B409" s="342" t="s">
        <v>611</v>
      </c>
      <c r="C409" s="342"/>
      <c r="D409" s="169">
        <v>2</v>
      </c>
      <c r="E409" s="169">
        <v>2.15</v>
      </c>
      <c r="F409" s="201">
        <f>-0.8*2.1</f>
        <v>-1.6800000000000002</v>
      </c>
      <c r="G409" s="201">
        <v>2.7</v>
      </c>
      <c r="H409" s="201"/>
      <c r="I409" s="201"/>
      <c r="J409" s="201"/>
      <c r="K409" s="186">
        <f t="shared" si="26"/>
        <v>5.8049999999999997</v>
      </c>
      <c r="L409" s="169">
        <f t="shared" si="27"/>
        <v>9.93</v>
      </c>
      <c r="M409" s="169"/>
    </row>
    <row r="410" spans="1:13">
      <c r="A410" s="239"/>
      <c r="B410" s="342"/>
      <c r="C410" s="342"/>
      <c r="D410" s="169">
        <v>2</v>
      </c>
      <c r="E410" s="169">
        <v>2.7</v>
      </c>
      <c r="F410" s="201">
        <f>-0.8*2.1</f>
        <v>-1.6800000000000002</v>
      </c>
      <c r="G410" s="201">
        <v>2.7</v>
      </c>
      <c r="H410" s="201"/>
      <c r="I410" s="201"/>
      <c r="J410" s="201"/>
      <c r="K410" s="186">
        <f t="shared" si="26"/>
        <v>7.2900000000000009</v>
      </c>
      <c r="L410" s="169">
        <f t="shared" si="27"/>
        <v>12.900000000000002</v>
      </c>
      <c r="M410" s="169"/>
    </row>
    <row r="411" spans="1:13" ht="22.15" customHeight="1">
      <c r="A411" s="239"/>
      <c r="B411" s="342"/>
      <c r="C411" s="342"/>
      <c r="D411" s="169">
        <v>1</v>
      </c>
      <c r="E411" s="169">
        <v>0.2</v>
      </c>
      <c r="F411" s="201"/>
      <c r="G411" s="201">
        <v>2.7</v>
      </c>
      <c r="H411" s="201"/>
      <c r="I411" s="201"/>
      <c r="J411" s="201"/>
      <c r="K411" s="186">
        <f t="shared" si="26"/>
        <v>0.54</v>
      </c>
      <c r="L411" s="169">
        <f t="shared" si="27"/>
        <v>0.54</v>
      </c>
      <c r="M411" s="169"/>
    </row>
    <row r="412" spans="1:13">
      <c r="A412" s="239"/>
      <c r="B412" s="342" t="s">
        <v>453</v>
      </c>
      <c r="C412" s="342"/>
      <c r="D412" s="169">
        <v>1</v>
      </c>
      <c r="E412" s="169">
        <v>0.8</v>
      </c>
      <c r="F412" s="201"/>
      <c r="G412" s="201">
        <v>2.7</v>
      </c>
      <c r="H412" s="201"/>
      <c r="I412" s="201"/>
      <c r="J412" s="201"/>
      <c r="K412" s="186">
        <f t="shared" si="26"/>
        <v>2.16</v>
      </c>
      <c r="L412" s="169">
        <f t="shared" si="27"/>
        <v>2.16</v>
      </c>
      <c r="M412" s="169"/>
    </row>
    <row r="413" spans="1:13">
      <c r="A413" s="239"/>
      <c r="B413" s="342"/>
      <c r="C413" s="342"/>
      <c r="D413" s="169">
        <v>1</v>
      </c>
      <c r="E413" s="169">
        <v>1</v>
      </c>
      <c r="F413" s="201"/>
      <c r="G413" s="201">
        <v>2.7</v>
      </c>
      <c r="H413" s="201"/>
      <c r="I413" s="201"/>
      <c r="J413" s="201"/>
      <c r="K413" s="186">
        <f t="shared" ref="K413:K448" si="28">E413*G413</f>
        <v>2.7</v>
      </c>
      <c r="L413" s="169">
        <f t="shared" ref="L413:L448" si="29">(K413*D413)+F413</f>
        <v>2.7</v>
      </c>
      <c r="M413" s="169"/>
    </row>
    <row r="414" spans="1:13">
      <c r="A414" s="239"/>
      <c r="B414" s="342" t="s">
        <v>452</v>
      </c>
      <c r="C414" s="342"/>
      <c r="D414" s="169">
        <v>7</v>
      </c>
      <c r="E414" s="169">
        <v>2.6</v>
      </c>
      <c r="F414" s="201"/>
      <c r="G414" s="201">
        <v>3.2</v>
      </c>
      <c r="H414" s="201"/>
      <c r="I414" s="201"/>
      <c r="J414" s="201"/>
      <c r="K414" s="186">
        <f t="shared" si="28"/>
        <v>8.32</v>
      </c>
      <c r="L414" s="169">
        <f t="shared" si="29"/>
        <v>58.24</v>
      </c>
      <c r="M414" s="169"/>
    </row>
    <row r="415" spans="1:13">
      <c r="A415" s="239"/>
      <c r="B415" s="342"/>
      <c r="C415" s="342"/>
      <c r="D415" s="169">
        <v>2</v>
      </c>
      <c r="E415" s="169">
        <v>6</v>
      </c>
      <c r="F415" s="201">
        <f>(-0.8*2.1)*3</f>
        <v>-5.0400000000000009</v>
      </c>
      <c r="G415" s="201">
        <v>3.2</v>
      </c>
      <c r="H415" s="201"/>
      <c r="I415" s="201"/>
      <c r="J415" s="201"/>
      <c r="K415" s="186">
        <f t="shared" si="28"/>
        <v>19.200000000000003</v>
      </c>
      <c r="L415" s="169">
        <f t="shared" si="29"/>
        <v>33.360000000000007</v>
      </c>
      <c r="M415" s="169"/>
    </row>
    <row r="416" spans="1:13">
      <c r="A416" s="239"/>
      <c r="B416" s="342" t="s">
        <v>438</v>
      </c>
      <c r="C416" s="342"/>
      <c r="D416" s="169">
        <v>1</v>
      </c>
      <c r="E416" s="169">
        <v>3.2</v>
      </c>
      <c r="F416" s="201">
        <f>-0.8*2.1</f>
        <v>-1.6800000000000002</v>
      </c>
      <c r="G416" s="201">
        <v>3.1</v>
      </c>
      <c r="H416" s="201"/>
      <c r="I416" s="201"/>
      <c r="J416" s="201"/>
      <c r="K416" s="186">
        <f t="shared" si="28"/>
        <v>9.9200000000000017</v>
      </c>
      <c r="L416" s="169">
        <f t="shared" si="29"/>
        <v>8.240000000000002</v>
      </c>
      <c r="M416" s="169"/>
    </row>
    <row r="417" spans="1:13">
      <c r="A417" s="239"/>
      <c r="B417" s="342"/>
      <c r="C417" s="342"/>
      <c r="D417" s="169">
        <v>1</v>
      </c>
      <c r="E417" s="169">
        <v>0.4</v>
      </c>
      <c r="F417" s="201"/>
      <c r="G417" s="201">
        <v>3.1</v>
      </c>
      <c r="H417" s="201"/>
      <c r="I417" s="201"/>
      <c r="J417" s="201"/>
      <c r="K417" s="186">
        <f t="shared" si="28"/>
        <v>1.2400000000000002</v>
      </c>
      <c r="L417" s="169">
        <f t="shared" si="29"/>
        <v>1.2400000000000002</v>
      </c>
      <c r="M417" s="169"/>
    </row>
    <row r="418" spans="1:13">
      <c r="A418" s="239"/>
      <c r="B418" s="342"/>
      <c r="C418" s="342"/>
      <c r="D418" s="169">
        <v>2</v>
      </c>
      <c r="E418" s="169">
        <v>2.25</v>
      </c>
      <c r="F418" s="201"/>
      <c r="G418" s="201">
        <v>2.7</v>
      </c>
      <c r="H418" s="201"/>
      <c r="I418" s="201"/>
      <c r="J418" s="201"/>
      <c r="K418" s="186">
        <f t="shared" si="28"/>
        <v>6.0750000000000002</v>
      </c>
      <c r="L418" s="169">
        <f t="shared" si="29"/>
        <v>12.15</v>
      </c>
      <c r="M418" s="169"/>
    </row>
    <row r="419" spans="1:13">
      <c r="A419" s="239"/>
      <c r="B419" s="342"/>
      <c r="C419" s="342"/>
      <c r="D419" s="169">
        <v>2</v>
      </c>
      <c r="E419" s="169">
        <v>1.1000000000000001</v>
      </c>
      <c r="F419" s="201">
        <f>-0.8*2.1</f>
        <v>-1.6800000000000002</v>
      </c>
      <c r="G419" s="201">
        <v>2.7</v>
      </c>
      <c r="H419" s="201"/>
      <c r="I419" s="201"/>
      <c r="J419" s="201"/>
      <c r="K419" s="186">
        <f t="shared" si="28"/>
        <v>2.9700000000000006</v>
      </c>
      <c r="L419" s="169">
        <f t="shared" si="29"/>
        <v>4.2600000000000016</v>
      </c>
      <c r="M419" s="169"/>
    </row>
    <row r="420" spans="1:13">
      <c r="A420" s="239"/>
      <c r="B420" s="342"/>
      <c r="C420" s="342"/>
      <c r="D420" s="169">
        <v>1</v>
      </c>
      <c r="E420" s="169">
        <v>0.9</v>
      </c>
      <c r="F420" s="201"/>
      <c r="G420" s="201">
        <v>3.4</v>
      </c>
      <c r="H420" s="201"/>
      <c r="I420" s="201"/>
      <c r="J420" s="201"/>
      <c r="K420" s="186">
        <f t="shared" si="28"/>
        <v>3.06</v>
      </c>
      <c r="L420" s="169">
        <f t="shared" si="29"/>
        <v>3.06</v>
      </c>
      <c r="M420" s="169"/>
    </row>
    <row r="421" spans="1:13">
      <c r="A421" s="239"/>
      <c r="B421" s="342"/>
      <c r="C421" s="342"/>
      <c r="D421" s="169">
        <v>1</v>
      </c>
      <c r="E421" s="169">
        <v>0.9</v>
      </c>
      <c r="F421" s="201"/>
      <c r="G421" s="201">
        <v>3.8</v>
      </c>
      <c r="H421" s="201"/>
      <c r="I421" s="201"/>
      <c r="J421" s="201"/>
      <c r="K421" s="186">
        <f t="shared" si="28"/>
        <v>3.42</v>
      </c>
      <c r="L421" s="169">
        <f t="shared" si="29"/>
        <v>3.42</v>
      </c>
      <c r="M421" s="169"/>
    </row>
    <row r="422" spans="1:13">
      <c r="A422" s="239"/>
      <c r="B422" s="342"/>
      <c r="C422" s="342"/>
      <c r="D422" s="169">
        <v>1</v>
      </c>
      <c r="E422" s="169">
        <v>1</v>
      </c>
      <c r="F422" s="201"/>
      <c r="G422" s="201">
        <v>3.4</v>
      </c>
      <c r="H422" s="201"/>
      <c r="I422" s="201"/>
      <c r="J422" s="201"/>
      <c r="K422" s="186">
        <f t="shared" si="28"/>
        <v>3.4</v>
      </c>
      <c r="L422" s="169">
        <f t="shared" si="29"/>
        <v>3.4</v>
      </c>
      <c r="M422" s="169"/>
    </row>
    <row r="423" spans="1:13">
      <c r="A423" s="239"/>
      <c r="B423" s="201"/>
      <c r="C423" s="201"/>
      <c r="D423" s="169">
        <v>1</v>
      </c>
      <c r="E423" s="169">
        <v>3.7</v>
      </c>
      <c r="F423" s="201"/>
      <c r="G423" s="201">
        <v>0.5</v>
      </c>
      <c r="H423" s="201"/>
      <c r="I423" s="201"/>
      <c r="J423" s="201"/>
      <c r="K423" s="186">
        <f t="shared" si="28"/>
        <v>1.85</v>
      </c>
      <c r="L423" s="169">
        <f t="shared" si="29"/>
        <v>1.85</v>
      </c>
      <c r="M423" s="169"/>
    </row>
    <row r="424" spans="1:13">
      <c r="A424" s="239"/>
      <c r="B424" s="201"/>
      <c r="C424" s="201"/>
      <c r="D424" s="169">
        <v>1</v>
      </c>
      <c r="E424" s="169">
        <v>0.55000000000000004</v>
      </c>
      <c r="F424" s="201"/>
      <c r="G424" s="201">
        <v>3.2</v>
      </c>
      <c r="H424" s="201"/>
      <c r="I424" s="201"/>
      <c r="J424" s="201"/>
      <c r="K424" s="186">
        <f t="shared" si="28"/>
        <v>1.7600000000000002</v>
      </c>
      <c r="L424" s="169">
        <f t="shared" si="29"/>
        <v>1.7600000000000002</v>
      </c>
      <c r="M424" s="169"/>
    </row>
    <row r="425" spans="1:13">
      <c r="A425" s="239"/>
      <c r="B425" s="201"/>
      <c r="C425" s="201"/>
      <c r="D425" s="169">
        <v>1</v>
      </c>
      <c r="E425" s="169">
        <v>0.6</v>
      </c>
      <c r="F425" s="201"/>
      <c r="G425" s="201">
        <v>1.6</v>
      </c>
      <c r="H425" s="201"/>
      <c r="I425" s="201"/>
      <c r="J425" s="201"/>
      <c r="K425" s="186">
        <f t="shared" si="28"/>
        <v>0.96</v>
      </c>
      <c r="L425" s="169">
        <f t="shared" si="29"/>
        <v>0.96</v>
      </c>
      <c r="M425" s="169"/>
    </row>
    <row r="426" spans="1:13">
      <c r="A426" s="239"/>
      <c r="B426" s="201"/>
      <c r="C426" s="201"/>
      <c r="D426" s="169">
        <v>1</v>
      </c>
      <c r="E426" s="169">
        <v>0.35</v>
      </c>
      <c r="F426" s="201"/>
      <c r="G426" s="201">
        <v>3.2</v>
      </c>
      <c r="H426" s="201"/>
      <c r="I426" s="201"/>
      <c r="J426" s="201"/>
      <c r="K426" s="186">
        <f t="shared" si="28"/>
        <v>1.1199999999999999</v>
      </c>
      <c r="L426" s="169">
        <f t="shared" si="29"/>
        <v>1.1199999999999999</v>
      </c>
      <c r="M426" s="169"/>
    </row>
    <row r="427" spans="1:13">
      <c r="A427" s="239"/>
      <c r="B427" s="201"/>
      <c r="C427" s="201"/>
      <c r="D427" s="169">
        <v>1</v>
      </c>
      <c r="E427" s="169">
        <v>0.25</v>
      </c>
      <c r="F427" s="201"/>
      <c r="G427" s="201">
        <v>3.2</v>
      </c>
      <c r="H427" s="201"/>
      <c r="I427" s="201"/>
      <c r="J427" s="201"/>
      <c r="K427" s="186">
        <f t="shared" si="28"/>
        <v>0.8</v>
      </c>
      <c r="L427" s="169">
        <f t="shared" si="29"/>
        <v>0.8</v>
      </c>
      <c r="M427" s="169"/>
    </row>
    <row r="428" spans="1:13">
      <c r="A428" s="239"/>
      <c r="B428" s="201"/>
      <c r="C428" s="201"/>
      <c r="D428" s="169">
        <v>1</v>
      </c>
      <c r="E428" s="169">
        <v>4.45</v>
      </c>
      <c r="F428" s="201"/>
      <c r="G428" s="201">
        <v>3.1</v>
      </c>
      <c r="H428" s="201"/>
      <c r="I428" s="201"/>
      <c r="J428" s="201"/>
      <c r="K428" s="186">
        <f t="shared" si="28"/>
        <v>13.795000000000002</v>
      </c>
      <c r="L428" s="169">
        <f t="shared" si="29"/>
        <v>13.795000000000002</v>
      </c>
      <c r="M428" s="169"/>
    </row>
    <row r="429" spans="1:13">
      <c r="A429" s="239"/>
      <c r="B429" s="201"/>
      <c r="C429" s="201"/>
      <c r="D429" s="169">
        <v>1</v>
      </c>
      <c r="E429" s="169">
        <v>4</v>
      </c>
      <c r="F429" s="201"/>
      <c r="G429" s="201">
        <v>3.2</v>
      </c>
      <c r="H429" s="201"/>
      <c r="I429" s="201"/>
      <c r="J429" s="201"/>
      <c r="K429" s="186">
        <f t="shared" si="28"/>
        <v>12.8</v>
      </c>
      <c r="L429" s="169">
        <f t="shared" si="29"/>
        <v>12.8</v>
      </c>
      <c r="M429" s="169"/>
    </row>
    <row r="430" spans="1:13">
      <c r="A430" s="239"/>
      <c r="B430" s="201"/>
      <c r="C430" s="201"/>
      <c r="D430" s="169">
        <v>1</v>
      </c>
      <c r="E430" s="169">
        <v>0.35</v>
      </c>
      <c r="F430" s="201"/>
      <c r="G430" s="201">
        <v>3.1</v>
      </c>
      <c r="H430" s="201"/>
      <c r="I430" s="201"/>
      <c r="J430" s="201"/>
      <c r="K430" s="186">
        <f t="shared" si="28"/>
        <v>1.085</v>
      </c>
      <c r="L430" s="169">
        <f t="shared" si="29"/>
        <v>1.085</v>
      </c>
      <c r="M430" s="169"/>
    </row>
    <row r="431" spans="1:13">
      <c r="A431" s="239"/>
      <c r="B431" s="201"/>
      <c r="C431" s="201"/>
      <c r="D431" s="169">
        <v>1</v>
      </c>
      <c r="E431" s="169">
        <v>0.4</v>
      </c>
      <c r="F431" s="201"/>
      <c r="G431" s="201">
        <v>3.1</v>
      </c>
      <c r="H431" s="201"/>
      <c r="I431" s="201"/>
      <c r="J431" s="201"/>
      <c r="K431" s="186">
        <f t="shared" si="28"/>
        <v>1.2400000000000002</v>
      </c>
      <c r="L431" s="169">
        <f t="shared" si="29"/>
        <v>1.2400000000000002</v>
      </c>
      <c r="M431" s="169"/>
    </row>
    <row r="432" spans="1:13">
      <c r="A432" s="239"/>
      <c r="B432" s="201"/>
      <c r="C432" s="201"/>
      <c r="D432" s="169">
        <v>1</v>
      </c>
      <c r="E432" s="169">
        <v>0.7</v>
      </c>
      <c r="F432" s="201"/>
      <c r="G432" s="201">
        <v>3.6</v>
      </c>
      <c r="H432" s="201"/>
      <c r="I432" s="201"/>
      <c r="J432" s="201"/>
      <c r="K432" s="186">
        <f t="shared" si="28"/>
        <v>2.52</v>
      </c>
      <c r="L432" s="169">
        <f t="shared" si="29"/>
        <v>2.52</v>
      </c>
      <c r="M432" s="169"/>
    </row>
    <row r="433" spans="1:13">
      <c r="A433" s="239"/>
      <c r="B433" s="201"/>
      <c r="C433" s="201"/>
      <c r="D433" s="169">
        <v>1</v>
      </c>
      <c r="E433" s="169">
        <v>3.1</v>
      </c>
      <c r="F433" s="201"/>
      <c r="G433" s="201">
        <v>3.6</v>
      </c>
      <c r="H433" s="201"/>
      <c r="I433" s="201"/>
      <c r="J433" s="201"/>
      <c r="K433" s="186">
        <f t="shared" si="28"/>
        <v>11.16</v>
      </c>
      <c r="L433" s="169">
        <f t="shared" si="29"/>
        <v>11.16</v>
      </c>
      <c r="M433" s="169"/>
    </row>
    <row r="434" spans="1:13" ht="22.15" customHeight="1">
      <c r="A434" s="239"/>
      <c r="B434" s="201"/>
      <c r="C434" s="201"/>
      <c r="D434" s="169">
        <v>1</v>
      </c>
      <c r="E434" s="169">
        <v>3.1</v>
      </c>
      <c r="F434" s="201"/>
      <c r="G434" s="201">
        <v>5.8</v>
      </c>
      <c r="H434" s="201"/>
      <c r="I434" s="201"/>
      <c r="J434" s="201"/>
      <c r="K434" s="186">
        <f t="shared" si="28"/>
        <v>17.98</v>
      </c>
      <c r="L434" s="169">
        <f t="shared" si="29"/>
        <v>17.98</v>
      </c>
      <c r="M434" s="169"/>
    </row>
    <row r="435" spans="1:13">
      <c r="A435" s="239"/>
      <c r="B435" s="201"/>
      <c r="C435" s="201"/>
      <c r="D435" s="169">
        <v>1</v>
      </c>
      <c r="E435" s="169">
        <v>2.5</v>
      </c>
      <c r="F435" s="201"/>
      <c r="G435" s="201">
        <v>3.4</v>
      </c>
      <c r="H435" s="201"/>
      <c r="I435" s="201"/>
      <c r="J435" s="201"/>
      <c r="K435" s="186">
        <f t="shared" si="28"/>
        <v>8.5</v>
      </c>
      <c r="L435" s="169">
        <f t="shared" si="29"/>
        <v>8.5</v>
      </c>
      <c r="M435" s="169"/>
    </row>
    <row r="436" spans="1:13">
      <c r="A436" s="239"/>
      <c r="B436" s="201"/>
      <c r="C436" s="201"/>
      <c r="D436" s="169">
        <v>1</v>
      </c>
      <c r="E436" s="169">
        <v>1.8</v>
      </c>
      <c r="F436" s="201"/>
      <c r="G436" s="201">
        <v>3.2</v>
      </c>
      <c r="H436" s="201"/>
      <c r="I436" s="201"/>
      <c r="J436" s="201"/>
      <c r="K436" s="186">
        <f t="shared" si="28"/>
        <v>5.7600000000000007</v>
      </c>
      <c r="L436" s="169">
        <f t="shared" si="29"/>
        <v>5.7600000000000007</v>
      </c>
      <c r="M436" s="169"/>
    </row>
    <row r="437" spans="1:13">
      <c r="A437" s="239"/>
      <c r="B437" s="201"/>
      <c r="C437" s="201"/>
      <c r="D437" s="169">
        <v>1</v>
      </c>
      <c r="E437" s="169">
        <v>3.3</v>
      </c>
      <c r="F437" s="201"/>
      <c r="G437" s="201">
        <v>0.7</v>
      </c>
      <c r="H437" s="201"/>
      <c r="I437" s="201"/>
      <c r="J437" s="201"/>
      <c r="K437" s="186">
        <f t="shared" si="28"/>
        <v>2.3099999999999996</v>
      </c>
      <c r="L437" s="169">
        <f t="shared" si="29"/>
        <v>2.3099999999999996</v>
      </c>
      <c r="M437" s="169"/>
    </row>
    <row r="438" spans="1:13">
      <c r="A438" s="239"/>
      <c r="B438" s="201"/>
      <c r="C438" s="201"/>
      <c r="D438" s="169">
        <v>1</v>
      </c>
      <c r="E438" s="169">
        <v>0.7</v>
      </c>
      <c r="F438" s="201"/>
      <c r="G438" s="201">
        <v>6.8</v>
      </c>
      <c r="H438" s="201"/>
      <c r="I438" s="201"/>
      <c r="J438" s="201"/>
      <c r="K438" s="186">
        <f t="shared" si="28"/>
        <v>4.76</v>
      </c>
      <c r="L438" s="169">
        <f t="shared" si="29"/>
        <v>4.76</v>
      </c>
      <c r="M438" s="169"/>
    </row>
    <row r="439" spans="1:13">
      <c r="A439" s="239"/>
      <c r="B439" s="201"/>
      <c r="C439" s="201"/>
      <c r="D439" s="169">
        <v>1</v>
      </c>
      <c r="E439" s="169">
        <v>1</v>
      </c>
      <c r="F439" s="201"/>
      <c r="G439" s="201">
        <v>0.9</v>
      </c>
      <c r="H439" s="201"/>
      <c r="I439" s="201"/>
      <c r="J439" s="201"/>
      <c r="K439" s="186">
        <f t="shared" si="28"/>
        <v>0.9</v>
      </c>
      <c r="L439" s="169">
        <f t="shared" si="29"/>
        <v>0.9</v>
      </c>
      <c r="M439" s="169"/>
    </row>
    <row r="440" spans="1:13" ht="25.15" customHeight="1">
      <c r="A440" s="239"/>
      <c r="B440" s="201"/>
      <c r="C440" s="201"/>
      <c r="D440" s="169">
        <v>1</v>
      </c>
      <c r="E440" s="169">
        <v>2.4</v>
      </c>
      <c r="F440" s="201"/>
      <c r="G440" s="201">
        <v>3.15</v>
      </c>
      <c r="H440" s="201"/>
      <c r="I440" s="201"/>
      <c r="J440" s="201"/>
      <c r="K440" s="186">
        <f t="shared" si="28"/>
        <v>7.56</v>
      </c>
      <c r="L440" s="169">
        <f t="shared" si="29"/>
        <v>7.56</v>
      </c>
      <c r="M440" s="169"/>
    </row>
    <row r="441" spans="1:13">
      <c r="A441" s="239"/>
      <c r="B441" s="201"/>
      <c r="C441" s="201"/>
      <c r="D441" s="169">
        <v>2</v>
      </c>
      <c r="E441" s="169">
        <v>0.9</v>
      </c>
      <c r="F441" s="201"/>
      <c r="G441" s="201">
        <v>3.1</v>
      </c>
      <c r="H441" s="201"/>
      <c r="I441" s="201"/>
      <c r="J441" s="201"/>
      <c r="K441" s="186">
        <f t="shared" si="28"/>
        <v>2.79</v>
      </c>
      <c r="L441" s="169">
        <f t="shared" si="29"/>
        <v>5.58</v>
      </c>
      <c r="M441" s="169"/>
    </row>
    <row r="442" spans="1:13" ht="24.6" customHeight="1">
      <c r="A442" s="239"/>
      <c r="B442" s="201"/>
      <c r="C442" s="201"/>
      <c r="D442" s="169">
        <v>1</v>
      </c>
      <c r="E442" s="169">
        <v>0.4</v>
      </c>
      <c r="F442" s="201"/>
      <c r="G442" s="201">
        <v>2</v>
      </c>
      <c r="H442" s="201"/>
      <c r="I442" s="201"/>
      <c r="J442" s="201"/>
      <c r="K442" s="186">
        <f t="shared" si="28"/>
        <v>0.8</v>
      </c>
      <c r="L442" s="169">
        <f t="shared" si="29"/>
        <v>0.8</v>
      </c>
      <c r="M442" s="169"/>
    </row>
    <row r="443" spans="1:13">
      <c r="A443" s="239"/>
      <c r="B443" s="342" t="s">
        <v>612</v>
      </c>
      <c r="C443" s="342"/>
      <c r="D443" s="169">
        <v>1</v>
      </c>
      <c r="E443" s="169">
        <v>11.5</v>
      </c>
      <c r="F443" s="201"/>
      <c r="G443" s="201">
        <v>3.4</v>
      </c>
      <c r="H443" s="201"/>
      <c r="I443" s="201"/>
      <c r="J443" s="201"/>
      <c r="K443" s="186">
        <f t="shared" si="28"/>
        <v>39.1</v>
      </c>
      <c r="L443" s="169">
        <f t="shared" si="29"/>
        <v>39.1</v>
      </c>
      <c r="M443" s="169"/>
    </row>
    <row r="444" spans="1:13" ht="25.9" customHeight="1">
      <c r="A444" s="239"/>
      <c r="B444" s="201"/>
      <c r="C444" s="201"/>
      <c r="D444" s="169">
        <v>1</v>
      </c>
      <c r="E444" s="169">
        <v>2.4</v>
      </c>
      <c r="F444" s="201"/>
      <c r="G444" s="201">
        <v>3.4</v>
      </c>
      <c r="H444" s="201"/>
      <c r="I444" s="201"/>
      <c r="J444" s="201"/>
      <c r="K444" s="186">
        <f t="shared" si="28"/>
        <v>8.16</v>
      </c>
      <c r="L444" s="169">
        <f t="shared" si="29"/>
        <v>8.16</v>
      </c>
      <c r="M444" s="169"/>
    </row>
    <row r="445" spans="1:13">
      <c r="A445" s="239"/>
      <c r="B445" s="201"/>
      <c r="C445" s="201"/>
      <c r="D445" s="169">
        <v>1</v>
      </c>
      <c r="E445" s="169">
        <v>1.2</v>
      </c>
      <c r="F445" s="201"/>
      <c r="G445" s="201">
        <v>2.7</v>
      </c>
      <c r="H445" s="201"/>
      <c r="I445" s="201"/>
      <c r="J445" s="201"/>
      <c r="K445" s="186">
        <f t="shared" si="28"/>
        <v>3.24</v>
      </c>
      <c r="L445" s="169">
        <f t="shared" si="29"/>
        <v>3.24</v>
      </c>
      <c r="M445" s="169"/>
    </row>
    <row r="446" spans="1:13">
      <c r="A446" s="239"/>
      <c r="B446" s="201"/>
      <c r="C446" s="201"/>
      <c r="D446" s="169">
        <v>1</v>
      </c>
      <c r="E446" s="169">
        <v>1.35</v>
      </c>
      <c r="F446" s="201"/>
      <c r="G446" s="201">
        <v>3.4</v>
      </c>
      <c r="H446" s="201"/>
      <c r="I446" s="201"/>
      <c r="J446" s="201"/>
      <c r="K446" s="186">
        <f t="shared" si="28"/>
        <v>4.59</v>
      </c>
      <c r="L446" s="169">
        <f t="shared" si="29"/>
        <v>4.59</v>
      </c>
      <c r="M446" s="169"/>
    </row>
    <row r="447" spans="1:13">
      <c r="A447" s="239"/>
      <c r="B447" s="201"/>
      <c r="C447" s="201"/>
      <c r="D447" s="169">
        <v>1</v>
      </c>
      <c r="E447" s="169">
        <v>10.9</v>
      </c>
      <c r="F447" s="201"/>
      <c r="G447" s="201">
        <v>3.5</v>
      </c>
      <c r="H447" s="201"/>
      <c r="I447" s="201"/>
      <c r="J447" s="201"/>
      <c r="K447" s="186">
        <f t="shared" si="28"/>
        <v>38.15</v>
      </c>
      <c r="L447" s="169">
        <f t="shared" si="29"/>
        <v>38.15</v>
      </c>
      <c r="M447" s="169"/>
    </row>
    <row r="448" spans="1:13" ht="22.15" customHeight="1">
      <c r="A448" s="239"/>
      <c r="B448" s="201"/>
      <c r="C448" s="201"/>
      <c r="D448" s="169">
        <v>2</v>
      </c>
      <c r="E448" s="169">
        <v>1</v>
      </c>
      <c r="F448" s="201"/>
      <c r="G448" s="201">
        <v>1</v>
      </c>
      <c r="H448" s="201"/>
      <c r="I448" s="201"/>
      <c r="J448" s="201"/>
      <c r="K448" s="186">
        <f t="shared" si="28"/>
        <v>1</v>
      </c>
      <c r="L448" s="169">
        <f t="shared" si="29"/>
        <v>2</v>
      </c>
      <c r="M448" s="169"/>
    </row>
    <row r="449" spans="1:13">
      <c r="A449" s="169"/>
      <c r="B449" s="169"/>
      <c r="C449" s="169"/>
      <c r="D449" s="169"/>
      <c r="E449" s="169"/>
      <c r="F449" s="169"/>
      <c r="G449" s="169"/>
      <c r="H449" s="169"/>
      <c r="I449" s="169"/>
      <c r="J449" s="169"/>
      <c r="K449" s="169"/>
      <c r="L449" s="169"/>
      <c r="M449" s="169"/>
    </row>
    <row r="450" spans="1:13" ht="24.6" customHeight="1">
      <c r="A450" s="169" t="str">
        <f>[1]REPROGRAMAÇÃO!A96</f>
        <v>7.2</v>
      </c>
      <c r="B450" s="327" t="str">
        <f>[1]REPROGRAMAÇÃO!C96</f>
        <v>CHAPISCO APLICADO EM ALVENARIAS E ESTRUTURAS DE CONCRETO INTERNAS, COM COLHER DE PEDREIRO.  ARGAMASSA TRAÇO 1:3 COM PREPARO EM BETONEIRA 400L. AF_06/2014</v>
      </c>
      <c r="C450" s="343"/>
      <c r="D450" s="343"/>
      <c r="E450" s="343"/>
      <c r="F450" s="343"/>
      <c r="G450" s="343"/>
      <c r="H450" s="343"/>
      <c r="I450" s="343"/>
      <c r="J450" s="343"/>
      <c r="K450" s="328"/>
      <c r="L450" s="220">
        <f>L454</f>
        <v>467.8239999999995</v>
      </c>
      <c r="M450" s="220" t="s">
        <v>516</v>
      </c>
    </row>
    <row r="451" spans="1:13">
      <c r="A451" s="169"/>
      <c r="B451" s="169"/>
      <c r="C451" s="169"/>
      <c r="D451" s="169"/>
      <c r="E451" s="169"/>
      <c r="F451" s="169"/>
      <c r="G451" s="169"/>
      <c r="H451" s="169"/>
      <c r="I451" s="169"/>
      <c r="J451" s="169"/>
      <c r="K451" s="169"/>
      <c r="L451" s="169"/>
      <c r="M451" s="169"/>
    </row>
    <row r="452" spans="1:13">
      <c r="A452" s="169"/>
      <c r="B452" s="201"/>
      <c r="C452" s="201"/>
      <c r="D452" s="201"/>
      <c r="E452" s="201"/>
      <c r="F452" s="201"/>
      <c r="G452" s="201"/>
      <c r="H452" s="201"/>
      <c r="I452" s="201"/>
      <c r="J452" s="201"/>
      <c r="K452" s="203" t="s">
        <v>454</v>
      </c>
      <c r="L452" s="240">
        <f>SUM(L456:L556)</f>
        <v>886.72399999999948</v>
      </c>
      <c r="M452" s="169"/>
    </row>
    <row r="453" spans="1:13">
      <c r="A453" s="169"/>
      <c r="B453" s="201"/>
      <c r="C453" s="201"/>
      <c r="D453" s="201"/>
      <c r="E453" s="201"/>
      <c r="F453" s="201"/>
      <c r="G453" s="201"/>
      <c r="H453" s="201"/>
      <c r="I453" s="201"/>
      <c r="J453" s="201"/>
      <c r="K453" s="203" t="s">
        <v>455</v>
      </c>
      <c r="L453" s="240">
        <v>418.9</v>
      </c>
      <c r="M453" s="169"/>
    </row>
    <row r="454" spans="1:13">
      <c r="A454" s="169"/>
      <c r="B454" s="201"/>
      <c r="C454" s="201"/>
      <c r="D454" s="201"/>
      <c r="E454" s="201"/>
      <c r="F454" s="201"/>
      <c r="G454" s="201"/>
      <c r="H454" s="201"/>
      <c r="I454" s="201"/>
      <c r="J454" s="201"/>
      <c r="K454" s="203" t="s">
        <v>480</v>
      </c>
      <c r="L454" s="240">
        <f>L452-L453</f>
        <v>467.8239999999995</v>
      </c>
      <c r="M454" s="169"/>
    </row>
    <row r="455" spans="1:13">
      <c r="A455" s="169"/>
      <c r="B455" s="201"/>
      <c r="C455" s="201"/>
      <c r="D455" s="201"/>
      <c r="E455" s="201"/>
      <c r="F455" s="241" t="s">
        <v>629</v>
      </c>
      <c r="G455" s="241"/>
      <c r="H455" s="201"/>
      <c r="I455" s="201"/>
      <c r="J455" s="201"/>
      <c r="K455" s="201"/>
      <c r="L455" s="240"/>
      <c r="M455" s="169"/>
    </row>
    <row r="456" spans="1:13">
      <c r="A456" s="169"/>
      <c r="B456" s="342" t="s">
        <v>630</v>
      </c>
      <c r="C456" s="342"/>
      <c r="D456" s="169">
        <v>2</v>
      </c>
      <c r="E456" s="169">
        <v>2</v>
      </c>
      <c r="F456" s="201"/>
      <c r="G456" s="201">
        <v>2.8</v>
      </c>
      <c r="H456" s="201"/>
      <c r="I456" s="201"/>
      <c r="J456" s="201"/>
      <c r="K456" s="186">
        <f>E456*G456</f>
        <v>5.6</v>
      </c>
      <c r="L456" s="169">
        <f>(K456*D456)+F456</f>
        <v>11.2</v>
      </c>
      <c r="M456" s="169"/>
    </row>
    <row r="457" spans="1:13">
      <c r="A457" s="169"/>
      <c r="B457" s="201"/>
      <c r="C457" s="201"/>
      <c r="D457" s="169">
        <v>1</v>
      </c>
      <c r="E457" s="169">
        <v>1</v>
      </c>
      <c r="F457" s="201"/>
      <c r="G457" s="201">
        <v>2.8</v>
      </c>
      <c r="H457" s="201"/>
      <c r="I457" s="201"/>
      <c r="J457" s="201"/>
      <c r="K457" s="186">
        <f t="shared" ref="K457:K520" si="30">E457*G457</f>
        <v>2.8</v>
      </c>
      <c r="L457" s="169">
        <f t="shared" ref="L457:L520" si="31">(K457*D457)+F457</f>
        <v>2.8</v>
      </c>
      <c r="M457" s="169"/>
    </row>
    <row r="458" spans="1:13">
      <c r="A458" s="169"/>
      <c r="B458" s="342" t="s">
        <v>631</v>
      </c>
      <c r="C458" s="342"/>
      <c r="D458" s="169">
        <v>2</v>
      </c>
      <c r="E458" s="169">
        <v>2</v>
      </c>
      <c r="F458" s="201"/>
      <c r="G458" s="201">
        <v>2.8</v>
      </c>
      <c r="H458" s="201"/>
      <c r="I458" s="201"/>
      <c r="J458" s="201"/>
      <c r="K458" s="186">
        <f t="shared" si="30"/>
        <v>5.6</v>
      </c>
      <c r="L458" s="169">
        <f t="shared" si="31"/>
        <v>11.2</v>
      </c>
      <c r="M458" s="169"/>
    </row>
    <row r="459" spans="1:13">
      <c r="A459" s="169"/>
      <c r="B459" s="342"/>
      <c r="C459" s="342"/>
      <c r="D459" s="169">
        <v>2</v>
      </c>
      <c r="E459" s="169">
        <v>1.4</v>
      </c>
      <c r="F459" s="201">
        <f>-0.6*2.1</f>
        <v>-1.26</v>
      </c>
      <c r="G459" s="201">
        <v>2.8</v>
      </c>
      <c r="H459" s="201"/>
      <c r="I459" s="201"/>
      <c r="J459" s="201"/>
      <c r="K459" s="186">
        <f t="shared" si="30"/>
        <v>3.9199999999999995</v>
      </c>
      <c r="L459" s="169">
        <f t="shared" si="31"/>
        <v>6.5799999999999992</v>
      </c>
      <c r="M459" s="169"/>
    </row>
    <row r="460" spans="1:13">
      <c r="A460" s="169"/>
      <c r="B460" s="342" t="s">
        <v>625</v>
      </c>
      <c r="C460" s="342"/>
      <c r="D460" s="169">
        <v>2</v>
      </c>
      <c r="E460" s="169">
        <v>4.5</v>
      </c>
      <c r="F460" s="201"/>
      <c r="G460" s="201">
        <v>3.1</v>
      </c>
      <c r="H460" s="201"/>
      <c r="I460" s="201"/>
      <c r="J460" s="201"/>
      <c r="K460" s="186">
        <f t="shared" si="30"/>
        <v>13.950000000000001</v>
      </c>
      <c r="L460" s="169">
        <f t="shared" si="31"/>
        <v>27.900000000000002</v>
      </c>
      <c r="M460" s="169"/>
    </row>
    <row r="461" spans="1:13">
      <c r="A461" s="169"/>
      <c r="B461" s="342" t="s">
        <v>575</v>
      </c>
      <c r="C461" s="342"/>
      <c r="D461" s="169">
        <v>2</v>
      </c>
      <c r="E461" s="169">
        <v>2.0499999999999998</v>
      </c>
      <c r="F461" s="201">
        <f>-0.8*2.1</f>
        <v>-1.6800000000000002</v>
      </c>
      <c r="G461" s="201">
        <v>3.1</v>
      </c>
      <c r="H461" s="201"/>
      <c r="I461" s="201"/>
      <c r="J461" s="201"/>
      <c r="K461" s="186">
        <f t="shared" si="30"/>
        <v>6.3549999999999995</v>
      </c>
      <c r="L461" s="169">
        <f t="shared" si="31"/>
        <v>11.03</v>
      </c>
      <c r="M461" s="169"/>
    </row>
    <row r="462" spans="1:13">
      <c r="A462" s="169"/>
      <c r="B462" s="342"/>
      <c r="C462" s="342"/>
      <c r="D462" s="169">
        <v>1</v>
      </c>
      <c r="E462" s="169">
        <v>1.95</v>
      </c>
      <c r="F462" s="201"/>
      <c r="G462" s="201">
        <v>3.1</v>
      </c>
      <c r="H462" s="201"/>
      <c r="I462" s="201"/>
      <c r="J462" s="201"/>
      <c r="K462" s="186">
        <f t="shared" si="30"/>
        <v>6.0449999999999999</v>
      </c>
      <c r="L462" s="169">
        <f t="shared" si="31"/>
        <v>6.0449999999999999</v>
      </c>
      <c r="M462" s="169"/>
    </row>
    <row r="463" spans="1:13">
      <c r="A463" s="169"/>
      <c r="B463" s="342" t="s">
        <v>632</v>
      </c>
      <c r="C463" s="342"/>
      <c r="D463" s="169">
        <v>2</v>
      </c>
      <c r="E463" s="169">
        <v>2.0499999999999998</v>
      </c>
      <c r="F463" s="201">
        <f>-0.8*2.1</f>
        <v>-1.6800000000000002</v>
      </c>
      <c r="G463" s="201">
        <v>3.1</v>
      </c>
      <c r="H463" s="201"/>
      <c r="I463" s="201"/>
      <c r="J463" s="201"/>
      <c r="K463" s="186">
        <f t="shared" si="30"/>
        <v>6.3549999999999995</v>
      </c>
      <c r="L463" s="169">
        <f t="shared" si="31"/>
        <v>11.03</v>
      </c>
      <c r="M463" s="169"/>
    </row>
    <row r="464" spans="1:13">
      <c r="A464" s="169"/>
      <c r="B464" s="342"/>
      <c r="C464" s="342"/>
      <c r="D464" s="169">
        <v>2</v>
      </c>
      <c r="E464" s="169">
        <v>1.95</v>
      </c>
      <c r="F464" s="201"/>
      <c r="G464" s="201">
        <v>3.1</v>
      </c>
      <c r="H464" s="201"/>
      <c r="I464" s="201"/>
      <c r="J464" s="201"/>
      <c r="K464" s="186">
        <f t="shared" si="30"/>
        <v>6.0449999999999999</v>
      </c>
      <c r="L464" s="169">
        <f t="shared" si="31"/>
        <v>12.09</v>
      </c>
      <c r="M464" s="169"/>
    </row>
    <row r="465" spans="1:13">
      <c r="A465" s="169"/>
      <c r="B465" s="342" t="s">
        <v>440</v>
      </c>
      <c r="C465" s="342"/>
      <c r="D465" s="169">
        <v>1</v>
      </c>
      <c r="E465" s="169">
        <v>4.2</v>
      </c>
      <c r="F465" s="201"/>
      <c r="G465" s="201">
        <v>2.2000000000000002</v>
      </c>
      <c r="H465" s="201"/>
      <c r="I465" s="201"/>
      <c r="J465" s="201"/>
      <c r="K465" s="186">
        <f t="shared" si="30"/>
        <v>9.240000000000002</v>
      </c>
      <c r="L465" s="169">
        <f t="shared" si="31"/>
        <v>9.240000000000002</v>
      </c>
      <c r="M465" s="169"/>
    </row>
    <row r="466" spans="1:13">
      <c r="A466" s="169"/>
      <c r="B466" s="342"/>
      <c r="C466" s="342"/>
      <c r="D466" s="169">
        <v>1</v>
      </c>
      <c r="E466" s="169">
        <v>0.8</v>
      </c>
      <c r="F466" s="201"/>
      <c r="G466" s="201">
        <v>2.85</v>
      </c>
      <c r="H466" s="201"/>
      <c r="I466" s="201"/>
      <c r="J466" s="201"/>
      <c r="K466" s="186">
        <f t="shared" si="30"/>
        <v>2.2800000000000002</v>
      </c>
      <c r="L466" s="169">
        <f t="shared" si="31"/>
        <v>2.2800000000000002</v>
      </c>
      <c r="M466" s="169"/>
    </row>
    <row r="467" spans="1:13">
      <c r="A467" s="169"/>
      <c r="B467" s="342"/>
      <c r="C467" s="342"/>
      <c r="D467" s="169">
        <v>1</v>
      </c>
      <c r="E467" s="169">
        <v>1</v>
      </c>
      <c r="F467" s="201"/>
      <c r="G467" s="201">
        <v>2.1</v>
      </c>
      <c r="H467" s="201"/>
      <c r="I467" s="201"/>
      <c r="J467" s="201"/>
      <c r="K467" s="186">
        <f t="shared" si="30"/>
        <v>2.1</v>
      </c>
      <c r="L467" s="169">
        <f t="shared" si="31"/>
        <v>2.1</v>
      </c>
      <c r="M467" s="169"/>
    </row>
    <row r="468" spans="1:13">
      <c r="A468" s="169"/>
      <c r="B468" s="342"/>
      <c r="C468" s="342"/>
      <c r="D468" s="169">
        <v>1</v>
      </c>
      <c r="E468" s="169">
        <v>1.1000000000000001</v>
      </c>
      <c r="F468" s="201"/>
      <c r="G468" s="201">
        <v>0.8</v>
      </c>
      <c r="H468" s="201"/>
      <c r="I468" s="201"/>
      <c r="J468" s="201"/>
      <c r="K468" s="186">
        <f t="shared" si="30"/>
        <v>0.88000000000000012</v>
      </c>
      <c r="L468" s="169">
        <f t="shared" si="31"/>
        <v>0.88000000000000012</v>
      </c>
      <c r="M468" s="169"/>
    </row>
    <row r="469" spans="1:13">
      <c r="A469" s="169"/>
      <c r="B469" s="342"/>
      <c r="C469" s="342"/>
      <c r="D469" s="169">
        <v>2</v>
      </c>
      <c r="E469" s="169">
        <v>0.9</v>
      </c>
      <c r="F469" s="201"/>
      <c r="G469" s="201">
        <v>2.1</v>
      </c>
      <c r="H469" s="201"/>
      <c r="I469" s="201"/>
      <c r="J469" s="201"/>
      <c r="K469" s="186">
        <f t="shared" si="30"/>
        <v>1.8900000000000001</v>
      </c>
      <c r="L469" s="169">
        <f t="shared" si="31"/>
        <v>3.7800000000000002</v>
      </c>
      <c r="M469" s="169"/>
    </row>
    <row r="470" spans="1:13">
      <c r="A470" s="169"/>
      <c r="B470" s="342"/>
      <c r="C470" s="342"/>
      <c r="D470" s="169">
        <v>1</v>
      </c>
      <c r="E470" s="169">
        <v>1.4</v>
      </c>
      <c r="F470" s="201"/>
      <c r="G470" s="201">
        <v>2.1</v>
      </c>
      <c r="H470" s="201"/>
      <c r="I470" s="201"/>
      <c r="J470" s="201"/>
      <c r="K470" s="186">
        <f t="shared" si="30"/>
        <v>2.94</v>
      </c>
      <c r="L470" s="169">
        <f t="shared" si="31"/>
        <v>2.94</v>
      </c>
      <c r="M470" s="169"/>
    </row>
    <row r="471" spans="1:13">
      <c r="A471" s="169"/>
      <c r="B471" s="342"/>
      <c r="C471" s="342"/>
      <c r="D471" s="169">
        <v>1</v>
      </c>
      <c r="E471" s="169">
        <v>2.1</v>
      </c>
      <c r="F471" s="201"/>
      <c r="G471" s="201">
        <v>2.1</v>
      </c>
      <c r="H471" s="201"/>
      <c r="I471" s="201"/>
      <c r="J471" s="201"/>
      <c r="K471" s="186">
        <f t="shared" si="30"/>
        <v>4.41</v>
      </c>
      <c r="L471" s="169">
        <f t="shared" si="31"/>
        <v>4.41</v>
      </c>
      <c r="M471" s="169"/>
    </row>
    <row r="472" spans="1:13">
      <c r="A472" s="169"/>
      <c r="B472" s="342"/>
      <c r="C472" s="342"/>
      <c r="D472" s="169">
        <v>1</v>
      </c>
      <c r="E472" s="169">
        <v>1.3</v>
      </c>
      <c r="F472" s="201"/>
      <c r="G472" s="201">
        <v>0.7</v>
      </c>
      <c r="H472" s="201"/>
      <c r="I472" s="201"/>
      <c r="J472" s="201"/>
      <c r="K472" s="186">
        <f t="shared" si="30"/>
        <v>0.90999999999999992</v>
      </c>
      <c r="L472" s="169">
        <f t="shared" si="31"/>
        <v>0.90999999999999992</v>
      </c>
      <c r="M472" s="169"/>
    </row>
    <row r="473" spans="1:13">
      <c r="A473" s="169"/>
      <c r="B473" s="342" t="s">
        <v>441</v>
      </c>
      <c r="C473" s="342"/>
      <c r="D473" s="169">
        <v>2</v>
      </c>
      <c r="E473" s="169">
        <v>2.4500000000000002</v>
      </c>
      <c r="F473" s="201"/>
      <c r="G473" s="201">
        <v>2.9</v>
      </c>
      <c r="H473" s="201"/>
      <c r="I473" s="201"/>
      <c r="J473" s="201"/>
      <c r="K473" s="186">
        <f t="shared" si="30"/>
        <v>7.1050000000000004</v>
      </c>
      <c r="L473" s="169">
        <f t="shared" si="31"/>
        <v>14.21</v>
      </c>
      <c r="M473" s="169"/>
    </row>
    <row r="474" spans="1:13">
      <c r="A474" s="169"/>
      <c r="B474" s="342"/>
      <c r="C474" s="342"/>
      <c r="D474" s="169">
        <v>2</v>
      </c>
      <c r="E474" s="169">
        <v>2.2999999999999998</v>
      </c>
      <c r="F474" s="201"/>
      <c r="G474" s="201">
        <v>2.9</v>
      </c>
      <c r="H474" s="201"/>
      <c r="I474" s="201"/>
      <c r="J474" s="201"/>
      <c r="K474" s="186">
        <f t="shared" si="30"/>
        <v>6.669999999999999</v>
      </c>
      <c r="L474" s="169">
        <f t="shared" si="31"/>
        <v>13.339999999999998</v>
      </c>
      <c r="M474" s="169"/>
    </row>
    <row r="475" spans="1:13">
      <c r="A475" s="169"/>
      <c r="B475" s="342"/>
      <c r="C475" s="342"/>
      <c r="D475" s="169">
        <v>1</v>
      </c>
      <c r="E475" s="169">
        <v>5.4</v>
      </c>
      <c r="F475" s="201"/>
      <c r="G475" s="201">
        <v>2.8</v>
      </c>
      <c r="H475" s="201"/>
      <c r="I475" s="201"/>
      <c r="J475" s="201"/>
      <c r="K475" s="186">
        <f t="shared" si="30"/>
        <v>15.12</v>
      </c>
      <c r="L475" s="169">
        <f t="shared" si="31"/>
        <v>15.12</v>
      </c>
      <c r="M475" s="169"/>
    </row>
    <row r="476" spans="1:13">
      <c r="A476" s="169"/>
      <c r="B476" s="342" t="s">
        <v>609</v>
      </c>
      <c r="C476" s="342"/>
      <c r="D476" s="169">
        <v>2</v>
      </c>
      <c r="E476" s="169">
        <v>1.9</v>
      </c>
      <c r="F476" s="201"/>
      <c r="G476" s="201">
        <v>2.9</v>
      </c>
      <c r="H476" s="201"/>
      <c r="I476" s="201"/>
      <c r="J476" s="201"/>
      <c r="K476" s="186">
        <f t="shared" si="30"/>
        <v>5.51</v>
      </c>
      <c r="L476" s="169">
        <f t="shared" si="31"/>
        <v>11.02</v>
      </c>
      <c r="M476" s="169"/>
    </row>
    <row r="477" spans="1:13">
      <c r="A477" s="169"/>
      <c r="B477" s="342"/>
      <c r="C477" s="342"/>
      <c r="D477" s="169">
        <v>2</v>
      </c>
      <c r="E477" s="169">
        <v>2.4500000000000002</v>
      </c>
      <c r="F477" s="201">
        <f>-0.8*2.1</f>
        <v>-1.6800000000000002</v>
      </c>
      <c r="G477" s="201">
        <v>2.9</v>
      </c>
      <c r="H477" s="201"/>
      <c r="I477" s="201"/>
      <c r="J477" s="201"/>
      <c r="K477" s="186">
        <f t="shared" si="30"/>
        <v>7.1050000000000004</v>
      </c>
      <c r="L477" s="169">
        <f t="shared" si="31"/>
        <v>12.530000000000001</v>
      </c>
      <c r="M477" s="169"/>
    </row>
    <row r="478" spans="1:13">
      <c r="A478" s="169"/>
      <c r="B478" s="342" t="s">
        <v>442</v>
      </c>
      <c r="C478" s="342"/>
      <c r="D478" s="169">
        <v>2</v>
      </c>
      <c r="E478" s="169">
        <v>6.1</v>
      </c>
      <c r="F478" s="201"/>
      <c r="G478" s="201">
        <v>2.7</v>
      </c>
      <c r="H478" s="201"/>
      <c r="I478" s="201"/>
      <c r="J478" s="201"/>
      <c r="K478" s="186">
        <f t="shared" si="30"/>
        <v>16.47</v>
      </c>
      <c r="L478" s="169">
        <f t="shared" si="31"/>
        <v>32.94</v>
      </c>
      <c r="M478" s="169"/>
    </row>
    <row r="479" spans="1:13">
      <c r="A479" s="169"/>
      <c r="B479" s="342"/>
      <c r="C479" s="342"/>
      <c r="D479" s="169">
        <v>1</v>
      </c>
      <c r="E479" s="169">
        <v>3.8</v>
      </c>
      <c r="F479" s="201"/>
      <c r="G479" s="201">
        <v>2.7</v>
      </c>
      <c r="H479" s="201"/>
      <c r="I479" s="201"/>
      <c r="J479" s="201"/>
      <c r="K479" s="186">
        <f t="shared" si="30"/>
        <v>10.26</v>
      </c>
      <c r="L479" s="169">
        <f t="shared" si="31"/>
        <v>10.26</v>
      </c>
      <c r="M479" s="169"/>
    </row>
    <row r="480" spans="1:13">
      <c r="A480" s="169"/>
      <c r="B480" s="342"/>
      <c r="C480" s="342"/>
      <c r="D480" s="169">
        <v>1</v>
      </c>
      <c r="E480" s="169">
        <v>0.7</v>
      </c>
      <c r="F480" s="201"/>
      <c r="G480" s="201">
        <v>2.7</v>
      </c>
      <c r="H480" s="201"/>
      <c r="I480" s="201"/>
      <c r="J480" s="201"/>
      <c r="K480" s="186">
        <f t="shared" si="30"/>
        <v>1.89</v>
      </c>
      <c r="L480" s="169">
        <f t="shared" si="31"/>
        <v>1.89</v>
      </c>
      <c r="M480" s="169"/>
    </row>
    <row r="481" spans="1:13">
      <c r="A481" s="169"/>
      <c r="B481" s="342" t="s">
        <v>443</v>
      </c>
      <c r="C481" s="342"/>
      <c r="D481" s="169">
        <v>2</v>
      </c>
      <c r="E481" s="169">
        <v>6.7</v>
      </c>
      <c r="F481" s="201"/>
      <c r="G481" s="201">
        <v>2.7</v>
      </c>
      <c r="H481" s="201"/>
      <c r="I481" s="201"/>
      <c r="J481" s="201"/>
      <c r="K481" s="186">
        <f t="shared" si="30"/>
        <v>18.090000000000003</v>
      </c>
      <c r="L481" s="169">
        <f t="shared" si="31"/>
        <v>36.180000000000007</v>
      </c>
      <c r="M481" s="169"/>
    </row>
    <row r="482" spans="1:13">
      <c r="A482" s="169"/>
      <c r="B482" s="342"/>
      <c r="C482" s="342"/>
      <c r="D482" s="169">
        <v>1</v>
      </c>
      <c r="E482" s="169">
        <v>1.2</v>
      </c>
      <c r="F482" s="201"/>
      <c r="G482" s="201">
        <v>2.1</v>
      </c>
      <c r="H482" s="201"/>
      <c r="I482" s="201"/>
      <c r="J482" s="201"/>
      <c r="K482" s="186">
        <f t="shared" si="30"/>
        <v>2.52</v>
      </c>
      <c r="L482" s="169">
        <f t="shared" si="31"/>
        <v>2.52</v>
      </c>
      <c r="M482" s="169"/>
    </row>
    <row r="483" spans="1:13">
      <c r="A483" s="169"/>
      <c r="B483" s="342"/>
      <c r="C483" s="342"/>
      <c r="D483" s="169">
        <v>2</v>
      </c>
      <c r="E483" s="169">
        <v>3.8</v>
      </c>
      <c r="F483" s="201">
        <f>-0.8*2.1</f>
        <v>-1.6800000000000002</v>
      </c>
      <c r="G483" s="201">
        <v>2.7</v>
      </c>
      <c r="H483" s="201"/>
      <c r="I483" s="201"/>
      <c r="J483" s="201"/>
      <c r="K483" s="186">
        <f t="shared" si="30"/>
        <v>10.26</v>
      </c>
      <c r="L483" s="169">
        <f t="shared" si="31"/>
        <v>18.84</v>
      </c>
      <c r="M483" s="169"/>
    </row>
    <row r="484" spans="1:13">
      <c r="A484" s="169"/>
      <c r="B484" s="342"/>
      <c r="C484" s="342"/>
      <c r="D484" s="169">
        <v>2</v>
      </c>
      <c r="E484" s="169">
        <v>1.4</v>
      </c>
      <c r="F484" s="201"/>
      <c r="G484" s="201">
        <v>2.7</v>
      </c>
      <c r="H484" s="201"/>
      <c r="I484" s="201"/>
      <c r="J484" s="201"/>
      <c r="K484" s="186">
        <f t="shared" si="30"/>
        <v>3.78</v>
      </c>
      <c r="L484" s="169">
        <f t="shared" si="31"/>
        <v>7.56</v>
      </c>
      <c r="M484" s="169"/>
    </row>
    <row r="485" spans="1:13">
      <c r="A485" s="169"/>
      <c r="B485" s="342" t="s">
        <v>444</v>
      </c>
      <c r="C485" s="342"/>
      <c r="D485" s="169">
        <v>1</v>
      </c>
      <c r="E485" s="169">
        <v>1.4</v>
      </c>
      <c r="F485" s="201"/>
      <c r="G485" s="201">
        <v>2.9</v>
      </c>
      <c r="H485" s="201"/>
      <c r="I485" s="201"/>
      <c r="J485" s="201"/>
      <c r="K485" s="186">
        <f t="shared" si="30"/>
        <v>4.0599999999999996</v>
      </c>
      <c r="L485" s="169">
        <f t="shared" si="31"/>
        <v>4.0599999999999996</v>
      </c>
      <c r="M485" s="169"/>
    </row>
    <row r="486" spans="1:13">
      <c r="A486" s="169"/>
      <c r="B486" s="342"/>
      <c r="C486" s="342"/>
      <c r="D486" s="169">
        <v>1</v>
      </c>
      <c r="E486" s="169">
        <v>0.75</v>
      </c>
      <c r="F486" s="201"/>
      <c r="G486" s="201">
        <v>2.9</v>
      </c>
      <c r="H486" s="201"/>
      <c r="I486" s="201"/>
      <c r="J486" s="201"/>
      <c r="K486" s="186">
        <f t="shared" si="30"/>
        <v>2.1749999999999998</v>
      </c>
      <c r="L486" s="169">
        <f t="shared" si="31"/>
        <v>2.1749999999999998</v>
      </c>
      <c r="M486" s="169"/>
    </row>
    <row r="487" spans="1:13">
      <c r="A487" s="169"/>
      <c r="B487" s="342"/>
      <c r="C487" s="342"/>
      <c r="D487" s="169">
        <v>1</v>
      </c>
      <c r="E487" s="169">
        <v>0.7</v>
      </c>
      <c r="F487" s="201"/>
      <c r="G487" s="201">
        <v>2.9</v>
      </c>
      <c r="H487" s="201"/>
      <c r="I487" s="201"/>
      <c r="J487" s="201"/>
      <c r="K487" s="186">
        <f t="shared" si="30"/>
        <v>2.0299999999999998</v>
      </c>
      <c r="L487" s="169">
        <f t="shared" si="31"/>
        <v>2.0299999999999998</v>
      </c>
      <c r="M487" s="169"/>
    </row>
    <row r="488" spans="1:13">
      <c r="A488" s="169"/>
      <c r="B488" s="342"/>
      <c r="C488" s="342"/>
      <c r="D488" s="169">
        <v>1</v>
      </c>
      <c r="E488" s="169">
        <v>2.2000000000000002</v>
      </c>
      <c r="F488" s="201"/>
      <c r="G488" s="201">
        <v>1.2</v>
      </c>
      <c r="H488" s="201"/>
      <c r="I488" s="201"/>
      <c r="J488" s="201"/>
      <c r="K488" s="186">
        <f t="shared" si="30"/>
        <v>2.64</v>
      </c>
      <c r="L488" s="169">
        <f t="shared" si="31"/>
        <v>2.64</v>
      </c>
      <c r="M488" s="169"/>
    </row>
    <row r="489" spans="1:13">
      <c r="A489" s="169"/>
      <c r="B489" s="342" t="s">
        <v>445</v>
      </c>
      <c r="C489" s="342"/>
      <c r="D489" s="169">
        <v>1</v>
      </c>
      <c r="E489" s="169">
        <v>3.3</v>
      </c>
      <c r="F489" s="201">
        <f>-1.2*1.2</f>
        <v>-1.44</v>
      </c>
      <c r="G489" s="201">
        <v>2.9</v>
      </c>
      <c r="H489" s="201"/>
      <c r="I489" s="201"/>
      <c r="J489" s="201"/>
      <c r="K489" s="186">
        <f t="shared" si="30"/>
        <v>9.5699999999999985</v>
      </c>
      <c r="L489" s="169">
        <f t="shared" si="31"/>
        <v>8.129999999999999</v>
      </c>
      <c r="M489" s="169"/>
    </row>
    <row r="490" spans="1:13">
      <c r="A490" s="169"/>
      <c r="B490" s="342" t="s">
        <v>610</v>
      </c>
      <c r="C490" s="342"/>
      <c r="D490" s="169">
        <v>1</v>
      </c>
      <c r="E490" s="169">
        <v>5.5</v>
      </c>
      <c r="F490" s="201"/>
      <c r="G490" s="201">
        <v>3.1</v>
      </c>
      <c r="H490" s="201"/>
      <c r="I490" s="201"/>
      <c r="J490" s="201"/>
      <c r="K490" s="186">
        <f t="shared" si="30"/>
        <v>17.05</v>
      </c>
      <c r="L490" s="169">
        <f t="shared" si="31"/>
        <v>17.05</v>
      </c>
      <c r="M490" s="169"/>
    </row>
    <row r="491" spans="1:13">
      <c r="A491" s="169"/>
      <c r="B491" s="342"/>
      <c r="C491" s="342"/>
      <c r="D491" s="169">
        <v>1</v>
      </c>
      <c r="E491" s="169">
        <v>6.95</v>
      </c>
      <c r="F491" s="201"/>
      <c r="G491" s="201">
        <v>3.1</v>
      </c>
      <c r="H491" s="201"/>
      <c r="I491" s="201"/>
      <c r="J491" s="201"/>
      <c r="K491" s="186">
        <f t="shared" si="30"/>
        <v>21.545000000000002</v>
      </c>
      <c r="L491" s="169">
        <f t="shared" si="31"/>
        <v>21.545000000000002</v>
      </c>
      <c r="M491" s="169"/>
    </row>
    <row r="492" spans="1:13">
      <c r="A492" s="169"/>
      <c r="B492" s="342"/>
      <c r="C492" s="342"/>
      <c r="D492" s="169">
        <v>1</v>
      </c>
      <c r="E492" s="169">
        <v>7.2</v>
      </c>
      <c r="F492" s="201"/>
      <c r="G492" s="201">
        <v>3.1</v>
      </c>
      <c r="H492" s="201"/>
      <c r="I492" s="201"/>
      <c r="J492" s="201"/>
      <c r="K492" s="186">
        <f t="shared" si="30"/>
        <v>22.32</v>
      </c>
      <c r="L492" s="169">
        <f t="shared" si="31"/>
        <v>22.32</v>
      </c>
      <c r="M492" s="169"/>
    </row>
    <row r="493" spans="1:13">
      <c r="A493" s="169"/>
      <c r="B493" s="342"/>
      <c r="C493" s="342"/>
      <c r="D493" s="169">
        <v>2</v>
      </c>
      <c r="E493" s="169">
        <v>1.5</v>
      </c>
      <c r="F493" s="201"/>
      <c r="G493" s="201">
        <v>2.8</v>
      </c>
      <c r="H493" s="201"/>
      <c r="I493" s="201"/>
      <c r="J493" s="201"/>
      <c r="K493" s="186">
        <f t="shared" si="30"/>
        <v>4.1999999999999993</v>
      </c>
      <c r="L493" s="169">
        <f t="shared" si="31"/>
        <v>8.3999999999999986</v>
      </c>
      <c r="M493" s="169"/>
    </row>
    <row r="494" spans="1:13">
      <c r="A494" s="169"/>
      <c r="B494" s="342"/>
      <c r="C494" s="342"/>
      <c r="D494" s="169">
        <v>2</v>
      </c>
      <c r="E494" s="169">
        <v>3</v>
      </c>
      <c r="F494" s="201">
        <f>-0.8*2.1</f>
        <v>-1.6800000000000002</v>
      </c>
      <c r="G494" s="201">
        <v>2.8</v>
      </c>
      <c r="H494" s="201"/>
      <c r="I494" s="201"/>
      <c r="J494" s="201"/>
      <c r="K494" s="186">
        <f t="shared" si="30"/>
        <v>8.3999999999999986</v>
      </c>
      <c r="L494" s="169">
        <f t="shared" si="31"/>
        <v>15.119999999999997</v>
      </c>
      <c r="M494" s="169"/>
    </row>
    <row r="495" spans="1:13">
      <c r="A495" s="169"/>
      <c r="B495" s="342" t="s">
        <v>576</v>
      </c>
      <c r="C495" s="342"/>
      <c r="D495" s="169">
        <v>1</v>
      </c>
      <c r="E495" s="169">
        <v>3.05</v>
      </c>
      <c r="F495" s="201">
        <f>-0.8*2.1</f>
        <v>-1.6800000000000002</v>
      </c>
      <c r="G495" s="201">
        <v>2.8</v>
      </c>
      <c r="H495" s="201"/>
      <c r="I495" s="201"/>
      <c r="J495" s="201"/>
      <c r="K495" s="186">
        <f t="shared" si="30"/>
        <v>8.5399999999999991</v>
      </c>
      <c r="L495" s="169">
        <f t="shared" si="31"/>
        <v>6.8599999999999994</v>
      </c>
      <c r="M495" s="169"/>
    </row>
    <row r="496" spans="1:13">
      <c r="A496" s="169"/>
      <c r="B496" s="342"/>
      <c r="C496" s="342"/>
      <c r="D496" s="169">
        <v>1</v>
      </c>
      <c r="E496" s="169">
        <v>1.2</v>
      </c>
      <c r="F496" s="201"/>
      <c r="G496" s="201">
        <v>0.6</v>
      </c>
      <c r="H496" s="201"/>
      <c r="I496" s="201"/>
      <c r="J496" s="201"/>
      <c r="K496" s="186">
        <f t="shared" si="30"/>
        <v>0.72</v>
      </c>
      <c r="L496" s="169">
        <f t="shared" si="31"/>
        <v>0.72</v>
      </c>
      <c r="M496" s="169"/>
    </row>
    <row r="497" spans="1:13">
      <c r="A497" s="169"/>
      <c r="B497" s="342"/>
      <c r="C497" s="342"/>
      <c r="D497" s="169">
        <v>1</v>
      </c>
      <c r="E497" s="169">
        <v>3.4</v>
      </c>
      <c r="F497" s="201"/>
      <c r="G497" s="201">
        <v>2.8</v>
      </c>
      <c r="H497" s="201"/>
      <c r="I497" s="201"/>
      <c r="J497" s="201"/>
      <c r="K497" s="186">
        <f t="shared" si="30"/>
        <v>9.52</v>
      </c>
      <c r="L497" s="169">
        <f t="shared" si="31"/>
        <v>9.52</v>
      </c>
      <c r="M497" s="169"/>
    </row>
    <row r="498" spans="1:13">
      <c r="A498" s="169"/>
      <c r="B498" s="342"/>
      <c r="C498" s="342"/>
      <c r="D498" s="169">
        <v>1</v>
      </c>
      <c r="E498" s="169">
        <v>1</v>
      </c>
      <c r="F498" s="201"/>
      <c r="G498" s="201">
        <v>1.1000000000000001</v>
      </c>
      <c r="H498" s="201"/>
      <c r="I498" s="201"/>
      <c r="J498" s="201"/>
      <c r="K498" s="186">
        <f t="shared" si="30"/>
        <v>1.1000000000000001</v>
      </c>
      <c r="L498" s="169">
        <f t="shared" si="31"/>
        <v>1.1000000000000001</v>
      </c>
      <c r="M498" s="169"/>
    </row>
    <row r="499" spans="1:13">
      <c r="A499" s="169"/>
      <c r="B499" s="342" t="s">
        <v>446</v>
      </c>
      <c r="C499" s="342"/>
      <c r="D499" s="169">
        <v>1</v>
      </c>
      <c r="E499" s="169">
        <v>5.3</v>
      </c>
      <c r="F499" s="201"/>
      <c r="G499" s="201">
        <v>2.8</v>
      </c>
      <c r="H499" s="201"/>
      <c r="I499" s="201"/>
      <c r="J499" s="201"/>
      <c r="K499" s="186">
        <f t="shared" si="30"/>
        <v>14.839999999999998</v>
      </c>
      <c r="L499" s="169">
        <f t="shared" si="31"/>
        <v>14.839999999999998</v>
      </c>
      <c r="M499" s="169"/>
    </row>
    <row r="500" spans="1:13">
      <c r="A500" s="169"/>
      <c r="B500" s="342"/>
      <c r="C500" s="342"/>
      <c r="D500" s="169">
        <v>1</v>
      </c>
      <c r="E500" s="169">
        <v>0.8</v>
      </c>
      <c r="F500" s="201"/>
      <c r="G500" s="201">
        <v>1.2</v>
      </c>
      <c r="H500" s="201"/>
      <c r="I500" s="201"/>
      <c r="J500" s="201"/>
      <c r="K500" s="186">
        <f t="shared" si="30"/>
        <v>0.96</v>
      </c>
      <c r="L500" s="169">
        <f t="shared" si="31"/>
        <v>0.96</v>
      </c>
      <c r="M500" s="169"/>
    </row>
    <row r="501" spans="1:13">
      <c r="A501" s="169"/>
      <c r="B501" s="342"/>
      <c r="C501" s="342"/>
      <c r="D501" s="169">
        <v>1</v>
      </c>
      <c r="E501" s="169">
        <v>1.9</v>
      </c>
      <c r="F501" s="201"/>
      <c r="G501" s="201">
        <v>2.8</v>
      </c>
      <c r="H501" s="201"/>
      <c r="I501" s="201"/>
      <c r="J501" s="201"/>
      <c r="K501" s="186">
        <f t="shared" si="30"/>
        <v>5.3199999999999994</v>
      </c>
      <c r="L501" s="169">
        <f t="shared" si="31"/>
        <v>5.3199999999999994</v>
      </c>
      <c r="M501" s="169"/>
    </row>
    <row r="502" spans="1:13">
      <c r="A502" s="169"/>
      <c r="B502" s="342" t="s">
        <v>577</v>
      </c>
      <c r="C502" s="342"/>
      <c r="D502" s="169">
        <v>1</v>
      </c>
      <c r="E502" s="169">
        <v>4.7</v>
      </c>
      <c r="F502" s="201"/>
      <c r="G502" s="201">
        <v>2.8</v>
      </c>
      <c r="H502" s="201"/>
      <c r="I502" s="201"/>
      <c r="J502" s="201"/>
      <c r="K502" s="186">
        <f t="shared" si="30"/>
        <v>13.16</v>
      </c>
      <c r="L502" s="169">
        <f t="shared" si="31"/>
        <v>13.16</v>
      </c>
      <c r="M502" s="169"/>
    </row>
    <row r="503" spans="1:13">
      <c r="A503" s="169"/>
      <c r="B503" s="342"/>
      <c r="C503" s="342"/>
      <c r="D503" s="169">
        <v>1</v>
      </c>
      <c r="E503" s="169">
        <v>3.05</v>
      </c>
      <c r="F503" s="201"/>
      <c r="G503" s="201">
        <v>2.8</v>
      </c>
      <c r="H503" s="201"/>
      <c r="I503" s="201"/>
      <c r="J503" s="201"/>
      <c r="K503" s="186">
        <f t="shared" si="30"/>
        <v>8.5399999999999991</v>
      </c>
      <c r="L503" s="169">
        <f t="shared" si="31"/>
        <v>8.5399999999999991</v>
      </c>
      <c r="M503" s="169"/>
    </row>
    <row r="504" spans="1:13">
      <c r="A504" s="169"/>
      <c r="B504" s="342" t="s">
        <v>447</v>
      </c>
      <c r="C504" s="342"/>
      <c r="D504" s="169">
        <v>1</v>
      </c>
      <c r="E504" s="169">
        <v>1.1000000000000001</v>
      </c>
      <c r="F504" s="201"/>
      <c r="G504" s="201">
        <v>2.4</v>
      </c>
      <c r="H504" s="201"/>
      <c r="I504" s="201"/>
      <c r="J504" s="201"/>
      <c r="K504" s="186">
        <f t="shared" si="30"/>
        <v>2.64</v>
      </c>
      <c r="L504" s="169">
        <f t="shared" si="31"/>
        <v>2.64</v>
      </c>
      <c r="M504" s="169"/>
    </row>
    <row r="505" spans="1:13">
      <c r="A505" s="169"/>
      <c r="B505" s="342"/>
      <c r="C505" s="342"/>
      <c r="D505" s="169">
        <v>2</v>
      </c>
      <c r="E505" s="169">
        <v>1.45</v>
      </c>
      <c r="F505" s="201"/>
      <c r="G505" s="201">
        <v>2.8</v>
      </c>
      <c r="H505" s="201"/>
      <c r="I505" s="201"/>
      <c r="J505" s="201"/>
      <c r="K505" s="186">
        <f t="shared" si="30"/>
        <v>4.0599999999999996</v>
      </c>
      <c r="L505" s="169">
        <f t="shared" si="31"/>
        <v>8.1199999999999992</v>
      </c>
      <c r="M505" s="169"/>
    </row>
    <row r="506" spans="1:13">
      <c r="A506" s="169"/>
      <c r="B506" s="342"/>
      <c r="C506" s="342"/>
      <c r="D506" s="169">
        <v>2</v>
      </c>
      <c r="E506" s="169">
        <v>1.6</v>
      </c>
      <c r="F506" s="201">
        <f>-0.8*2.1</f>
        <v>-1.6800000000000002</v>
      </c>
      <c r="G506" s="201">
        <v>2.8</v>
      </c>
      <c r="H506" s="201"/>
      <c r="I506" s="201"/>
      <c r="J506" s="201"/>
      <c r="K506" s="186">
        <f t="shared" si="30"/>
        <v>4.4799999999999995</v>
      </c>
      <c r="L506" s="169">
        <f t="shared" si="31"/>
        <v>7.2799999999999994</v>
      </c>
      <c r="M506" s="169"/>
    </row>
    <row r="507" spans="1:13">
      <c r="A507" s="169"/>
      <c r="B507" s="342"/>
      <c r="C507" s="342"/>
      <c r="D507" s="169">
        <v>1</v>
      </c>
      <c r="E507" s="169">
        <v>0.4</v>
      </c>
      <c r="F507" s="201"/>
      <c r="G507" s="201">
        <v>3.7</v>
      </c>
      <c r="H507" s="201"/>
      <c r="I507" s="201"/>
      <c r="J507" s="201"/>
      <c r="K507" s="186">
        <f t="shared" si="30"/>
        <v>1.4800000000000002</v>
      </c>
      <c r="L507" s="169">
        <f t="shared" si="31"/>
        <v>1.4800000000000002</v>
      </c>
      <c r="M507" s="169"/>
    </row>
    <row r="508" spans="1:13">
      <c r="A508" s="169"/>
      <c r="B508" s="342" t="s">
        <v>633</v>
      </c>
      <c r="C508" s="342"/>
      <c r="D508" s="169">
        <v>2</v>
      </c>
      <c r="E508" s="169">
        <v>3.7</v>
      </c>
      <c r="F508" s="201"/>
      <c r="G508" s="201">
        <v>0.4</v>
      </c>
      <c r="H508" s="201"/>
      <c r="I508" s="201"/>
      <c r="J508" s="201"/>
      <c r="K508" s="186">
        <f t="shared" si="30"/>
        <v>1.4800000000000002</v>
      </c>
      <c r="L508" s="169">
        <f t="shared" si="31"/>
        <v>2.9600000000000004</v>
      </c>
      <c r="M508" s="169"/>
    </row>
    <row r="509" spans="1:13">
      <c r="A509" s="169"/>
      <c r="B509" s="342" t="s">
        <v>448</v>
      </c>
      <c r="C509" s="342"/>
      <c r="D509" s="169">
        <v>2</v>
      </c>
      <c r="E509" s="169">
        <v>2.1</v>
      </c>
      <c r="F509" s="201"/>
      <c r="G509" s="201">
        <v>2.85</v>
      </c>
      <c r="H509" s="201"/>
      <c r="I509" s="201"/>
      <c r="J509" s="201"/>
      <c r="K509" s="186">
        <f t="shared" si="30"/>
        <v>5.9850000000000003</v>
      </c>
      <c r="L509" s="169">
        <f t="shared" si="31"/>
        <v>11.97</v>
      </c>
      <c r="M509" s="169"/>
    </row>
    <row r="510" spans="1:13">
      <c r="A510" s="169"/>
      <c r="B510" s="342"/>
      <c r="C510" s="342"/>
      <c r="D510" s="169">
        <v>2</v>
      </c>
      <c r="E510" s="169">
        <v>1.07</v>
      </c>
      <c r="F510" s="201">
        <f>-0.8*2.1</f>
        <v>-1.6800000000000002</v>
      </c>
      <c r="G510" s="201">
        <v>2.85</v>
      </c>
      <c r="H510" s="201"/>
      <c r="I510" s="201"/>
      <c r="J510" s="201"/>
      <c r="K510" s="186">
        <f t="shared" si="30"/>
        <v>3.0495000000000001</v>
      </c>
      <c r="L510" s="169">
        <f t="shared" si="31"/>
        <v>4.4190000000000005</v>
      </c>
      <c r="M510" s="169"/>
    </row>
    <row r="511" spans="1:13">
      <c r="A511" s="169"/>
      <c r="B511" s="342"/>
      <c r="C511" s="342"/>
      <c r="D511" s="169">
        <v>1</v>
      </c>
      <c r="E511" s="169">
        <v>0.9</v>
      </c>
      <c r="F511" s="201"/>
      <c r="G511" s="201">
        <v>2.85</v>
      </c>
      <c r="H511" s="201"/>
      <c r="I511" s="201"/>
      <c r="J511" s="201"/>
      <c r="K511" s="186">
        <f t="shared" si="30"/>
        <v>2.5649999999999999</v>
      </c>
      <c r="L511" s="169">
        <f t="shared" si="31"/>
        <v>2.5649999999999999</v>
      </c>
      <c r="M511" s="169"/>
    </row>
    <row r="512" spans="1:13">
      <c r="A512" s="169"/>
      <c r="B512" s="342"/>
      <c r="C512" s="342"/>
      <c r="D512" s="169">
        <v>1</v>
      </c>
      <c r="E512" s="169">
        <v>0.8</v>
      </c>
      <c r="F512" s="201"/>
      <c r="G512" s="201">
        <v>2.85</v>
      </c>
      <c r="H512" s="201"/>
      <c r="I512" s="201"/>
      <c r="J512" s="201"/>
      <c r="K512" s="186">
        <f t="shared" si="30"/>
        <v>2.2800000000000002</v>
      </c>
      <c r="L512" s="169">
        <f t="shared" si="31"/>
        <v>2.2800000000000002</v>
      </c>
      <c r="M512" s="169"/>
    </row>
    <row r="513" spans="1:13">
      <c r="A513" s="169"/>
      <c r="B513" s="342" t="s">
        <v>449</v>
      </c>
      <c r="C513" s="342"/>
      <c r="D513" s="169">
        <v>1</v>
      </c>
      <c r="E513" s="169">
        <v>1.4</v>
      </c>
      <c r="F513" s="201"/>
      <c r="G513" s="201">
        <v>2.1</v>
      </c>
      <c r="H513" s="201"/>
      <c r="I513" s="201"/>
      <c r="J513" s="201"/>
      <c r="K513" s="186">
        <f t="shared" si="30"/>
        <v>2.94</v>
      </c>
      <c r="L513" s="169">
        <f t="shared" si="31"/>
        <v>2.94</v>
      </c>
      <c r="M513" s="169"/>
    </row>
    <row r="514" spans="1:13">
      <c r="A514" s="169"/>
      <c r="B514" s="342" t="s">
        <v>450</v>
      </c>
      <c r="C514" s="342"/>
      <c r="D514" s="169">
        <v>2</v>
      </c>
      <c r="E514" s="169">
        <v>3.15</v>
      </c>
      <c r="F514" s="201"/>
      <c r="G514" s="201">
        <v>2.7</v>
      </c>
      <c r="H514" s="201"/>
      <c r="I514" s="201"/>
      <c r="J514" s="201"/>
      <c r="K514" s="186">
        <f t="shared" si="30"/>
        <v>8.5050000000000008</v>
      </c>
      <c r="L514" s="169">
        <f t="shared" si="31"/>
        <v>17.010000000000002</v>
      </c>
      <c r="M514" s="169"/>
    </row>
    <row r="515" spans="1:13">
      <c r="A515" s="169"/>
      <c r="B515" s="342"/>
      <c r="C515" s="342"/>
      <c r="D515" s="169">
        <v>1</v>
      </c>
      <c r="E515" s="169">
        <v>0.9</v>
      </c>
      <c r="F515" s="201"/>
      <c r="G515" s="201">
        <v>1.1000000000000001</v>
      </c>
      <c r="H515" s="201"/>
      <c r="I515" s="201"/>
      <c r="J515" s="201"/>
      <c r="K515" s="186">
        <f t="shared" si="30"/>
        <v>0.9900000000000001</v>
      </c>
      <c r="L515" s="169">
        <f t="shared" si="31"/>
        <v>0.9900000000000001</v>
      </c>
      <c r="M515" s="169"/>
    </row>
    <row r="516" spans="1:13">
      <c r="A516" s="169"/>
      <c r="B516" s="342"/>
      <c r="C516" s="342"/>
      <c r="D516" s="169">
        <v>1</v>
      </c>
      <c r="E516" s="169">
        <v>0.5</v>
      </c>
      <c r="F516" s="201"/>
      <c r="G516" s="201">
        <v>1.35</v>
      </c>
      <c r="H516" s="201"/>
      <c r="I516" s="201"/>
      <c r="J516" s="201"/>
      <c r="K516" s="186">
        <f t="shared" si="30"/>
        <v>0.67500000000000004</v>
      </c>
      <c r="L516" s="169">
        <f t="shared" si="31"/>
        <v>0.67500000000000004</v>
      </c>
      <c r="M516" s="169"/>
    </row>
    <row r="517" spans="1:13">
      <c r="A517" s="169"/>
      <c r="B517" s="342" t="s">
        <v>611</v>
      </c>
      <c r="C517" s="342"/>
      <c r="D517" s="169">
        <v>2</v>
      </c>
      <c r="E517" s="169">
        <v>2.15</v>
      </c>
      <c r="F517" s="201">
        <f>-0.8*2.1</f>
        <v>-1.6800000000000002</v>
      </c>
      <c r="G517" s="201">
        <v>2.7</v>
      </c>
      <c r="H517" s="201"/>
      <c r="I517" s="201"/>
      <c r="J517" s="201"/>
      <c r="K517" s="186">
        <f t="shared" si="30"/>
        <v>5.8049999999999997</v>
      </c>
      <c r="L517" s="169">
        <f t="shared" si="31"/>
        <v>9.93</v>
      </c>
      <c r="M517" s="169"/>
    </row>
    <row r="518" spans="1:13">
      <c r="A518" s="169"/>
      <c r="B518" s="342"/>
      <c r="C518" s="342"/>
      <c r="D518" s="169">
        <v>2</v>
      </c>
      <c r="E518" s="169">
        <v>2.7</v>
      </c>
      <c r="F518" s="201">
        <f>-0.8*2.1</f>
        <v>-1.6800000000000002</v>
      </c>
      <c r="G518" s="201">
        <v>2.7</v>
      </c>
      <c r="H518" s="201"/>
      <c r="I518" s="201"/>
      <c r="J518" s="201"/>
      <c r="K518" s="186">
        <f t="shared" si="30"/>
        <v>7.2900000000000009</v>
      </c>
      <c r="L518" s="169">
        <f t="shared" si="31"/>
        <v>12.900000000000002</v>
      </c>
      <c r="M518" s="169"/>
    </row>
    <row r="519" spans="1:13">
      <c r="A519" s="169"/>
      <c r="B519" s="342"/>
      <c r="C519" s="342"/>
      <c r="D519" s="169">
        <v>1</v>
      </c>
      <c r="E519" s="169">
        <v>0.2</v>
      </c>
      <c r="F519" s="201"/>
      <c r="G519" s="201">
        <v>2.7</v>
      </c>
      <c r="H519" s="201"/>
      <c r="I519" s="201"/>
      <c r="J519" s="201"/>
      <c r="K519" s="186">
        <f t="shared" si="30"/>
        <v>0.54</v>
      </c>
      <c r="L519" s="169">
        <f t="shared" si="31"/>
        <v>0.54</v>
      </c>
      <c r="M519" s="169"/>
    </row>
    <row r="520" spans="1:13">
      <c r="A520" s="169"/>
      <c r="B520" s="342" t="s">
        <v>453</v>
      </c>
      <c r="C520" s="342"/>
      <c r="D520" s="169">
        <v>1</v>
      </c>
      <c r="E520" s="169">
        <v>0.8</v>
      </c>
      <c r="F520" s="201"/>
      <c r="G520" s="201">
        <v>2.7</v>
      </c>
      <c r="H520" s="201"/>
      <c r="I520" s="201"/>
      <c r="J520" s="201"/>
      <c r="K520" s="186">
        <f t="shared" si="30"/>
        <v>2.16</v>
      </c>
      <c r="L520" s="169">
        <f t="shared" si="31"/>
        <v>2.16</v>
      </c>
      <c r="M520" s="169"/>
    </row>
    <row r="521" spans="1:13">
      <c r="A521" s="169"/>
      <c r="B521" s="342"/>
      <c r="C521" s="342"/>
      <c r="D521" s="169">
        <v>1</v>
      </c>
      <c r="E521" s="169">
        <v>1</v>
      </c>
      <c r="F521" s="201"/>
      <c r="G521" s="201">
        <v>2.7</v>
      </c>
      <c r="H521" s="201"/>
      <c r="I521" s="201"/>
      <c r="J521" s="201"/>
      <c r="K521" s="186">
        <f t="shared" ref="K521:K556" si="32">E521*G521</f>
        <v>2.7</v>
      </c>
      <c r="L521" s="169">
        <f t="shared" ref="L521:L556" si="33">(K521*D521)+F521</f>
        <v>2.7</v>
      </c>
      <c r="M521" s="169"/>
    </row>
    <row r="522" spans="1:13">
      <c r="A522" s="169"/>
      <c r="B522" s="342" t="s">
        <v>452</v>
      </c>
      <c r="C522" s="342"/>
      <c r="D522" s="169">
        <v>7</v>
      </c>
      <c r="E522" s="169">
        <v>2.6</v>
      </c>
      <c r="F522" s="201"/>
      <c r="G522" s="201">
        <v>3.2</v>
      </c>
      <c r="H522" s="201"/>
      <c r="I522" s="201"/>
      <c r="J522" s="201"/>
      <c r="K522" s="186">
        <f t="shared" si="32"/>
        <v>8.32</v>
      </c>
      <c r="L522" s="169">
        <f t="shared" si="33"/>
        <v>58.24</v>
      </c>
      <c r="M522" s="169"/>
    </row>
    <row r="523" spans="1:13">
      <c r="A523" s="169"/>
      <c r="B523" s="342"/>
      <c r="C523" s="342"/>
      <c r="D523" s="169">
        <v>2</v>
      </c>
      <c r="E523" s="169">
        <v>6</v>
      </c>
      <c r="F523" s="201">
        <f>(-0.8*2.1)*3</f>
        <v>-5.0400000000000009</v>
      </c>
      <c r="G523" s="201">
        <v>3.2</v>
      </c>
      <c r="H523" s="201"/>
      <c r="I523" s="201"/>
      <c r="J523" s="201"/>
      <c r="K523" s="186">
        <f t="shared" si="32"/>
        <v>19.200000000000003</v>
      </c>
      <c r="L523" s="169">
        <f t="shared" si="33"/>
        <v>33.360000000000007</v>
      </c>
      <c r="M523" s="169"/>
    </row>
    <row r="524" spans="1:13">
      <c r="A524" s="169"/>
      <c r="B524" s="342" t="s">
        <v>438</v>
      </c>
      <c r="C524" s="342"/>
      <c r="D524" s="169">
        <v>1</v>
      </c>
      <c r="E524" s="169">
        <v>3.2</v>
      </c>
      <c r="F524" s="201">
        <f>-0.8*2.1</f>
        <v>-1.6800000000000002</v>
      </c>
      <c r="G524" s="201">
        <v>3.1</v>
      </c>
      <c r="H524" s="201"/>
      <c r="I524" s="201"/>
      <c r="J524" s="201"/>
      <c r="K524" s="186">
        <f t="shared" si="32"/>
        <v>9.9200000000000017</v>
      </c>
      <c r="L524" s="169">
        <f t="shared" si="33"/>
        <v>8.240000000000002</v>
      </c>
      <c r="M524" s="169"/>
    </row>
    <row r="525" spans="1:13">
      <c r="A525" s="169"/>
      <c r="B525" s="342"/>
      <c r="C525" s="342"/>
      <c r="D525" s="169">
        <v>1</v>
      </c>
      <c r="E525" s="169">
        <v>0.4</v>
      </c>
      <c r="F525" s="201"/>
      <c r="G525" s="201">
        <v>3.1</v>
      </c>
      <c r="H525" s="201"/>
      <c r="I525" s="201"/>
      <c r="J525" s="201"/>
      <c r="K525" s="186">
        <f t="shared" si="32"/>
        <v>1.2400000000000002</v>
      </c>
      <c r="L525" s="169">
        <f t="shared" si="33"/>
        <v>1.2400000000000002</v>
      </c>
      <c r="M525" s="169"/>
    </row>
    <row r="526" spans="1:13">
      <c r="A526" s="169"/>
      <c r="B526" s="342"/>
      <c r="C526" s="342"/>
      <c r="D526" s="169">
        <v>2</v>
      </c>
      <c r="E526" s="169">
        <v>2.25</v>
      </c>
      <c r="F526" s="201"/>
      <c r="G526" s="201">
        <v>2.7</v>
      </c>
      <c r="H526" s="201"/>
      <c r="I526" s="201"/>
      <c r="J526" s="201"/>
      <c r="K526" s="186">
        <f t="shared" si="32"/>
        <v>6.0750000000000002</v>
      </c>
      <c r="L526" s="169">
        <f t="shared" si="33"/>
        <v>12.15</v>
      </c>
      <c r="M526" s="169"/>
    </row>
    <row r="527" spans="1:13">
      <c r="A527" s="169"/>
      <c r="B527" s="342"/>
      <c r="C527" s="342"/>
      <c r="D527" s="169">
        <v>2</v>
      </c>
      <c r="E527" s="169">
        <v>1.1000000000000001</v>
      </c>
      <c r="F527" s="201">
        <f>-0.8*2.1</f>
        <v>-1.6800000000000002</v>
      </c>
      <c r="G527" s="201">
        <v>2.7</v>
      </c>
      <c r="H527" s="201"/>
      <c r="I527" s="201"/>
      <c r="J527" s="201"/>
      <c r="K527" s="186">
        <f t="shared" si="32"/>
        <v>2.9700000000000006</v>
      </c>
      <c r="L527" s="169">
        <f t="shared" si="33"/>
        <v>4.2600000000000016</v>
      </c>
      <c r="M527" s="169"/>
    </row>
    <row r="528" spans="1:13">
      <c r="A528" s="169"/>
      <c r="B528" s="342"/>
      <c r="C528" s="342"/>
      <c r="D528" s="169">
        <v>1</v>
      </c>
      <c r="E528" s="169">
        <v>0.9</v>
      </c>
      <c r="F528" s="201"/>
      <c r="G528" s="201">
        <v>3.4</v>
      </c>
      <c r="H528" s="201"/>
      <c r="I528" s="201"/>
      <c r="J528" s="201"/>
      <c r="K528" s="186">
        <f t="shared" si="32"/>
        <v>3.06</v>
      </c>
      <c r="L528" s="169">
        <f t="shared" si="33"/>
        <v>3.06</v>
      </c>
      <c r="M528" s="169"/>
    </row>
    <row r="529" spans="1:13">
      <c r="A529" s="169"/>
      <c r="B529" s="342"/>
      <c r="C529" s="342"/>
      <c r="D529" s="169">
        <v>1</v>
      </c>
      <c r="E529" s="169">
        <v>0.9</v>
      </c>
      <c r="F529" s="201"/>
      <c r="G529" s="201">
        <v>3.8</v>
      </c>
      <c r="H529" s="201"/>
      <c r="I529" s="201"/>
      <c r="J529" s="201"/>
      <c r="K529" s="186">
        <f t="shared" si="32"/>
        <v>3.42</v>
      </c>
      <c r="L529" s="169">
        <f t="shared" si="33"/>
        <v>3.42</v>
      </c>
      <c r="M529" s="169"/>
    </row>
    <row r="530" spans="1:13">
      <c r="A530" s="169"/>
      <c r="B530" s="342"/>
      <c r="C530" s="342"/>
      <c r="D530" s="169">
        <v>1</v>
      </c>
      <c r="E530" s="169">
        <v>1</v>
      </c>
      <c r="F530" s="201"/>
      <c r="G530" s="201">
        <v>3.4</v>
      </c>
      <c r="H530" s="201"/>
      <c r="I530" s="201"/>
      <c r="J530" s="201"/>
      <c r="K530" s="186">
        <f t="shared" si="32"/>
        <v>3.4</v>
      </c>
      <c r="L530" s="169">
        <f t="shared" si="33"/>
        <v>3.4</v>
      </c>
      <c r="M530" s="169"/>
    </row>
    <row r="531" spans="1:13">
      <c r="A531" s="169"/>
      <c r="B531" s="201"/>
      <c r="C531" s="201"/>
      <c r="D531" s="169">
        <v>1</v>
      </c>
      <c r="E531" s="169">
        <v>3.7</v>
      </c>
      <c r="F531" s="201"/>
      <c r="G531" s="201">
        <v>0.5</v>
      </c>
      <c r="H531" s="201"/>
      <c r="I531" s="201"/>
      <c r="J531" s="201"/>
      <c r="K531" s="186">
        <f t="shared" si="32"/>
        <v>1.85</v>
      </c>
      <c r="L531" s="169">
        <f t="shared" si="33"/>
        <v>1.85</v>
      </c>
      <c r="M531" s="169"/>
    </row>
    <row r="532" spans="1:13">
      <c r="A532" s="169"/>
      <c r="B532" s="201"/>
      <c r="C532" s="201"/>
      <c r="D532" s="169">
        <v>1</v>
      </c>
      <c r="E532" s="169">
        <v>0.55000000000000004</v>
      </c>
      <c r="F532" s="201"/>
      <c r="G532" s="201">
        <v>3.2</v>
      </c>
      <c r="H532" s="201"/>
      <c r="I532" s="201"/>
      <c r="J532" s="201"/>
      <c r="K532" s="186">
        <f t="shared" si="32"/>
        <v>1.7600000000000002</v>
      </c>
      <c r="L532" s="169">
        <f t="shared" si="33"/>
        <v>1.7600000000000002</v>
      </c>
      <c r="M532" s="169"/>
    </row>
    <row r="533" spans="1:13">
      <c r="A533" s="169"/>
      <c r="B533" s="201"/>
      <c r="C533" s="201"/>
      <c r="D533" s="169">
        <v>1</v>
      </c>
      <c r="E533" s="169">
        <v>0.6</v>
      </c>
      <c r="F533" s="201"/>
      <c r="G533" s="201">
        <v>1.6</v>
      </c>
      <c r="H533" s="201"/>
      <c r="I533" s="201"/>
      <c r="J533" s="201"/>
      <c r="K533" s="186">
        <f t="shared" si="32"/>
        <v>0.96</v>
      </c>
      <c r="L533" s="169">
        <f t="shared" si="33"/>
        <v>0.96</v>
      </c>
      <c r="M533" s="169"/>
    </row>
    <row r="534" spans="1:13">
      <c r="A534" s="169"/>
      <c r="B534" s="201"/>
      <c r="C534" s="201"/>
      <c r="D534" s="169">
        <v>1</v>
      </c>
      <c r="E534" s="169">
        <v>0.35</v>
      </c>
      <c r="F534" s="201"/>
      <c r="G534" s="201">
        <v>3.2</v>
      </c>
      <c r="H534" s="201"/>
      <c r="I534" s="201"/>
      <c r="J534" s="201"/>
      <c r="K534" s="186">
        <f t="shared" si="32"/>
        <v>1.1199999999999999</v>
      </c>
      <c r="L534" s="169">
        <f t="shared" si="33"/>
        <v>1.1199999999999999</v>
      </c>
      <c r="M534" s="169"/>
    </row>
    <row r="535" spans="1:13">
      <c r="A535" s="169"/>
      <c r="B535" s="201"/>
      <c r="C535" s="201"/>
      <c r="D535" s="169">
        <v>1</v>
      </c>
      <c r="E535" s="169">
        <v>0.25</v>
      </c>
      <c r="F535" s="201"/>
      <c r="G535" s="201">
        <v>3.2</v>
      </c>
      <c r="H535" s="201"/>
      <c r="I535" s="201"/>
      <c r="J535" s="201"/>
      <c r="K535" s="186">
        <f t="shared" si="32"/>
        <v>0.8</v>
      </c>
      <c r="L535" s="169">
        <f t="shared" si="33"/>
        <v>0.8</v>
      </c>
      <c r="M535" s="169"/>
    </row>
    <row r="536" spans="1:13">
      <c r="A536" s="169"/>
      <c r="B536" s="201"/>
      <c r="C536" s="201"/>
      <c r="D536" s="169">
        <v>1</v>
      </c>
      <c r="E536" s="169">
        <v>4.45</v>
      </c>
      <c r="F536" s="201"/>
      <c r="G536" s="201">
        <v>3.1</v>
      </c>
      <c r="H536" s="201"/>
      <c r="I536" s="201"/>
      <c r="J536" s="201"/>
      <c r="K536" s="186">
        <f t="shared" si="32"/>
        <v>13.795000000000002</v>
      </c>
      <c r="L536" s="169">
        <f t="shared" si="33"/>
        <v>13.795000000000002</v>
      </c>
      <c r="M536" s="169"/>
    </row>
    <row r="537" spans="1:13">
      <c r="A537" s="169"/>
      <c r="B537" s="201"/>
      <c r="C537" s="201"/>
      <c r="D537" s="169">
        <v>1</v>
      </c>
      <c r="E537" s="169">
        <v>4</v>
      </c>
      <c r="F537" s="201"/>
      <c r="G537" s="201">
        <v>3.2</v>
      </c>
      <c r="H537" s="201"/>
      <c r="I537" s="201"/>
      <c r="J537" s="201"/>
      <c r="K537" s="186">
        <f t="shared" si="32"/>
        <v>12.8</v>
      </c>
      <c r="L537" s="169">
        <f t="shared" si="33"/>
        <v>12.8</v>
      </c>
      <c r="M537" s="169"/>
    </row>
    <row r="538" spans="1:13">
      <c r="A538" s="169"/>
      <c r="B538" s="201"/>
      <c r="C538" s="201"/>
      <c r="D538" s="169">
        <v>1</v>
      </c>
      <c r="E538" s="169">
        <v>0.35</v>
      </c>
      <c r="F538" s="201"/>
      <c r="G538" s="201">
        <v>3.1</v>
      </c>
      <c r="H538" s="201"/>
      <c r="I538" s="201"/>
      <c r="J538" s="201"/>
      <c r="K538" s="186">
        <f t="shared" si="32"/>
        <v>1.085</v>
      </c>
      <c r="L538" s="169">
        <f t="shared" si="33"/>
        <v>1.085</v>
      </c>
      <c r="M538" s="169"/>
    </row>
    <row r="539" spans="1:13">
      <c r="A539" s="169"/>
      <c r="B539" s="201"/>
      <c r="C539" s="201"/>
      <c r="D539" s="169">
        <v>1</v>
      </c>
      <c r="E539" s="169">
        <v>0.4</v>
      </c>
      <c r="F539" s="201"/>
      <c r="G539" s="201">
        <v>3.1</v>
      </c>
      <c r="H539" s="201"/>
      <c r="I539" s="201"/>
      <c r="J539" s="201"/>
      <c r="K539" s="186">
        <f t="shared" si="32"/>
        <v>1.2400000000000002</v>
      </c>
      <c r="L539" s="169">
        <f t="shared" si="33"/>
        <v>1.2400000000000002</v>
      </c>
      <c r="M539" s="169"/>
    </row>
    <row r="540" spans="1:13">
      <c r="A540" s="169"/>
      <c r="B540" s="201"/>
      <c r="C540" s="201"/>
      <c r="D540" s="169">
        <v>1</v>
      </c>
      <c r="E540" s="169">
        <v>0.7</v>
      </c>
      <c r="F540" s="201"/>
      <c r="G540" s="201">
        <v>3.6</v>
      </c>
      <c r="H540" s="201"/>
      <c r="I540" s="201"/>
      <c r="J540" s="201"/>
      <c r="K540" s="186">
        <f t="shared" si="32"/>
        <v>2.52</v>
      </c>
      <c r="L540" s="169">
        <f t="shared" si="33"/>
        <v>2.52</v>
      </c>
      <c r="M540" s="169"/>
    </row>
    <row r="541" spans="1:13">
      <c r="A541" s="169"/>
      <c r="B541" s="201"/>
      <c r="C541" s="201"/>
      <c r="D541" s="169">
        <v>1</v>
      </c>
      <c r="E541" s="169">
        <v>3.1</v>
      </c>
      <c r="F541" s="201"/>
      <c r="G541" s="201">
        <v>3.6</v>
      </c>
      <c r="H541" s="201"/>
      <c r="I541" s="201"/>
      <c r="J541" s="201"/>
      <c r="K541" s="186">
        <f t="shared" si="32"/>
        <v>11.16</v>
      </c>
      <c r="L541" s="169">
        <f t="shared" si="33"/>
        <v>11.16</v>
      </c>
      <c r="M541" s="169"/>
    </row>
    <row r="542" spans="1:13">
      <c r="A542" s="169"/>
      <c r="B542" s="201"/>
      <c r="C542" s="201"/>
      <c r="D542" s="169">
        <v>1</v>
      </c>
      <c r="E542" s="169">
        <v>3.1</v>
      </c>
      <c r="F542" s="201"/>
      <c r="G542" s="201">
        <v>5.8</v>
      </c>
      <c r="H542" s="201"/>
      <c r="I542" s="201"/>
      <c r="J542" s="201"/>
      <c r="K542" s="186">
        <f t="shared" si="32"/>
        <v>17.98</v>
      </c>
      <c r="L542" s="169">
        <f t="shared" si="33"/>
        <v>17.98</v>
      </c>
      <c r="M542" s="169"/>
    </row>
    <row r="543" spans="1:13">
      <c r="A543" s="169"/>
      <c r="B543" s="201"/>
      <c r="C543" s="201"/>
      <c r="D543" s="169">
        <v>1</v>
      </c>
      <c r="E543" s="169">
        <v>2.5</v>
      </c>
      <c r="F543" s="201"/>
      <c r="G543" s="201">
        <v>3.4</v>
      </c>
      <c r="H543" s="201"/>
      <c r="I543" s="201"/>
      <c r="J543" s="201"/>
      <c r="K543" s="186">
        <f t="shared" si="32"/>
        <v>8.5</v>
      </c>
      <c r="L543" s="169">
        <f t="shared" si="33"/>
        <v>8.5</v>
      </c>
      <c r="M543" s="169"/>
    </row>
    <row r="544" spans="1:13">
      <c r="A544" s="169"/>
      <c r="B544" s="201"/>
      <c r="C544" s="201"/>
      <c r="D544" s="169">
        <v>1</v>
      </c>
      <c r="E544" s="169">
        <v>1.8</v>
      </c>
      <c r="F544" s="201"/>
      <c r="G544" s="201">
        <v>3.2</v>
      </c>
      <c r="H544" s="201"/>
      <c r="I544" s="201"/>
      <c r="J544" s="201"/>
      <c r="K544" s="186">
        <f t="shared" si="32"/>
        <v>5.7600000000000007</v>
      </c>
      <c r="L544" s="169">
        <f t="shared" si="33"/>
        <v>5.7600000000000007</v>
      </c>
      <c r="M544" s="169"/>
    </row>
    <row r="545" spans="1:13">
      <c r="A545" s="169"/>
      <c r="B545" s="201"/>
      <c r="C545" s="201"/>
      <c r="D545" s="169">
        <v>1</v>
      </c>
      <c r="E545" s="169">
        <v>3.3</v>
      </c>
      <c r="F545" s="201"/>
      <c r="G545" s="201">
        <v>0.7</v>
      </c>
      <c r="H545" s="201"/>
      <c r="I545" s="201"/>
      <c r="J545" s="201"/>
      <c r="K545" s="186">
        <f t="shared" si="32"/>
        <v>2.3099999999999996</v>
      </c>
      <c r="L545" s="169">
        <f t="shared" si="33"/>
        <v>2.3099999999999996</v>
      </c>
      <c r="M545" s="169"/>
    </row>
    <row r="546" spans="1:13">
      <c r="A546" s="169"/>
      <c r="B546" s="201"/>
      <c r="C546" s="201"/>
      <c r="D546" s="169">
        <v>1</v>
      </c>
      <c r="E546" s="169">
        <v>0.7</v>
      </c>
      <c r="F546" s="201"/>
      <c r="G546" s="201">
        <v>6.8</v>
      </c>
      <c r="H546" s="201"/>
      <c r="I546" s="201"/>
      <c r="J546" s="201"/>
      <c r="K546" s="186">
        <f t="shared" si="32"/>
        <v>4.76</v>
      </c>
      <c r="L546" s="169">
        <f t="shared" si="33"/>
        <v>4.76</v>
      </c>
      <c r="M546" s="169"/>
    </row>
    <row r="547" spans="1:13">
      <c r="A547" s="169"/>
      <c r="B547" s="201"/>
      <c r="C547" s="201"/>
      <c r="D547" s="169">
        <v>1</v>
      </c>
      <c r="E547" s="169">
        <v>1</v>
      </c>
      <c r="F547" s="201"/>
      <c r="G547" s="201">
        <v>0.9</v>
      </c>
      <c r="H547" s="201"/>
      <c r="I547" s="201"/>
      <c r="J547" s="201"/>
      <c r="K547" s="186">
        <f t="shared" si="32"/>
        <v>0.9</v>
      </c>
      <c r="L547" s="169">
        <f t="shared" si="33"/>
        <v>0.9</v>
      </c>
      <c r="M547" s="169"/>
    </row>
    <row r="548" spans="1:13">
      <c r="A548" s="169"/>
      <c r="B548" s="201"/>
      <c r="C548" s="201"/>
      <c r="D548" s="169">
        <v>1</v>
      </c>
      <c r="E548" s="169">
        <v>2.4</v>
      </c>
      <c r="F548" s="201"/>
      <c r="G548" s="201">
        <v>3.15</v>
      </c>
      <c r="H548" s="201"/>
      <c r="I548" s="201"/>
      <c r="J548" s="201"/>
      <c r="K548" s="186">
        <f t="shared" si="32"/>
        <v>7.56</v>
      </c>
      <c r="L548" s="169">
        <f t="shared" si="33"/>
        <v>7.56</v>
      </c>
      <c r="M548" s="169"/>
    </row>
    <row r="549" spans="1:13">
      <c r="A549" s="169"/>
      <c r="B549" s="201"/>
      <c r="C549" s="201"/>
      <c r="D549" s="169">
        <v>2</v>
      </c>
      <c r="E549" s="169">
        <v>0.9</v>
      </c>
      <c r="F549" s="201"/>
      <c r="G549" s="201">
        <v>3.1</v>
      </c>
      <c r="H549" s="201"/>
      <c r="I549" s="201"/>
      <c r="J549" s="201"/>
      <c r="K549" s="186">
        <f t="shared" si="32"/>
        <v>2.79</v>
      </c>
      <c r="L549" s="169">
        <f t="shared" si="33"/>
        <v>5.58</v>
      </c>
      <c r="M549" s="169"/>
    </row>
    <row r="550" spans="1:13">
      <c r="A550" s="169"/>
      <c r="B550" s="201"/>
      <c r="C550" s="201"/>
      <c r="D550" s="169">
        <v>1</v>
      </c>
      <c r="E550" s="169">
        <v>0.4</v>
      </c>
      <c r="F550" s="201"/>
      <c r="G550" s="201">
        <v>2</v>
      </c>
      <c r="H550" s="201"/>
      <c r="I550" s="201"/>
      <c r="J550" s="201"/>
      <c r="K550" s="186">
        <f t="shared" si="32"/>
        <v>0.8</v>
      </c>
      <c r="L550" s="169">
        <f t="shared" si="33"/>
        <v>0.8</v>
      </c>
      <c r="M550" s="169"/>
    </row>
    <row r="551" spans="1:13">
      <c r="A551" s="169"/>
      <c r="B551" s="342" t="s">
        <v>612</v>
      </c>
      <c r="C551" s="342"/>
      <c r="D551" s="169">
        <v>1</v>
      </c>
      <c r="E551" s="169">
        <v>11.5</v>
      </c>
      <c r="F551" s="201"/>
      <c r="G551" s="201">
        <v>3.4</v>
      </c>
      <c r="H551" s="201"/>
      <c r="I551" s="201"/>
      <c r="J551" s="201"/>
      <c r="K551" s="186">
        <f t="shared" si="32"/>
        <v>39.1</v>
      </c>
      <c r="L551" s="169">
        <f t="shared" si="33"/>
        <v>39.1</v>
      </c>
      <c r="M551" s="169"/>
    </row>
    <row r="552" spans="1:13">
      <c r="A552" s="169"/>
      <c r="B552" s="201"/>
      <c r="C552" s="201"/>
      <c r="D552" s="169">
        <v>1</v>
      </c>
      <c r="E552" s="169">
        <v>2.4</v>
      </c>
      <c r="F552" s="201"/>
      <c r="G552" s="201">
        <v>3.4</v>
      </c>
      <c r="H552" s="201"/>
      <c r="I552" s="201"/>
      <c r="J552" s="201"/>
      <c r="K552" s="186">
        <f t="shared" si="32"/>
        <v>8.16</v>
      </c>
      <c r="L552" s="169">
        <f t="shared" si="33"/>
        <v>8.16</v>
      </c>
      <c r="M552" s="169"/>
    </row>
    <row r="553" spans="1:13">
      <c r="A553" s="169"/>
      <c r="B553" s="201"/>
      <c r="C553" s="201"/>
      <c r="D553" s="169">
        <v>1</v>
      </c>
      <c r="E553" s="169">
        <v>1.2</v>
      </c>
      <c r="F553" s="201"/>
      <c r="G553" s="201">
        <v>2.7</v>
      </c>
      <c r="H553" s="201"/>
      <c r="I553" s="201"/>
      <c r="J553" s="201"/>
      <c r="K553" s="186">
        <f t="shared" si="32"/>
        <v>3.24</v>
      </c>
      <c r="L553" s="169">
        <f t="shared" si="33"/>
        <v>3.24</v>
      </c>
      <c r="M553" s="169"/>
    </row>
    <row r="554" spans="1:13">
      <c r="A554" s="169"/>
      <c r="B554" s="201"/>
      <c r="C554" s="201"/>
      <c r="D554" s="169">
        <v>1</v>
      </c>
      <c r="E554" s="169">
        <v>1.35</v>
      </c>
      <c r="F554" s="201"/>
      <c r="G554" s="201">
        <v>3.4</v>
      </c>
      <c r="H554" s="201"/>
      <c r="I554" s="201"/>
      <c r="J554" s="201"/>
      <c r="K554" s="186">
        <f t="shared" si="32"/>
        <v>4.59</v>
      </c>
      <c r="L554" s="169">
        <f t="shared" si="33"/>
        <v>4.59</v>
      </c>
      <c r="M554" s="169"/>
    </row>
    <row r="555" spans="1:13">
      <c r="A555" s="169"/>
      <c r="B555" s="201"/>
      <c r="C555" s="201"/>
      <c r="D555" s="169">
        <v>1</v>
      </c>
      <c r="E555" s="169">
        <v>10.9</v>
      </c>
      <c r="F555" s="201"/>
      <c r="G555" s="201">
        <v>3.5</v>
      </c>
      <c r="H555" s="201"/>
      <c r="I555" s="201"/>
      <c r="J555" s="201"/>
      <c r="K555" s="186">
        <f t="shared" si="32"/>
        <v>38.15</v>
      </c>
      <c r="L555" s="169">
        <f t="shared" si="33"/>
        <v>38.15</v>
      </c>
      <c r="M555" s="169"/>
    </row>
    <row r="556" spans="1:13">
      <c r="A556" s="169"/>
      <c r="B556" s="201"/>
      <c r="C556" s="201"/>
      <c r="D556" s="169">
        <v>2</v>
      </c>
      <c r="E556" s="169">
        <v>1</v>
      </c>
      <c r="F556" s="201"/>
      <c r="G556" s="201">
        <v>1</v>
      </c>
      <c r="H556" s="201"/>
      <c r="I556" s="201"/>
      <c r="J556" s="201"/>
      <c r="K556" s="186">
        <f t="shared" si="32"/>
        <v>1</v>
      </c>
      <c r="L556" s="169">
        <f t="shared" si="33"/>
        <v>2</v>
      </c>
      <c r="M556" s="169"/>
    </row>
    <row r="557" spans="1:13" ht="21.6" customHeight="1">
      <c r="A557" s="169"/>
      <c r="B557" s="342"/>
      <c r="C557" s="342"/>
      <c r="D557" s="169">
        <v>2</v>
      </c>
      <c r="E557" s="169">
        <v>3</v>
      </c>
      <c r="F557" s="201">
        <f>-0.8*2.1</f>
        <v>-1.6800000000000002</v>
      </c>
      <c r="G557" s="201">
        <v>2.8</v>
      </c>
      <c r="H557" s="201"/>
      <c r="I557" s="201"/>
      <c r="J557" s="201"/>
      <c r="K557" s="186">
        <f t="shared" ref="K557" si="34">E557*G557</f>
        <v>8.3999999999999986</v>
      </c>
      <c r="L557" s="169">
        <f t="shared" ref="L557" si="35">(K557*D557)+F557</f>
        <v>15.119999999999997</v>
      </c>
      <c r="M557" s="169"/>
    </row>
    <row r="558" spans="1:13">
      <c r="A558" s="169"/>
      <c r="B558" s="169"/>
      <c r="C558" s="169"/>
      <c r="D558" s="169"/>
      <c r="E558" s="169"/>
      <c r="F558" s="169"/>
      <c r="G558" s="169"/>
      <c r="H558" s="169"/>
      <c r="I558" s="169"/>
      <c r="J558" s="169"/>
      <c r="K558" s="169"/>
      <c r="L558" s="169"/>
      <c r="M558" s="169"/>
    </row>
    <row r="559" spans="1:13">
      <c r="A559" s="169"/>
      <c r="B559" s="169"/>
      <c r="C559" s="169"/>
      <c r="D559" s="169"/>
      <c r="E559" s="169"/>
      <c r="F559" s="169"/>
      <c r="G559" s="169"/>
      <c r="H559" s="169"/>
      <c r="I559" s="169"/>
      <c r="J559" s="169"/>
      <c r="K559" s="169"/>
      <c r="L559" s="169"/>
      <c r="M559" s="169"/>
    </row>
    <row r="560" spans="1:13">
      <c r="A560" s="220">
        <f>[1]REPROGRAMAÇÃO!A100</f>
        <v>8</v>
      </c>
      <c r="B560" s="344" t="str">
        <f>[1]REPROGRAMAÇÃO!C100</f>
        <v>PAVIMENTAÇÃO</v>
      </c>
      <c r="C560" s="345"/>
      <c r="D560" s="345"/>
      <c r="E560" s="345"/>
      <c r="F560" s="345"/>
      <c r="G560" s="345"/>
      <c r="H560" s="345"/>
      <c r="I560" s="345"/>
      <c r="J560" s="345"/>
      <c r="K560" s="346"/>
      <c r="L560" s="220"/>
      <c r="M560" s="220"/>
    </row>
    <row r="561" spans="1:13">
      <c r="A561" s="220"/>
      <c r="B561" s="169"/>
      <c r="C561" s="169"/>
      <c r="D561" s="169"/>
      <c r="E561" s="169"/>
      <c r="F561" s="169"/>
      <c r="G561" s="169"/>
      <c r="H561" s="169"/>
      <c r="I561" s="169"/>
      <c r="J561" s="169"/>
      <c r="K561" s="220"/>
      <c r="L561" s="220"/>
      <c r="M561" s="220"/>
    </row>
    <row r="562" spans="1:13" ht="36.75" customHeight="1">
      <c r="A562" s="169" t="s">
        <v>93</v>
      </c>
      <c r="B562" s="327" t="str">
        <f>BM_06!B94</f>
        <v>CONTRAPISO EM ARGAMASSA TRAÇO 1:4 (CIMENTO E AREIA), PREPARO MECÂNICO COM BETONEIRA 400 L, APLICADO EM ÁREAS SECAS SOBRE LAJE, ADERIDO, ACABAMENTO NÃO REFORÇADO, ESPESSURA 2CM. AF_07/2021</v>
      </c>
      <c r="C562" s="343"/>
      <c r="D562" s="343"/>
      <c r="E562" s="343"/>
      <c r="F562" s="343"/>
      <c r="G562" s="343"/>
      <c r="H562" s="343"/>
      <c r="I562" s="343"/>
      <c r="J562" s="343"/>
      <c r="K562" s="328"/>
      <c r="L562" s="220">
        <f>L565</f>
        <v>505.55</v>
      </c>
      <c r="M562" s="220" t="s">
        <v>516</v>
      </c>
    </row>
    <row r="563" spans="1:13">
      <c r="A563" s="220"/>
      <c r="B563" s="220"/>
      <c r="C563" s="220"/>
      <c r="D563" s="220"/>
      <c r="E563" s="220"/>
      <c r="F563" s="223" t="s">
        <v>463</v>
      </c>
      <c r="G563" s="220"/>
      <c r="H563" s="223" t="s">
        <v>463</v>
      </c>
      <c r="I563" s="220"/>
      <c r="J563" s="220"/>
      <c r="K563" s="203" t="s">
        <v>454</v>
      </c>
      <c r="L563" s="240">
        <f>SUM(L566:L590)</f>
        <v>736.73</v>
      </c>
      <c r="M563" s="220"/>
    </row>
    <row r="564" spans="1:13">
      <c r="A564" s="220"/>
      <c r="B564" s="220"/>
      <c r="C564" s="220"/>
      <c r="D564" s="220"/>
      <c r="E564" s="220"/>
      <c r="F564" s="223"/>
      <c r="G564" s="220"/>
      <c r="H564" s="223"/>
      <c r="I564" s="220"/>
      <c r="J564" s="220"/>
      <c r="K564" s="203" t="s">
        <v>455</v>
      </c>
      <c r="L564" s="240">
        <v>231.18</v>
      </c>
      <c r="M564" s="220"/>
    </row>
    <row r="565" spans="1:13">
      <c r="A565" s="220"/>
      <c r="B565" s="220"/>
      <c r="C565" s="220"/>
      <c r="D565" s="220"/>
      <c r="E565" s="220"/>
      <c r="F565" s="223"/>
      <c r="G565" s="220"/>
      <c r="H565" s="223"/>
      <c r="I565" s="220"/>
      <c r="J565" s="220"/>
      <c r="K565" s="203" t="s">
        <v>480</v>
      </c>
      <c r="L565" s="240">
        <f>L563-L564</f>
        <v>505.55</v>
      </c>
      <c r="M565" s="220"/>
    </row>
    <row r="566" spans="1:13">
      <c r="A566" s="220"/>
      <c r="B566" s="335" t="s">
        <v>435</v>
      </c>
      <c r="C566" s="335"/>
      <c r="D566" s="220">
        <v>1</v>
      </c>
      <c r="E566" s="220">
        <v>5.2</v>
      </c>
      <c r="F566" s="220"/>
      <c r="G566" s="220">
        <v>5.6</v>
      </c>
      <c r="H566" s="220"/>
      <c r="I566" s="220"/>
      <c r="J566" s="220"/>
      <c r="K566" s="220">
        <f>(E566*G566)+(F566*H566)</f>
        <v>29.119999999999997</v>
      </c>
      <c r="L566" s="223">
        <f t="shared" ref="L566:L590" si="36">K566*D566</f>
        <v>29.119999999999997</v>
      </c>
      <c r="M566" s="220"/>
    </row>
    <row r="567" spans="1:13">
      <c r="A567" s="220"/>
      <c r="B567" s="335" t="s">
        <v>436</v>
      </c>
      <c r="C567" s="335"/>
      <c r="D567" s="220">
        <v>1</v>
      </c>
      <c r="E567" s="220">
        <v>5.2</v>
      </c>
      <c r="F567" s="220"/>
      <c r="G567" s="220">
        <v>5.6</v>
      </c>
      <c r="H567" s="220"/>
      <c r="I567" s="220"/>
      <c r="J567" s="220"/>
      <c r="K567" s="220">
        <f t="shared" ref="K567:K590" si="37">(E567*G567)+(F567*H567)</f>
        <v>29.119999999999997</v>
      </c>
      <c r="L567" s="223">
        <f t="shared" si="36"/>
        <v>29.119999999999997</v>
      </c>
      <c r="M567" s="220"/>
    </row>
    <row r="568" spans="1:13">
      <c r="A568" s="220"/>
      <c r="B568" s="335" t="s">
        <v>437</v>
      </c>
      <c r="C568" s="335"/>
      <c r="D568" s="220">
        <v>1</v>
      </c>
      <c r="E568" s="220">
        <v>5.2</v>
      </c>
      <c r="F568" s="220"/>
      <c r="G568" s="220">
        <v>5.6</v>
      </c>
      <c r="H568" s="220"/>
      <c r="I568" s="220"/>
      <c r="J568" s="220"/>
      <c r="K568" s="220">
        <f t="shared" si="37"/>
        <v>29.119999999999997</v>
      </c>
      <c r="L568" s="223">
        <f t="shared" si="36"/>
        <v>29.119999999999997</v>
      </c>
      <c r="M568" s="220"/>
    </row>
    <row r="569" spans="1:13">
      <c r="A569" s="220"/>
      <c r="B569" s="335" t="s">
        <v>437</v>
      </c>
      <c r="C569" s="335"/>
      <c r="D569" s="220">
        <v>1</v>
      </c>
      <c r="E569" s="220">
        <v>5.2</v>
      </c>
      <c r="F569" s="220"/>
      <c r="G569" s="220">
        <v>5.6</v>
      </c>
      <c r="H569" s="220"/>
      <c r="I569" s="220"/>
      <c r="J569" s="220"/>
      <c r="K569" s="220">
        <f t="shared" si="37"/>
        <v>29.119999999999997</v>
      </c>
      <c r="L569" s="223">
        <f t="shared" si="36"/>
        <v>29.119999999999997</v>
      </c>
      <c r="M569" s="220"/>
    </row>
    <row r="570" spans="1:13">
      <c r="A570" s="220"/>
      <c r="B570" s="335" t="s">
        <v>461</v>
      </c>
      <c r="C570" s="335"/>
      <c r="D570" s="220">
        <v>1</v>
      </c>
      <c r="E570" s="220">
        <v>2</v>
      </c>
      <c r="F570" s="220"/>
      <c r="G570" s="220">
        <v>20</v>
      </c>
      <c r="H570" s="220"/>
      <c r="I570" s="220"/>
      <c r="J570" s="220"/>
      <c r="K570" s="220">
        <f t="shared" si="37"/>
        <v>40</v>
      </c>
      <c r="L570" s="223">
        <f t="shared" si="36"/>
        <v>40</v>
      </c>
      <c r="M570" s="220"/>
    </row>
    <row r="571" spans="1:13">
      <c r="A571" s="220"/>
      <c r="B571" s="336" t="s">
        <v>440</v>
      </c>
      <c r="C571" s="336"/>
      <c r="D571" s="221">
        <v>1</v>
      </c>
      <c r="E571" s="221">
        <v>2</v>
      </c>
      <c r="F571" s="226"/>
      <c r="G571" s="221">
        <v>34.700000000000003</v>
      </c>
      <c r="H571" s="226"/>
      <c r="I571" s="226"/>
      <c r="J571" s="226"/>
      <c r="K571" s="220">
        <f t="shared" si="37"/>
        <v>69.400000000000006</v>
      </c>
      <c r="L571" s="223">
        <f t="shared" si="36"/>
        <v>69.400000000000006</v>
      </c>
      <c r="M571" s="220"/>
    </row>
    <row r="572" spans="1:13">
      <c r="A572" s="220"/>
      <c r="B572" s="227"/>
      <c r="C572" s="228"/>
      <c r="D572" s="221"/>
      <c r="E572" s="221"/>
      <c r="F572" s="226"/>
      <c r="G572" s="221"/>
      <c r="H572" s="226"/>
      <c r="I572" s="226"/>
      <c r="J572" s="226"/>
      <c r="K572" s="220">
        <f t="shared" si="37"/>
        <v>0</v>
      </c>
      <c r="L572" s="223">
        <f t="shared" si="36"/>
        <v>0</v>
      </c>
      <c r="M572" s="220"/>
    </row>
    <row r="573" spans="1:13">
      <c r="A573" s="220"/>
      <c r="B573" s="329" t="s">
        <v>445</v>
      </c>
      <c r="C573" s="330"/>
      <c r="D573" s="220">
        <v>1</v>
      </c>
      <c r="E573" s="220">
        <v>4.3</v>
      </c>
      <c r="F573" s="223"/>
      <c r="G573" s="220">
        <v>3</v>
      </c>
      <c r="H573" s="223"/>
      <c r="I573" s="223"/>
      <c r="J573" s="223"/>
      <c r="K573" s="220">
        <f t="shared" si="37"/>
        <v>12.899999999999999</v>
      </c>
      <c r="L573" s="223">
        <f t="shared" si="36"/>
        <v>12.899999999999999</v>
      </c>
      <c r="M573" s="220"/>
    </row>
    <row r="574" spans="1:13">
      <c r="A574" s="220"/>
      <c r="B574" s="329" t="s">
        <v>451</v>
      </c>
      <c r="C574" s="330"/>
      <c r="D574" s="220">
        <v>1</v>
      </c>
      <c r="E574" s="220">
        <v>8.6999999999999993</v>
      </c>
      <c r="F574" s="223"/>
      <c r="G574" s="220">
        <v>6</v>
      </c>
      <c r="H574" s="223"/>
      <c r="I574" s="223"/>
      <c r="J574" s="223"/>
      <c r="K574" s="220">
        <f t="shared" si="37"/>
        <v>52.199999999999996</v>
      </c>
      <c r="L574" s="223">
        <f t="shared" si="36"/>
        <v>52.199999999999996</v>
      </c>
      <c r="M574" s="220"/>
    </row>
    <row r="575" spans="1:13">
      <c r="A575" s="220"/>
      <c r="B575" s="329" t="s">
        <v>456</v>
      </c>
      <c r="C575" s="330"/>
      <c r="D575" s="220">
        <v>1</v>
      </c>
      <c r="E575" s="220">
        <v>7.5</v>
      </c>
      <c r="F575" s="223"/>
      <c r="G575" s="220">
        <v>4</v>
      </c>
      <c r="H575" s="223"/>
      <c r="I575" s="223"/>
      <c r="J575" s="223"/>
      <c r="K575" s="220">
        <f t="shared" si="37"/>
        <v>30</v>
      </c>
      <c r="L575" s="223">
        <f t="shared" si="36"/>
        <v>30</v>
      </c>
      <c r="M575" s="220"/>
    </row>
    <row r="576" spans="1:13">
      <c r="A576" s="220"/>
      <c r="B576" s="329" t="s">
        <v>444</v>
      </c>
      <c r="C576" s="330"/>
      <c r="D576" s="220">
        <v>1</v>
      </c>
      <c r="E576" s="220">
        <v>14.6</v>
      </c>
      <c r="F576" s="223"/>
      <c r="G576" s="220">
        <v>2.7</v>
      </c>
      <c r="H576" s="223"/>
      <c r="I576" s="223"/>
      <c r="J576" s="223"/>
      <c r="K576" s="220">
        <f t="shared" si="37"/>
        <v>39.42</v>
      </c>
      <c r="L576" s="223">
        <f t="shared" si="36"/>
        <v>39.42</v>
      </c>
      <c r="M576" s="220"/>
    </row>
    <row r="577" spans="1:13">
      <c r="A577" s="220"/>
      <c r="B577" s="329" t="s">
        <v>443</v>
      </c>
      <c r="C577" s="330"/>
      <c r="D577" s="220">
        <v>1</v>
      </c>
      <c r="E577" s="220">
        <v>6.3</v>
      </c>
      <c r="F577" s="223">
        <v>3.9</v>
      </c>
      <c r="G577" s="220">
        <v>3.9</v>
      </c>
      <c r="H577" s="223">
        <v>1.4</v>
      </c>
      <c r="I577" s="223"/>
      <c r="J577" s="223"/>
      <c r="K577" s="220">
        <f t="shared" si="37"/>
        <v>30.03</v>
      </c>
      <c r="L577" s="223">
        <f t="shared" si="36"/>
        <v>30.03</v>
      </c>
      <c r="M577" s="220"/>
    </row>
    <row r="578" spans="1:13">
      <c r="A578" s="220"/>
      <c r="B578" s="329" t="s">
        <v>442</v>
      </c>
      <c r="C578" s="330"/>
      <c r="D578" s="220">
        <v>1</v>
      </c>
      <c r="E578" s="220">
        <v>6.3</v>
      </c>
      <c r="F578" s="223"/>
      <c r="G578" s="220">
        <v>3.9</v>
      </c>
      <c r="H578" s="223"/>
      <c r="I578" s="223"/>
      <c r="J578" s="223"/>
      <c r="K578" s="220">
        <f t="shared" si="37"/>
        <v>24.57</v>
      </c>
      <c r="L578" s="223">
        <f t="shared" si="36"/>
        <v>24.57</v>
      </c>
      <c r="M578" s="220"/>
    </row>
    <row r="579" spans="1:13">
      <c r="A579" s="220"/>
      <c r="B579" s="329" t="s">
        <v>457</v>
      </c>
      <c r="C579" s="330"/>
      <c r="D579" s="220">
        <v>1</v>
      </c>
      <c r="E579" s="220">
        <v>3.2</v>
      </c>
      <c r="F579" s="223"/>
      <c r="G579" s="220">
        <v>3.5</v>
      </c>
      <c r="H579" s="223"/>
      <c r="I579" s="223"/>
      <c r="J579" s="223"/>
      <c r="K579" s="220">
        <f t="shared" si="37"/>
        <v>11.200000000000001</v>
      </c>
      <c r="L579" s="223">
        <f t="shared" si="36"/>
        <v>11.200000000000001</v>
      </c>
      <c r="M579" s="220"/>
    </row>
    <row r="580" spans="1:13">
      <c r="A580" s="220"/>
      <c r="B580" s="329" t="s">
        <v>458</v>
      </c>
      <c r="C580" s="330"/>
      <c r="D580" s="220">
        <v>1</v>
      </c>
      <c r="E580" s="220">
        <v>5</v>
      </c>
      <c r="F580" s="223"/>
      <c r="G580" s="220">
        <v>4.2</v>
      </c>
      <c r="H580" s="223"/>
      <c r="I580" s="223"/>
      <c r="J580" s="223"/>
      <c r="K580" s="220">
        <f t="shared" si="37"/>
        <v>21</v>
      </c>
      <c r="L580" s="223">
        <f t="shared" si="36"/>
        <v>21</v>
      </c>
      <c r="M580" s="220"/>
    </row>
    <row r="581" spans="1:13">
      <c r="A581" s="220"/>
      <c r="B581" s="329" t="s">
        <v>447</v>
      </c>
      <c r="C581" s="330"/>
      <c r="D581" s="220">
        <v>1</v>
      </c>
      <c r="E581" s="220">
        <v>3.5</v>
      </c>
      <c r="F581" s="223">
        <v>1.5</v>
      </c>
      <c r="G581" s="220">
        <v>3</v>
      </c>
      <c r="H581" s="223">
        <v>1.6</v>
      </c>
      <c r="I581" s="223"/>
      <c r="J581" s="223"/>
      <c r="K581" s="220">
        <f t="shared" si="37"/>
        <v>12.9</v>
      </c>
      <c r="L581" s="223">
        <f t="shared" si="36"/>
        <v>12.9</v>
      </c>
      <c r="M581" s="220"/>
    </row>
    <row r="582" spans="1:13">
      <c r="A582" s="220"/>
      <c r="B582" s="329" t="s">
        <v>453</v>
      </c>
      <c r="C582" s="330"/>
      <c r="D582" s="220">
        <v>1</v>
      </c>
      <c r="E582" s="220">
        <v>4.2</v>
      </c>
      <c r="F582" s="223"/>
      <c r="G582" s="220">
        <v>3.1</v>
      </c>
      <c r="H582" s="223"/>
      <c r="I582" s="223"/>
      <c r="J582" s="223"/>
      <c r="K582" s="220">
        <f t="shared" si="37"/>
        <v>13.020000000000001</v>
      </c>
      <c r="L582" s="223">
        <f t="shared" si="36"/>
        <v>13.020000000000001</v>
      </c>
      <c r="M582" s="220"/>
    </row>
    <row r="583" spans="1:13">
      <c r="A583" s="220"/>
      <c r="B583" s="329" t="s">
        <v>459</v>
      </c>
      <c r="C583" s="330"/>
      <c r="D583" s="220">
        <v>1</v>
      </c>
      <c r="E583" s="220">
        <v>7</v>
      </c>
      <c r="F583" s="223"/>
      <c r="G583" s="220">
        <v>4.5999999999999996</v>
      </c>
      <c r="H583" s="223"/>
      <c r="I583" s="223"/>
      <c r="J583" s="223"/>
      <c r="K583" s="220">
        <f t="shared" si="37"/>
        <v>32.199999999999996</v>
      </c>
      <c r="L583" s="223">
        <f t="shared" si="36"/>
        <v>32.199999999999996</v>
      </c>
      <c r="M583" s="220"/>
    </row>
    <row r="584" spans="1:13">
      <c r="A584" s="220"/>
      <c r="B584" s="329" t="s">
        <v>460</v>
      </c>
      <c r="C584" s="330"/>
      <c r="D584" s="220">
        <v>1</v>
      </c>
      <c r="E584" s="220">
        <v>3.7</v>
      </c>
      <c r="F584" s="223"/>
      <c r="G584" s="220">
        <v>4.2</v>
      </c>
      <c r="H584" s="223"/>
      <c r="I584" s="223"/>
      <c r="J584" s="223"/>
      <c r="K584" s="220">
        <f t="shared" si="37"/>
        <v>15.540000000000001</v>
      </c>
      <c r="L584" s="223">
        <f t="shared" si="36"/>
        <v>15.540000000000001</v>
      </c>
      <c r="M584" s="220"/>
    </row>
    <row r="585" spans="1:13">
      <c r="A585" s="220"/>
      <c r="B585" s="329" t="s">
        <v>449</v>
      </c>
      <c r="C585" s="330"/>
      <c r="D585" s="220">
        <v>1</v>
      </c>
      <c r="E585" s="220">
        <v>34.700000000000003</v>
      </c>
      <c r="F585" s="223"/>
      <c r="G585" s="220">
        <v>1.9</v>
      </c>
      <c r="H585" s="223"/>
      <c r="I585" s="223"/>
      <c r="J585" s="223"/>
      <c r="K585" s="220">
        <f t="shared" si="37"/>
        <v>65.930000000000007</v>
      </c>
      <c r="L585" s="223">
        <f t="shared" si="36"/>
        <v>65.930000000000007</v>
      </c>
      <c r="M585" s="220"/>
    </row>
    <row r="586" spans="1:13">
      <c r="A586" s="220"/>
      <c r="B586" s="329" t="s">
        <v>462</v>
      </c>
      <c r="C586" s="330"/>
      <c r="D586" s="220">
        <v>1</v>
      </c>
      <c r="E586" s="220">
        <v>3.5</v>
      </c>
      <c r="F586" s="223"/>
      <c r="G586" s="220">
        <v>2.7</v>
      </c>
      <c r="H586" s="223"/>
      <c r="I586" s="223"/>
      <c r="J586" s="223"/>
      <c r="K586" s="220">
        <f t="shared" si="37"/>
        <v>9.4500000000000011</v>
      </c>
      <c r="L586" s="223">
        <f t="shared" si="36"/>
        <v>9.4500000000000011</v>
      </c>
      <c r="M586" s="220"/>
    </row>
    <row r="587" spans="1:13">
      <c r="A587" s="220"/>
      <c r="B587" s="329" t="s">
        <v>448</v>
      </c>
      <c r="C587" s="330"/>
      <c r="D587" s="220">
        <v>1</v>
      </c>
      <c r="E587" s="220">
        <v>3.4</v>
      </c>
      <c r="F587" s="223">
        <v>2.2000000000000002</v>
      </c>
      <c r="G587" s="220">
        <v>3.1</v>
      </c>
      <c r="H587" s="223">
        <v>1</v>
      </c>
      <c r="I587" s="223"/>
      <c r="J587" s="223"/>
      <c r="K587" s="220">
        <f t="shared" si="37"/>
        <v>12.739999999999998</v>
      </c>
      <c r="L587" s="223">
        <f t="shared" si="36"/>
        <v>12.739999999999998</v>
      </c>
      <c r="M587" s="220"/>
    </row>
    <row r="588" spans="1:13">
      <c r="A588" s="220"/>
      <c r="B588" s="329" t="s">
        <v>452</v>
      </c>
      <c r="C588" s="330"/>
      <c r="D588" s="220">
        <v>1</v>
      </c>
      <c r="E588" s="220">
        <v>2.2000000000000002</v>
      </c>
      <c r="F588" s="223"/>
      <c r="G588" s="220">
        <v>1</v>
      </c>
      <c r="H588" s="223"/>
      <c r="I588" s="223"/>
      <c r="J588" s="223"/>
      <c r="K588" s="220">
        <f t="shared" si="37"/>
        <v>2.2000000000000002</v>
      </c>
      <c r="L588" s="223">
        <f t="shared" si="36"/>
        <v>2.2000000000000002</v>
      </c>
      <c r="M588" s="220"/>
    </row>
    <row r="589" spans="1:13">
      <c r="A589" s="220"/>
      <c r="B589" s="329" t="s">
        <v>452</v>
      </c>
      <c r="C589" s="330"/>
      <c r="D589" s="220">
        <v>1</v>
      </c>
      <c r="E589" s="220">
        <v>5.9</v>
      </c>
      <c r="F589" s="223"/>
      <c r="G589" s="220">
        <v>4.5</v>
      </c>
      <c r="H589" s="223"/>
      <c r="I589" s="223"/>
      <c r="J589" s="223"/>
      <c r="K589" s="220">
        <f t="shared" si="37"/>
        <v>26.55</v>
      </c>
      <c r="L589" s="223">
        <f t="shared" si="36"/>
        <v>26.55</v>
      </c>
      <c r="M589" s="220"/>
    </row>
    <row r="590" spans="1:13">
      <c r="A590" s="220"/>
      <c r="B590" s="329" t="s">
        <v>438</v>
      </c>
      <c r="C590" s="330"/>
      <c r="D590" s="220">
        <v>1</v>
      </c>
      <c r="E590" s="220">
        <v>15</v>
      </c>
      <c r="F590" s="223"/>
      <c r="G590" s="220">
        <v>6.6</v>
      </c>
      <c r="H590" s="223"/>
      <c r="I590" s="223"/>
      <c r="J590" s="223"/>
      <c r="K590" s="220">
        <f t="shared" si="37"/>
        <v>99</v>
      </c>
      <c r="L590" s="223">
        <f t="shared" si="36"/>
        <v>99</v>
      </c>
      <c r="M590" s="220"/>
    </row>
    <row r="591" spans="1:13">
      <c r="A591" s="220"/>
      <c r="B591" s="235"/>
      <c r="C591" s="243"/>
      <c r="D591" s="243"/>
      <c r="E591" s="243"/>
      <c r="F591" s="243"/>
      <c r="G591" s="243"/>
      <c r="H591" s="243"/>
      <c r="I591" s="243"/>
      <c r="J591" s="243"/>
      <c r="K591" s="230"/>
      <c r="L591" s="220"/>
      <c r="M591" s="220"/>
    </row>
    <row r="592" spans="1:13">
      <c r="A592" s="220"/>
      <c r="B592" s="235"/>
      <c r="C592" s="243"/>
      <c r="D592" s="243"/>
      <c r="E592" s="243"/>
      <c r="F592" s="243"/>
      <c r="G592" s="243"/>
      <c r="H592" s="243"/>
      <c r="I592" s="243"/>
      <c r="J592" s="243"/>
      <c r="K592" s="230"/>
      <c r="L592" s="220"/>
      <c r="M592" s="220"/>
    </row>
    <row r="593" spans="1:13" ht="50.25" customHeight="1">
      <c r="A593" s="169" t="s">
        <v>569</v>
      </c>
      <c r="B593" s="327" t="str">
        <f>'[1]ITENS NOVOS'!D21</f>
        <v>LASTRO DE CONCRETO MAGRO, APLICADO EM PISOS, LAJES SOBRE SOLO OU RADIERS, ESPESSURA DE 5 CM. AF_07/2016</v>
      </c>
      <c r="C593" s="343"/>
      <c r="D593" s="343"/>
      <c r="E593" s="343"/>
      <c r="F593" s="343"/>
      <c r="G593" s="343"/>
      <c r="H593" s="343"/>
      <c r="I593" s="343"/>
      <c r="J593" s="343"/>
      <c r="K593" s="328"/>
      <c r="L593" s="220">
        <f>L594</f>
        <v>736.73</v>
      </c>
      <c r="M593" s="220" t="s">
        <v>516</v>
      </c>
    </row>
    <row r="594" spans="1:13">
      <c r="B594" s="220"/>
      <c r="C594" s="220"/>
      <c r="D594" s="220"/>
      <c r="E594" s="220"/>
      <c r="F594" s="223" t="s">
        <v>463</v>
      </c>
      <c r="G594" s="220"/>
      <c r="H594" s="223" t="s">
        <v>463</v>
      </c>
      <c r="I594" s="220"/>
      <c r="J594" s="220"/>
      <c r="K594" s="224" t="s">
        <v>454</v>
      </c>
      <c r="L594" s="225">
        <f>SUM(L595:L619)</f>
        <v>736.73</v>
      </c>
    </row>
    <row r="595" spans="1:13">
      <c r="B595" s="335" t="s">
        <v>435</v>
      </c>
      <c r="C595" s="335"/>
      <c r="D595" s="220">
        <v>1</v>
      </c>
      <c r="E595" s="220">
        <v>5.2</v>
      </c>
      <c r="F595" s="220"/>
      <c r="G595" s="220">
        <v>5.6</v>
      </c>
      <c r="H595" s="220"/>
      <c r="I595" s="220"/>
      <c r="J595" s="220"/>
      <c r="K595" s="220">
        <f>(E595*G595)+(F595*H595)</f>
        <v>29.119999999999997</v>
      </c>
      <c r="L595" s="223">
        <f t="shared" ref="L595:L619" si="38">K595*D595</f>
        <v>29.119999999999997</v>
      </c>
    </row>
    <row r="596" spans="1:13">
      <c r="B596" s="335" t="s">
        <v>436</v>
      </c>
      <c r="C596" s="335"/>
      <c r="D596" s="220">
        <v>1</v>
      </c>
      <c r="E596" s="220">
        <v>5.2</v>
      </c>
      <c r="F596" s="220"/>
      <c r="G596" s="220">
        <v>5.6</v>
      </c>
      <c r="H596" s="220"/>
      <c r="I596" s="220"/>
      <c r="J596" s="220"/>
      <c r="K596" s="220">
        <f t="shared" ref="K596:K619" si="39">(E596*G596)+(F596*H596)</f>
        <v>29.119999999999997</v>
      </c>
      <c r="L596" s="223">
        <f t="shared" si="38"/>
        <v>29.119999999999997</v>
      </c>
    </row>
    <row r="597" spans="1:13">
      <c r="B597" s="335" t="s">
        <v>437</v>
      </c>
      <c r="C597" s="335"/>
      <c r="D597" s="220">
        <v>1</v>
      </c>
      <c r="E597" s="220">
        <v>5.2</v>
      </c>
      <c r="F597" s="220"/>
      <c r="G597" s="220">
        <v>5.6</v>
      </c>
      <c r="H597" s="220"/>
      <c r="I597" s="220"/>
      <c r="J597" s="220"/>
      <c r="K597" s="220">
        <f t="shared" si="39"/>
        <v>29.119999999999997</v>
      </c>
      <c r="L597" s="223">
        <f t="shared" si="38"/>
        <v>29.119999999999997</v>
      </c>
    </row>
    <row r="598" spans="1:13">
      <c r="B598" s="335" t="s">
        <v>437</v>
      </c>
      <c r="C598" s="335"/>
      <c r="D598" s="220">
        <v>1</v>
      </c>
      <c r="E598" s="220">
        <v>5.2</v>
      </c>
      <c r="F598" s="220"/>
      <c r="G598" s="220">
        <v>5.6</v>
      </c>
      <c r="H598" s="220"/>
      <c r="I598" s="220"/>
      <c r="J598" s="220"/>
      <c r="K598" s="220">
        <f t="shared" si="39"/>
        <v>29.119999999999997</v>
      </c>
      <c r="L598" s="223">
        <f t="shared" si="38"/>
        <v>29.119999999999997</v>
      </c>
    </row>
    <row r="599" spans="1:13">
      <c r="B599" s="335" t="s">
        <v>461</v>
      </c>
      <c r="C599" s="335"/>
      <c r="D599" s="220">
        <v>1</v>
      </c>
      <c r="E599" s="220">
        <v>2</v>
      </c>
      <c r="F599" s="220"/>
      <c r="G599" s="220">
        <v>20</v>
      </c>
      <c r="H599" s="220"/>
      <c r="I599" s="220"/>
      <c r="J599" s="220"/>
      <c r="K599" s="220">
        <f t="shared" si="39"/>
        <v>40</v>
      </c>
      <c r="L599" s="223">
        <f t="shared" si="38"/>
        <v>40</v>
      </c>
    </row>
    <row r="600" spans="1:13">
      <c r="B600" s="336" t="s">
        <v>440</v>
      </c>
      <c r="C600" s="336"/>
      <c r="D600" s="221">
        <v>1</v>
      </c>
      <c r="E600" s="221">
        <v>2</v>
      </c>
      <c r="F600" s="226"/>
      <c r="G600" s="221">
        <v>34.700000000000003</v>
      </c>
      <c r="H600" s="226"/>
      <c r="I600" s="226"/>
      <c r="J600" s="226"/>
      <c r="K600" s="220">
        <f t="shared" si="39"/>
        <v>69.400000000000006</v>
      </c>
      <c r="L600" s="223">
        <f t="shared" si="38"/>
        <v>69.400000000000006</v>
      </c>
    </row>
    <row r="601" spans="1:13">
      <c r="B601" s="227"/>
      <c r="C601" s="228"/>
      <c r="D601" s="221"/>
      <c r="E601" s="221"/>
      <c r="F601" s="226"/>
      <c r="G601" s="221"/>
      <c r="H601" s="226"/>
      <c r="I601" s="226"/>
      <c r="J601" s="226"/>
      <c r="K601" s="220">
        <f t="shared" si="39"/>
        <v>0</v>
      </c>
      <c r="L601" s="223">
        <f t="shared" si="38"/>
        <v>0</v>
      </c>
    </row>
    <row r="602" spans="1:13">
      <c r="B602" s="329" t="s">
        <v>445</v>
      </c>
      <c r="C602" s="330"/>
      <c r="D602" s="220">
        <v>1</v>
      </c>
      <c r="E602" s="220">
        <v>4.3</v>
      </c>
      <c r="F602" s="223"/>
      <c r="G602" s="220">
        <v>3</v>
      </c>
      <c r="H602" s="223"/>
      <c r="I602" s="223"/>
      <c r="J602" s="223"/>
      <c r="K602" s="220">
        <f t="shared" si="39"/>
        <v>12.899999999999999</v>
      </c>
      <c r="L602" s="223">
        <f t="shared" si="38"/>
        <v>12.899999999999999</v>
      </c>
    </row>
    <row r="603" spans="1:13">
      <c r="B603" s="329" t="s">
        <v>451</v>
      </c>
      <c r="C603" s="330"/>
      <c r="D603" s="220">
        <v>1</v>
      </c>
      <c r="E603" s="220">
        <v>8.6999999999999993</v>
      </c>
      <c r="F603" s="223"/>
      <c r="G603" s="220">
        <v>6</v>
      </c>
      <c r="H603" s="223"/>
      <c r="I603" s="223"/>
      <c r="J603" s="223"/>
      <c r="K603" s="220">
        <f t="shared" si="39"/>
        <v>52.199999999999996</v>
      </c>
      <c r="L603" s="223">
        <f t="shared" si="38"/>
        <v>52.199999999999996</v>
      </c>
    </row>
    <row r="604" spans="1:13">
      <c r="B604" s="329" t="s">
        <v>456</v>
      </c>
      <c r="C604" s="330"/>
      <c r="D604" s="220">
        <v>1</v>
      </c>
      <c r="E604" s="220">
        <v>7.5</v>
      </c>
      <c r="F604" s="223"/>
      <c r="G604" s="220">
        <v>4</v>
      </c>
      <c r="H604" s="223"/>
      <c r="I604" s="223"/>
      <c r="J604" s="223"/>
      <c r="K604" s="220">
        <f t="shared" si="39"/>
        <v>30</v>
      </c>
      <c r="L604" s="223">
        <f t="shared" si="38"/>
        <v>30</v>
      </c>
    </row>
    <row r="605" spans="1:13">
      <c r="B605" s="329" t="s">
        <v>444</v>
      </c>
      <c r="C605" s="330"/>
      <c r="D605" s="220">
        <v>1</v>
      </c>
      <c r="E605" s="220">
        <v>14.6</v>
      </c>
      <c r="F605" s="223"/>
      <c r="G605" s="220">
        <v>2.7</v>
      </c>
      <c r="H605" s="223"/>
      <c r="I605" s="223"/>
      <c r="J605" s="223"/>
      <c r="K605" s="220">
        <f t="shared" si="39"/>
        <v>39.42</v>
      </c>
      <c r="L605" s="223">
        <f t="shared" si="38"/>
        <v>39.42</v>
      </c>
    </row>
    <row r="606" spans="1:13">
      <c r="B606" s="329" t="s">
        <v>443</v>
      </c>
      <c r="C606" s="330"/>
      <c r="D606" s="220">
        <v>1</v>
      </c>
      <c r="E606" s="220">
        <v>6.3</v>
      </c>
      <c r="F606" s="223">
        <v>3.9</v>
      </c>
      <c r="G606" s="220">
        <v>3.9</v>
      </c>
      <c r="H606" s="223">
        <v>1.4</v>
      </c>
      <c r="I606" s="223"/>
      <c r="J606" s="223"/>
      <c r="K606" s="220">
        <f t="shared" si="39"/>
        <v>30.03</v>
      </c>
      <c r="L606" s="223">
        <f t="shared" si="38"/>
        <v>30.03</v>
      </c>
    </row>
    <row r="607" spans="1:13">
      <c r="B607" s="329" t="s">
        <v>442</v>
      </c>
      <c r="C607" s="330"/>
      <c r="D607" s="220">
        <v>1</v>
      </c>
      <c r="E607" s="220">
        <v>6.3</v>
      </c>
      <c r="F607" s="223"/>
      <c r="G607" s="220">
        <v>3.9</v>
      </c>
      <c r="H607" s="223"/>
      <c r="I607" s="223"/>
      <c r="J607" s="223"/>
      <c r="K607" s="220">
        <f t="shared" si="39"/>
        <v>24.57</v>
      </c>
      <c r="L607" s="223">
        <f t="shared" si="38"/>
        <v>24.57</v>
      </c>
    </row>
    <row r="608" spans="1:13">
      <c r="B608" s="329" t="s">
        <v>457</v>
      </c>
      <c r="C608" s="330"/>
      <c r="D608" s="220">
        <v>1</v>
      </c>
      <c r="E608" s="220">
        <v>3.2</v>
      </c>
      <c r="F608" s="223"/>
      <c r="G608" s="220">
        <v>3.5</v>
      </c>
      <c r="H608" s="223"/>
      <c r="I608" s="223"/>
      <c r="J608" s="223"/>
      <c r="K608" s="220">
        <f t="shared" si="39"/>
        <v>11.200000000000001</v>
      </c>
      <c r="L608" s="223">
        <f t="shared" si="38"/>
        <v>11.200000000000001</v>
      </c>
    </row>
    <row r="609" spans="1:13">
      <c r="B609" s="329" t="s">
        <v>458</v>
      </c>
      <c r="C609" s="330"/>
      <c r="D609" s="220">
        <v>1</v>
      </c>
      <c r="E609" s="220">
        <v>5</v>
      </c>
      <c r="F609" s="223"/>
      <c r="G609" s="220">
        <v>4.2</v>
      </c>
      <c r="H609" s="223"/>
      <c r="I609" s="223"/>
      <c r="J609" s="223"/>
      <c r="K609" s="220">
        <f t="shared" si="39"/>
        <v>21</v>
      </c>
      <c r="L609" s="223">
        <f t="shared" si="38"/>
        <v>21</v>
      </c>
    </row>
    <row r="610" spans="1:13">
      <c r="B610" s="329" t="s">
        <v>447</v>
      </c>
      <c r="C610" s="330"/>
      <c r="D610" s="220">
        <v>1</v>
      </c>
      <c r="E610" s="220">
        <v>3.5</v>
      </c>
      <c r="F610" s="223">
        <v>1.5</v>
      </c>
      <c r="G610" s="220">
        <v>3</v>
      </c>
      <c r="H610" s="223">
        <v>1.6</v>
      </c>
      <c r="I610" s="223"/>
      <c r="J610" s="223"/>
      <c r="K610" s="220">
        <f t="shared" si="39"/>
        <v>12.9</v>
      </c>
      <c r="L610" s="223">
        <f t="shared" si="38"/>
        <v>12.9</v>
      </c>
    </row>
    <row r="611" spans="1:13">
      <c r="B611" s="329" t="s">
        <v>453</v>
      </c>
      <c r="C611" s="330"/>
      <c r="D611" s="220">
        <v>1</v>
      </c>
      <c r="E611" s="220">
        <v>4.2</v>
      </c>
      <c r="F611" s="223"/>
      <c r="G611" s="220">
        <v>3.1</v>
      </c>
      <c r="H611" s="223"/>
      <c r="I611" s="223"/>
      <c r="J611" s="223"/>
      <c r="K611" s="220">
        <f t="shared" si="39"/>
        <v>13.020000000000001</v>
      </c>
      <c r="L611" s="223">
        <f t="shared" si="38"/>
        <v>13.020000000000001</v>
      </c>
    </row>
    <row r="612" spans="1:13">
      <c r="B612" s="329" t="s">
        <v>459</v>
      </c>
      <c r="C612" s="330"/>
      <c r="D612" s="220">
        <v>1</v>
      </c>
      <c r="E612" s="220">
        <v>7</v>
      </c>
      <c r="F612" s="223"/>
      <c r="G612" s="220">
        <v>4.5999999999999996</v>
      </c>
      <c r="H612" s="223"/>
      <c r="I612" s="223"/>
      <c r="J612" s="223"/>
      <c r="K612" s="220">
        <f t="shared" si="39"/>
        <v>32.199999999999996</v>
      </c>
      <c r="L612" s="223">
        <f t="shared" si="38"/>
        <v>32.199999999999996</v>
      </c>
    </row>
    <row r="613" spans="1:13">
      <c r="B613" s="329" t="s">
        <v>460</v>
      </c>
      <c r="C613" s="330"/>
      <c r="D613" s="220">
        <v>1</v>
      </c>
      <c r="E613" s="220">
        <v>3.7</v>
      </c>
      <c r="F613" s="223"/>
      <c r="G613" s="220">
        <v>4.2</v>
      </c>
      <c r="H613" s="223"/>
      <c r="I613" s="223"/>
      <c r="J613" s="223"/>
      <c r="K613" s="220">
        <f t="shared" si="39"/>
        <v>15.540000000000001</v>
      </c>
      <c r="L613" s="223">
        <f t="shared" si="38"/>
        <v>15.540000000000001</v>
      </c>
    </row>
    <row r="614" spans="1:13">
      <c r="B614" s="329" t="s">
        <v>449</v>
      </c>
      <c r="C614" s="330"/>
      <c r="D614" s="220">
        <v>1</v>
      </c>
      <c r="E614" s="220">
        <v>34.700000000000003</v>
      </c>
      <c r="F614" s="223"/>
      <c r="G614" s="220">
        <v>1.9</v>
      </c>
      <c r="H614" s="223"/>
      <c r="I614" s="223"/>
      <c r="J614" s="223"/>
      <c r="K614" s="220">
        <f t="shared" si="39"/>
        <v>65.930000000000007</v>
      </c>
      <c r="L614" s="223">
        <f t="shared" si="38"/>
        <v>65.930000000000007</v>
      </c>
    </row>
    <row r="615" spans="1:13">
      <c r="B615" s="329" t="s">
        <v>462</v>
      </c>
      <c r="C615" s="330"/>
      <c r="D615" s="220">
        <v>1</v>
      </c>
      <c r="E615" s="220">
        <v>3.5</v>
      </c>
      <c r="F615" s="223"/>
      <c r="G615" s="220">
        <v>2.7</v>
      </c>
      <c r="H615" s="223"/>
      <c r="I615" s="223"/>
      <c r="J615" s="223"/>
      <c r="K615" s="220">
        <f t="shared" si="39"/>
        <v>9.4500000000000011</v>
      </c>
      <c r="L615" s="223">
        <f t="shared" si="38"/>
        <v>9.4500000000000011</v>
      </c>
    </row>
    <row r="616" spans="1:13">
      <c r="B616" s="329" t="s">
        <v>448</v>
      </c>
      <c r="C616" s="330"/>
      <c r="D616" s="220">
        <v>1</v>
      </c>
      <c r="E616" s="220">
        <v>3.4</v>
      </c>
      <c r="F616" s="223">
        <v>2.2000000000000002</v>
      </c>
      <c r="G616" s="220">
        <v>3.1</v>
      </c>
      <c r="H616" s="223">
        <v>1</v>
      </c>
      <c r="I616" s="223"/>
      <c r="J616" s="223"/>
      <c r="K616" s="220">
        <f t="shared" si="39"/>
        <v>12.739999999999998</v>
      </c>
      <c r="L616" s="223">
        <f t="shared" si="38"/>
        <v>12.739999999999998</v>
      </c>
    </row>
    <row r="617" spans="1:13">
      <c r="B617" s="329" t="s">
        <v>452</v>
      </c>
      <c r="C617" s="330"/>
      <c r="D617" s="220">
        <v>1</v>
      </c>
      <c r="E617" s="220">
        <v>2.2000000000000002</v>
      </c>
      <c r="F617" s="223"/>
      <c r="G617" s="220">
        <v>1</v>
      </c>
      <c r="H617" s="223"/>
      <c r="I617" s="223"/>
      <c r="J617" s="223"/>
      <c r="K617" s="220">
        <f t="shared" si="39"/>
        <v>2.2000000000000002</v>
      </c>
      <c r="L617" s="223">
        <f t="shared" si="38"/>
        <v>2.2000000000000002</v>
      </c>
    </row>
    <row r="618" spans="1:13">
      <c r="B618" s="329" t="s">
        <v>452</v>
      </c>
      <c r="C618" s="330"/>
      <c r="D618" s="220">
        <v>1</v>
      </c>
      <c r="E618" s="220">
        <v>5.9</v>
      </c>
      <c r="F618" s="223"/>
      <c r="G618" s="220">
        <v>4.5</v>
      </c>
      <c r="H618" s="223"/>
      <c r="I618" s="223"/>
      <c r="J618" s="223"/>
      <c r="K618" s="220">
        <f t="shared" si="39"/>
        <v>26.55</v>
      </c>
      <c r="L618" s="223">
        <f t="shared" si="38"/>
        <v>26.55</v>
      </c>
    </row>
    <row r="619" spans="1:13">
      <c r="B619" s="329" t="s">
        <v>438</v>
      </c>
      <c r="C619" s="330"/>
      <c r="D619" s="220">
        <v>1</v>
      </c>
      <c r="E619" s="220">
        <v>15</v>
      </c>
      <c r="F619" s="223"/>
      <c r="G619" s="220">
        <v>6.6</v>
      </c>
      <c r="H619" s="223"/>
      <c r="I619" s="223"/>
      <c r="J619" s="223"/>
      <c r="K619" s="220">
        <f t="shared" si="39"/>
        <v>99</v>
      </c>
      <c r="L619" s="223">
        <f t="shared" si="38"/>
        <v>99</v>
      </c>
    </row>
    <row r="620" spans="1:13" ht="15.75" thickBot="1"/>
    <row r="621" spans="1:13" ht="34.5" customHeight="1" thickBot="1">
      <c r="A621" s="239" t="s">
        <v>128</v>
      </c>
      <c r="B621" s="340" t="str">
        <f>BM_06!B131</f>
        <v>SISTEMA PREDIAL DE ÁGUA FRIA - NBR 5626</v>
      </c>
      <c r="C621" s="341"/>
      <c r="D621" s="341"/>
      <c r="E621" s="341"/>
      <c r="F621" s="341"/>
      <c r="G621" s="341"/>
      <c r="H621" s="341"/>
      <c r="I621" s="341"/>
      <c r="J621" s="341"/>
      <c r="K621" s="341"/>
      <c r="L621" s="244"/>
    </row>
    <row r="622" spans="1:13" ht="64.5" customHeight="1" thickBot="1">
      <c r="A622" s="242" t="str">
        <f>BM_06!A132</f>
        <v>9.2.1</v>
      </c>
      <c r="B622" s="338" t="str">
        <f>BM_06!B132</f>
        <v>TUBO, PVC, SOLDÁVEL, DN 60MM, INSTALADO EM PRUMADA DE ÁGUA - FORNECIMENTO E INSTALAÇÃO. AF_12/2014</v>
      </c>
      <c r="C622" s="339"/>
      <c r="D622" s="339"/>
      <c r="E622" s="339"/>
      <c r="F622" s="339"/>
      <c r="G622" s="339"/>
      <c r="H622" s="339"/>
      <c r="I622" s="339"/>
      <c r="J622" s="339"/>
      <c r="K622" s="339"/>
      <c r="L622" s="245"/>
      <c r="M622" s="246"/>
    </row>
    <row r="623" spans="1:13">
      <c r="A623" s="239"/>
      <c r="G623" s="247"/>
    </row>
    <row r="624" spans="1:13">
      <c r="A624" s="239"/>
      <c r="B624" s="333" t="s">
        <v>464</v>
      </c>
      <c r="C624" s="333"/>
      <c r="G624" s="247"/>
      <c r="L624" s="248">
        <v>23</v>
      </c>
    </row>
    <row r="625" spans="1:13" ht="15.75" thickBot="1">
      <c r="A625" s="239"/>
      <c r="G625" s="247"/>
    </row>
    <row r="626" spans="1:13" ht="44.25" customHeight="1" thickBot="1">
      <c r="A626" s="242" t="str">
        <f>BM_06!A133</f>
        <v>9.2.2</v>
      </c>
      <c r="B626" s="338" t="str">
        <f>BM_06!B133</f>
        <v>TUBO, PVC, SOLDÁVEL, DN 50MM, INSTALADO EM PRUMADA DE ÁGUA - FORNECIMENTO E INSTALAÇÃO. AF_12/2014</v>
      </c>
      <c r="C626" s="339"/>
      <c r="D626" s="339"/>
      <c r="E626" s="339"/>
      <c r="F626" s="339"/>
      <c r="G626" s="339"/>
      <c r="H626" s="339"/>
      <c r="I626" s="339"/>
      <c r="J626" s="339"/>
      <c r="K626" s="339"/>
      <c r="L626" s="245"/>
      <c r="M626" s="246"/>
    </row>
    <row r="627" spans="1:13">
      <c r="A627" s="239"/>
      <c r="G627" s="247"/>
    </row>
    <row r="628" spans="1:13">
      <c r="A628" s="239"/>
      <c r="B628" s="333" t="s">
        <v>464</v>
      </c>
      <c r="C628" s="333"/>
      <c r="G628" s="247"/>
      <c r="L628" s="248">
        <v>166</v>
      </c>
    </row>
    <row r="629" spans="1:13" ht="15.75" thickBot="1">
      <c r="A629" s="239"/>
      <c r="G629" s="247"/>
    </row>
    <row r="630" spans="1:13" ht="34.5" customHeight="1" thickBot="1">
      <c r="A630" s="242" t="str">
        <f>BM_06!A134</f>
        <v>9.2.3</v>
      </c>
      <c r="B630" s="338" t="str">
        <f>BM_06!B134</f>
        <v>TUBO, PVC, SOLDÁVEL, DN 25MM, INSTALADO EM RAMAL OU SUB-RAMAL DE ÁGUA - FORNECIMENTO E INSTALAÇÃO. AF_12/2014</v>
      </c>
      <c r="C630" s="339"/>
      <c r="D630" s="339"/>
      <c r="E630" s="339"/>
      <c r="F630" s="339"/>
      <c r="G630" s="339"/>
      <c r="H630" s="339"/>
      <c r="I630" s="339"/>
      <c r="J630" s="339"/>
      <c r="K630" s="339"/>
      <c r="L630" s="245"/>
      <c r="M630" s="246"/>
    </row>
    <row r="631" spans="1:13">
      <c r="A631" s="239"/>
      <c r="G631" s="247"/>
      <c r="L631" s="249">
        <f>SUM(L632:L656)</f>
        <v>231.9</v>
      </c>
    </row>
    <row r="632" spans="1:13">
      <c r="A632" s="239"/>
      <c r="B632" s="333" t="s">
        <v>465</v>
      </c>
      <c r="C632" s="333"/>
      <c r="D632" s="250">
        <v>1</v>
      </c>
      <c r="E632" s="250">
        <v>7.8</v>
      </c>
      <c r="F632" s="250"/>
      <c r="G632" s="250"/>
      <c r="H632" s="250"/>
      <c r="I632" s="250"/>
      <c r="J632" s="250"/>
      <c r="K632" s="250"/>
      <c r="L632" s="250">
        <f>D632*E632</f>
        <v>7.8</v>
      </c>
    </row>
    <row r="633" spans="1:13">
      <c r="A633" s="239"/>
      <c r="B633" s="333" t="s">
        <v>439</v>
      </c>
      <c r="C633" s="333"/>
      <c r="D633" s="250">
        <v>1</v>
      </c>
      <c r="E633" s="250">
        <v>6.5</v>
      </c>
      <c r="F633" s="250"/>
      <c r="G633" s="250"/>
      <c r="H633" s="250"/>
      <c r="I633" s="250"/>
      <c r="J633" s="250"/>
      <c r="K633" s="250"/>
      <c r="L633" s="250">
        <f t="shared" ref="L633:L656" si="40">D633*E633</f>
        <v>6.5</v>
      </c>
    </row>
    <row r="634" spans="1:13">
      <c r="A634" s="239"/>
      <c r="B634" s="333" t="s">
        <v>437</v>
      </c>
      <c r="C634" s="333"/>
      <c r="D634" s="250">
        <v>1</v>
      </c>
      <c r="E634" s="250">
        <v>13.3</v>
      </c>
      <c r="F634" s="250"/>
      <c r="G634" s="250"/>
      <c r="H634" s="250"/>
      <c r="I634" s="250"/>
      <c r="J634" s="250"/>
      <c r="K634" s="250"/>
      <c r="L634" s="250">
        <f t="shared" si="40"/>
        <v>13.3</v>
      </c>
    </row>
    <row r="635" spans="1:13">
      <c r="A635" s="239"/>
      <c r="B635" s="333" t="s">
        <v>466</v>
      </c>
      <c r="C635" s="333"/>
      <c r="D635" s="250">
        <v>1</v>
      </c>
      <c r="E635" s="250">
        <v>13.3</v>
      </c>
      <c r="F635" s="250"/>
      <c r="G635" s="250"/>
      <c r="H635" s="250"/>
      <c r="I635" s="250"/>
      <c r="J635" s="250"/>
      <c r="K635" s="250"/>
      <c r="L635" s="250">
        <f t="shared" si="40"/>
        <v>13.3</v>
      </c>
    </row>
    <row r="636" spans="1:13">
      <c r="A636" s="239"/>
      <c r="B636" s="333" t="s">
        <v>477</v>
      </c>
      <c r="C636" s="333"/>
      <c r="D636" s="250">
        <v>1</v>
      </c>
      <c r="E636" s="250"/>
      <c r="F636" s="250"/>
      <c r="G636" s="250"/>
      <c r="H636" s="250"/>
      <c r="I636" s="250"/>
      <c r="J636" s="250"/>
      <c r="K636" s="250"/>
      <c r="L636" s="250">
        <f t="shared" si="40"/>
        <v>0</v>
      </c>
    </row>
    <row r="637" spans="1:13">
      <c r="A637" s="239"/>
      <c r="B637" s="333" t="s">
        <v>467</v>
      </c>
      <c r="C637" s="333"/>
      <c r="D637" s="250">
        <v>1</v>
      </c>
      <c r="E637" s="250"/>
      <c r="F637" s="250"/>
      <c r="G637" s="250"/>
      <c r="H637" s="250"/>
      <c r="I637" s="250"/>
      <c r="J637" s="250"/>
      <c r="K637" s="250"/>
      <c r="L637" s="250">
        <f t="shared" si="40"/>
        <v>0</v>
      </c>
    </row>
    <row r="638" spans="1:13">
      <c r="A638" s="239"/>
      <c r="B638" s="333" t="s">
        <v>468</v>
      </c>
      <c r="C638" s="333"/>
      <c r="D638" s="250">
        <v>1</v>
      </c>
      <c r="E638" s="250">
        <v>2.1</v>
      </c>
      <c r="F638" s="250"/>
      <c r="G638" s="250"/>
      <c r="H638" s="250"/>
      <c r="I638" s="250"/>
      <c r="J638" s="250"/>
      <c r="K638" s="250"/>
      <c r="L638" s="250">
        <f t="shared" si="40"/>
        <v>2.1</v>
      </c>
    </row>
    <row r="639" spans="1:13">
      <c r="A639" s="239"/>
      <c r="B639" s="333" t="s">
        <v>469</v>
      </c>
      <c r="C639" s="333"/>
      <c r="D639" s="250">
        <v>1</v>
      </c>
      <c r="E639" s="250">
        <v>6.8</v>
      </c>
      <c r="F639" s="250"/>
      <c r="G639" s="250"/>
      <c r="H639" s="250"/>
      <c r="I639" s="250"/>
      <c r="J639" s="250"/>
      <c r="K639" s="250"/>
      <c r="L639" s="250">
        <f t="shared" si="40"/>
        <v>6.8</v>
      </c>
    </row>
    <row r="640" spans="1:13">
      <c r="A640" s="239"/>
      <c r="B640" s="333" t="s">
        <v>470</v>
      </c>
      <c r="C640" s="333"/>
      <c r="D640" s="250">
        <v>1</v>
      </c>
      <c r="E640" s="250">
        <v>3.6</v>
      </c>
      <c r="F640" s="250"/>
      <c r="G640" s="250"/>
      <c r="H640" s="250"/>
      <c r="I640" s="250"/>
      <c r="J640" s="250"/>
      <c r="K640" s="250"/>
      <c r="L640" s="250">
        <f t="shared" si="40"/>
        <v>3.6</v>
      </c>
    </row>
    <row r="641" spans="1:12">
      <c r="A641" s="239"/>
      <c r="B641" s="333" t="s">
        <v>468</v>
      </c>
      <c r="C641" s="333"/>
      <c r="D641" s="250">
        <v>1</v>
      </c>
      <c r="E641" s="250">
        <v>2.6</v>
      </c>
      <c r="F641" s="250"/>
      <c r="G641" s="250"/>
      <c r="H641" s="250"/>
      <c r="I641" s="250"/>
      <c r="J641" s="250"/>
      <c r="K641" s="250"/>
      <c r="L641" s="250">
        <f t="shared" si="40"/>
        <v>2.6</v>
      </c>
    </row>
    <row r="642" spans="1:12">
      <c r="A642" s="239"/>
      <c r="B642" s="333" t="s">
        <v>445</v>
      </c>
      <c r="C642" s="333"/>
      <c r="D642" s="250">
        <v>1</v>
      </c>
      <c r="E642" s="250">
        <v>2.2999999999999998</v>
      </c>
      <c r="F642" s="250"/>
      <c r="G642" s="250"/>
      <c r="H642" s="250"/>
      <c r="I642" s="250"/>
      <c r="J642" s="250"/>
      <c r="K642" s="250"/>
      <c r="L642" s="250">
        <f t="shared" si="40"/>
        <v>2.2999999999999998</v>
      </c>
    </row>
    <row r="643" spans="1:12">
      <c r="A643" s="239"/>
      <c r="B643" s="333" t="s">
        <v>471</v>
      </c>
      <c r="C643" s="333"/>
      <c r="D643" s="250">
        <v>1</v>
      </c>
      <c r="E643" s="250">
        <v>11</v>
      </c>
      <c r="F643" s="250"/>
      <c r="G643" s="250"/>
      <c r="H643" s="250"/>
      <c r="I643" s="250"/>
      <c r="J643" s="250"/>
      <c r="K643" s="250"/>
      <c r="L643" s="250">
        <f t="shared" si="40"/>
        <v>11</v>
      </c>
    </row>
    <row r="644" spans="1:12">
      <c r="A644" s="239"/>
      <c r="B644" s="333" t="s">
        <v>478</v>
      </c>
      <c r="C644" s="333"/>
      <c r="D644" s="250">
        <v>1</v>
      </c>
      <c r="E644" s="250">
        <v>22</v>
      </c>
      <c r="F644" s="250"/>
      <c r="G644" s="250"/>
      <c r="H644" s="250"/>
      <c r="I644" s="250"/>
      <c r="J644" s="250"/>
      <c r="K644" s="250"/>
      <c r="L644" s="250">
        <f t="shared" si="40"/>
        <v>22</v>
      </c>
    </row>
    <row r="645" spans="1:12">
      <c r="A645" s="239"/>
      <c r="B645" s="333" t="s">
        <v>472</v>
      </c>
      <c r="C645" s="333"/>
      <c r="D645" s="250">
        <v>1</v>
      </c>
      <c r="E645" s="250">
        <v>4</v>
      </c>
      <c r="F645" s="250"/>
      <c r="G645" s="250"/>
      <c r="H645" s="250"/>
      <c r="I645" s="250"/>
      <c r="J645" s="250"/>
      <c r="K645" s="250"/>
      <c r="L645" s="250">
        <f t="shared" si="40"/>
        <v>4</v>
      </c>
    </row>
    <row r="646" spans="1:12">
      <c r="A646" s="239"/>
      <c r="B646" s="333" t="s">
        <v>441</v>
      </c>
      <c r="C646" s="333"/>
      <c r="D646" s="250">
        <v>1</v>
      </c>
      <c r="E646" s="250">
        <v>16</v>
      </c>
      <c r="F646" s="250"/>
      <c r="G646" s="250"/>
      <c r="H646" s="250"/>
      <c r="I646" s="250"/>
      <c r="J646" s="250"/>
      <c r="K646" s="250"/>
      <c r="L646" s="250">
        <f t="shared" si="40"/>
        <v>16</v>
      </c>
    </row>
    <row r="647" spans="1:12">
      <c r="A647" s="239"/>
      <c r="B647" s="333" t="s">
        <v>473</v>
      </c>
      <c r="C647" s="333"/>
      <c r="D647" s="250">
        <v>1</v>
      </c>
      <c r="E647" s="250">
        <v>4.5</v>
      </c>
      <c r="F647" s="250"/>
      <c r="G647" s="250"/>
      <c r="H647" s="250"/>
      <c r="I647" s="250"/>
      <c r="J647" s="250"/>
      <c r="K647" s="250"/>
      <c r="L647" s="250">
        <f t="shared" si="40"/>
        <v>4.5</v>
      </c>
    </row>
    <row r="648" spans="1:12">
      <c r="A648" s="239"/>
      <c r="B648" s="333" t="s">
        <v>446</v>
      </c>
      <c r="C648" s="333"/>
      <c r="D648" s="250">
        <v>1</v>
      </c>
      <c r="E648" s="250">
        <v>4</v>
      </c>
      <c r="F648" s="250"/>
      <c r="G648" s="250"/>
      <c r="H648" s="250"/>
      <c r="I648" s="250"/>
      <c r="J648" s="250"/>
      <c r="K648" s="250"/>
      <c r="L648" s="250">
        <f t="shared" si="40"/>
        <v>4</v>
      </c>
    </row>
    <row r="649" spans="1:12">
      <c r="A649" s="239"/>
      <c r="B649" s="333" t="s">
        <v>474</v>
      </c>
      <c r="C649" s="333"/>
      <c r="D649" s="250">
        <v>1</v>
      </c>
      <c r="E649" s="250">
        <v>8.5</v>
      </c>
      <c r="F649" s="250"/>
      <c r="G649" s="250"/>
      <c r="H649" s="250"/>
      <c r="I649" s="250"/>
      <c r="J649" s="250"/>
      <c r="K649" s="250"/>
      <c r="L649" s="250">
        <f t="shared" si="40"/>
        <v>8.5</v>
      </c>
    </row>
    <row r="650" spans="1:12">
      <c r="A650" s="239"/>
      <c r="B650" s="333" t="s">
        <v>450</v>
      </c>
      <c r="C650" s="333"/>
      <c r="D650" s="250">
        <v>1</v>
      </c>
      <c r="E650" s="250">
        <v>5.6</v>
      </c>
      <c r="F650" s="250"/>
      <c r="G650" s="250"/>
      <c r="H650" s="250"/>
      <c r="I650" s="250"/>
      <c r="J650" s="250"/>
      <c r="K650" s="250"/>
      <c r="L650" s="250">
        <f t="shared" si="40"/>
        <v>5.6</v>
      </c>
    </row>
    <row r="651" spans="1:12">
      <c r="A651" s="239"/>
      <c r="B651" s="333" t="s">
        <v>479</v>
      </c>
      <c r="C651" s="333"/>
      <c r="D651" s="250">
        <v>1</v>
      </c>
      <c r="E651" s="250">
        <v>13</v>
      </c>
      <c r="F651" s="250"/>
      <c r="G651" s="250"/>
      <c r="H651" s="250"/>
      <c r="I651" s="250"/>
      <c r="J651" s="250"/>
      <c r="K651" s="250"/>
      <c r="L651" s="250">
        <f t="shared" si="40"/>
        <v>13</v>
      </c>
    </row>
    <row r="652" spans="1:12">
      <c r="A652" s="239"/>
      <c r="B652" s="333" t="s">
        <v>453</v>
      </c>
      <c r="C652" s="333"/>
      <c r="D652" s="250">
        <v>1</v>
      </c>
      <c r="E652" s="250">
        <v>28</v>
      </c>
      <c r="F652" s="250"/>
      <c r="G652" s="250"/>
      <c r="H652" s="250"/>
      <c r="I652" s="250"/>
      <c r="J652" s="250"/>
      <c r="K652" s="250"/>
      <c r="L652" s="250">
        <f t="shared" si="40"/>
        <v>28</v>
      </c>
    </row>
    <row r="653" spans="1:12" ht="26.45" customHeight="1">
      <c r="A653" s="239"/>
      <c r="B653" s="333" t="s">
        <v>475</v>
      </c>
      <c r="C653" s="333"/>
      <c r="D653" s="250">
        <v>1</v>
      </c>
      <c r="E653" s="250">
        <v>29</v>
      </c>
      <c r="F653" s="250"/>
      <c r="G653" s="250"/>
      <c r="H653" s="250"/>
      <c r="I653" s="250"/>
      <c r="J653" s="250"/>
      <c r="K653" s="250"/>
      <c r="L653" s="250">
        <f t="shared" si="40"/>
        <v>29</v>
      </c>
    </row>
    <row r="654" spans="1:12">
      <c r="A654" s="239"/>
      <c r="B654" s="333" t="s">
        <v>476</v>
      </c>
      <c r="C654" s="333"/>
      <c r="D654" s="250">
        <v>1</v>
      </c>
      <c r="E654" s="250">
        <v>13</v>
      </c>
      <c r="F654" s="250"/>
      <c r="G654" s="250"/>
      <c r="H654" s="250"/>
      <c r="I654" s="250"/>
      <c r="J654" s="250"/>
      <c r="K654" s="250"/>
      <c r="L654" s="250">
        <f t="shared" si="40"/>
        <v>13</v>
      </c>
    </row>
    <row r="655" spans="1:12">
      <c r="A655" s="239"/>
      <c r="B655" s="333" t="s">
        <v>469</v>
      </c>
      <c r="C655" s="333"/>
      <c r="D655" s="250">
        <v>1</v>
      </c>
      <c r="E655" s="250">
        <v>11</v>
      </c>
      <c r="F655" s="250"/>
      <c r="G655" s="250"/>
      <c r="H655" s="250"/>
      <c r="I655" s="250"/>
      <c r="J655" s="250"/>
      <c r="K655" s="250"/>
      <c r="L655" s="250">
        <f t="shared" si="40"/>
        <v>11</v>
      </c>
    </row>
    <row r="656" spans="1:12">
      <c r="A656" s="239"/>
      <c r="B656" s="333" t="s">
        <v>470</v>
      </c>
      <c r="C656" s="333"/>
      <c r="D656" s="250">
        <v>1</v>
      </c>
      <c r="E656" s="250">
        <v>4</v>
      </c>
      <c r="F656" s="250"/>
      <c r="G656" s="250"/>
      <c r="H656" s="250"/>
      <c r="I656" s="250"/>
      <c r="J656" s="250"/>
      <c r="K656" s="250"/>
      <c r="L656" s="250">
        <f t="shared" si="40"/>
        <v>4</v>
      </c>
    </row>
    <row r="657" spans="1:13" ht="15.75" thickBot="1">
      <c r="A657" s="239"/>
      <c r="B657" s="333"/>
      <c r="C657" s="333"/>
      <c r="G657" s="247"/>
    </row>
    <row r="658" spans="1:13" ht="46.5" customHeight="1" thickBot="1">
      <c r="A658" s="242" t="str">
        <f>BM_06!A135</f>
        <v>9.2.4</v>
      </c>
      <c r="B658" s="338" t="str">
        <f>BM_06!B135</f>
        <v>ADAPTADOR CURTO COM BOLSA E ROSCA PARA REGISTRO, PVC, SOLDÁVEL, DN 25MM X 3/4, INSTALADO EM RAMAL OU SUB-RAMAL DE ÁGUA - FORNECIMENTO E INSTALAÇÃO. AF_12/2014</v>
      </c>
      <c r="C658" s="339"/>
      <c r="D658" s="339"/>
      <c r="E658" s="339"/>
      <c r="F658" s="339"/>
      <c r="G658" s="339"/>
      <c r="H658" s="339"/>
      <c r="I658" s="339"/>
      <c r="J658" s="339"/>
      <c r="K658" s="339"/>
      <c r="L658" s="245"/>
      <c r="M658" s="246"/>
    </row>
    <row r="659" spans="1:13">
      <c r="A659" s="239"/>
      <c r="B659" s="333"/>
      <c r="C659" s="333"/>
      <c r="G659" s="247"/>
      <c r="L659" s="249">
        <f>SUM(L660:L679)</f>
        <v>22</v>
      </c>
    </row>
    <row r="660" spans="1:13">
      <c r="A660" s="239"/>
      <c r="B660" s="333" t="s">
        <v>465</v>
      </c>
      <c r="C660" s="333"/>
      <c r="D660" s="250">
        <v>1</v>
      </c>
      <c r="E660" s="250">
        <v>1</v>
      </c>
      <c r="G660" s="247"/>
      <c r="L660" s="212">
        <f>E660*D660</f>
        <v>1</v>
      </c>
    </row>
    <row r="661" spans="1:13">
      <c r="A661" s="239"/>
      <c r="B661" s="333" t="s">
        <v>437</v>
      </c>
      <c r="C661" s="333"/>
      <c r="D661" s="250">
        <v>1</v>
      </c>
      <c r="E661" s="250">
        <v>2</v>
      </c>
      <c r="G661" s="247"/>
      <c r="L661" s="212">
        <f t="shared" ref="L661:L679" si="41">E661*D661</f>
        <v>2</v>
      </c>
    </row>
    <row r="662" spans="1:13">
      <c r="A662" s="239"/>
      <c r="B662" s="333" t="s">
        <v>466</v>
      </c>
      <c r="C662" s="333"/>
      <c r="D662" s="250">
        <v>1</v>
      </c>
      <c r="E662" s="250">
        <v>2</v>
      </c>
      <c r="G662" s="247"/>
      <c r="L662" s="212">
        <f t="shared" si="41"/>
        <v>2</v>
      </c>
    </row>
    <row r="663" spans="1:13">
      <c r="A663" s="239"/>
      <c r="B663" s="333" t="s">
        <v>469</v>
      </c>
      <c r="C663" s="333"/>
      <c r="D663" s="250">
        <v>1</v>
      </c>
      <c r="E663" s="250">
        <v>1</v>
      </c>
      <c r="G663" s="247"/>
      <c r="L663" s="212">
        <f t="shared" si="41"/>
        <v>1</v>
      </c>
    </row>
    <row r="664" spans="1:13">
      <c r="A664" s="239"/>
      <c r="B664" s="333" t="s">
        <v>468</v>
      </c>
      <c r="C664" s="333"/>
      <c r="D664" s="250">
        <v>1</v>
      </c>
      <c r="E664" s="250">
        <v>1</v>
      </c>
      <c r="G664" s="247"/>
      <c r="L664" s="212">
        <f t="shared" si="41"/>
        <v>1</v>
      </c>
    </row>
    <row r="665" spans="1:13">
      <c r="A665" s="239"/>
      <c r="B665" s="333" t="s">
        <v>445</v>
      </c>
      <c r="C665" s="333"/>
      <c r="D665" s="250">
        <v>1</v>
      </c>
      <c r="E665" s="250">
        <v>1</v>
      </c>
      <c r="G665" s="247"/>
      <c r="L665" s="212">
        <f t="shared" si="41"/>
        <v>1</v>
      </c>
    </row>
    <row r="666" spans="1:13">
      <c r="A666" s="239"/>
      <c r="B666" s="333" t="s">
        <v>471</v>
      </c>
      <c r="C666" s="333"/>
      <c r="D666" s="250">
        <v>1</v>
      </c>
      <c r="E666" s="250">
        <v>1</v>
      </c>
      <c r="G666" s="247"/>
      <c r="L666" s="212">
        <f t="shared" si="41"/>
        <v>1</v>
      </c>
    </row>
    <row r="667" spans="1:13">
      <c r="A667" s="239"/>
      <c r="B667" s="333" t="s">
        <v>478</v>
      </c>
      <c r="C667" s="333"/>
      <c r="D667" s="250">
        <v>1</v>
      </c>
      <c r="E667" s="250">
        <v>1</v>
      </c>
      <c r="G667" s="247"/>
      <c r="L667" s="212">
        <f t="shared" si="41"/>
        <v>1</v>
      </c>
    </row>
    <row r="668" spans="1:13">
      <c r="A668" s="239"/>
      <c r="B668" s="333" t="s">
        <v>472</v>
      </c>
      <c r="C668" s="333"/>
      <c r="D668" s="250">
        <v>1</v>
      </c>
      <c r="E668" s="250">
        <v>1</v>
      </c>
      <c r="G668" s="247"/>
      <c r="L668" s="212">
        <f t="shared" si="41"/>
        <v>1</v>
      </c>
    </row>
    <row r="669" spans="1:13">
      <c r="A669" s="239"/>
      <c r="B669" s="333" t="s">
        <v>441</v>
      </c>
      <c r="C669" s="333"/>
      <c r="D669" s="250">
        <v>1</v>
      </c>
      <c r="E669" s="250">
        <v>1</v>
      </c>
      <c r="G669" s="247"/>
      <c r="L669" s="212">
        <f t="shared" si="41"/>
        <v>1</v>
      </c>
    </row>
    <row r="670" spans="1:13">
      <c r="A670" s="239"/>
      <c r="B670" s="333" t="s">
        <v>473</v>
      </c>
      <c r="C670" s="333"/>
      <c r="D670" s="250">
        <v>1</v>
      </c>
      <c r="E670" s="250">
        <v>1</v>
      </c>
      <c r="G670" s="247"/>
      <c r="L670" s="212">
        <f t="shared" si="41"/>
        <v>1</v>
      </c>
    </row>
    <row r="671" spans="1:13">
      <c r="A671" s="239"/>
      <c r="B671" s="333" t="s">
        <v>446</v>
      </c>
      <c r="C671" s="333"/>
      <c r="D671" s="250">
        <v>1</v>
      </c>
      <c r="E671" s="250">
        <v>1</v>
      </c>
      <c r="G671" s="247"/>
      <c r="L671" s="212">
        <f t="shared" si="41"/>
        <v>1</v>
      </c>
    </row>
    <row r="672" spans="1:13">
      <c r="A672" s="239"/>
      <c r="B672" s="333" t="s">
        <v>474</v>
      </c>
      <c r="C672" s="333"/>
      <c r="D672" s="250">
        <v>1</v>
      </c>
      <c r="E672" s="250">
        <v>1</v>
      </c>
      <c r="G672" s="247"/>
      <c r="L672" s="212">
        <f t="shared" si="41"/>
        <v>1</v>
      </c>
    </row>
    <row r="673" spans="1:13">
      <c r="A673" s="239"/>
      <c r="B673" s="333" t="s">
        <v>450</v>
      </c>
      <c r="C673" s="333"/>
      <c r="D673" s="250">
        <v>1</v>
      </c>
      <c r="E673" s="250">
        <v>1</v>
      </c>
      <c r="G673" s="247"/>
      <c r="L673" s="212">
        <f t="shared" si="41"/>
        <v>1</v>
      </c>
    </row>
    <row r="674" spans="1:13">
      <c r="A674" s="239"/>
      <c r="B674" s="333" t="s">
        <v>479</v>
      </c>
      <c r="C674" s="333"/>
      <c r="D674" s="250">
        <v>1</v>
      </c>
      <c r="E674" s="250">
        <v>1</v>
      </c>
      <c r="G674" s="247"/>
      <c r="L674" s="212">
        <f t="shared" si="41"/>
        <v>1</v>
      </c>
    </row>
    <row r="675" spans="1:13">
      <c r="A675" s="239"/>
      <c r="B675" s="333" t="s">
        <v>453</v>
      </c>
      <c r="C675" s="333"/>
      <c r="D675" s="250">
        <v>1</v>
      </c>
      <c r="E675" s="250">
        <v>1</v>
      </c>
      <c r="G675" s="247"/>
      <c r="L675" s="212">
        <f t="shared" si="41"/>
        <v>1</v>
      </c>
    </row>
    <row r="676" spans="1:13">
      <c r="A676" s="239"/>
      <c r="B676" s="333" t="s">
        <v>475</v>
      </c>
      <c r="C676" s="333"/>
      <c r="D676" s="250">
        <v>1</v>
      </c>
      <c r="E676" s="250">
        <v>1</v>
      </c>
      <c r="G676" s="247"/>
      <c r="L676" s="212">
        <f t="shared" si="41"/>
        <v>1</v>
      </c>
    </row>
    <row r="677" spans="1:13">
      <c r="A677" s="239"/>
      <c r="B677" s="333" t="s">
        <v>476</v>
      </c>
      <c r="C677" s="333"/>
      <c r="D677" s="250">
        <v>1</v>
      </c>
      <c r="E677" s="250">
        <v>1</v>
      </c>
      <c r="G677" s="247"/>
      <c r="L677" s="212">
        <f t="shared" si="41"/>
        <v>1</v>
      </c>
    </row>
    <row r="678" spans="1:13">
      <c r="A678" s="239"/>
      <c r="B678" s="333" t="s">
        <v>469</v>
      </c>
      <c r="C678" s="333"/>
      <c r="D678" s="250">
        <v>1</v>
      </c>
      <c r="E678" s="250">
        <v>1</v>
      </c>
      <c r="G678" s="247"/>
      <c r="L678" s="212">
        <f t="shared" si="41"/>
        <v>1</v>
      </c>
    </row>
    <row r="679" spans="1:13">
      <c r="A679" s="239"/>
      <c r="B679" s="333" t="s">
        <v>470</v>
      </c>
      <c r="C679" s="333"/>
      <c r="D679" s="250">
        <v>1</v>
      </c>
      <c r="E679" s="250">
        <v>1</v>
      </c>
      <c r="G679" s="247"/>
      <c r="L679" s="212">
        <f t="shared" si="41"/>
        <v>1</v>
      </c>
    </row>
    <row r="680" spans="1:13" ht="15.75" thickBot="1">
      <c r="A680" s="239"/>
      <c r="B680" s="333"/>
      <c r="C680" s="333"/>
      <c r="G680" s="247"/>
    </row>
    <row r="681" spans="1:13" ht="15.75" thickBot="1">
      <c r="A681" s="242" t="str">
        <f>BM_06!A136</f>
        <v>9.2.5</v>
      </c>
      <c r="B681" s="338" t="str">
        <f>BM_06!B136</f>
        <v>LUVA DE REDUÇÃO, PVC, SOLDÁVEL, DN 60MM X 50MM, INSTALADO EM PRUMADA DE ÁGUA - FORNECIMENTO E INSTALAÇÃO. AF_12/2014</v>
      </c>
      <c r="C681" s="339"/>
      <c r="D681" s="339"/>
      <c r="E681" s="339"/>
      <c r="F681" s="339"/>
      <c r="G681" s="339"/>
      <c r="H681" s="339"/>
      <c r="I681" s="339"/>
      <c r="J681" s="339"/>
      <c r="K681" s="339"/>
      <c r="L681" s="245"/>
      <c r="M681" s="246"/>
    </row>
    <row r="682" spans="1:13">
      <c r="A682" s="239"/>
      <c r="B682" s="333"/>
      <c r="C682" s="333"/>
      <c r="G682" s="247"/>
    </row>
    <row r="683" spans="1:13">
      <c r="A683" s="239"/>
      <c r="B683" s="333" t="s">
        <v>464</v>
      </c>
      <c r="C683" s="333"/>
      <c r="G683" s="247"/>
      <c r="L683" s="248">
        <v>1</v>
      </c>
    </row>
    <row r="684" spans="1:13" ht="15.75" thickBot="1">
      <c r="A684" s="239"/>
      <c r="B684" s="333"/>
      <c r="C684" s="333"/>
      <c r="G684" s="247"/>
    </row>
    <row r="685" spans="1:13" ht="15.75" thickBot="1">
      <c r="A685" s="242" t="str">
        <f>BM_06!A137</f>
        <v>9.2.6</v>
      </c>
      <c r="B685" s="338" t="str">
        <f>BM_06!B137</f>
        <v>LUVA DE REDUÇÃO, PVC, SOLDÁVEL, DN 50MM X 25MM, INSTALADO EM PRUMADA DE ÁGUA   FORNECIMENTO E INSTALAÇÃO. AF_12/2014</v>
      </c>
      <c r="C685" s="339"/>
      <c r="D685" s="339"/>
      <c r="E685" s="339"/>
      <c r="F685" s="339"/>
      <c r="G685" s="339"/>
      <c r="H685" s="339"/>
      <c r="I685" s="339"/>
      <c r="J685" s="339"/>
      <c r="K685" s="339"/>
      <c r="L685" s="245"/>
      <c r="M685" s="246"/>
    </row>
    <row r="686" spans="1:13">
      <c r="A686" s="239"/>
      <c r="B686" s="333"/>
      <c r="C686" s="333"/>
      <c r="G686" s="247"/>
    </row>
    <row r="687" spans="1:13">
      <c r="A687" s="239"/>
      <c r="B687" s="333" t="s">
        <v>464</v>
      </c>
      <c r="C687" s="333"/>
      <c r="G687" s="247"/>
      <c r="L687" s="248">
        <v>1</v>
      </c>
    </row>
    <row r="688" spans="1:13" ht="15.75" thickBot="1">
      <c r="A688" s="239"/>
      <c r="B688" s="333"/>
      <c r="C688" s="333"/>
      <c r="G688" s="247"/>
    </row>
    <row r="689" spans="1:13" ht="34.5" customHeight="1" thickBot="1">
      <c r="A689" s="242" t="str">
        <f>BM_06!A138</f>
        <v>9.2.7</v>
      </c>
      <c r="B689" s="338" t="str">
        <f>BM_06!B138</f>
        <v>JOELHO 90 GRAUS COM BUCHA DE LATÃO, PVC, SOLDÁVEL, DN 25MM, X 1/2 INSTALADO EM RAMAL OU SUB-RAMAL DE ÁGUA - FORNECIMENTO E INSTALAÇÃO. AF_12/2014</v>
      </c>
      <c r="C689" s="339"/>
      <c r="D689" s="339"/>
      <c r="E689" s="339"/>
      <c r="F689" s="339"/>
      <c r="G689" s="339"/>
      <c r="H689" s="339"/>
      <c r="I689" s="339"/>
      <c r="J689" s="339"/>
      <c r="K689" s="339"/>
      <c r="L689" s="245"/>
      <c r="M689" s="246"/>
    </row>
    <row r="690" spans="1:13">
      <c r="A690" s="239"/>
      <c r="B690" s="333"/>
      <c r="C690" s="333"/>
      <c r="G690" s="247"/>
      <c r="L690" s="249">
        <f>SUM(L691:L714)</f>
        <v>67</v>
      </c>
    </row>
    <row r="691" spans="1:13">
      <c r="A691" s="239"/>
      <c r="B691" s="333" t="s">
        <v>465</v>
      </c>
      <c r="C691" s="333"/>
      <c r="D691" s="250">
        <v>1</v>
      </c>
      <c r="E691" s="250">
        <v>2</v>
      </c>
      <c r="G691" s="247"/>
      <c r="L691" s="250">
        <f>D691*E691</f>
        <v>2</v>
      </c>
    </row>
    <row r="692" spans="1:13">
      <c r="A692" s="239"/>
      <c r="B692" s="333" t="s">
        <v>439</v>
      </c>
      <c r="C692" s="333"/>
      <c r="D692" s="250">
        <v>1</v>
      </c>
      <c r="E692" s="250">
        <v>1</v>
      </c>
      <c r="G692" s="247"/>
      <c r="L692" s="250">
        <f t="shared" ref="L692:L714" si="42">D692*E692</f>
        <v>1</v>
      </c>
    </row>
    <row r="693" spans="1:13">
      <c r="A693" s="239"/>
      <c r="B693" s="333" t="s">
        <v>437</v>
      </c>
      <c r="C693" s="333"/>
      <c r="D693" s="250">
        <v>1</v>
      </c>
      <c r="E693" s="250">
        <v>4</v>
      </c>
      <c r="G693" s="247"/>
      <c r="L693" s="250">
        <f t="shared" si="42"/>
        <v>4</v>
      </c>
    </row>
    <row r="694" spans="1:13">
      <c r="A694" s="239"/>
      <c r="B694" s="333" t="s">
        <v>466</v>
      </c>
      <c r="C694" s="333"/>
      <c r="D694" s="250">
        <v>1</v>
      </c>
      <c r="E694" s="250">
        <v>4</v>
      </c>
      <c r="G694" s="247"/>
      <c r="L694" s="250">
        <f t="shared" si="42"/>
        <v>4</v>
      </c>
    </row>
    <row r="695" spans="1:13">
      <c r="A695" s="239"/>
      <c r="B695" s="333" t="s">
        <v>467</v>
      </c>
      <c r="C695" s="333"/>
      <c r="D695" s="250">
        <v>1</v>
      </c>
      <c r="E695" s="250">
        <v>1</v>
      </c>
      <c r="G695" s="247"/>
      <c r="L695" s="250">
        <f t="shared" si="42"/>
        <v>1</v>
      </c>
    </row>
    <row r="696" spans="1:13">
      <c r="A696" s="239"/>
      <c r="B696" s="333" t="s">
        <v>468</v>
      </c>
      <c r="C696" s="333"/>
      <c r="D696" s="250">
        <v>1</v>
      </c>
      <c r="E696" s="250">
        <v>1</v>
      </c>
      <c r="G696" s="247"/>
      <c r="L696" s="250">
        <f t="shared" si="42"/>
        <v>1</v>
      </c>
    </row>
    <row r="697" spans="1:13">
      <c r="A697" s="239"/>
      <c r="B697" s="333" t="s">
        <v>469</v>
      </c>
      <c r="C697" s="333"/>
      <c r="D697" s="250">
        <v>1</v>
      </c>
      <c r="E697" s="250">
        <v>2</v>
      </c>
      <c r="G697" s="247"/>
      <c r="L697" s="250">
        <f t="shared" si="42"/>
        <v>2</v>
      </c>
    </row>
    <row r="698" spans="1:13" ht="14.45" customHeight="1">
      <c r="A698" s="239"/>
      <c r="B698" s="333" t="s">
        <v>470</v>
      </c>
      <c r="C698" s="333"/>
      <c r="D698" s="250">
        <v>1</v>
      </c>
      <c r="E698" s="250">
        <v>2</v>
      </c>
      <c r="G698" s="247"/>
      <c r="L698" s="250">
        <f t="shared" si="42"/>
        <v>2</v>
      </c>
    </row>
    <row r="699" spans="1:13" ht="14.45" customHeight="1">
      <c r="A699" s="239"/>
      <c r="B699" s="333" t="s">
        <v>468</v>
      </c>
      <c r="C699" s="333"/>
      <c r="D699" s="250">
        <v>1</v>
      </c>
      <c r="E699" s="250">
        <v>1</v>
      </c>
      <c r="G699" s="247"/>
      <c r="L699" s="250">
        <f t="shared" si="42"/>
        <v>1</v>
      </c>
    </row>
    <row r="700" spans="1:13">
      <c r="A700" s="239"/>
      <c r="B700" s="333" t="s">
        <v>445</v>
      </c>
      <c r="C700" s="333"/>
      <c r="D700" s="250">
        <v>1</v>
      </c>
      <c r="E700" s="250">
        <v>1</v>
      </c>
      <c r="G700" s="247"/>
      <c r="L700" s="250">
        <f t="shared" si="42"/>
        <v>1</v>
      </c>
    </row>
    <row r="701" spans="1:13">
      <c r="A701" s="239"/>
      <c r="B701" s="333" t="s">
        <v>471</v>
      </c>
      <c r="C701" s="333"/>
      <c r="D701" s="250">
        <v>1</v>
      </c>
      <c r="E701" s="250">
        <v>2</v>
      </c>
      <c r="G701" s="247"/>
      <c r="L701" s="250">
        <f t="shared" si="42"/>
        <v>2</v>
      </c>
    </row>
    <row r="702" spans="1:13">
      <c r="A702" s="239"/>
      <c r="B702" s="333" t="s">
        <v>478</v>
      </c>
      <c r="C702" s="333"/>
      <c r="D702" s="250">
        <v>1</v>
      </c>
      <c r="E702" s="250">
        <v>5</v>
      </c>
      <c r="G702" s="247"/>
      <c r="L702" s="250">
        <f t="shared" si="42"/>
        <v>5</v>
      </c>
    </row>
    <row r="703" spans="1:13">
      <c r="A703" s="239"/>
      <c r="B703" s="333" t="s">
        <v>472</v>
      </c>
      <c r="C703" s="333"/>
      <c r="D703" s="250">
        <v>1</v>
      </c>
      <c r="E703" s="250">
        <v>1</v>
      </c>
      <c r="G703" s="247"/>
      <c r="L703" s="250">
        <f t="shared" si="42"/>
        <v>1</v>
      </c>
    </row>
    <row r="704" spans="1:13">
      <c r="A704" s="239"/>
      <c r="B704" s="333" t="s">
        <v>441</v>
      </c>
      <c r="C704" s="333"/>
      <c r="D704" s="250">
        <v>1</v>
      </c>
      <c r="E704" s="250">
        <v>4</v>
      </c>
      <c r="G704" s="247"/>
      <c r="L704" s="250">
        <f t="shared" si="42"/>
        <v>4</v>
      </c>
    </row>
    <row r="705" spans="1:13">
      <c r="A705" s="239"/>
      <c r="B705" s="333" t="s">
        <v>473</v>
      </c>
      <c r="C705" s="333"/>
      <c r="D705" s="250">
        <v>1</v>
      </c>
      <c r="E705" s="250">
        <v>1</v>
      </c>
      <c r="G705" s="247"/>
      <c r="L705" s="250">
        <f t="shared" si="42"/>
        <v>1</v>
      </c>
    </row>
    <row r="706" spans="1:13">
      <c r="A706" s="239"/>
      <c r="B706" s="333" t="s">
        <v>446</v>
      </c>
      <c r="C706" s="333"/>
      <c r="D706" s="250">
        <v>1</v>
      </c>
      <c r="E706" s="250">
        <v>1</v>
      </c>
      <c r="G706" s="247"/>
      <c r="L706" s="250">
        <f t="shared" si="42"/>
        <v>1</v>
      </c>
    </row>
    <row r="707" spans="1:13">
      <c r="A707" s="239"/>
      <c r="B707" s="333" t="s">
        <v>474</v>
      </c>
      <c r="C707" s="333"/>
      <c r="D707" s="250">
        <v>1</v>
      </c>
      <c r="E707" s="250">
        <v>3</v>
      </c>
      <c r="G707" s="247"/>
      <c r="L707" s="250">
        <f t="shared" si="42"/>
        <v>3</v>
      </c>
    </row>
    <row r="708" spans="1:13">
      <c r="A708" s="239"/>
      <c r="B708" s="333" t="s">
        <v>450</v>
      </c>
      <c r="C708" s="333"/>
      <c r="D708" s="250">
        <v>1</v>
      </c>
      <c r="E708" s="250">
        <v>1</v>
      </c>
      <c r="G708" s="247"/>
      <c r="L708" s="250">
        <f t="shared" si="42"/>
        <v>1</v>
      </c>
    </row>
    <row r="709" spans="1:13">
      <c r="A709" s="239"/>
      <c r="B709" s="333" t="s">
        <v>479</v>
      </c>
      <c r="C709" s="333"/>
      <c r="D709" s="250">
        <v>1</v>
      </c>
      <c r="E709" s="250">
        <v>6</v>
      </c>
      <c r="G709" s="247"/>
      <c r="L709" s="250">
        <f t="shared" si="42"/>
        <v>6</v>
      </c>
    </row>
    <row r="710" spans="1:13">
      <c r="A710" s="239"/>
      <c r="B710" s="333" t="s">
        <v>453</v>
      </c>
      <c r="C710" s="333"/>
      <c r="D710" s="250">
        <v>1</v>
      </c>
      <c r="E710" s="250">
        <v>5</v>
      </c>
      <c r="G710" s="247"/>
      <c r="L710" s="250">
        <f t="shared" si="42"/>
        <v>5</v>
      </c>
    </row>
    <row r="711" spans="1:13">
      <c r="A711" s="239"/>
      <c r="B711" s="333" t="s">
        <v>475</v>
      </c>
      <c r="C711" s="333"/>
      <c r="D711" s="250">
        <v>1</v>
      </c>
      <c r="E711" s="250">
        <v>6</v>
      </c>
      <c r="G711" s="247"/>
      <c r="L711" s="250">
        <f t="shared" si="42"/>
        <v>6</v>
      </c>
    </row>
    <row r="712" spans="1:13">
      <c r="A712" s="239"/>
      <c r="B712" s="333" t="s">
        <v>476</v>
      </c>
      <c r="C712" s="333"/>
      <c r="D712" s="250">
        <v>1</v>
      </c>
      <c r="E712" s="250">
        <v>5</v>
      </c>
      <c r="G712" s="247"/>
      <c r="L712" s="250">
        <f t="shared" si="42"/>
        <v>5</v>
      </c>
    </row>
    <row r="713" spans="1:13">
      <c r="A713" s="239"/>
      <c r="B713" s="333" t="s">
        <v>469</v>
      </c>
      <c r="C713" s="333"/>
      <c r="D713" s="250">
        <v>1</v>
      </c>
      <c r="E713" s="250">
        <v>5</v>
      </c>
      <c r="G713" s="247"/>
      <c r="L713" s="250">
        <f t="shared" si="42"/>
        <v>5</v>
      </c>
    </row>
    <row r="714" spans="1:13">
      <c r="A714" s="239"/>
      <c r="B714" s="333" t="s">
        <v>470</v>
      </c>
      <c r="C714" s="333"/>
      <c r="D714" s="250">
        <v>1</v>
      </c>
      <c r="E714" s="250">
        <v>3</v>
      </c>
      <c r="G714" s="247"/>
      <c r="L714" s="250">
        <f t="shared" si="42"/>
        <v>3</v>
      </c>
    </row>
    <row r="715" spans="1:13" ht="15.75" thickBot="1">
      <c r="A715" s="239"/>
      <c r="B715" s="333"/>
      <c r="C715" s="333"/>
      <c r="G715" s="247"/>
    </row>
    <row r="716" spans="1:13" ht="15.75" thickBot="1">
      <c r="A716" s="242" t="str">
        <f>BM_06!A139</f>
        <v>9.2.8</v>
      </c>
      <c r="B716" s="338" t="str">
        <f>BM_06!B139</f>
        <v>Joelho de 90º pvc rígido soldável c/ bucha de latão, d=20mmx1/2".</v>
      </c>
      <c r="C716" s="339"/>
      <c r="D716" s="339"/>
      <c r="E716" s="339"/>
      <c r="F716" s="339"/>
      <c r="G716" s="339"/>
      <c r="H716" s="339"/>
      <c r="I716" s="339"/>
      <c r="J716" s="339"/>
      <c r="K716" s="339"/>
      <c r="L716" s="245"/>
      <c r="M716" s="246"/>
    </row>
    <row r="717" spans="1:13">
      <c r="A717" s="239"/>
      <c r="B717" s="333"/>
      <c r="C717" s="333"/>
      <c r="G717" s="247"/>
    </row>
    <row r="718" spans="1:13">
      <c r="A718" s="239"/>
      <c r="B718" s="333" t="s">
        <v>464</v>
      </c>
      <c r="C718" s="333"/>
      <c r="G718" s="247"/>
      <c r="L718" s="248">
        <v>1</v>
      </c>
    </row>
    <row r="719" spans="1:13" ht="15.75" thickBot="1">
      <c r="A719" s="239"/>
      <c r="G719" s="247"/>
    </row>
    <row r="720" spans="1:13" ht="15.75" thickBot="1">
      <c r="A720" s="242" t="str">
        <f>BM_06!A140</f>
        <v>9.2.9</v>
      </c>
      <c r="B720" s="338" t="str">
        <f>BM_06!B140</f>
        <v>JOELHO 90 GRAUS, PVC, SOLDÁVEL, DN 60MM, INSTALADO EM PRUMADA DE ÁGUA - FORNECIMENTO E INSTALAÇÃO. AF_12/2014</v>
      </c>
      <c r="C720" s="339"/>
      <c r="D720" s="339"/>
      <c r="E720" s="339"/>
      <c r="F720" s="339"/>
      <c r="G720" s="339"/>
      <c r="H720" s="339"/>
      <c r="I720" s="339"/>
      <c r="J720" s="339"/>
      <c r="K720" s="339"/>
      <c r="L720" s="245"/>
      <c r="M720" s="246"/>
    </row>
    <row r="721" spans="1:13">
      <c r="A721" s="239"/>
      <c r="G721" s="247"/>
    </row>
    <row r="722" spans="1:13">
      <c r="A722" s="239"/>
      <c r="B722" s="333" t="s">
        <v>464</v>
      </c>
      <c r="C722" s="333"/>
      <c r="G722" s="247"/>
      <c r="L722" s="248">
        <v>4</v>
      </c>
    </row>
    <row r="723" spans="1:13" ht="15.75" thickBot="1">
      <c r="A723" s="239"/>
      <c r="G723" s="247"/>
    </row>
    <row r="724" spans="1:13" ht="41.25" customHeight="1" thickBot="1">
      <c r="A724" s="242" t="str">
        <f>BM_06!A141</f>
        <v>9.2.10</v>
      </c>
      <c r="B724" s="338" t="str">
        <f>BM_06!B141</f>
        <v>JOELHO 90 GRAUS, PVC, SOLDÁVEL, DN 25MM, INSTALADO EM RAMAL DE DISTRIBUIÇÃO DE ÁGUA - FORNECIMENTO E INSTALAÇÃO. AF_12/2014</v>
      </c>
      <c r="C724" s="339"/>
      <c r="D724" s="339"/>
      <c r="E724" s="339"/>
      <c r="F724" s="339"/>
      <c r="G724" s="339"/>
      <c r="H724" s="339"/>
      <c r="I724" s="339"/>
      <c r="J724" s="339"/>
      <c r="K724" s="339"/>
      <c r="L724" s="245"/>
      <c r="M724" s="246"/>
    </row>
    <row r="725" spans="1:13">
      <c r="A725" s="239"/>
      <c r="G725" s="247"/>
      <c r="L725" s="249">
        <f>SUM(L726:L747)</f>
        <v>46</v>
      </c>
    </row>
    <row r="726" spans="1:13">
      <c r="A726" s="239"/>
      <c r="B726" s="333" t="s">
        <v>465</v>
      </c>
      <c r="C726" s="333"/>
      <c r="D726" s="250">
        <v>1</v>
      </c>
      <c r="E726" s="250">
        <v>2</v>
      </c>
      <c r="G726" s="247"/>
      <c r="L726" s="250">
        <f>D726*E726</f>
        <v>2</v>
      </c>
    </row>
    <row r="727" spans="1:13">
      <c r="A727" s="239"/>
      <c r="B727" s="333" t="s">
        <v>439</v>
      </c>
      <c r="C727" s="333"/>
      <c r="D727" s="250">
        <v>1</v>
      </c>
      <c r="E727" s="250">
        <v>1</v>
      </c>
      <c r="G727" s="247"/>
      <c r="L727" s="250">
        <f t="shared" ref="L727:L747" si="43">D727*E727</f>
        <v>1</v>
      </c>
    </row>
    <row r="728" spans="1:13">
      <c r="A728" s="239"/>
      <c r="B728" s="333" t="s">
        <v>437</v>
      </c>
      <c r="C728" s="333"/>
      <c r="D728" s="250">
        <v>1</v>
      </c>
      <c r="E728" s="250">
        <v>3</v>
      </c>
      <c r="G728" s="247"/>
      <c r="L728" s="250">
        <f t="shared" si="43"/>
        <v>3</v>
      </c>
    </row>
    <row r="729" spans="1:13">
      <c r="A729" s="239"/>
      <c r="B729" s="333" t="s">
        <v>466</v>
      </c>
      <c r="C729" s="333"/>
      <c r="D729" s="250">
        <v>1</v>
      </c>
      <c r="E729" s="250">
        <v>3</v>
      </c>
      <c r="G729" s="247"/>
      <c r="L729" s="250">
        <f t="shared" si="43"/>
        <v>3</v>
      </c>
    </row>
    <row r="730" spans="1:13">
      <c r="A730" s="239"/>
      <c r="B730" s="333" t="s">
        <v>469</v>
      </c>
      <c r="C730" s="333"/>
      <c r="D730" s="250">
        <v>1</v>
      </c>
      <c r="E730" s="250">
        <v>1</v>
      </c>
      <c r="G730" s="247"/>
      <c r="L730" s="250">
        <f t="shared" si="43"/>
        <v>1</v>
      </c>
    </row>
    <row r="731" spans="1:13">
      <c r="A731" s="239"/>
      <c r="B731" s="333" t="s">
        <v>470</v>
      </c>
      <c r="C731" s="333"/>
      <c r="D731" s="250">
        <v>1</v>
      </c>
      <c r="E731" s="250">
        <v>1</v>
      </c>
      <c r="G731" s="247"/>
      <c r="L731" s="250">
        <f t="shared" si="43"/>
        <v>1</v>
      </c>
    </row>
    <row r="732" spans="1:13">
      <c r="A732" s="239"/>
      <c r="B732" s="333" t="s">
        <v>468</v>
      </c>
      <c r="C732" s="333"/>
      <c r="D732" s="250">
        <v>1</v>
      </c>
      <c r="E732" s="250">
        <v>1</v>
      </c>
      <c r="G732" s="247"/>
      <c r="L732" s="250">
        <f t="shared" si="43"/>
        <v>1</v>
      </c>
    </row>
    <row r="733" spans="1:13">
      <c r="A733" s="239"/>
      <c r="B733" s="333" t="s">
        <v>445</v>
      </c>
      <c r="C733" s="333"/>
      <c r="D733" s="250">
        <v>1</v>
      </c>
      <c r="E733" s="250">
        <v>1</v>
      </c>
      <c r="G733" s="247"/>
      <c r="L733" s="250">
        <f t="shared" si="43"/>
        <v>1</v>
      </c>
    </row>
    <row r="734" spans="1:13">
      <c r="A734" s="239"/>
      <c r="B734" s="333" t="s">
        <v>471</v>
      </c>
      <c r="C734" s="333"/>
      <c r="D734" s="250">
        <v>1</v>
      </c>
      <c r="E734" s="250">
        <v>2</v>
      </c>
      <c r="G734" s="247"/>
      <c r="L734" s="250">
        <f t="shared" si="43"/>
        <v>2</v>
      </c>
    </row>
    <row r="735" spans="1:13">
      <c r="A735" s="239"/>
      <c r="B735" s="333" t="s">
        <v>478</v>
      </c>
      <c r="C735" s="333"/>
      <c r="D735" s="250">
        <v>1</v>
      </c>
      <c r="E735" s="250">
        <v>3</v>
      </c>
      <c r="G735" s="247"/>
      <c r="L735" s="250">
        <f t="shared" si="43"/>
        <v>3</v>
      </c>
    </row>
    <row r="736" spans="1:13">
      <c r="A736" s="239"/>
      <c r="B736" s="333" t="s">
        <v>472</v>
      </c>
      <c r="C736" s="333"/>
      <c r="D736" s="250">
        <v>1</v>
      </c>
      <c r="E736" s="250">
        <v>1</v>
      </c>
      <c r="G736" s="247"/>
      <c r="L736" s="250">
        <f t="shared" si="43"/>
        <v>1</v>
      </c>
    </row>
    <row r="737" spans="1:13">
      <c r="A737" s="239"/>
      <c r="B737" s="333" t="s">
        <v>441</v>
      </c>
      <c r="C737" s="333"/>
      <c r="D737" s="250">
        <v>1</v>
      </c>
      <c r="E737" s="250">
        <v>2</v>
      </c>
      <c r="G737" s="247"/>
      <c r="L737" s="250">
        <f t="shared" si="43"/>
        <v>2</v>
      </c>
    </row>
    <row r="738" spans="1:13">
      <c r="A738" s="239"/>
      <c r="B738" s="333" t="s">
        <v>473</v>
      </c>
      <c r="C738" s="333"/>
      <c r="D738" s="250">
        <v>1</v>
      </c>
      <c r="E738" s="250">
        <v>1</v>
      </c>
      <c r="G738" s="247"/>
      <c r="L738" s="250">
        <f t="shared" si="43"/>
        <v>1</v>
      </c>
    </row>
    <row r="739" spans="1:13">
      <c r="A739" s="239"/>
      <c r="B739" s="333" t="s">
        <v>446</v>
      </c>
      <c r="C739" s="333"/>
      <c r="D739" s="250">
        <v>1</v>
      </c>
      <c r="E739" s="250">
        <v>1</v>
      </c>
      <c r="G739" s="247"/>
      <c r="L739" s="250">
        <f t="shared" si="43"/>
        <v>1</v>
      </c>
    </row>
    <row r="740" spans="1:13">
      <c r="A740" s="239"/>
      <c r="B740" s="333" t="s">
        <v>474</v>
      </c>
      <c r="C740" s="333"/>
      <c r="D740" s="250">
        <v>1</v>
      </c>
      <c r="E740" s="250">
        <v>2</v>
      </c>
      <c r="G740" s="247"/>
      <c r="L740" s="250">
        <f t="shared" si="43"/>
        <v>2</v>
      </c>
    </row>
    <row r="741" spans="1:13">
      <c r="A741" s="239"/>
      <c r="B741" s="333" t="s">
        <v>450</v>
      </c>
      <c r="C741" s="333"/>
      <c r="D741" s="250">
        <v>1</v>
      </c>
      <c r="E741" s="250">
        <v>1</v>
      </c>
      <c r="G741" s="247"/>
      <c r="L741" s="250">
        <f t="shared" si="43"/>
        <v>1</v>
      </c>
    </row>
    <row r="742" spans="1:13">
      <c r="A742" s="239"/>
      <c r="B742" s="333" t="s">
        <v>479</v>
      </c>
      <c r="C742" s="333"/>
      <c r="D742" s="250">
        <v>1</v>
      </c>
      <c r="E742" s="250">
        <v>4</v>
      </c>
      <c r="G742" s="247"/>
      <c r="L742" s="250">
        <f t="shared" si="43"/>
        <v>4</v>
      </c>
    </row>
    <row r="743" spans="1:13">
      <c r="A743" s="239"/>
      <c r="B743" s="333" t="s">
        <v>453</v>
      </c>
      <c r="C743" s="333"/>
      <c r="D743" s="250">
        <v>1</v>
      </c>
      <c r="E743" s="250">
        <v>4</v>
      </c>
      <c r="G743" s="247"/>
      <c r="L743" s="250">
        <f t="shared" si="43"/>
        <v>4</v>
      </c>
    </row>
    <row r="744" spans="1:13">
      <c r="A744" s="239"/>
      <c r="B744" s="333" t="s">
        <v>475</v>
      </c>
      <c r="C744" s="333"/>
      <c r="D744" s="250">
        <v>1</v>
      </c>
      <c r="E744" s="250">
        <v>4</v>
      </c>
      <c r="G744" s="247"/>
      <c r="L744" s="250">
        <f t="shared" si="43"/>
        <v>4</v>
      </c>
    </row>
    <row r="745" spans="1:13">
      <c r="A745" s="239"/>
      <c r="B745" s="333" t="s">
        <v>476</v>
      </c>
      <c r="C745" s="333"/>
      <c r="D745" s="250">
        <v>1</v>
      </c>
      <c r="E745" s="250">
        <v>3</v>
      </c>
      <c r="G745" s="247"/>
      <c r="L745" s="250">
        <f t="shared" si="43"/>
        <v>3</v>
      </c>
    </row>
    <row r="746" spans="1:13">
      <c r="A746" s="239"/>
      <c r="B746" s="333" t="s">
        <v>469</v>
      </c>
      <c r="C746" s="333"/>
      <c r="D746" s="250">
        <v>1</v>
      </c>
      <c r="E746" s="250">
        <v>3</v>
      </c>
      <c r="G746" s="247"/>
      <c r="L746" s="250">
        <f t="shared" si="43"/>
        <v>3</v>
      </c>
    </row>
    <row r="747" spans="1:13">
      <c r="A747" s="239"/>
      <c r="B747" s="333" t="s">
        <v>470</v>
      </c>
      <c r="C747" s="333"/>
      <c r="D747" s="250">
        <v>1</v>
      </c>
      <c r="E747" s="250">
        <v>2</v>
      </c>
      <c r="G747" s="247"/>
      <c r="L747" s="250">
        <f t="shared" si="43"/>
        <v>2</v>
      </c>
    </row>
    <row r="748" spans="1:13">
      <c r="A748" s="239"/>
      <c r="G748" s="247"/>
    </row>
    <row r="749" spans="1:13" ht="15.75" thickBot="1">
      <c r="A749" s="239"/>
      <c r="G749" s="247"/>
    </row>
    <row r="750" spans="1:13" ht="15.75" thickBot="1">
      <c r="A750" s="242" t="str">
        <f>BM_06!A142</f>
        <v>9.2.11</v>
      </c>
      <c r="B750" s="338" t="str">
        <f>BM_06!B142</f>
        <v>JOELHO 90 GRAUS, PVC, SOLDÁVEL, DN 50MM, INSTALADO EM PRUMADA DE ÁGUA - FORNECIMENTO E INSTALAÇÃO. AF_12/2014</v>
      </c>
      <c r="C750" s="339"/>
      <c r="D750" s="339"/>
      <c r="E750" s="339"/>
      <c r="F750" s="339"/>
      <c r="G750" s="339"/>
      <c r="H750" s="339"/>
      <c r="I750" s="339"/>
      <c r="J750" s="339"/>
      <c r="K750" s="339"/>
      <c r="L750" s="245"/>
      <c r="M750" s="246"/>
    </row>
    <row r="751" spans="1:13">
      <c r="A751" s="239"/>
      <c r="G751" s="247"/>
    </row>
    <row r="752" spans="1:13">
      <c r="A752" s="239"/>
      <c r="B752" s="333" t="s">
        <v>464</v>
      </c>
      <c r="C752" s="333"/>
      <c r="G752" s="247"/>
      <c r="L752" s="248">
        <v>49</v>
      </c>
    </row>
    <row r="753" spans="1:13" ht="15.75" thickBot="1">
      <c r="A753" s="239"/>
      <c r="G753" s="247"/>
    </row>
    <row r="754" spans="1:13" ht="36" customHeight="1" thickBot="1">
      <c r="A754" s="242" t="str">
        <f>BM_06!A144</f>
        <v>9.2.13</v>
      </c>
      <c r="B754" s="338" t="str">
        <f>BM_06!B144</f>
        <v>LUVA SOLDÁVEL E COM ROSCA, PVC, SOLDÁVEL, DN 25MM X 3/4, INSTALADO EM PRUMADA DE ÁGUA - FORNECIMENTO E INSTALAÇÃO. AF_12/2014</v>
      </c>
      <c r="C754" s="339"/>
      <c r="D754" s="339"/>
      <c r="E754" s="339"/>
      <c r="F754" s="339"/>
      <c r="G754" s="339"/>
      <c r="H754" s="339"/>
      <c r="I754" s="339"/>
      <c r="J754" s="339"/>
      <c r="K754" s="339"/>
      <c r="L754" s="245"/>
      <c r="M754" s="246"/>
    </row>
    <row r="755" spans="1:13">
      <c r="A755" s="239"/>
      <c r="G755" s="247"/>
    </row>
    <row r="756" spans="1:13">
      <c r="A756" s="239"/>
      <c r="B756" s="333" t="s">
        <v>464</v>
      </c>
      <c r="C756" s="333"/>
      <c r="G756" s="247"/>
      <c r="L756" s="251">
        <v>3</v>
      </c>
    </row>
    <row r="757" spans="1:13" ht="15.75" thickBot="1">
      <c r="A757" s="239"/>
      <c r="G757" s="247"/>
    </row>
    <row r="758" spans="1:13" ht="15.75" thickBot="1">
      <c r="A758" s="242" t="str">
        <f>BM_06!A145</f>
        <v>9.2.14</v>
      </c>
      <c r="B758" s="338" t="str">
        <f>BM_06!B145</f>
        <v>LUVA, PVC, SOLDÁVEL, DN 25MM, INSTALADO EM RAMAL OU SUB-RAMAL DE ÁGUA - FORNECIMENTO E INSTALAÇÃO. AF_12/2014</v>
      </c>
      <c r="C758" s="339"/>
      <c r="D758" s="339"/>
      <c r="E758" s="339"/>
      <c r="F758" s="339"/>
      <c r="G758" s="339"/>
      <c r="H758" s="339"/>
      <c r="I758" s="339"/>
      <c r="J758" s="339"/>
      <c r="K758" s="339"/>
      <c r="L758" s="245"/>
      <c r="M758" s="246"/>
    </row>
    <row r="759" spans="1:13">
      <c r="A759" s="239"/>
      <c r="B759" s="333"/>
      <c r="C759" s="333"/>
      <c r="G759" s="247"/>
      <c r="L759" s="249">
        <f>SUM(L760:L784)</f>
        <v>63</v>
      </c>
    </row>
    <row r="760" spans="1:13">
      <c r="A760" s="239"/>
      <c r="B760" s="333" t="s">
        <v>465</v>
      </c>
      <c r="C760" s="333"/>
      <c r="D760" s="250">
        <v>1</v>
      </c>
      <c r="E760" s="250">
        <v>2</v>
      </c>
      <c r="G760" s="247"/>
      <c r="L760" s="250">
        <f>D760*E760</f>
        <v>2</v>
      </c>
    </row>
    <row r="761" spans="1:13">
      <c r="A761" s="239"/>
      <c r="B761" s="333" t="s">
        <v>439</v>
      </c>
      <c r="C761" s="333"/>
      <c r="D761" s="250">
        <v>1</v>
      </c>
      <c r="E761" s="250">
        <v>1</v>
      </c>
      <c r="G761" s="247"/>
      <c r="L761" s="250">
        <f t="shared" ref="L761:L784" si="44">D761*E761</f>
        <v>1</v>
      </c>
    </row>
    <row r="762" spans="1:13">
      <c r="A762" s="239"/>
      <c r="B762" s="333" t="s">
        <v>437</v>
      </c>
      <c r="C762" s="333"/>
      <c r="D762" s="250">
        <v>1</v>
      </c>
      <c r="E762" s="250">
        <v>4</v>
      </c>
      <c r="G762" s="247"/>
      <c r="L762" s="250">
        <f t="shared" si="44"/>
        <v>4</v>
      </c>
    </row>
    <row r="763" spans="1:13">
      <c r="A763" s="239"/>
      <c r="B763" s="333" t="s">
        <v>466</v>
      </c>
      <c r="C763" s="333"/>
      <c r="D763" s="250">
        <v>1</v>
      </c>
      <c r="E763" s="250">
        <v>4</v>
      </c>
      <c r="G763" s="247"/>
      <c r="L763" s="250">
        <f t="shared" si="44"/>
        <v>4</v>
      </c>
    </row>
    <row r="764" spans="1:13">
      <c r="A764" s="239"/>
      <c r="B764" s="333" t="s">
        <v>477</v>
      </c>
      <c r="C764" s="333"/>
      <c r="D764" s="250">
        <v>1</v>
      </c>
      <c r="E764" s="250"/>
      <c r="G764" s="247"/>
      <c r="L764" s="250">
        <f t="shared" si="44"/>
        <v>0</v>
      </c>
    </row>
    <row r="765" spans="1:13">
      <c r="A765" s="239"/>
      <c r="B765" s="333" t="s">
        <v>467</v>
      </c>
      <c r="C765" s="333"/>
      <c r="D765" s="250">
        <v>1</v>
      </c>
      <c r="E765" s="250">
        <v>1</v>
      </c>
      <c r="G765" s="247"/>
      <c r="L765" s="250">
        <f t="shared" si="44"/>
        <v>1</v>
      </c>
    </row>
    <row r="766" spans="1:13">
      <c r="A766" s="239"/>
      <c r="B766" s="333" t="s">
        <v>468</v>
      </c>
      <c r="C766" s="333"/>
      <c r="D766" s="250">
        <v>1</v>
      </c>
      <c r="E766" s="250">
        <v>1</v>
      </c>
      <c r="G766" s="247"/>
      <c r="L766" s="250">
        <f t="shared" si="44"/>
        <v>1</v>
      </c>
    </row>
    <row r="767" spans="1:13">
      <c r="A767" s="239"/>
      <c r="B767" s="333" t="s">
        <v>469</v>
      </c>
      <c r="C767" s="333"/>
      <c r="D767" s="250">
        <v>1</v>
      </c>
      <c r="E767" s="250">
        <v>2</v>
      </c>
      <c r="G767" s="247"/>
      <c r="L767" s="250">
        <f t="shared" si="44"/>
        <v>2</v>
      </c>
    </row>
    <row r="768" spans="1:13">
      <c r="A768" s="239"/>
      <c r="B768" s="333" t="s">
        <v>470</v>
      </c>
      <c r="C768" s="333"/>
      <c r="D768" s="250">
        <v>1</v>
      </c>
      <c r="E768" s="250">
        <v>2</v>
      </c>
      <c r="G768" s="247"/>
      <c r="L768" s="250">
        <f t="shared" si="44"/>
        <v>2</v>
      </c>
    </row>
    <row r="769" spans="1:12">
      <c r="A769" s="239"/>
      <c r="B769" s="333" t="s">
        <v>468</v>
      </c>
      <c r="C769" s="333"/>
      <c r="D769" s="250">
        <v>1</v>
      </c>
      <c r="E769" s="250">
        <v>1</v>
      </c>
      <c r="G769" s="247"/>
      <c r="L769" s="250">
        <f t="shared" si="44"/>
        <v>1</v>
      </c>
    </row>
    <row r="770" spans="1:12">
      <c r="A770" s="239"/>
      <c r="B770" s="333" t="s">
        <v>445</v>
      </c>
      <c r="C770" s="333"/>
      <c r="D770" s="250">
        <v>1</v>
      </c>
      <c r="E770" s="250">
        <v>1</v>
      </c>
      <c r="G770" s="247"/>
      <c r="L770" s="250">
        <f t="shared" si="44"/>
        <v>1</v>
      </c>
    </row>
    <row r="771" spans="1:12">
      <c r="A771" s="239"/>
      <c r="B771" s="333" t="s">
        <v>471</v>
      </c>
      <c r="C771" s="333"/>
      <c r="D771" s="250">
        <v>1</v>
      </c>
      <c r="E771" s="250">
        <v>2</v>
      </c>
      <c r="G771" s="247"/>
      <c r="L771" s="250">
        <f t="shared" si="44"/>
        <v>2</v>
      </c>
    </row>
    <row r="772" spans="1:12">
      <c r="A772" s="239"/>
      <c r="B772" s="333" t="s">
        <v>478</v>
      </c>
      <c r="C772" s="333"/>
      <c r="D772" s="250">
        <v>1</v>
      </c>
      <c r="E772" s="250">
        <v>5</v>
      </c>
      <c r="G772" s="247"/>
      <c r="L772" s="250">
        <f t="shared" si="44"/>
        <v>5</v>
      </c>
    </row>
    <row r="773" spans="1:12">
      <c r="A773" s="239"/>
      <c r="B773" s="333" t="s">
        <v>472</v>
      </c>
      <c r="C773" s="333"/>
      <c r="D773" s="250">
        <v>1</v>
      </c>
      <c r="E773" s="250">
        <v>1</v>
      </c>
      <c r="G773" s="247"/>
      <c r="L773" s="250">
        <f t="shared" si="44"/>
        <v>1</v>
      </c>
    </row>
    <row r="774" spans="1:12">
      <c r="A774" s="239"/>
      <c r="B774" s="333" t="s">
        <v>441</v>
      </c>
      <c r="C774" s="333"/>
      <c r="D774" s="250">
        <v>1</v>
      </c>
      <c r="E774" s="250">
        <v>4</v>
      </c>
      <c r="G774" s="247"/>
      <c r="L774" s="250">
        <f t="shared" si="44"/>
        <v>4</v>
      </c>
    </row>
    <row r="775" spans="1:12">
      <c r="A775" s="239"/>
      <c r="B775" s="333" t="s">
        <v>473</v>
      </c>
      <c r="C775" s="333"/>
      <c r="D775" s="250">
        <v>1</v>
      </c>
      <c r="E775" s="250">
        <v>1</v>
      </c>
      <c r="G775" s="247"/>
      <c r="L775" s="250">
        <f t="shared" si="44"/>
        <v>1</v>
      </c>
    </row>
    <row r="776" spans="1:12">
      <c r="A776" s="239"/>
      <c r="B776" s="333" t="s">
        <v>446</v>
      </c>
      <c r="C776" s="333"/>
      <c r="D776" s="250">
        <v>1</v>
      </c>
      <c r="E776" s="250">
        <v>1</v>
      </c>
      <c r="G776" s="247"/>
      <c r="L776" s="250">
        <f t="shared" si="44"/>
        <v>1</v>
      </c>
    </row>
    <row r="777" spans="1:12">
      <c r="A777" s="239"/>
      <c r="B777" s="333" t="s">
        <v>474</v>
      </c>
      <c r="C777" s="333"/>
      <c r="D777" s="250">
        <v>1</v>
      </c>
      <c r="E777" s="250">
        <v>3</v>
      </c>
      <c r="G777" s="247"/>
      <c r="L777" s="250">
        <f t="shared" si="44"/>
        <v>3</v>
      </c>
    </row>
    <row r="778" spans="1:12">
      <c r="A778" s="239"/>
      <c r="B778" s="333" t="s">
        <v>450</v>
      </c>
      <c r="C778" s="333"/>
      <c r="D778" s="250">
        <v>1</v>
      </c>
      <c r="E778" s="250">
        <v>1</v>
      </c>
      <c r="G778" s="247"/>
      <c r="L778" s="250">
        <f t="shared" si="44"/>
        <v>1</v>
      </c>
    </row>
    <row r="779" spans="1:12">
      <c r="A779" s="239"/>
      <c r="B779" s="333" t="s">
        <v>479</v>
      </c>
      <c r="C779" s="333"/>
      <c r="D779" s="250">
        <v>1</v>
      </c>
      <c r="E779" s="250">
        <v>5</v>
      </c>
      <c r="G779" s="247"/>
      <c r="L779" s="250">
        <f t="shared" si="44"/>
        <v>5</v>
      </c>
    </row>
    <row r="780" spans="1:12">
      <c r="A780" s="239"/>
      <c r="B780" s="333" t="s">
        <v>453</v>
      </c>
      <c r="C780" s="333"/>
      <c r="D780" s="250">
        <v>1</v>
      </c>
      <c r="E780" s="250">
        <v>4</v>
      </c>
      <c r="G780" s="247"/>
      <c r="L780" s="250">
        <f t="shared" si="44"/>
        <v>4</v>
      </c>
    </row>
    <row r="781" spans="1:12">
      <c r="A781" s="239"/>
      <c r="B781" s="333" t="s">
        <v>475</v>
      </c>
      <c r="C781" s="333"/>
      <c r="D781" s="250">
        <v>1</v>
      </c>
      <c r="E781" s="250">
        <v>5</v>
      </c>
      <c r="G781" s="247"/>
      <c r="L781" s="250">
        <f t="shared" si="44"/>
        <v>5</v>
      </c>
    </row>
    <row r="782" spans="1:12">
      <c r="A782" s="239"/>
      <c r="B782" s="333" t="s">
        <v>476</v>
      </c>
      <c r="C782" s="333"/>
      <c r="D782" s="250">
        <v>1</v>
      </c>
      <c r="E782" s="250">
        <v>4</v>
      </c>
      <c r="G782" s="247"/>
      <c r="L782" s="250">
        <f t="shared" si="44"/>
        <v>4</v>
      </c>
    </row>
    <row r="783" spans="1:12">
      <c r="A783" s="239"/>
      <c r="B783" s="333" t="s">
        <v>469</v>
      </c>
      <c r="C783" s="333"/>
      <c r="D783" s="250">
        <v>1</v>
      </c>
      <c r="E783" s="250">
        <v>5</v>
      </c>
      <c r="G783" s="247"/>
      <c r="L783" s="250">
        <f t="shared" si="44"/>
        <v>5</v>
      </c>
    </row>
    <row r="784" spans="1:12">
      <c r="A784" s="239"/>
      <c r="B784" s="333" t="s">
        <v>470</v>
      </c>
      <c r="C784" s="333"/>
      <c r="D784" s="250">
        <v>1</v>
      </c>
      <c r="E784" s="250">
        <v>3</v>
      </c>
      <c r="G784" s="247"/>
      <c r="L784" s="250">
        <f t="shared" si="44"/>
        <v>3</v>
      </c>
    </row>
    <row r="785" spans="1:13" ht="15.75" thickBot="1">
      <c r="A785" s="239"/>
      <c r="G785" s="247"/>
    </row>
    <row r="786" spans="1:13" ht="15.75" thickBot="1">
      <c r="A786" s="242" t="str">
        <f>BM_06!A146</f>
        <v>9.2.15</v>
      </c>
      <c r="B786" s="338" t="str">
        <f>BM_06!B146</f>
        <v>LUVA, PVC, SOLDÁVEL, DN 60MM, INSTALADO EM PRUMADA DE ÁGUA - FORNECIMENTO E INSTALAÇÃO. AF_12/2014</v>
      </c>
      <c r="C786" s="339"/>
      <c r="D786" s="339"/>
      <c r="E786" s="339"/>
      <c r="F786" s="339"/>
      <c r="G786" s="339"/>
      <c r="H786" s="339"/>
      <c r="I786" s="339"/>
      <c r="J786" s="339"/>
      <c r="K786" s="339"/>
      <c r="L786" s="245"/>
      <c r="M786" s="246"/>
    </row>
    <row r="787" spans="1:13">
      <c r="A787" s="239"/>
      <c r="G787" s="247"/>
    </row>
    <row r="788" spans="1:13">
      <c r="A788" s="239"/>
      <c r="B788" s="333" t="s">
        <v>464</v>
      </c>
      <c r="C788" s="333"/>
      <c r="G788" s="247"/>
      <c r="L788" s="248">
        <v>1</v>
      </c>
    </row>
    <row r="789" spans="1:13" ht="15.75" thickBot="1">
      <c r="A789" s="239"/>
      <c r="G789" s="247"/>
    </row>
    <row r="790" spans="1:13" ht="15.75" thickBot="1">
      <c r="A790" s="242" t="str">
        <f>BM_06!A147</f>
        <v>9.2.16</v>
      </c>
      <c r="B790" s="338" t="str">
        <f>BM_06!B147</f>
        <v>LUVA, PVC, SOLDÁVEL, DN 20MM, INSTALADO EM RAMAL OU SUB-RAMAL DE ÁGUA - FORNECIMENTO E INSTALAÇÃO. AF_12/2014</v>
      </c>
      <c r="C790" s="339"/>
      <c r="D790" s="339"/>
      <c r="E790" s="339"/>
      <c r="F790" s="339"/>
      <c r="G790" s="339"/>
      <c r="H790" s="339"/>
      <c r="I790" s="339"/>
      <c r="J790" s="339"/>
      <c r="K790" s="339"/>
      <c r="L790" s="245"/>
      <c r="M790" s="246"/>
    </row>
    <row r="791" spans="1:13">
      <c r="A791" s="239"/>
      <c r="G791" s="247"/>
    </row>
    <row r="792" spans="1:13">
      <c r="A792" s="239"/>
      <c r="B792" s="333" t="s">
        <v>464</v>
      </c>
      <c r="C792" s="333"/>
      <c r="G792" s="247"/>
      <c r="L792" s="248">
        <v>1</v>
      </c>
    </row>
    <row r="793" spans="1:13" ht="15.75" thickBot="1">
      <c r="A793" s="239"/>
      <c r="G793" s="247"/>
    </row>
    <row r="794" spans="1:13" ht="34.5" customHeight="1" thickBot="1">
      <c r="A794" s="242" t="str">
        <f>BM_06!A148</f>
        <v>9.2.17</v>
      </c>
      <c r="B794" s="338" t="str">
        <f>BM_06!B148</f>
        <v>TÊ COM BUCHA DE LATÃO NA BOLSA CENTRAL, PVC, SOLDÁVEL, DN 25MM X 1/2, INSTALADO EM RAMAL OU SUB-RAMAL DE ÁGUA - FORNECIMENTO E INSTALAÇÃO. AF_12/2014</v>
      </c>
      <c r="C794" s="339"/>
      <c r="D794" s="339"/>
      <c r="E794" s="339"/>
      <c r="F794" s="339"/>
      <c r="G794" s="339"/>
      <c r="H794" s="339"/>
      <c r="I794" s="339"/>
      <c r="J794" s="339"/>
      <c r="K794" s="339"/>
      <c r="L794" s="245"/>
      <c r="M794" s="246"/>
    </row>
    <row r="795" spans="1:13">
      <c r="A795" s="239"/>
      <c r="G795" s="247"/>
    </row>
    <row r="796" spans="1:13">
      <c r="A796" s="239"/>
      <c r="B796" s="333"/>
      <c r="C796" s="333"/>
      <c r="G796" s="247"/>
      <c r="L796" s="248">
        <v>7</v>
      </c>
    </row>
    <row r="797" spans="1:13">
      <c r="A797" s="239"/>
      <c r="G797" s="247"/>
    </row>
    <row r="798" spans="1:13" ht="15.75" thickBot="1">
      <c r="A798" s="239"/>
      <c r="G798" s="247"/>
    </row>
    <row r="799" spans="1:13" ht="15.75" thickBot="1">
      <c r="A799" s="242" t="str">
        <f>BM_06!A149</f>
        <v>9.2.18</v>
      </c>
      <c r="B799" s="338" t="str">
        <f>BM_06!B149</f>
        <v>TE, PVC, SOLDÁVEL, DN 60MM, INSTALADO EM PRUMADA DE ÁGUA - FORNECIMENTO E INSTALAÇÃO. AF_12/2014</v>
      </c>
      <c r="C799" s="339"/>
      <c r="D799" s="339"/>
      <c r="E799" s="339"/>
      <c r="F799" s="339"/>
      <c r="G799" s="339"/>
      <c r="H799" s="339"/>
      <c r="I799" s="339"/>
      <c r="J799" s="339"/>
      <c r="K799" s="339"/>
      <c r="L799" s="245"/>
      <c r="M799" s="246"/>
    </row>
    <row r="800" spans="1:13">
      <c r="A800" s="239"/>
      <c r="G800" s="247"/>
    </row>
    <row r="801" spans="1:13">
      <c r="A801" s="239"/>
      <c r="B801" s="333" t="s">
        <v>464</v>
      </c>
      <c r="C801" s="333"/>
      <c r="G801" s="247"/>
      <c r="L801" s="248">
        <v>1</v>
      </c>
    </row>
    <row r="802" spans="1:13">
      <c r="A802" s="239"/>
      <c r="G802" s="247"/>
    </row>
    <row r="803" spans="1:13" ht="15.75" thickBot="1">
      <c r="A803" s="239"/>
      <c r="G803" s="247"/>
    </row>
    <row r="804" spans="1:13" ht="15.75" thickBot="1">
      <c r="A804" s="242" t="str">
        <f>BM_06!A150</f>
        <v>9.2.19</v>
      </c>
      <c r="B804" s="338" t="str">
        <f>BM_06!B150</f>
        <v>TE, PVC, SOLDÁVEL, DN 25MM, INSTALADO EM RAMAL DE DISTRIBUIÇÃO DE ÁGUA - FORNECIMENTO E INSTALAÇÃO. AF_12/2014</v>
      </c>
      <c r="C804" s="339"/>
      <c r="D804" s="339"/>
      <c r="E804" s="339"/>
      <c r="F804" s="339"/>
      <c r="G804" s="339"/>
      <c r="H804" s="339"/>
      <c r="I804" s="339"/>
      <c r="J804" s="339"/>
      <c r="K804" s="339"/>
      <c r="L804" s="245"/>
      <c r="M804" s="246"/>
    </row>
    <row r="805" spans="1:13">
      <c r="A805" s="239"/>
      <c r="G805" s="247"/>
      <c r="L805" s="249">
        <f>SUM(L806:L827)</f>
        <v>35</v>
      </c>
    </row>
    <row r="806" spans="1:13">
      <c r="A806" s="239"/>
      <c r="B806" s="333" t="s">
        <v>465</v>
      </c>
      <c r="C806" s="333"/>
      <c r="D806" s="250">
        <v>1</v>
      </c>
      <c r="E806" s="250">
        <v>2</v>
      </c>
      <c r="G806" s="247"/>
      <c r="L806" s="248">
        <f>D806*E806</f>
        <v>2</v>
      </c>
    </row>
    <row r="807" spans="1:13">
      <c r="A807" s="239"/>
      <c r="B807" s="333" t="s">
        <v>439</v>
      </c>
      <c r="C807" s="333"/>
      <c r="D807" s="250">
        <v>1</v>
      </c>
      <c r="E807" s="250">
        <v>1</v>
      </c>
      <c r="G807" s="247"/>
      <c r="L807" s="248">
        <f t="shared" ref="L807:L827" si="45">D807*E807</f>
        <v>1</v>
      </c>
    </row>
    <row r="808" spans="1:13">
      <c r="A808" s="239"/>
      <c r="B808" s="333" t="s">
        <v>437</v>
      </c>
      <c r="C808" s="333"/>
      <c r="D808" s="250">
        <v>1</v>
      </c>
      <c r="E808" s="250">
        <v>2</v>
      </c>
      <c r="G808" s="247"/>
      <c r="L808" s="248">
        <f t="shared" si="45"/>
        <v>2</v>
      </c>
    </row>
    <row r="809" spans="1:13">
      <c r="A809" s="239"/>
      <c r="B809" s="333" t="s">
        <v>466</v>
      </c>
      <c r="C809" s="333"/>
      <c r="D809" s="250">
        <v>1</v>
      </c>
      <c r="E809" s="250">
        <v>2</v>
      </c>
      <c r="G809" s="247"/>
      <c r="L809" s="248">
        <f t="shared" si="45"/>
        <v>2</v>
      </c>
    </row>
    <row r="810" spans="1:13">
      <c r="A810" s="239"/>
      <c r="B810" s="333" t="s">
        <v>469</v>
      </c>
      <c r="C810" s="333"/>
      <c r="D810" s="250">
        <v>1</v>
      </c>
      <c r="E810" s="250">
        <v>1</v>
      </c>
      <c r="G810" s="247"/>
      <c r="L810" s="248">
        <f t="shared" si="45"/>
        <v>1</v>
      </c>
    </row>
    <row r="811" spans="1:13">
      <c r="A811" s="239"/>
      <c r="B811" s="333" t="s">
        <v>470</v>
      </c>
      <c r="C811" s="333"/>
      <c r="D811" s="250">
        <v>1</v>
      </c>
      <c r="E811" s="250">
        <v>1</v>
      </c>
      <c r="G811" s="247"/>
      <c r="L811" s="248">
        <f t="shared" si="45"/>
        <v>1</v>
      </c>
    </row>
    <row r="812" spans="1:13">
      <c r="A812" s="239"/>
      <c r="B812" s="333" t="s">
        <v>468</v>
      </c>
      <c r="C812" s="333"/>
      <c r="D812" s="250">
        <v>1</v>
      </c>
      <c r="E812" s="250">
        <v>1</v>
      </c>
      <c r="G812" s="247"/>
      <c r="L812" s="248">
        <f t="shared" si="45"/>
        <v>1</v>
      </c>
    </row>
    <row r="813" spans="1:13">
      <c r="A813" s="239"/>
      <c r="B813" s="333" t="s">
        <v>445</v>
      </c>
      <c r="C813" s="333"/>
      <c r="D813" s="250">
        <v>1</v>
      </c>
      <c r="E813" s="250">
        <v>1</v>
      </c>
      <c r="G813" s="247"/>
      <c r="L813" s="248">
        <f t="shared" si="45"/>
        <v>1</v>
      </c>
    </row>
    <row r="814" spans="1:13">
      <c r="A814" s="239"/>
      <c r="B814" s="333" t="s">
        <v>471</v>
      </c>
      <c r="C814" s="333"/>
      <c r="D814" s="250">
        <v>1</v>
      </c>
      <c r="E814" s="250">
        <v>2</v>
      </c>
      <c r="G814" s="247"/>
      <c r="L814" s="248">
        <f t="shared" si="45"/>
        <v>2</v>
      </c>
    </row>
    <row r="815" spans="1:13">
      <c r="A815" s="239"/>
      <c r="B815" s="333" t="s">
        <v>478</v>
      </c>
      <c r="C815" s="333"/>
      <c r="D815" s="250">
        <v>1</v>
      </c>
      <c r="E815" s="250">
        <v>2</v>
      </c>
      <c r="G815" s="247"/>
      <c r="L815" s="248">
        <f t="shared" si="45"/>
        <v>2</v>
      </c>
    </row>
    <row r="816" spans="1:13">
      <c r="A816" s="239"/>
      <c r="B816" s="333" t="s">
        <v>472</v>
      </c>
      <c r="C816" s="333"/>
      <c r="D816" s="250">
        <v>1</v>
      </c>
      <c r="E816" s="250">
        <v>1</v>
      </c>
      <c r="G816" s="247"/>
      <c r="L816" s="248">
        <f t="shared" si="45"/>
        <v>1</v>
      </c>
    </row>
    <row r="817" spans="1:13">
      <c r="A817" s="239"/>
      <c r="B817" s="333" t="s">
        <v>441</v>
      </c>
      <c r="C817" s="333"/>
      <c r="D817" s="250">
        <v>1</v>
      </c>
      <c r="E817" s="250">
        <v>1</v>
      </c>
      <c r="G817" s="247"/>
      <c r="L817" s="248">
        <f t="shared" si="45"/>
        <v>1</v>
      </c>
    </row>
    <row r="818" spans="1:13">
      <c r="A818" s="239"/>
      <c r="B818" s="333" t="s">
        <v>473</v>
      </c>
      <c r="C818" s="333"/>
      <c r="D818" s="250">
        <v>1</v>
      </c>
      <c r="E818" s="250">
        <v>1</v>
      </c>
      <c r="G818" s="247"/>
      <c r="L818" s="248">
        <f t="shared" si="45"/>
        <v>1</v>
      </c>
    </row>
    <row r="819" spans="1:13">
      <c r="A819" s="239"/>
      <c r="B819" s="333" t="s">
        <v>446</v>
      </c>
      <c r="C819" s="333"/>
      <c r="D819" s="250">
        <v>1</v>
      </c>
      <c r="E819" s="250">
        <v>1</v>
      </c>
      <c r="G819" s="247"/>
      <c r="L819" s="248">
        <f t="shared" si="45"/>
        <v>1</v>
      </c>
    </row>
    <row r="820" spans="1:13">
      <c r="A820" s="239"/>
      <c r="B820" s="333" t="s">
        <v>474</v>
      </c>
      <c r="C820" s="333"/>
      <c r="D820" s="250">
        <v>1</v>
      </c>
      <c r="E820" s="250">
        <v>2</v>
      </c>
      <c r="G820" s="247"/>
      <c r="L820" s="248">
        <f t="shared" si="45"/>
        <v>2</v>
      </c>
    </row>
    <row r="821" spans="1:13">
      <c r="A821" s="239"/>
      <c r="B821" s="333" t="s">
        <v>450</v>
      </c>
      <c r="C821" s="333"/>
      <c r="D821" s="250">
        <v>1</v>
      </c>
      <c r="E821" s="250">
        <v>1</v>
      </c>
      <c r="G821" s="247"/>
      <c r="L821" s="248">
        <f t="shared" si="45"/>
        <v>1</v>
      </c>
    </row>
    <row r="822" spans="1:13">
      <c r="A822" s="239"/>
      <c r="B822" s="333" t="s">
        <v>479</v>
      </c>
      <c r="C822" s="333"/>
      <c r="D822" s="250">
        <v>1</v>
      </c>
      <c r="E822" s="250">
        <v>2</v>
      </c>
      <c r="G822" s="247"/>
      <c r="L822" s="248">
        <f t="shared" si="45"/>
        <v>2</v>
      </c>
    </row>
    <row r="823" spans="1:13">
      <c r="A823" s="239"/>
      <c r="B823" s="333" t="s">
        <v>453</v>
      </c>
      <c r="C823" s="333"/>
      <c r="D823" s="250">
        <v>1</v>
      </c>
      <c r="E823" s="250">
        <v>2</v>
      </c>
      <c r="G823" s="247"/>
      <c r="L823" s="248">
        <f t="shared" si="45"/>
        <v>2</v>
      </c>
    </row>
    <row r="824" spans="1:13">
      <c r="A824" s="239"/>
      <c r="B824" s="333" t="s">
        <v>475</v>
      </c>
      <c r="C824" s="333"/>
      <c r="D824" s="250">
        <v>1</v>
      </c>
      <c r="E824" s="250">
        <v>3</v>
      </c>
      <c r="G824" s="247"/>
      <c r="L824" s="248">
        <f t="shared" si="45"/>
        <v>3</v>
      </c>
    </row>
    <row r="825" spans="1:13">
      <c r="A825" s="239"/>
      <c r="B825" s="333" t="s">
        <v>476</v>
      </c>
      <c r="C825" s="333"/>
      <c r="D825" s="250">
        <v>1</v>
      </c>
      <c r="E825" s="250">
        <v>2</v>
      </c>
      <c r="G825" s="247"/>
      <c r="L825" s="248">
        <f t="shared" si="45"/>
        <v>2</v>
      </c>
    </row>
    <row r="826" spans="1:13">
      <c r="A826" s="239"/>
      <c r="B826" s="333" t="s">
        <v>469</v>
      </c>
      <c r="C826" s="333"/>
      <c r="D826" s="250">
        <v>1</v>
      </c>
      <c r="E826" s="250">
        <v>2</v>
      </c>
      <c r="G826" s="247"/>
      <c r="L826" s="248">
        <f t="shared" si="45"/>
        <v>2</v>
      </c>
    </row>
    <row r="827" spans="1:13">
      <c r="A827" s="239"/>
      <c r="B827" s="333" t="s">
        <v>470</v>
      </c>
      <c r="C827" s="333"/>
      <c r="D827" s="250">
        <v>1</v>
      </c>
      <c r="E827" s="250">
        <v>2</v>
      </c>
      <c r="G827" s="247"/>
      <c r="L827" s="248">
        <f t="shared" si="45"/>
        <v>2</v>
      </c>
    </row>
    <row r="828" spans="1:13" ht="15.75" thickBot="1">
      <c r="A828" s="239"/>
      <c r="G828" s="247"/>
    </row>
    <row r="829" spans="1:13" ht="15.75" thickBot="1">
      <c r="A829" s="242" t="str">
        <f>BM_06!A151</f>
        <v>9.2.20</v>
      </c>
      <c r="B829" s="338" t="str">
        <f>BM_06!B151</f>
        <v>TE, PVC, SOLDÁVEL, DN 50MM, INSTALADO EM PRUMADA DE ÁGUA - FORNECIMENTO E INSTALAÇÃO. AF_12/2014</v>
      </c>
      <c r="C829" s="339"/>
      <c r="D829" s="339"/>
      <c r="E829" s="339"/>
      <c r="F829" s="339"/>
      <c r="G829" s="339"/>
      <c r="H829" s="339"/>
      <c r="I829" s="339"/>
      <c r="J829" s="339"/>
      <c r="K829" s="339"/>
      <c r="L829" s="245"/>
      <c r="M829" s="246"/>
    </row>
    <row r="830" spans="1:13">
      <c r="A830" s="239"/>
      <c r="G830" s="247"/>
    </row>
    <row r="831" spans="1:13">
      <c r="A831" s="239"/>
      <c r="B831" s="333" t="s">
        <v>464</v>
      </c>
      <c r="C831" s="333"/>
      <c r="G831" s="247"/>
      <c r="L831" s="248">
        <v>32</v>
      </c>
    </row>
    <row r="832" spans="1:13" ht="15.75" thickBot="1">
      <c r="A832" s="239"/>
      <c r="G832" s="247"/>
    </row>
    <row r="833" spans="1:13" ht="38.25" customHeight="1" thickBot="1">
      <c r="A833" s="242" t="str">
        <f>BM_06!A152</f>
        <v>9.2.21</v>
      </c>
      <c r="B833" s="338" t="str">
        <f>BM_06!B152</f>
        <v>REGISTRO DE GAVETA BRUTO, LATÃO, ROSCÁVEL, 1 1/2", COM ACABAMENTO E CANOPLA CROMADOS - FORNECIMENTO E INSTALAÇÃO. AF_08/2021</v>
      </c>
      <c r="C833" s="339"/>
      <c r="D833" s="339"/>
      <c r="E833" s="339"/>
      <c r="F833" s="339"/>
      <c r="G833" s="339"/>
      <c r="H833" s="339"/>
      <c r="I833" s="339"/>
      <c r="J833" s="339"/>
      <c r="K833" s="339"/>
      <c r="L833" s="245"/>
      <c r="M833" s="246"/>
    </row>
    <row r="834" spans="1:13">
      <c r="A834" s="239"/>
      <c r="G834" s="247"/>
    </row>
    <row r="835" spans="1:13">
      <c r="A835" s="239"/>
      <c r="B835" s="333" t="s">
        <v>464</v>
      </c>
      <c r="C835" s="333"/>
      <c r="G835" s="247"/>
      <c r="L835" s="248">
        <v>2</v>
      </c>
    </row>
    <row r="836" spans="1:13">
      <c r="A836" s="239"/>
      <c r="G836" s="247"/>
    </row>
    <row r="837" spans="1:13" ht="15.75" thickBot="1">
      <c r="A837" s="239"/>
      <c r="G837" s="247"/>
    </row>
    <row r="838" spans="1:13" ht="25.9" customHeight="1" thickBot="1">
      <c r="A838" s="242" t="str">
        <f>BM_06!A153</f>
        <v>9.2.22</v>
      </c>
      <c r="B838" s="338" t="str">
        <f>BM_06!B153</f>
        <v>REGISTRO DE GAVETA BRUTO, LATÃO, ROSCÁVEL, 3/4", COM ACABAMENTO E CANOPLA CROMADOS - FORNECIMENTO E INSTALAÇÃO. AF_08/2021</v>
      </c>
      <c r="C838" s="339"/>
      <c r="D838" s="339"/>
      <c r="E838" s="339"/>
      <c r="F838" s="339"/>
      <c r="G838" s="339"/>
      <c r="H838" s="339"/>
      <c r="I838" s="339"/>
      <c r="J838" s="339"/>
      <c r="K838" s="339"/>
      <c r="L838" s="245"/>
      <c r="M838" s="246"/>
    </row>
    <row r="839" spans="1:13">
      <c r="A839" s="239"/>
      <c r="G839" s="247"/>
      <c r="L839" s="249">
        <f>SUM(L840:L863)</f>
        <v>25</v>
      </c>
    </row>
    <row r="840" spans="1:13">
      <c r="A840" s="239"/>
      <c r="B840" s="333" t="s">
        <v>465</v>
      </c>
      <c r="C840" s="333"/>
      <c r="D840" s="250">
        <v>1</v>
      </c>
      <c r="E840" s="203">
        <v>1</v>
      </c>
      <c r="G840" s="247"/>
      <c r="L840" s="212">
        <f>D840*E840</f>
        <v>1</v>
      </c>
    </row>
    <row r="841" spans="1:13">
      <c r="A841" s="239"/>
      <c r="B841" s="333" t="s">
        <v>439</v>
      </c>
      <c r="C841" s="333"/>
      <c r="D841" s="250">
        <v>1</v>
      </c>
      <c r="G841" s="247"/>
      <c r="L841" s="212">
        <f t="shared" ref="L841:L863" si="46">D841*E841</f>
        <v>0</v>
      </c>
    </row>
    <row r="842" spans="1:13">
      <c r="A842" s="239"/>
      <c r="B842" s="333" t="s">
        <v>437</v>
      </c>
      <c r="C842" s="333"/>
      <c r="D842" s="250">
        <v>1</v>
      </c>
      <c r="E842" s="203">
        <v>1</v>
      </c>
      <c r="G842" s="247"/>
      <c r="L842" s="212">
        <f t="shared" si="46"/>
        <v>1</v>
      </c>
    </row>
    <row r="843" spans="1:13">
      <c r="A843" s="239"/>
      <c r="B843" s="333" t="s">
        <v>466</v>
      </c>
      <c r="C843" s="333"/>
      <c r="D843" s="250">
        <v>1</v>
      </c>
      <c r="E843" s="203">
        <v>1</v>
      </c>
      <c r="G843" s="247"/>
      <c r="L843" s="212">
        <f t="shared" si="46"/>
        <v>1</v>
      </c>
    </row>
    <row r="844" spans="1:13">
      <c r="A844" s="239"/>
      <c r="B844" s="333" t="s">
        <v>467</v>
      </c>
      <c r="C844" s="333"/>
      <c r="D844" s="250">
        <v>1</v>
      </c>
      <c r="G844" s="247"/>
      <c r="L844" s="212">
        <f t="shared" si="46"/>
        <v>0</v>
      </c>
    </row>
    <row r="845" spans="1:13">
      <c r="A845" s="239"/>
      <c r="B845" s="333" t="s">
        <v>468</v>
      </c>
      <c r="C845" s="333"/>
      <c r="D845" s="250">
        <v>1</v>
      </c>
      <c r="E845" s="203">
        <v>1</v>
      </c>
      <c r="G845" s="247"/>
      <c r="L845" s="212">
        <f t="shared" si="46"/>
        <v>1</v>
      </c>
    </row>
    <row r="846" spans="1:13">
      <c r="A846" s="239"/>
      <c r="B846" s="333" t="s">
        <v>469</v>
      </c>
      <c r="C846" s="333"/>
      <c r="D846" s="250">
        <v>1</v>
      </c>
      <c r="E846" s="203">
        <v>1</v>
      </c>
      <c r="G846" s="247"/>
      <c r="L846" s="212">
        <f t="shared" si="46"/>
        <v>1</v>
      </c>
    </row>
    <row r="847" spans="1:13">
      <c r="A847" s="239"/>
      <c r="B847" s="333" t="s">
        <v>470</v>
      </c>
      <c r="C847" s="333"/>
      <c r="D847" s="250">
        <v>1</v>
      </c>
      <c r="E847" s="203">
        <v>1</v>
      </c>
      <c r="G847" s="247"/>
      <c r="L847" s="212">
        <f t="shared" si="46"/>
        <v>1</v>
      </c>
    </row>
    <row r="848" spans="1:13">
      <c r="A848" s="239"/>
      <c r="B848" s="333" t="s">
        <v>468</v>
      </c>
      <c r="C848" s="333"/>
      <c r="D848" s="250">
        <v>1</v>
      </c>
      <c r="E848" s="203">
        <v>1</v>
      </c>
      <c r="G848" s="247"/>
      <c r="L848" s="212">
        <f t="shared" si="46"/>
        <v>1</v>
      </c>
    </row>
    <row r="849" spans="1:12">
      <c r="A849" s="239"/>
      <c r="B849" s="333" t="s">
        <v>445</v>
      </c>
      <c r="C849" s="333"/>
      <c r="D849" s="250">
        <v>1</v>
      </c>
      <c r="E849" s="203">
        <v>1</v>
      </c>
      <c r="G849" s="247"/>
      <c r="L849" s="212">
        <f t="shared" si="46"/>
        <v>1</v>
      </c>
    </row>
    <row r="850" spans="1:12">
      <c r="A850" s="239"/>
      <c r="B850" s="333" t="s">
        <v>471</v>
      </c>
      <c r="C850" s="333"/>
      <c r="D850" s="250">
        <v>1</v>
      </c>
      <c r="E850" s="203">
        <v>1</v>
      </c>
      <c r="G850" s="247"/>
      <c r="L850" s="212">
        <f t="shared" si="46"/>
        <v>1</v>
      </c>
    </row>
    <row r="851" spans="1:12">
      <c r="A851" s="239"/>
      <c r="B851" s="333" t="s">
        <v>478</v>
      </c>
      <c r="C851" s="333"/>
      <c r="D851" s="250">
        <v>1</v>
      </c>
      <c r="E851" s="203">
        <v>2</v>
      </c>
      <c r="G851" s="247"/>
      <c r="L851" s="212">
        <f t="shared" si="46"/>
        <v>2</v>
      </c>
    </row>
    <row r="852" spans="1:12">
      <c r="A852" s="239"/>
      <c r="B852" s="333" t="s">
        <v>472</v>
      </c>
      <c r="C852" s="333"/>
      <c r="D852" s="250">
        <v>1</v>
      </c>
      <c r="E852" s="203">
        <v>1</v>
      </c>
      <c r="G852" s="247"/>
      <c r="L852" s="212">
        <f t="shared" si="46"/>
        <v>1</v>
      </c>
    </row>
    <row r="853" spans="1:12">
      <c r="A853" s="239"/>
      <c r="B853" s="333" t="s">
        <v>441</v>
      </c>
      <c r="C853" s="333"/>
      <c r="D853" s="250">
        <v>1</v>
      </c>
      <c r="E853" s="203">
        <v>1</v>
      </c>
      <c r="G853" s="247"/>
      <c r="L853" s="212">
        <f t="shared" si="46"/>
        <v>1</v>
      </c>
    </row>
    <row r="854" spans="1:12">
      <c r="A854" s="239"/>
      <c r="B854" s="333" t="s">
        <v>473</v>
      </c>
      <c r="C854" s="333"/>
      <c r="D854" s="250">
        <v>1</v>
      </c>
      <c r="E854" s="203">
        <v>1</v>
      </c>
      <c r="G854" s="247"/>
      <c r="L854" s="212">
        <f t="shared" si="46"/>
        <v>1</v>
      </c>
    </row>
    <row r="855" spans="1:12">
      <c r="A855" s="239"/>
      <c r="B855" s="333" t="s">
        <v>446</v>
      </c>
      <c r="C855" s="333"/>
      <c r="D855" s="250">
        <v>1</v>
      </c>
      <c r="E855" s="203">
        <v>1</v>
      </c>
      <c r="G855" s="247"/>
      <c r="L855" s="212">
        <f t="shared" si="46"/>
        <v>1</v>
      </c>
    </row>
    <row r="856" spans="1:12">
      <c r="A856" s="239"/>
      <c r="B856" s="333" t="s">
        <v>474</v>
      </c>
      <c r="C856" s="333"/>
      <c r="D856" s="250">
        <v>1</v>
      </c>
      <c r="E856" s="203">
        <v>1</v>
      </c>
      <c r="G856" s="247"/>
      <c r="L856" s="212">
        <f t="shared" si="46"/>
        <v>1</v>
      </c>
    </row>
    <row r="857" spans="1:12">
      <c r="A857" s="239"/>
      <c r="B857" s="333" t="s">
        <v>450</v>
      </c>
      <c r="C857" s="333"/>
      <c r="D857" s="250">
        <v>1</v>
      </c>
      <c r="E857" s="203">
        <v>1</v>
      </c>
      <c r="G857" s="247"/>
      <c r="L857" s="212">
        <f t="shared" si="46"/>
        <v>1</v>
      </c>
    </row>
    <row r="858" spans="1:12">
      <c r="A858" s="239"/>
      <c r="B858" s="333" t="s">
        <v>479</v>
      </c>
      <c r="C858" s="333"/>
      <c r="D858" s="250">
        <v>1</v>
      </c>
      <c r="E858" s="203">
        <v>2</v>
      </c>
      <c r="G858" s="247"/>
      <c r="L858" s="212">
        <f t="shared" si="46"/>
        <v>2</v>
      </c>
    </row>
    <row r="859" spans="1:12">
      <c r="A859" s="239"/>
      <c r="B859" s="333" t="s">
        <v>453</v>
      </c>
      <c r="C859" s="333"/>
      <c r="D859" s="250">
        <v>1</v>
      </c>
      <c r="E859" s="203">
        <v>2</v>
      </c>
      <c r="G859" s="247"/>
      <c r="L859" s="212">
        <f t="shared" si="46"/>
        <v>2</v>
      </c>
    </row>
    <row r="860" spans="1:12">
      <c r="A860" s="239"/>
      <c r="B860" s="333" t="s">
        <v>475</v>
      </c>
      <c r="C860" s="333"/>
      <c r="D860" s="250">
        <v>1</v>
      </c>
      <c r="E860" s="203">
        <v>1</v>
      </c>
      <c r="G860" s="247"/>
      <c r="L860" s="212">
        <f t="shared" si="46"/>
        <v>1</v>
      </c>
    </row>
    <row r="861" spans="1:12">
      <c r="A861" s="239"/>
      <c r="B861" s="333" t="s">
        <v>476</v>
      </c>
      <c r="C861" s="333"/>
      <c r="D861" s="250">
        <v>1</v>
      </c>
      <c r="E861" s="203">
        <v>1</v>
      </c>
      <c r="G861" s="247"/>
      <c r="L861" s="212">
        <f t="shared" si="46"/>
        <v>1</v>
      </c>
    </row>
    <row r="862" spans="1:12">
      <c r="A862" s="239"/>
      <c r="B862" s="333" t="s">
        <v>469</v>
      </c>
      <c r="C862" s="333"/>
      <c r="D862" s="250">
        <v>1</v>
      </c>
      <c r="E862" s="203">
        <v>1</v>
      </c>
      <c r="G862" s="247"/>
      <c r="L862" s="212">
        <f t="shared" si="46"/>
        <v>1</v>
      </c>
    </row>
    <row r="863" spans="1:12">
      <c r="A863" s="239"/>
      <c r="B863" s="333" t="s">
        <v>470</v>
      </c>
      <c r="C863" s="333"/>
      <c r="D863" s="250">
        <v>1</v>
      </c>
      <c r="E863" s="203">
        <v>1</v>
      </c>
      <c r="G863" s="247"/>
      <c r="L863" s="212">
        <f t="shared" si="46"/>
        <v>1</v>
      </c>
    </row>
    <row r="864" spans="1:12" ht="15.75" thickBot="1">
      <c r="A864" s="239"/>
      <c r="G864" s="247"/>
    </row>
    <row r="865" spans="1:13" ht="38.25" customHeight="1" thickBot="1">
      <c r="A865" s="242" t="str">
        <f>BM_06!A154</f>
        <v>9.2.23</v>
      </c>
      <c r="B865" s="338" t="str">
        <f>BM_06!B154</f>
        <v>REGISTRO DE PRESSÃO BRUTO, LATÃO, ROSCÁVEL, 3/4", COM ACABAMENTO E CANOPLA CROMADOS - FORNECIMENTO E INSTALAÇÃO. AF_08/2021</v>
      </c>
      <c r="C865" s="339"/>
      <c r="D865" s="339"/>
      <c r="E865" s="339"/>
      <c r="F865" s="339"/>
      <c r="G865" s="339"/>
      <c r="H865" s="339"/>
      <c r="I865" s="339"/>
      <c r="J865" s="339"/>
      <c r="K865" s="339"/>
      <c r="L865" s="245"/>
      <c r="M865" s="246"/>
    </row>
    <row r="866" spans="1:13">
      <c r="A866" s="239"/>
      <c r="G866" s="247"/>
      <c r="L866" s="249">
        <f>SUM(L867:L869)</f>
        <v>3</v>
      </c>
    </row>
    <row r="867" spans="1:13">
      <c r="A867" s="239"/>
      <c r="B867" s="333" t="s">
        <v>437</v>
      </c>
      <c r="C867" s="333"/>
      <c r="D867" s="250">
        <v>1</v>
      </c>
      <c r="E867" s="248">
        <v>1</v>
      </c>
      <c r="G867" s="247"/>
      <c r="L867" s="212">
        <f>E867*D867</f>
        <v>1</v>
      </c>
    </row>
    <row r="868" spans="1:13">
      <c r="A868" s="239"/>
      <c r="B868" s="333" t="s">
        <v>466</v>
      </c>
      <c r="C868" s="333"/>
      <c r="D868" s="250">
        <v>1</v>
      </c>
      <c r="E868" s="248">
        <v>1</v>
      </c>
      <c r="G868" s="247"/>
      <c r="L868" s="212">
        <f t="shared" ref="L868:L869" si="47">E868*D868</f>
        <v>1</v>
      </c>
    </row>
    <row r="869" spans="1:13">
      <c r="A869" s="239"/>
      <c r="B869" s="333" t="s">
        <v>453</v>
      </c>
      <c r="C869" s="333"/>
      <c r="D869" s="250">
        <v>1</v>
      </c>
      <c r="E869" s="248">
        <v>1</v>
      </c>
      <c r="G869" s="247"/>
      <c r="L869" s="212">
        <f t="shared" si="47"/>
        <v>1</v>
      </c>
    </row>
  </sheetData>
  <protectedRanges>
    <protectedRange sqref="L7" name="Intervalo1_1"/>
    <protectedRange sqref="L95:L105 L192 L184:L187 L450 L341:L343 L10:L11 L260:L339 L73:L93 L44:L71 K113:K114 L591:L593 L560:L562 L42 L165:L177 L181:L182 L129:L146 L194:L206 L148:L163 L208 L224:L228 L107:L112 L115:L127" name="Intervalo1_1_2"/>
    <protectedRange sqref="L183 L147 L43 L72 L94 L106 L128 L193 L164 L207" name="Intervalo1_1_1_3"/>
    <protectedRange sqref="L594" name="Intervalo1_1_2_3"/>
    <protectedRange sqref="L595:L619 L566:L590" name="Intervalo1_1_2_1_2"/>
    <protectedRange sqref="L838 L804 L829 L833 L865 L621:L622 L626 L630 L658 L681 L685 L689 L716 L720 L724 L750 L754 L758 L786 L790 L794 L799" name="Intervalo1_1_2_6"/>
    <protectedRange sqref="L13:L15 L229:L231" name="Intervalo1_1_2_7"/>
    <protectedRange sqref="L12" name="Intervalo1_1_1_3_1"/>
    <protectedRange sqref="L16:L41" name="Intervalo1_1_2_1_1"/>
  </protectedRanges>
  <mergeCells count="670">
    <mergeCell ref="B512:C512"/>
    <mergeCell ref="B513:C513"/>
    <mergeCell ref="B514:C514"/>
    <mergeCell ref="N167:N171"/>
    <mergeCell ref="N178:N182"/>
    <mergeCell ref="B527:C527"/>
    <mergeCell ref="B528:C528"/>
    <mergeCell ref="B529:C529"/>
    <mergeCell ref="B566:C566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74:C474"/>
    <mergeCell ref="B475:C475"/>
    <mergeCell ref="B476:C476"/>
    <mergeCell ref="B477:C477"/>
    <mergeCell ref="B478:C478"/>
    <mergeCell ref="B479:C479"/>
    <mergeCell ref="B492:C492"/>
    <mergeCell ref="B493:C493"/>
    <mergeCell ref="B494:C494"/>
    <mergeCell ref="B495:C495"/>
    <mergeCell ref="B496:C496"/>
    <mergeCell ref="B497:C497"/>
    <mergeCell ref="B498:C498"/>
    <mergeCell ref="B510:C510"/>
    <mergeCell ref="B511:C511"/>
    <mergeCell ref="B499:C499"/>
    <mergeCell ref="B500:C500"/>
    <mergeCell ref="B501:C501"/>
    <mergeCell ref="B502:C502"/>
    <mergeCell ref="B509:C509"/>
    <mergeCell ref="B503:C503"/>
    <mergeCell ref="B504:C504"/>
    <mergeCell ref="B505:C505"/>
    <mergeCell ref="B506:C506"/>
    <mergeCell ref="B507:C507"/>
    <mergeCell ref="B508:C508"/>
    <mergeCell ref="B480:C480"/>
    <mergeCell ref="B481:C481"/>
    <mergeCell ref="B482:C482"/>
    <mergeCell ref="B443:C443"/>
    <mergeCell ref="B456:C456"/>
    <mergeCell ref="B458:C458"/>
    <mergeCell ref="B459:C459"/>
    <mergeCell ref="B460:C460"/>
    <mergeCell ref="B461:C461"/>
    <mergeCell ref="B462:C462"/>
    <mergeCell ref="B463:C463"/>
    <mergeCell ref="B464:C464"/>
    <mergeCell ref="B450:K450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43:K43"/>
    <mergeCell ref="B51:C51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B36:C36"/>
    <mergeCell ref="B37:C37"/>
    <mergeCell ref="B38:C38"/>
    <mergeCell ref="B39:C39"/>
    <mergeCell ref="B40:C40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78:C78"/>
    <mergeCell ref="B79:C79"/>
    <mergeCell ref="B80:C80"/>
    <mergeCell ref="B81:C81"/>
    <mergeCell ref="B82:C82"/>
    <mergeCell ref="B83:C83"/>
    <mergeCell ref="B69:C69"/>
    <mergeCell ref="B72:K72"/>
    <mergeCell ref="B74:C74"/>
    <mergeCell ref="B75:C75"/>
    <mergeCell ref="B76:C76"/>
    <mergeCell ref="B77:C77"/>
    <mergeCell ref="B90:C90"/>
    <mergeCell ref="B91:C91"/>
    <mergeCell ref="B92:C92"/>
    <mergeCell ref="B94:K94"/>
    <mergeCell ref="B96:C96"/>
    <mergeCell ref="B97:C97"/>
    <mergeCell ref="B84:C84"/>
    <mergeCell ref="B85:C85"/>
    <mergeCell ref="B86:C86"/>
    <mergeCell ref="B87:C87"/>
    <mergeCell ref="B88:C88"/>
    <mergeCell ref="B89:C89"/>
    <mergeCell ref="B104:C104"/>
    <mergeCell ref="B106:K106"/>
    <mergeCell ref="B108:C108"/>
    <mergeCell ref="B109:C109"/>
    <mergeCell ref="B110:C110"/>
    <mergeCell ref="B111:C111"/>
    <mergeCell ref="B98:C98"/>
    <mergeCell ref="B99:C99"/>
    <mergeCell ref="B100:C100"/>
    <mergeCell ref="B101:C101"/>
    <mergeCell ref="B102:C102"/>
    <mergeCell ref="B103:C103"/>
    <mergeCell ref="B112:C112"/>
    <mergeCell ref="B118:C118"/>
    <mergeCell ref="B119:C119"/>
    <mergeCell ref="B120:C120"/>
    <mergeCell ref="B121:C121"/>
    <mergeCell ref="B122:C122"/>
    <mergeCell ref="B116:K116"/>
    <mergeCell ref="B126:K126"/>
    <mergeCell ref="B128:K128"/>
    <mergeCell ref="B130:C130"/>
    <mergeCell ref="B131:C131"/>
    <mergeCell ref="B132:C132"/>
    <mergeCell ref="B139:C139"/>
    <mergeCell ref="B140:C140"/>
    <mergeCell ref="B147:K147"/>
    <mergeCell ref="B149:C149"/>
    <mergeCell ref="B150:C150"/>
    <mergeCell ref="B151:C151"/>
    <mergeCell ref="B133:C133"/>
    <mergeCell ref="B134:C134"/>
    <mergeCell ref="B135:C135"/>
    <mergeCell ref="B136:C136"/>
    <mergeCell ref="B137:C137"/>
    <mergeCell ref="B138:C138"/>
    <mergeCell ref="B142:C142"/>
    <mergeCell ref="B143:C143"/>
    <mergeCell ref="B144:C144"/>
    <mergeCell ref="B158:C158"/>
    <mergeCell ref="B159:C159"/>
    <mergeCell ref="B183:K183"/>
    <mergeCell ref="B185:C185"/>
    <mergeCell ref="B186:C186"/>
    <mergeCell ref="B187:C187"/>
    <mergeCell ref="B152:C152"/>
    <mergeCell ref="B153:C153"/>
    <mergeCell ref="B154:C154"/>
    <mergeCell ref="B155:C155"/>
    <mergeCell ref="B156:C156"/>
    <mergeCell ref="B157:C157"/>
    <mergeCell ref="B164:K164"/>
    <mergeCell ref="B176:C176"/>
    <mergeCell ref="B178:C178"/>
    <mergeCell ref="B179:C179"/>
    <mergeCell ref="B180:C180"/>
    <mergeCell ref="B160:C160"/>
    <mergeCell ref="B161:C161"/>
    <mergeCell ref="B162:C162"/>
    <mergeCell ref="B166:C166"/>
    <mergeCell ref="B167:C167"/>
    <mergeCell ref="B168:C168"/>
    <mergeCell ref="B169:C169"/>
    <mergeCell ref="B200:C200"/>
    <mergeCell ref="B201:C201"/>
    <mergeCell ref="B202:C202"/>
    <mergeCell ref="B188:C188"/>
    <mergeCell ref="B190:C190"/>
    <mergeCell ref="B191:C191"/>
    <mergeCell ref="B193:K193"/>
    <mergeCell ref="B195:C195"/>
    <mergeCell ref="B196:C196"/>
    <mergeCell ref="B355:C355"/>
    <mergeCell ref="B356:C356"/>
    <mergeCell ref="B357:C357"/>
    <mergeCell ref="B203:C203"/>
    <mergeCell ref="B204:C204"/>
    <mergeCell ref="B205:C205"/>
    <mergeCell ref="B231:C231"/>
    <mergeCell ref="B232:C232"/>
    <mergeCell ref="B233:C233"/>
    <mergeCell ref="B234:C234"/>
    <mergeCell ref="B235:C235"/>
    <mergeCell ref="B236:C236"/>
    <mergeCell ref="B241:C241"/>
    <mergeCell ref="B243:C243"/>
    <mergeCell ref="B320:K320"/>
    <mergeCell ref="B323:C323"/>
    <mergeCell ref="B324:C324"/>
    <mergeCell ref="B326:K326"/>
    <mergeCell ref="B226:K226"/>
    <mergeCell ref="B228:K228"/>
    <mergeCell ref="B244:C244"/>
    <mergeCell ref="B245:C245"/>
    <mergeCell ref="B246:C246"/>
    <mergeCell ref="B247:C247"/>
    <mergeCell ref="B254:C254"/>
    <mergeCell ref="B255:C255"/>
    <mergeCell ref="B256:C256"/>
    <mergeCell ref="B257:C257"/>
    <mergeCell ref="B258:C258"/>
    <mergeCell ref="B259:C259"/>
    <mergeCell ref="B248:C248"/>
    <mergeCell ref="B249:C249"/>
    <mergeCell ref="B250:C250"/>
    <mergeCell ref="B251:C251"/>
    <mergeCell ref="B252:C252"/>
    <mergeCell ref="B253:C253"/>
    <mergeCell ref="B272:C272"/>
    <mergeCell ref="B273:C273"/>
    <mergeCell ref="B274:C274"/>
    <mergeCell ref="B275:C275"/>
    <mergeCell ref="B276:C276"/>
    <mergeCell ref="B277:C277"/>
    <mergeCell ref="B262:K262"/>
    <mergeCell ref="B264:C264"/>
    <mergeCell ref="B266:C266"/>
    <mergeCell ref="B269:C269"/>
    <mergeCell ref="B271:C271"/>
    <mergeCell ref="B284:C284"/>
    <mergeCell ref="B285:C285"/>
    <mergeCell ref="B288:K288"/>
    <mergeCell ref="B330:K330"/>
    <mergeCell ref="B332:C332"/>
    <mergeCell ref="B333:C333"/>
    <mergeCell ref="B278:C278"/>
    <mergeCell ref="B279:C279"/>
    <mergeCell ref="B280:C280"/>
    <mergeCell ref="B281:C281"/>
    <mergeCell ref="B282:C282"/>
    <mergeCell ref="B283:C283"/>
    <mergeCell ref="B328:C328"/>
    <mergeCell ref="B336:K336"/>
    <mergeCell ref="B338:C338"/>
    <mergeCell ref="B375:C375"/>
    <mergeCell ref="B348:C348"/>
    <mergeCell ref="B341:K341"/>
    <mergeCell ref="B343:K343"/>
    <mergeCell ref="B381:C381"/>
    <mergeCell ref="B384:C384"/>
    <mergeCell ref="B385:C385"/>
    <mergeCell ref="B376:C376"/>
    <mergeCell ref="B377:C377"/>
    <mergeCell ref="B378:C378"/>
    <mergeCell ref="B379:C379"/>
    <mergeCell ref="B380:C380"/>
    <mergeCell ref="B370:C370"/>
    <mergeCell ref="B371:C371"/>
    <mergeCell ref="B372:C372"/>
    <mergeCell ref="B373:C373"/>
    <mergeCell ref="B374:C374"/>
    <mergeCell ref="B364:C364"/>
    <mergeCell ref="B365:C365"/>
    <mergeCell ref="B366:C366"/>
    <mergeCell ref="B367:C367"/>
    <mergeCell ref="B368:C368"/>
    <mergeCell ref="B394:C394"/>
    <mergeCell ref="B395:C395"/>
    <mergeCell ref="B353:C353"/>
    <mergeCell ref="B354:C354"/>
    <mergeCell ref="B382:C382"/>
    <mergeCell ref="B383:C383"/>
    <mergeCell ref="B350:C350"/>
    <mergeCell ref="B351:C351"/>
    <mergeCell ref="B352:C352"/>
    <mergeCell ref="B391:C391"/>
    <mergeCell ref="B392:C392"/>
    <mergeCell ref="B393:C393"/>
    <mergeCell ref="B386:C386"/>
    <mergeCell ref="B387:C387"/>
    <mergeCell ref="B388:C388"/>
    <mergeCell ref="B389:C389"/>
    <mergeCell ref="B390:C390"/>
    <mergeCell ref="B369:C369"/>
    <mergeCell ref="B358:C358"/>
    <mergeCell ref="B359:C359"/>
    <mergeCell ref="B360:C360"/>
    <mergeCell ref="B361:C361"/>
    <mergeCell ref="B362:C362"/>
    <mergeCell ref="B363:C363"/>
    <mergeCell ref="B515:C515"/>
    <mergeCell ref="B516:C516"/>
    <mergeCell ref="B517:C517"/>
    <mergeCell ref="B551:C551"/>
    <mergeCell ref="B560:K560"/>
    <mergeCell ref="B593:K593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85:C585"/>
    <mergeCell ref="B586:C586"/>
    <mergeCell ref="B587:C587"/>
    <mergeCell ref="B588:C588"/>
    <mergeCell ref="B589:C589"/>
    <mergeCell ref="B590:C590"/>
    <mergeCell ref="B570:C570"/>
    <mergeCell ref="B530:C530"/>
    <mergeCell ref="B567:C567"/>
    <mergeCell ref="B595:C595"/>
    <mergeCell ref="B596:C596"/>
    <mergeCell ref="B597:C597"/>
    <mergeCell ref="B598:C598"/>
    <mergeCell ref="B557:C557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62:K562"/>
    <mergeCell ref="B571:C571"/>
    <mergeCell ref="B568:C568"/>
    <mergeCell ref="B569:C569"/>
    <mergeCell ref="B606:C606"/>
    <mergeCell ref="B607:C607"/>
    <mergeCell ref="B608:C608"/>
    <mergeCell ref="B609:C609"/>
    <mergeCell ref="B610:C610"/>
    <mergeCell ref="B611:C611"/>
    <mergeCell ref="B599:C599"/>
    <mergeCell ref="B600:C600"/>
    <mergeCell ref="B602:C602"/>
    <mergeCell ref="B603:C603"/>
    <mergeCell ref="B604:C604"/>
    <mergeCell ref="B605:C605"/>
    <mergeCell ref="B612:C612"/>
    <mergeCell ref="B613:C613"/>
    <mergeCell ref="B614:C614"/>
    <mergeCell ref="B615:C615"/>
    <mergeCell ref="B616:C616"/>
    <mergeCell ref="B617:C617"/>
    <mergeCell ref="B621:K621"/>
    <mergeCell ref="B637:C637"/>
    <mergeCell ref="B638:C638"/>
    <mergeCell ref="B636:C636"/>
    <mergeCell ref="B622:K622"/>
    <mergeCell ref="B624:C624"/>
    <mergeCell ref="B626:K626"/>
    <mergeCell ref="B628:C628"/>
    <mergeCell ref="B630:K630"/>
    <mergeCell ref="B632:C632"/>
    <mergeCell ref="B633:C633"/>
    <mergeCell ref="B634:C634"/>
    <mergeCell ref="B635:C635"/>
    <mergeCell ref="B618:C618"/>
    <mergeCell ref="B619:C619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K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K681"/>
    <mergeCell ref="B682:C682"/>
    <mergeCell ref="B683:C683"/>
    <mergeCell ref="B684:C684"/>
    <mergeCell ref="B685:K685"/>
    <mergeCell ref="B686:C686"/>
    <mergeCell ref="B687:C687"/>
    <mergeCell ref="B688:C688"/>
    <mergeCell ref="B689:K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K716"/>
    <mergeCell ref="B717:C717"/>
    <mergeCell ref="B718:C718"/>
    <mergeCell ref="B720:K720"/>
    <mergeCell ref="B722:C722"/>
    <mergeCell ref="B724:K724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50:K750"/>
    <mergeCell ref="B752:C752"/>
    <mergeCell ref="B754:K754"/>
    <mergeCell ref="B756:C756"/>
    <mergeCell ref="B758:K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6:K786"/>
    <mergeCell ref="B788:C788"/>
    <mergeCell ref="B790:K790"/>
    <mergeCell ref="B792:C792"/>
    <mergeCell ref="B794:K794"/>
    <mergeCell ref="B796:C796"/>
    <mergeCell ref="B799:K799"/>
    <mergeCell ref="B801:C801"/>
    <mergeCell ref="B804:K804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31:C831"/>
    <mergeCell ref="B833:K833"/>
    <mergeCell ref="B835:C835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67:C86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175:C175"/>
    <mergeCell ref="B857:C857"/>
    <mergeCell ref="B858:C858"/>
    <mergeCell ref="B859:C859"/>
    <mergeCell ref="B860:C860"/>
    <mergeCell ref="B861:C861"/>
    <mergeCell ref="B862:C862"/>
    <mergeCell ref="B863:C863"/>
    <mergeCell ref="B865:K865"/>
    <mergeCell ref="B838:K838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23:C823"/>
    <mergeCell ref="B824:C824"/>
    <mergeCell ref="B825:C825"/>
    <mergeCell ref="B826:C826"/>
    <mergeCell ref="B827:C827"/>
    <mergeCell ref="B829:K829"/>
    <mergeCell ref="B217:C217"/>
    <mergeCell ref="B868:C868"/>
    <mergeCell ref="B869:C869"/>
    <mergeCell ref="B12:K12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207:K207"/>
    <mergeCell ref="N111:N112"/>
    <mergeCell ref="B113:C113"/>
    <mergeCell ref="B114:C114"/>
    <mergeCell ref="B218:C218"/>
    <mergeCell ref="B219:C219"/>
    <mergeCell ref="B221:C221"/>
    <mergeCell ref="B222:C222"/>
    <mergeCell ref="B223:C223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70:C170"/>
    <mergeCell ref="B171:C171"/>
    <mergeCell ref="B172:C172"/>
    <mergeCell ref="B173:C173"/>
    <mergeCell ref="B174:C174"/>
    <mergeCell ref="B197:C197"/>
    <mergeCell ref="B198:C198"/>
    <mergeCell ref="B199:C199"/>
  </mergeCells>
  <pageMargins left="0.51181102362204722" right="0.51181102362204722" top="0.78740157480314965" bottom="0.78740157480314965" header="0.31496062992125984" footer="0.31496062992125984"/>
  <pageSetup paperSize="9" scale="85" fitToHeight="0" orientation="landscape" horizontalDpi="360" verticalDpi="360" r:id="rId1"/>
  <rowBreaks count="3" manualBreakCount="3">
    <brk id="134" max="12" man="1"/>
    <brk id="182" max="12" man="1"/>
    <brk id="832" max="12" man="1"/>
  </rowBreaks>
  <drawing r:id="rId2"/>
  <legacyDrawing r:id="rId3"/>
  <oleObjects>
    <mc:AlternateContent xmlns:mc="http://schemas.openxmlformats.org/markup-compatibility/2006">
      <mc:Choice Requires="x14">
        <oleObject progId="AcroExch.pdfxml.1" shapeId="5121" r:id="rId4">
          <objectPr defaultSize="0" autoPict="0" r:id="rId5">
            <anchor moveWithCells="1">
              <from>
                <xdr:col>1</xdr:col>
                <xdr:colOff>85725</xdr:colOff>
                <xdr:row>289</xdr:row>
                <xdr:rowOff>19050</xdr:rowOff>
              </from>
              <to>
                <xdr:col>11</xdr:col>
                <xdr:colOff>419100</xdr:colOff>
                <xdr:row>317</xdr:row>
                <xdr:rowOff>142875</xdr:rowOff>
              </to>
            </anchor>
          </objectPr>
        </oleObject>
      </mc:Choice>
      <mc:Fallback>
        <oleObject progId="AcroExch.pdfxml.1" shapeId="5121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70A1-45F4-4BC6-8FE9-48BB6517AB76}">
  <dimension ref="A1:L15"/>
  <sheetViews>
    <sheetView view="pageBreakPreview" topLeftCell="A128" zoomScale="60" zoomScaleNormal="100" workbookViewId="0">
      <selection activeCell="O155" sqref="O155"/>
    </sheetView>
  </sheetViews>
  <sheetFormatPr defaultRowHeight="15"/>
  <sheetData>
    <row r="1" spans="1:12" s="182" customFormat="1">
      <c r="A1" s="28"/>
      <c r="B1" s="56"/>
      <c r="C1" s="294" t="s">
        <v>649</v>
      </c>
      <c r="D1" s="294"/>
      <c r="E1" s="294"/>
      <c r="F1" s="294"/>
      <c r="G1" s="294"/>
      <c r="H1" s="294"/>
      <c r="I1" s="294"/>
      <c r="J1" s="294"/>
      <c r="K1" s="294"/>
      <c r="L1" s="295"/>
    </row>
    <row r="2" spans="1:12" s="182" customFormat="1">
      <c r="A2" s="398" t="s">
        <v>383</v>
      </c>
      <c r="B2" s="399"/>
      <c r="C2" s="294"/>
      <c r="D2" s="294"/>
      <c r="E2" s="294"/>
      <c r="F2" s="294"/>
      <c r="G2" s="294"/>
      <c r="H2" s="294"/>
      <c r="I2" s="294"/>
      <c r="J2" s="294"/>
      <c r="K2" s="294"/>
      <c r="L2" s="295"/>
    </row>
    <row r="3" spans="1:12" s="182" customFormat="1" ht="15" customHeight="1">
      <c r="A3" s="400" t="s">
        <v>384</v>
      </c>
      <c r="B3" s="400"/>
      <c r="C3" s="294"/>
      <c r="D3" s="294"/>
      <c r="E3" s="294"/>
      <c r="F3" s="294"/>
      <c r="G3" s="294"/>
      <c r="H3" s="294"/>
      <c r="I3" s="294"/>
      <c r="J3" s="294"/>
      <c r="K3" s="294"/>
      <c r="L3" s="295"/>
    </row>
    <row r="4" spans="1:12" s="182" customFormat="1" ht="15" customHeight="1">
      <c r="A4" s="400"/>
      <c r="B4" s="400"/>
      <c r="C4" s="294"/>
      <c r="D4" s="294"/>
      <c r="E4" s="294"/>
      <c r="F4" s="294"/>
      <c r="G4" s="294"/>
      <c r="H4" s="294"/>
      <c r="I4" s="294"/>
      <c r="J4" s="294"/>
      <c r="K4" s="294"/>
      <c r="L4" s="295"/>
    </row>
    <row r="5" spans="1:12" s="182" customFormat="1" ht="20.25" customHeight="1">
      <c r="C5" s="296"/>
      <c r="D5" s="296"/>
      <c r="E5" s="296"/>
      <c r="F5" s="296"/>
      <c r="G5" s="296"/>
      <c r="H5" s="296"/>
      <c r="I5" s="296"/>
      <c r="J5" s="296"/>
      <c r="K5" s="296"/>
      <c r="L5" s="297"/>
    </row>
    <row r="6" spans="1:12" s="182" customFormat="1" ht="25.5">
      <c r="A6" s="298" t="s">
        <v>385</v>
      </c>
      <c r="B6" s="299"/>
      <c r="C6" s="299"/>
      <c r="D6" s="299"/>
      <c r="E6" s="299"/>
      <c r="F6" s="300"/>
      <c r="G6" s="301" t="s">
        <v>386</v>
      </c>
      <c r="H6" s="302"/>
      <c r="I6" s="302"/>
      <c r="J6" s="303"/>
      <c r="K6" s="24" t="s">
        <v>387</v>
      </c>
      <c r="L6" s="184" t="s">
        <v>388</v>
      </c>
    </row>
    <row r="7" spans="1:12" s="182" customFormat="1">
      <c r="A7" s="304" t="s">
        <v>431</v>
      </c>
      <c r="B7" s="305"/>
      <c r="C7" s="305"/>
      <c r="D7" s="305"/>
      <c r="E7" s="305"/>
      <c r="F7" s="306"/>
      <c r="G7" s="304" t="s">
        <v>384</v>
      </c>
      <c r="H7" s="305"/>
      <c r="I7" s="305"/>
      <c r="J7" s="306"/>
      <c r="K7" s="310">
        <v>44600</v>
      </c>
      <c r="L7" s="324" t="s">
        <v>485</v>
      </c>
    </row>
    <row r="8" spans="1:12" s="182" customFormat="1">
      <c r="A8" s="307"/>
      <c r="B8" s="308"/>
      <c r="C8" s="308"/>
      <c r="D8" s="308"/>
      <c r="E8" s="308"/>
      <c r="F8" s="309"/>
      <c r="G8" s="307"/>
      <c r="H8" s="308"/>
      <c r="I8" s="308"/>
      <c r="J8" s="309"/>
      <c r="K8" s="310"/>
      <c r="L8" s="325"/>
    </row>
    <row r="9" spans="1:12" s="182" customFormat="1" ht="25.5">
      <c r="A9" s="298" t="s">
        <v>389</v>
      </c>
      <c r="B9" s="299"/>
      <c r="C9" s="299"/>
      <c r="D9" s="299"/>
      <c r="E9" s="299"/>
      <c r="F9" s="300"/>
      <c r="G9" s="293" t="s">
        <v>390</v>
      </c>
      <c r="H9" s="293"/>
      <c r="I9" s="293"/>
      <c r="J9" s="293"/>
      <c r="K9" s="252" t="s">
        <v>391</v>
      </c>
      <c r="L9" s="185" t="s">
        <v>392</v>
      </c>
    </row>
    <row r="10" spans="1:12" s="182" customFormat="1" ht="10.9" customHeight="1">
      <c r="A10" s="304" t="s">
        <v>432</v>
      </c>
      <c r="B10" s="305"/>
      <c r="C10" s="305"/>
      <c r="D10" s="305"/>
      <c r="E10" s="305"/>
      <c r="F10" s="306"/>
      <c r="G10" s="311" t="s">
        <v>393</v>
      </c>
      <c r="H10" s="311"/>
      <c r="I10" s="311"/>
      <c r="J10" s="311"/>
      <c r="K10" s="310">
        <v>44854</v>
      </c>
      <c r="L10" s="322">
        <v>45219</v>
      </c>
    </row>
    <row r="11" spans="1:12" s="182" customFormat="1" ht="10.9" customHeight="1">
      <c r="A11" s="307"/>
      <c r="B11" s="308"/>
      <c r="C11" s="308"/>
      <c r="D11" s="308"/>
      <c r="E11" s="308"/>
      <c r="F11" s="309"/>
      <c r="G11" s="311"/>
      <c r="H11" s="311"/>
      <c r="I11" s="311"/>
      <c r="J11" s="311"/>
      <c r="K11" s="310"/>
      <c r="L11" s="322"/>
    </row>
    <row r="12" spans="1:12" s="182" customFormat="1">
      <c r="A12" s="293" t="s">
        <v>394</v>
      </c>
      <c r="B12" s="293"/>
      <c r="C12" s="293" t="s">
        <v>395</v>
      </c>
      <c r="D12" s="293"/>
      <c r="E12" s="293"/>
      <c r="F12" s="293"/>
      <c r="G12" s="293" t="s">
        <v>396</v>
      </c>
      <c r="H12" s="293"/>
      <c r="I12" s="323" t="s">
        <v>397</v>
      </c>
      <c r="J12" s="323"/>
      <c r="K12" s="321" t="s">
        <v>398</v>
      </c>
      <c r="L12" s="321"/>
    </row>
    <row r="13" spans="1:12" s="182" customFormat="1">
      <c r="A13" s="311" t="s">
        <v>430</v>
      </c>
      <c r="B13" s="311"/>
      <c r="C13" s="311" t="s">
        <v>433</v>
      </c>
      <c r="D13" s="311"/>
      <c r="E13" s="311"/>
      <c r="F13" s="311"/>
      <c r="G13" s="312"/>
      <c r="H13" s="313"/>
      <c r="I13" s="316"/>
      <c r="J13" s="316"/>
      <c r="K13" s="311"/>
      <c r="L13" s="311"/>
    </row>
    <row r="14" spans="1:12" s="182" customFormat="1">
      <c r="A14" s="311"/>
      <c r="B14" s="311"/>
      <c r="C14" s="311"/>
      <c r="D14" s="311"/>
      <c r="E14" s="311"/>
      <c r="F14" s="311"/>
      <c r="G14" s="314"/>
      <c r="H14" s="315"/>
      <c r="I14" s="316"/>
      <c r="J14" s="316"/>
      <c r="K14" s="311"/>
      <c r="L14" s="311"/>
    </row>
    <row r="15" spans="1:12" s="182" customFormat="1">
      <c r="A15" s="291"/>
      <c r="B15" s="291"/>
      <c r="C15" s="291"/>
      <c r="D15" s="291"/>
      <c r="E15" s="291"/>
      <c r="F15" s="291"/>
      <c r="G15" s="291"/>
      <c r="H15" s="291"/>
      <c r="I15" s="291"/>
      <c r="J15" s="291"/>
      <c r="K15" s="291"/>
      <c r="L15" s="291"/>
    </row>
  </sheetData>
  <mergeCells count="26">
    <mergeCell ref="L10:L11"/>
    <mergeCell ref="C1:L5"/>
    <mergeCell ref="A6:F6"/>
    <mergeCell ref="G6:J6"/>
    <mergeCell ref="A7:F8"/>
    <mergeCell ref="G7:J8"/>
    <mergeCell ref="K7:K8"/>
    <mergeCell ref="L7:L8"/>
    <mergeCell ref="A2:B2"/>
    <mergeCell ref="A3:B4"/>
    <mergeCell ref="A9:F9"/>
    <mergeCell ref="G9:J9"/>
    <mergeCell ref="A10:F11"/>
    <mergeCell ref="G10:J11"/>
    <mergeCell ref="K10:K11"/>
    <mergeCell ref="A15:L15"/>
    <mergeCell ref="A12:B12"/>
    <mergeCell ref="C12:F12"/>
    <mergeCell ref="G12:H12"/>
    <mergeCell ref="I12:J12"/>
    <mergeCell ref="K12:L12"/>
    <mergeCell ref="A13:B14"/>
    <mergeCell ref="C13:F14"/>
    <mergeCell ref="G13:H14"/>
    <mergeCell ref="I13:J14"/>
    <mergeCell ref="K13:L14"/>
  </mergeCells>
  <conditionalFormatting sqref="L1:L15">
    <cfRule type="cellIs" dxfId="1" priority="1" operator="greaterThan">
      <formula>1</formula>
    </cfRule>
    <cfRule type="cellIs" dxfId="0" priority="2" operator="greaterThan">
      <formula>100</formula>
    </cfRule>
  </conditionalFormatting>
  <pageMargins left="0.511811024" right="0.511811024" top="0.78740157499999996" bottom="0.78740157499999996" header="0.31496062000000002" footer="0.31496062000000002"/>
  <pageSetup paperSize="9" scale="84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6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7" bestFit="1" customWidth="1"/>
  </cols>
  <sheetData>
    <row r="1" spans="1:13" ht="16.5" thickBot="1">
      <c r="A1" s="420"/>
      <c r="B1" s="421"/>
      <c r="C1" s="426" t="s">
        <v>409</v>
      </c>
      <c r="D1" s="427"/>
      <c r="E1" s="427"/>
      <c r="F1" s="427"/>
      <c r="G1" s="427"/>
      <c r="H1" s="427"/>
      <c r="I1" s="427"/>
      <c r="J1" s="427"/>
      <c r="K1" s="427"/>
      <c r="L1" s="427"/>
      <c r="M1" s="428"/>
    </row>
    <row r="2" spans="1:13">
      <c r="A2" s="422"/>
      <c r="B2" s="423"/>
      <c r="C2" s="429" t="s">
        <v>410</v>
      </c>
      <c r="D2" s="430"/>
      <c r="E2" s="430"/>
      <c r="F2" s="430"/>
      <c r="G2" s="431"/>
      <c r="H2" s="429" t="s">
        <v>411</v>
      </c>
      <c r="I2" s="430"/>
      <c r="J2" s="430"/>
      <c r="K2" s="430"/>
      <c r="L2" s="430"/>
      <c r="M2" s="431"/>
    </row>
    <row r="3" spans="1:13" ht="15.75" thickBot="1">
      <c r="A3" s="422"/>
      <c r="B3" s="423"/>
      <c r="C3" s="432" t="s">
        <v>431</v>
      </c>
      <c r="D3" s="433"/>
      <c r="E3" s="433"/>
      <c r="F3" s="433"/>
      <c r="G3" s="434"/>
      <c r="H3" s="435" t="s">
        <v>412</v>
      </c>
      <c r="I3" s="436"/>
      <c r="J3" s="436"/>
      <c r="K3" s="436"/>
      <c r="L3" s="436"/>
      <c r="M3" s="437"/>
    </row>
    <row r="4" spans="1:13">
      <c r="A4" s="422"/>
      <c r="B4" s="423"/>
      <c r="C4" s="429" t="s">
        <v>413</v>
      </c>
      <c r="D4" s="430"/>
      <c r="E4" s="430"/>
      <c r="F4" s="430"/>
      <c r="G4" s="431"/>
      <c r="H4" s="438" t="s">
        <v>414</v>
      </c>
      <c r="I4" s="439"/>
      <c r="J4" s="439"/>
      <c r="K4" s="440"/>
      <c r="L4" s="36"/>
      <c r="M4" s="37"/>
    </row>
    <row r="5" spans="1:13" ht="15.75" thickBot="1">
      <c r="A5" s="424"/>
      <c r="B5" s="425"/>
      <c r="C5" s="441" t="s">
        <v>432</v>
      </c>
      <c r="D5" s="442"/>
      <c r="E5" s="442"/>
      <c r="F5" s="442"/>
      <c r="G5" s="443"/>
      <c r="H5" s="444"/>
      <c r="I5" s="445"/>
      <c r="J5" s="445"/>
      <c r="K5" s="446"/>
      <c r="L5" s="38"/>
      <c r="M5" s="39"/>
    </row>
    <row r="6" spans="1:13" ht="15.75" thickBot="1">
      <c r="A6" s="66"/>
      <c r="B6" s="40"/>
      <c r="C6" s="40"/>
      <c r="D6" s="40"/>
      <c r="E6" s="40"/>
      <c r="F6" s="40"/>
      <c r="G6" s="68"/>
      <c r="H6" s="40"/>
      <c r="I6" s="40"/>
      <c r="J6" s="40"/>
      <c r="K6" s="40"/>
      <c r="L6" s="40"/>
      <c r="M6" s="41"/>
    </row>
    <row r="7" spans="1:13">
      <c r="A7" s="355" t="s">
        <v>415</v>
      </c>
      <c r="B7" s="357" t="s">
        <v>416</v>
      </c>
      <c r="C7" s="358"/>
      <c r="D7" s="361" t="s">
        <v>417</v>
      </c>
      <c r="E7" s="363" t="s">
        <v>418</v>
      </c>
      <c r="F7" s="364"/>
      <c r="G7" s="364"/>
      <c r="H7" s="364"/>
      <c r="I7" s="364"/>
      <c r="J7" s="365"/>
      <c r="K7" s="363" t="s">
        <v>419</v>
      </c>
      <c r="L7" s="365"/>
      <c r="M7" s="366" t="s">
        <v>420</v>
      </c>
    </row>
    <row r="8" spans="1:13" ht="15.75" thickBot="1">
      <c r="A8" s="356"/>
      <c r="B8" s="359"/>
      <c r="C8" s="360"/>
      <c r="D8" s="362"/>
      <c r="E8" s="42" t="s">
        <v>421</v>
      </c>
      <c r="F8" s="42" t="s">
        <v>422</v>
      </c>
      <c r="G8" s="42" t="s">
        <v>423</v>
      </c>
      <c r="H8" s="42" t="s">
        <v>424</v>
      </c>
      <c r="I8" s="42" t="s">
        <v>425</v>
      </c>
      <c r="J8" s="42" t="s">
        <v>426</v>
      </c>
      <c r="K8" s="42" t="s">
        <v>427</v>
      </c>
      <c r="L8" s="42" t="s">
        <v>428</v>
      </c>
      <c r="M8" s="367"/>
    </row>
    <row r="9" spans="1:13" ht="15.75" thickBot="1"/>
    <row r="10" spans="1:13" ht="14.45" customHeight="1" thickBot="1">
      <c r="A10" s="61"/>
      <c r="B10" s="409" t="s">
        <v>333</v>
      </c>
      <c r="C10" s="410"/>
      <c r="D10" s="410"/>
      <c r="E10" s="410"/>
      <c r="F10" s="410"/>
      <c r="G10" s="410"/>
      <c r="H10" s="410"/>
      <c r="I10" s="410"/>
      <c r="J10" s="410"/>
      <c r="K10" s="410"/>
      <c r="L10" s="62"/>
      <c r="M10" s="44"/>
    </row>
    <row r="11" spans="1:13">
      <c r="A11" s="63"/>
      <c r="B11" s="412"/>
      <c r="C11" s="413"/>
      <c r="D11" s="413"/>
      <c r="E11" s="413"/>
      <c r="F11" s="413"/>
      <c r="G11" s="413"/>
      <c r="H11" s="413"/>
      <c r="I11" s="413"/>
      <c r="J11" s="413"/>
      <c r="K11" s="414"/>
      <c r="L11" s="64"/>
      <c r="M11" s="46"/>
    </row>
    <row r="12" spans="1:13">
      <c r="A12" s="91" t="s">
        <v>4</v>
      </c>
      <c r="B12" s="411" t="str">
        <f>BM_06!B21</f>
        <v>Demolição de piso de alta resistência</v>
      </c>
      <c r="C12" s="411"/>
      <c r="D12" s="411"/>
      <c r="E12" s="411"/>
      <c r="F12" s="411"/>
      <c r="G12" s="411"/>
      <c r="H12" s="411"/>
      <c r="I12" s="411"/>
      <c r="J12" s="411"/>
      <c r="K12" s="411"/>
      <c r="L12" s="92"/>
      <c r="M12" s="65" t="s">
        <v>429</v>
      </c>
    </row>
    <row r="13" spans="1:13">
      <c r="A13" s="79"/>
      <c r="B13" s="79"/>
      <c r="C13" s="79"/>
      <c r="D13" s="79"/>
      <c r="E13" s="79"/>
      <c r="F13" s="46" t="s">
        <v>463</v>
      </c>
      <c r="G13" s="79"/>
      <c r="H13" s="46" t="s">
        <v>463</v>
      </c>
      <c r="I13" s="79"/>
      <c r="J13" s="79"/>
      <c r="K13" s="54" t="s">
        <v>454</v>
      </c>
      <c r="L13" s="76">
        <f>SUM(L16:L40)</f>
        <v>736.73</v>
      </c>
      <c r="M13" s="46"/>
    </row>
    <row r="14" spans="1:13">
      <c r="A14" s="79"/>
      <c r="B14" s="79"/>
      <c r="C14" s="79"/>
      <c r="D14" s="79"/>
      <c r="E14" s="79"/>
      <c r="F14" s="46"/>
      <c r="G14" s="79"/>
      <c r="H14" s="46"/>
      <c r="I14" s="79"/>
      <c r="J14" s="79"/>
      <c r="K14" s="54" t="s">
        <v>455</v>
      </c>
      <c r="L14" s="76">
        <v>608.61</v>
      </c>
      <c r="M14" s="46"/>
    </row>
    <row r="15" spans="1:13">
      <c r="A15" s="79"/>
      <c r="B15" s="79"/>
      <c r="C15" s="79"/>
      <c r="D15" s="79"/>
      <c r="E15" s="79"/>
      <c r="F15" s="46"/>
      <c r="G15" s="79"/>
      <c r="H15" s="46"/>
      <c r="I15" s="79"/>
      <c r="J15" s="79"/>
      <c r="K15" s="54" t="s">
        <v>480</v>
      </c>
      <c r="L15" s="76">
        <f>L13-L14</f>
        <v>128.12</v>
      </c>
      <c r="M15" s="46"/>
    </row>
    <row r="16" spans="1:13">
      <c r="A16" s="45"/>
      <c r="B16" s="406" t="s">
        <v>435</v>
      </c>
      <c r="C16" s="406"/>
      <c r="D16" s="45">
        <v>1</v>
      </c>
      <c r="E16" s="45">
        <v>5.2</v>
      </c>
      <c r="F16" s="45"/>
      <c r="G16" s="45">
        <v>5.6</v>
      </c>
      <c r="H16" s="45"/>
      <c r="I16" s="45"/>
      <c r="J16" s="45"/>
      <c r="K16" s="45">
        <f>(E16*G16)+(F16*H16)</f>
        <v>29.119999999999997</v>
      </c>
      <c r="L16" s="46">
        <f t="shared" ref="L16:L40" si="0">K16*D16</f>
        <v>29.119999999999997</v>
      </c>
      <c r="M16" s="46"/>
    </row>
    <row r="17" spans="1:13">
      <c r="A17" s="45"/>
      <c r="B17" s="406" t="s">
        <v>436</v>
      </c>
      <c r="C17" s="406"/>
      <c r="D17" s="45">
        <v>1</v>
      </c>
      <c r="E17" s="45">
        <v>5.2</v>
      </c>
      <c r="F17" s="45"/>
      <c r="G17" s="45">
        <v>5.6</v>
      </c>
      <c r="H17" s="45"/>
      <c r="I17" s="45"/>
      <c r="J17" s="45"/>
      <c r="K17" s="79">
        <f t="shared" ref="K17:K40" si="1">(E17*G17)+(F17*H17)</f>
        <v>29.119999999999997</v>
      </c>
      <c r="L17" s="46">
        <f t="shared" si="0"/>
        <v>29.119999999999997</v>
      </c>
      <c r="M17" s="46"/>
    </row>
    <row r="18" spans="1:13">
      <c r="A18" s="45"/>
      <c r="B18" s="406" t="s">
        <v>437</v>
      </c>
      <c r="C18" s="406"/>
      <c r="D18" s="45">
        <v>1</v>
      </c>
      <c r="E18" s="45">
        <v>5.2</v>
      </c>
      <c r="F18" s="45"/>
      <c r="G18" s="45">
        <v>5.6</v>
      </c>
      <c r="H18" s="45"/>
      <c r="I18" s="45"/>
      <c r="J18" s="45"/>
      <c r="K18" s="79">
        <f t="shared" si="1"/>
        <v>29.119999999999997</v>
      </c>
      <c r="L18" s="46">
        <f t="shared" si="0"/>
        <v>29.119999999999997</v>
      </c>
      <c r="M18" s="46"/>
    </row>
    <row r="19" spans="1:13">
      <c r="A19" s="45"/>
      <c r="B19" s="406" t="s">
        <v>437</v>
      </c>
      <c r="C19" s="406"/>
      <c r="D19" s="45">
        <v>1</v>
      </c>
      <c r="E19" s="45">
        <v>5.2</v>
      </c>
      <c r="F19" s="45"/>
      <c r="G19" s="45">
        <v>5.6</v>
      </c>
      <c r="H19" s="45"/>
      <c r="I19" s="45"/>
      <c r="J19" s="45"/>
      <c r="K19" s="79">
        <f t="shared" si="1"/>
        <v>29.119999999999997</v>
      </c>
      <c r="L19" s="46">
        <f t="shared" si="0"/>
        <v>29.119999999999997</v>
      </c>
      <c r="M19" s="46"/>
    </row>
    <row r="20" spans="1:13">
      <c r="A20" s="45"/>
      <c r="B20" s="406" t="s">
        <v>461</v>
      </c>
      <c r="C20" s="406"/>
      <c r="D20" s="45">
        <v>1</v>
      </c>
      <c r="E20" s="45">
        <v>2</v>
      </c>
      <c r="F20" s="45"/>
      <c r="G20" s="45">
        <v>20</v>
      </c>
      <c r="H20" s="45"/>
      <c r="I20" s="45"/>
      <c r="J20" s="45"/>
      <c r="K20" s="79">
        <f t="shared" si="1"/>
        <v>40</v>
      </c>
      <c r="L20" s="46">
        <f t="shared" si="0"/>
        <v>40</v>
      </c>
      <c r="M20" s="46"/>
    </row>
    <row r="21" spans="1:13" s="49" customFormat="1" ht="14.45" customHeight="1">
      <c r="A21" s="84"/>
      <c r="B21" s="419" t="s">
        <v>440</v>
      </c>
      <c r="C21" s="419"/>
      <c r="D21" s="84">
        <v>1</v>
      </c>
      <c r="E21" s="84">
        <v>2</v>
      </c>
      <c r="F21" s="86"/>
      <c r="G21" s="84">
        <v>34.700000000000003</v>
      </c>
      <c r="H21" s="86"/>
      <c r="I21" s="86"/>
      <c r="J21" s="86"/>
      <c r="K21" s="79">
        <f t="shared" si="1"/>
        <v>69.400000000000006</v>
      </c>
      <c r="L21" s="46">
        <f t="shared" si="0"/>
        <v>69.400000000000006</v>
      </c>
    </row>
    <row r="22" spans="1:13" s="49" customFormat="1" ht="14.45" customHeight="1">
      <c r="A22" s="84"/>
      <c r="B22" s="89"/>
      <c r="C22" s="90"/>
      <c r="D22" s="84"/>
      <c r="E22" s="84"/>
      <c r="F22" s="86"/>
      <c r="G22" s="84"/>
      <c r="H22" s="86"/>
      <c r="I22" s="86"/>
      <c r="J22" s="86"/>
      <c r="K22" s="79">
        <f t="shared" si="1"/>
        <v>0</v>
      </c>
      <c r="L22" s="46">
        <f t="shared" si="0"/>
        <v>0</v>
      </c>
    </row>
    <row r="23" spans="1:13" s="49" customFormat="1" ht="14.45" customHeight="1">
      <c r="A23" s="79"/>
      <c r="B23" s="401" t="s">
        <v>445</v>
      </c>
      <c r="C23" s="402"/>
      <c r="D23" s="79">
        <v>1</v>
      </c>
      <c r="E23" s="79">
        <v>4.3</v>
      </c>
      <c r="F23" s="46"/>
      <c r="G23" s="79">
        <v>3</v>
      </c>
      <c r="H23" s="46"/>
      <c r="I23" s="46"/>
      <c r="J23" s="46"/>
      <c r="K23" s="79">
        <f t="shared" si="1"/>
        <v>12.899999999999999</v>
      </c>
      <c r="L23" s="46">
        <f t="shared" si="0"/>
        <v>12.899999999999999</v>
      </c>
      <c r="M23" s="46"/>
    </row>
    <row r="24" spans="1:13" s="49" customFormat="1" ht="14.45" customHeight="1">
      <c r="A24" s="79"/>
      <c r="B24" s="401" t="s">
        <v>451</v>
      </c>
      <c r="C24" s="402"/>
      <c r="D24" s="79">
        <v>1</v>
      </c>
      <c r="E24" s="79">
        <v>8.6999999999999993</v>
      </c>
      <c r="F24" s="46"/>
      <c r="G24" s="79">
        <v>6</v>
      </c>
      <c r="H24" s="46"/>
      <c r="I24" s="46"/>
      <c r="J24" s="46"/>
      <c r="K24" s="79">
        <f t="shared" si="1"/>
        <v>52.199999999999996</v>
      </c>
      <c r="L24" s="46">
        <f t="shared" si="0"/>
        <v>52.199999999999996</v>
      </c>
      <c r="M24" s="46"/>
    </row>
    <row r="25" spans="1:13" s="49" customFormat="1" ht="14.45" customHeight="1">
      <c r="A25" s="79"/>
      <c r="B25" s="401" t="s">
        <v>456</v>
      </c>
      <c r="C25" s="402"/>
      <c r="D25" s="79">
        <v>1</v>
      </c>
      <c r="E25" s="79">
        <v>7.5</v>
      </c>
      <c r="F25" s="46"/>
      <c r="G25" s="79">
        <v>4</v>
      </c>
      <c r="H25" s="46"/>
      <c r="I25" s="46"/>
      <c r="J25" s="46"/>
      <c r="K25" s="79">
        <f t="shared" si="1"/>
        <v>30</v>
      </c>
      <c r="L25" s="46">
        <f t="shared" si="0"/>
        <v>30</v>
      </c>
      <c r="M25" s="46"/>
    </row>
    <row r="26" spans="1:13" s="49" customFormat="1" ht="14.45" customHeight="1">
      <c r="A26" s="79"/>
      <c r="B26" s="401" t="s">
        <v>444</v>
      </c>
      <c r="C26" s="402"/>
      <c r="D26" s="79">
        <v>1</v>
      </c>
      <c r="E26" s="79">
        <v>14.6</v>
      </c>
      <c r="F26" s="46"/>
      <c r="G26" s="79">
        <v>2.7</v>
      </c>
      <c r="H26" s="46"/>
      <c r="I26" s="46"/>
      <c r="J26" s="46"/>
      <c r="K26" s="79">
        <f t="shared" si="1"/>
        <v>39.42</v>
      </c>
      <c r="L26" s="46">
        <f t="shared" si="0"/>
        <v>39.42</v>
      </c>
      <c r="M26" s="46"/>
    </row>
    <row r="27" spans="1:13" s="49" customFormat="1" ht="14.45" customHeight="1">
      <c r="A27" s="79"/>
      <c r="B27" s="401" t="s">
        <v>443</v>
      </c>
      <c r="C27" s="402"/>
      <c r="D27" s="79">
        <v>1</v>
      </c>
      <c r="E27" s="79">
        <v>6.3</v>
      </c>
      <c r="F27" s="46">
        <v>3.9</v>
      </c>
      <c r="G27" s="79">
        <v>3.9</v>
      </c>
      <c r="H27" s="46">
        <v>1.4</v>
      </c>
      <c r="I27" s="46"/>
      <c r="J27" s="46"/>
      <c r="K27" s="79">
        <f t="shared" si="1"/>
        <v>30.03</v>
      </c>
      <c r="L27" s="46">
        <f t="shared" si="0"/>
        <v>30.03</v>
      </c>
      <c r="M27" s="46"/>
    </row>
    <row r="28" spans="1:13" s="49" customFormat="1" ht="14.45" customHeight="1">
      <c r="A28" s="79"/>
      <c r="B28" s="401" t="s">
        <v>442</v>
      </c>
      <c r="C28" s="402"/>
      <c r="D28" s="79">
        <v>1</v>
      </c>
      <c r="E28" s="79">
        <v>6.3</v>
      </c>
      <c r="F28" s="46"/>
      <c r="G28" s="79">
        <v>3.9</v>
      </c>
      <c r="H28" s="46"/>
      <c r="I28" s="46"/>
      <c r="J28" s="46"/>
      <c r="K28" s="79">
        <f t="shared" si="1"/>
        <v>24.57</v>
      </c>
      <c r="L28" s="46">
        <f t="shared" si="0"/>
        <v>24.57</v>
      </c>
      <c r="M28" s="46"/>
    </row>
    <row r="29" spans="1:13" s="49" customFormat="1" ht="14.45" customHeight="1">
      <c r="A29" s="79"/>
      <c r="B29" s="401" t="s">
        <v>457</v>
      </c>
      <c r="C29" s="402"/>
      <c r="D29" s="79">
        <v>1</v>
      </c>
      <c r="E29" s="79">
        <v>3.2</v>
      </c>
      <c r="F29" s="46"/>
      <c r="G29" s="79">
        <v>3.5</v>
      </c>
      <c r="H29" s="46"/>
      <c r="I29" s="46"/>
      <c r="J29" s="46"/>
      <c r="K29" s="79">
        <f t="shared" si="1"/>
        <v>11.200000000000001</v>
      </c>
      <c r="L29" s="46">
        <f t="shared" si="0"/>
        <v>11.200000000000001</v>
      </c>
      <c r="M29" s="46"/>
    </row>
    <row r="30" spans="1:13" s="49" customFormat="1" ht="14.45" customHeight="1">
      <c r="A30" s="79"/>
      <c r="B30" s="401" t="s">
        <v>458</v>
      </c>
      <c r="C30" s="402"/>
      <c r="D30" s="79">
        <v>1</v>
      </c>
      <c r="E30" s="79">
        <v>5</v>
      </c>
      <c r="F30" s="46"/>
      <c r="G30" s="79">
        <v>4.2</v>
      </c>
      <c r="H30" s="46"/>
      <c r="I30" s="46"/>
      <c r="J30" s="46"/>
      <c r="K30" s="79">
        <f t="shared" si="1"/>
        <v>21</v>
      </c>
      <c r="L30" s="46">
        <f t="shared" si="0"/>
        <v>21</v>
      </c>
      <c r="M30" s="46"/>
    </row>
    <row r="31" spans="1:13" s="49" customFormat="1" ht="14.45" customHeight="1">
      <c r="A31" s="79"/>
      <c r="B31" s="401" t="s">
        <v>447</v>
      </c>
      <c r="C31" s="402"/>
      <c r="D31" s="79">
        <v>1</v>
      </c>
      <c r="E31" s="79">
        <v>3.5</v>
      </c>
      <c r="F31" s="46">
        <v>1.5</v>
      </c>
      <c r="G31" s="79">
        <v>3</v>
      </c>
      <c r="H31" s="46">
        <v>1.6</v>
      </c>
      <c r="I31" s="46"/>
      <c r="J31" s="46"/>
      <c r="K31" s="79">
        <f t="shared" si="1"/>
        <v>12.9</v>
      </c>
      <c r="L31" s="46">
        <f t="shared" si="0"/>
        <v>12.9</v>
      </c>
      <c r="M31" s="46"/>
    </row>
    <row r="32" spans="1:13" s="49" customFormat="1" ht="14.45" customHeight="1">
      <c r="A32" s="79"/>
      <c r="B32" s="401" t="s">
        <v>453</v>
      </c>
      <c r="C32" s="402"/>
      <c r="D32" s="79">
        <v>1</v>
      </c>
      <c r="E32" s="79">
        <v>4.2</v>
      </c>
      <c r="F32" s="46"/>
      <c r="G32" s="79">
        <v>3.1</v>
      </c>
      <c r="H32" s="46"/>
      <c r="I32" s="46"/>
      <c r="J32" s="46"/>
      <c r="K32" s="79">
        <f t="shared" si="1"/>
        <v>13.020000000000001</v>
      </c>
      <c r="L32" s="46">
        <f t="shared" si="0"/>
        <v>13.020000000000001</v>
      </c>
      <c r="M32" s="46"/>
    </row>
    <row r="33" spans="1:13" s="49" customFormat="1" ht="14.45" customHeight="1">
      <c r="A33" s="79"/>
      <c r="B33" s="401" t="s">
        <v>459</v>
      </c>
      <c r="C33" s="402"/>
      <c r="D33" s="79">
        <v>1</v>
      </c>
      <c r="E33" s="79">
        <v>7</v>
      </c>
      <c r="F33" s="46"/>
      <c r="G33" s="79">
        <v>4.5999999999999996</v>
      </c>
      <c r="H33" s="46"/>
      <c r="I33" s="46"/>
      <c r="J33" s="46"/>
      <c r="K33" s="79">
        <f t="shared" si="1"/>
        <v>32.199999999999996</v>
      </c>
      <c r="L33" s="46">
        <f t="shared" si="0"/>
        <v>32.199999999999996</v>
      </c>
      <c r="M33" s="46"/>
    </row>
    <row r="34" spans="1:13" s="49" customFormat="1" ht="14.45" customHeight="1">
      <c r="A34" s="79"/>
      <c r="B34" s="401" t="s">
        <v>460</v>
      </c>
      <c r="C34" s="402"/>
      <c r="D34" s="79">
        <v>1</v>
      </c>
      <c r="E34" s="79">
        <v>3.7</v>
      </c>
      <c r="F34" s="46"/>
      <c r="G34" s="79">
        <v>4.2</v>
      </c>
      <c r="H34" s="46"/>
      <c r="I34" s="46"/>
      <c r="J34" s="46"/>
      <c r="K34" s="79">
        <f t="shared" si="1"/>
        <v>15.540000000000001</v>
      </c>
      <c r="L34" s="46">
        <f t="shared" si="0"/>
        <v>15.540000000000001</v>
      </c>
      <c r="M34" s="46"/>
    </row>
    <row r="35" spans="1:13" s="49" customFormat="1" ht="14.45" customHeight="1">
      <c r="A35" s="79"/>
      <c r="B35" s="401" t="s">
        <v>449</v>
      </c>
      <c r="C35" s="402"/>
      <c r="D35" s="79">
        <v>1</v>
      </c>
      <c r="E35" s="79">
        <v>34.700000000000003</v>
      </c>
      <c r="F35" s="46"/>
      <c r="G35" s="79">
        <v>1.9</v>
      </c>
      <c r="H35" s="46"/>
      <c r="I35" s="46"/>
      <c r="J35" s="46"/>
      <c r="K35" s="79">
        <f t="shared" si="1"/>
        <v>65.930000000000007</v>
      </c>
      <c r="L35" s="46">
        <f t="shared" si="0"/>
        <v>65.930000000000007</v>
      </c>
      <c r="M35" s="46"/>
    </row>
    <row r="36" spans="1:13" s="49" customFormat="1" ht="14.45" customHeight="1">
      <c r="A36" s="79"/>
      <c r="B36" s="401" t="s">
        <v>462</v>
      </c>
      <c r="C36" s="402"/>
      <c r="D36" s="79">
        <v>1</v>
      </c>
      <c r="E36" s="79">
        <v>3.5</v>
      </c>
      <c r="F36" s="46"/>
      <c r="G36" s="79">
        <v>2.7</v>
      </c>
      <c r="H36" s="46"/>
      <c r="I36" s="46"/>
      <c r="J36" s="46"/>
      <c r="K36" s="79">
        <f t="shared" si="1"/>
        <v>9.4500000000000011</v>
      </c>
      <c r="L36" s="46">
        <f t="shared" si="0"/>
        <v>9.4500000000000011</v>
      </c>
      <c r="M36" s="46"/>
    </row>
    <row r="37" spans="1:13" s="49" customFormat="1" ht="14.45" customHeight="1">
      <c r="A37" s="79"/>
      <c r="B37" s="401" t="s">
        <v>448</v>
      </c>
      <c r="C37" s="402"/>
      <c r="D37" s="79">
        <v>1</v>
      </c>
      <c r="E37" s="79">
        <v>3.4</v>
      </c>
      <c r="F37" s="46">
        <v>2.2000000000000002</v>
      </c>
      <c r="G37" s="79">
        <v>3.1</v>
      </c>
      <c r="H37" s="46">
        <v>1</v>
      </c>
      <c r="I37" s="46"/>
      <c r="J37" s="46"/>
      <c r="K37" s="79">
        <f t="shared" si="1"/>
        <v>12.739999999999998</v>
      </c>
      <c r="L37" s="46">
        <f t="shared" si="0"/>
        <v>12.739999999999998</v>
      </c>
      <c r="M37" s="46"/>
    </row>
    <row r="38" spans="1:13" s="49" customFormat="1" ht="14.45" customHeight="1">
      <c r="A38" s="79"/>
      <c r="B38" s="401" t="s">
        <v>452</v>
      </c>
      <c r="C38" s="402"/>
      <c r="D38" s="79">
        <v>1</v>
      </c>
      <c r="E38" s="79">
        <v>2.2000000000000002</v>
      </c>
      <c r="F38" s="46"/>
      <c r="G38" s="79">
        <v>1</v>
      </c>
      <c r="H38" s="46"/>
      <c r="I38" s="46"/>
      <c r="J38" s="46"/>
      <c r="K38" s="79">
        <f t="shared" si="1"/>
        <v>2.2000000000000002</v>
      </c>
      <c r="L38" s="46">
        <f t="shared" si="0"/>
        <v>2.2000000000000002</v>
      </c>
      <c r="M38" s="46"/>
    </row>
    <row r="39" spans="1:13" s="49" customFormat="1" ht="14.45" customHeight="1">
      <c r="A39" s="79"/>
      <c r="B39" s="401" t="s">
        <v>452</v>
      </c>
      <c r="C39" s="402"/>
      <c r="D39" s="79">
        <v>1</v>
      </c>
      <c r="E39" s="79">
        <v>5.9</v>
      </c>
      <c r="F39" s="46"/>
      <c r="G39" s="79">
        <v>4.5</v>
      </c>
      <c r="H39" s="46"/>
      <c r="I39" s="46"/>
      <c r="J39" s="46"/>
      <c r="K39" s="79">
        <f t="shared" si="1"/>
        <v>26.55</v>
      </c>
      <c r="L39" s="46">
        <f t="shared" si="0"/>
        <v>26.55</v>
      </c>
      <c r="M39" s="46"/>
    </row>
    <row r="40" spans="1:13" s="49" customFormat="1" ht="14.45" customHeight="1">
      <c r="A40" s="79"/>
      <c r="B40" s="401" t="s">
        <v>438</v>
      </c>
      <c r="C40" s="402"/>
      <c r="D40" s="79">
        <v>1</v>
      </c>
      <c r="E40" s="79">
        <v>15</v>
      </c>
      <c r="F40" s="46"/>
      <c r="G40" s="79">
        <v>6.6</v>
      </c>
      <c r="H40" s="46"/>
      <c r="I40" s="46"/>
      <c r="J40" s="46"/>
      <c r="K40" s="79">
        <f t="shared" si="1"/>
        <v>99</v>
      </c>
      <c r="L40" s="46">
        <f t="shared" si="0"/>
        <v>99</v>
      </c>
      <c r="M40" s="46"/>
    </row>
    <row r="41" spans="1:13" s="49" customFormat="1" ht="14.45" customHeight="1">
      <c r="A41" s="79"/>
      <c r="B41" s="87"/>
      <c r="C41" s="88"/>
      <c r="D41" s="79"/>
      <c r="E41" s="79"/>
      <c r="F41" s="46"/>
      <c r="G41" s="79"/>
      <c r="H41" s="46"/>
      <c r="I41" s="46"/>
      <c r="J41" s="46"/>
      <c r="K41" s="79"/>
      <c r="L41" s="46"/>
      <c r="M41" s="46"/>
    </row>
    <row r="42" spans="1:13" s="49" customFormat="1" ht="14.45" customHeight="1">
      <c r="A42" s="48"/>
      <c r="B42" s="48"/>
      <c r="C42" s="48"/>
      <c r="D42" s="48"/>
      <c r="E42" s="48"/>
      <c r="G42" s="48"/>
      <c r="K42" s="48"/>
    </row>
    <row r="43" spans="1:13" s="49" customFormat="1" ht="14.45" customHeight="1">
      <c r="A43" s="91" t="str">
        <f>BM_06!A24</f>
        <v>1.6</v>
      </c>
      <c r="B43" s="411" t="str">
        <f>BM_06!B24</f>
        <v>Remoção de caixão de madeira (aduela)</v>
      </c>
      <c r="C43" s="411"/>
      <c r="D43" s="411"/>
      <c r="E43" s="411"/>
      <c r="F43" s="411"/>
      <c r="G43" s="411"/>
      <c r="H43" s="411"/>
      <c r="I43" s="411"/>
      <c r="J43" s="411"/>
      <c r="K43" s="411"/>
      <c r="L43" s="92">
        <f>SUM(L45:L69)</f>
        <v>36</v>
      </c>
      <c r="M43" s="65" t="s">
        <v>429</v>
      </c>
    </row>
    <row r="44" spans="1:13" s="49" customFormat="1" ht="14.45" customHeight="1">
      <c r="A44" s="48"/>
      <c r="B44" s="48"/>
      <c r="C44" s="48"/>
      <c r="D44" s="48"/>
      <c r="E44" s="48"/>
      <c r="G44" s="48"/>
      <c r="K44" s="48"/>
    </row>
    <row r="45" spans="1:13" s="49" customFormat="1" ht="14.45" customHeight="1">
      <c r="A45" s="48"/>
      <c r="B45" s="401" t="s">
        <v>465</v>
      </c>
      <c r="C45" s="402"/>
      <c r="D45" s="98">
        <v>1</v>
      </c>
      <c r="E45" s="98">
        <v>2</v>
      </c>
      <c r="F45" s="98"/>
      <c r="G45" s="98"/>
      <c r="H45" s="98"/>
      <c r="I45" s="98"/>
      <c r="J45" s="98"/>
      <c r="K45" s="98"/>
      <c r="L45" s="98">
        <f>E45*D45</f>
        <v>2</v>
      </c>
    </row>
    <row r="46" spans="1:13" s="49" customFormat="1" ht="14.45" customHeight="1">
      <c r="A46" s="48"/>
      <c r="B46" s="401" t="s">
        <v>436</v>
      </c>
      <c r="C46" s="402"/>
      <c r="D46" s="98">
        <v>1</v>
      </c>
      <c r="E46" s="98">
        <v>1</v>
      </c>
      <c r="F46" s="98"/>
      <c r="G46" s="98"/>
      <c r="H46" s="98"/>
      <c r="I46" s="98"/>
      <c r="J46" s="98"/>
      <c r="K46" s="98"/>
      <c r="L46" s="98">
        <f t="shared" ref="L46:L69" si="2">E46*D46</f>
        <v>1</v>
      </c>
    </row>
    <row r="47" spans="1:13" s="49" customFormat="1" ht="14.45" customHeight="1">
      <c r="A47" s="48"/>
      <c r="B47" s="401" t="s">
        <v>437</v>
      </c>
      <c r="C47" s="402"/>
      <c r="D47" s="98">
        <v>1</v>
      </c>
      <c r="E47" s="98">
        <v>2</v>
      </c>
      <c r="F47" s="98"/>
      <c r="G47" s="98"/>
      <c r="H47" s="98"/>
      <c r="I47" s="98"/>
      <c r="J47" s="98"/>
      <c r="K47" s="98"/>
      <c r="L47" s="98">
        <f t="shared" si="2"/>
        <v>2</v>
      </c>
    </row>
    <row r="48" spans="1:13" s="49" customFormat="1" ht="14.45" customHeight="1">
      <c r="A48" s="48"/>
      <c r="B48" s="401" t="s">
        <v>437</v>
      </c>
      <c r="C48" s="402"/>
      <c r="D48" s="98">
        <v>1</v>
      </c>
      <c r="E48" s="98">
        <v>2</v>
      </c>
      <c r="F48" s="98"/>
      <c r="G48" s="98"/>
      <c r="H48" s="98"/>
      <c r="I48" s="98"/>
      <c r="J48" s="98"/>
      <c r="K48" s="98"/>
      <c r="L48" s="98">
        <f t="shared" si="2"/>
        <v>2</v>
      </c>
    </row>
    <row r="49" spans="1:12" s="49" customFormat="1" ht="14.45" customHeight="1">
      <c r="A49" s="48"/>
      <c r="B49" s="401" t="s">
        <v>572</v>
      </c>
      <c r="C49" s="402"/>
      <c r="D49" s="98">
        <v>1</v>
      </c>
      <c r="E49" s="98">
        <v>1</v>
      </c>
      <c r="F49" s="98"/>
      <c r="G49" s="98"/>
      <c r="H49" s="98"/>
      <c r="I49" s="98"/>
      <c r="J49" s="98"/>
      <c r="K49" s="98"/>
      <c r="L49" s="98">
        <f t="shared" si="2"/>
        <v>1</v>
      </c>
    </row>
    <row r="50" spans="1:12" s="49" customFormat="1" ht="14.45" customHeight="1">
      <c r="A50" s="48"/>
      <c r="B50" s="401" t="s">
        <v>573</v>
      </c>
      <c r="C50" s="402"/>
      <c r="D50" s="98">
        <v>1</v>
      </c>
      <c r="E50" s="98">
        <v>1</v>
      </c>
      <c r="F50" s="98"/>
      <c r="G50" s="98"/>
      <c r="H50" s="98"/>
      <c r="I50" s="98"/>
      <c r="J50" s="98"/>
      <c r="K50" s="98"/>
      <c r="L50" s="98">
        <f t="shared" si="2"/>
        <v>1</v>
      </c>
    </row>
    <row r="51" spans="1:12" s="49" customFormat="1" ht="14.45" customHeight="1">
      <c r="A51" s="48"/>
      <c r="B51" s="401" t="s">
        <v>574</v>
      </c>
      <c r="C51" s="402"/>
      <c r="D51" s="98">
        <v>1</v>
      </c>
      <c r="E51" s="98">
        <v>2</v>
      </c>
      <c r="F51" s="98"/>
      <c r="G51" s="98"/>
      <c r="H51" s="98"/>
      <c r="I51" s="98"/>
      <c r="J51" s="98"/>
      <c r="K51" s="98"/>
      <c r="L51" s="98">
        <f t="shared" si="2"/>
        <v>2</v>
      </c>
    </row>
    <row r="52" spans="1:12" s="49" customFormat="1" ht="14.45" customHeight="1">
      <c r="A52" s="48"/>
      <c r="B52" s="401" t="s">
        <v>575</v>
      </c>
      <c r="C52" s="402"/>
      <c r="D52" s="98">
        <v>1</v>
      </c>
      <c r="E52" s="98">
        <v>1</v>
      </c>
      <c r="F52" s="98"/>
      <c r="G52" s="98"/>
      <c r="H52" s="98"/>
      <c r="I52" s="98"/>
      <c r="J52" s="98"/>
      <c r="K52" s="98"/>
      <c r="L52" s="98">
        <f t="shared" si="2"/>
        <v>1</v>
      </c>
    </row>
    <row r="53" spans="1:12" s="49" customFormat="1" ht="14.45" customHeight="1">
      <c r="A53" s="48"/>
      <c r="B53" s="401" t="s">
        <v>573</v>
      </c>
      <c r="C53" s="402"/>
      <c r="D53" s="98">
        <v>1</v>
      </c>
      <c r="E53" s="98">
        <v>1</v>
      </c>
      <c r="F53" s="98"/>
      <c r="G53" s="98"/>
      <c r="H53" s="98"/>
      <c r="I53" s="98"/>
      <c r="J53" s="98"/>
      <c r="K53" s="98"/>
      <c r="L53" s="98">
        <f t="shared" si="2"/>
        <v>1</v>
      </c>
    </row>
    <row r="54" spans="1:12" s="49" customFormat="1" ht="14.45" customHeight="1">
      <c r="A54" s="48"/>
      <c r="B54" s="401" t="s">
        <v>441</v>
      </c>
      <c r="C54" s="402"/>
      <c r="D54" s="98">
        <v>1</v>
      </c>
      <c r="E54" s="98">
        <v>2</v>
      </c>
      <c r="F54" s="98"/>
      <c r="G54" s="98"/>
      <c r="H54" s="98"/>
      <c r="I54" s="98"/>
      <c r="J54" s="98"/>
      <c r="K54" s="98"/>
      <c r="L54" s="98">
        <f t="shared" si="2"/>
        <v>2</v>
      </c>
    </row>
    <row r="55" spans="1:12" s="49" customFormat="1" ht="14.45" customHeight="1">
      <c r="A55" s="48"/>
      <c r="B55" s="401" t="s">
        <v>442</v>
      </c>
      <c r="C55" s="402"/>
      <c r="D55" s="98">
        <v>1</v>
      </c>
      <c r="E55" s="98">
        <v>2</v>
      </c>
      <c r="F55" s="98"/>
      <c r="G55" s="98"/>
      <c r="H55" s="98"/>
      <c r="I55" s="98"/>
      <c r="J55" s="98"/>
      <c r="K55" s="98"/>
      <c r="L55" s="98">
        <f t="shared" si="2"/>
        <v>2</v>
      </c>
    </row>
    <row r="56" spans="1:12" s="49" customFormat="1" ht="14.45" customHeight="1">
      <c r="A56" s="48"/>
      <c r="B56" s="401" t="s">
        <v>443</v>
      </c>
      <c r="C56" s="402"/>
      <c r="D56" s="98">
        <v>1</v>
      </c>
      <c r="E56" s="98">
        <v>2</v>
      </c>
      <c r="F56" s="98"/>
      <c r="G56" s="98"/>
      <c r="H56" s="98"/>
      <c r="I56" s="98"/>
      <c r="J56" s="98"/>
      <c r="K56" s="98"/>
      <c r="L56" s="98">
        <f t="shared" si="2"/>
        <v>2</v>
      </c>
    </row>
    <row r="57" spans="1:12" s="49" customFormat="1" ht="14.45" customHeight="1">
      <c r="A57" s="48"/>
      <c r="B57" s="401" t="s">
        <v>481</v>
      </c>
      <c r="C57" s="402"/>
      <c r="D57" s="98">
        <v>1</v>
      </c>
      <c r="E57" s="98">
        <v>2</v>
      </c>
      <c r="F57" s="98"/>
      <c r="G57" s="98"/>
      <c r="H57" s="98"/>
      <c r="I57" s="98"/>
      <c r="J57" s="98"/>
      <c r="K57" s="98"/>
      <c r="L57" s="98">
        <f t="shared" si="2"/>
        <v>2</v>
      </c>
    </row>
    <row r="58" spans="1:12" s="49" customFormat="1" ht="14.45" customHeight="1">
      <c r="A58" s="48"/>
      <c r="B58" s="401" t="s">
        <v>445</v>
      </c>
      <c r="C58" s="402"/>
      <c r="D58" s="98">
        <v>1</v>
      </c>
      <c r="E58" s="98">
        <v>1</v>
      </c>
      <c r="F58" s="98"/>
      <c r="G58" s="98"/>
      <c r="H58" s="98"/>
      <c r="I58" s="98"/>
      <c r="J58" s="98"/>
      <c r="K58" s="98"/>
      <c r="L58" s="98">
        <f t="shared" si="2"/>
        <v>1</v>
      </c>
    </row>
    <row r="59" spans="1:12" s="49" customFormat="1" ht="14.45" customHeight="1">
      <c r="A59" s="48"/>
      <c r="B59" s="401" t="s">
        <v>576</v>
      </c>
      <c r="C59" s="402"/>
      <c r="D59" s="98">
        <v>1</v>
      </c>
      <c r="E59" s="98">
        <v>1</v>
      </c>
      <c r="F59" s="98"/>
      <c r="G59" s="98"/>
      <c r="H59" s="98"/>
      <c r="I59" s="98"/>
      <c r="J59" s="98"/>
      <c r="K59" s="98"/>
      <c r="L59" s="98">
        <f t="shared" si="2"/>
        <v>1</v>
      </c>
    </row>
    <row r="60" spans="1:12" s="49" customFormat="1" ht="14.45" customHeight="1">
      <c r="A60" s="48"/>
      <c r="B60" s="401" t="s">
        <v>446</v>
      </c>
      <c r="C60" s="402"/>
      <c r="D60" s="98">
        <v>1</v>
      </c>
      <c r="E60" s="98">
        <v>1</v>
      </c>
      <c r="F60" s="98"/>
      <c r="G60" s="98"/>
      <c r="H60" s="98"/>
      <c r="I60" s="98"/>
      <c r="J60" s="98"/>
      <c r="K60" s="98"/>
      <c r="L60" s="98">
        <f t="shared" si="2"/>
        <v>1</v>
      </c>
    </row>
    <row r="61" spans="1:12" s="49" customFormat="1" ht="14.45" customHeight="1">
      <c r="A61" s="48"/>
      <c r="B61" s="401" t="s">
        <v>577</v>
      </c>
      <c r="C61" s="402"/>
      <c r="D61" s="98">
        <v>1</v>
      </c>
      <c r="E61" s="98">
        <v>1</v>
      </c>
      <c r="F61" s="98"/>
      <c r="G61" s="98"/>
      <c r="H61" s="98"/>
      <c r="I61" s="98"/>
      <c r="J61" s="98"/>
      <c r="K61" s="98"/>
      <c r="L61" s="98">
        <f t="shared" si="2"/>
        <v>1</v>
      </c>
    </row>
    <row r="62" spans="1:12" s="49" customFormat="1" ht="14.45" customHeight="1">
      <c r="A62" s="48"/>
      <c r="B62" s="401" t="s">
        <v>447</v>
      </c>
      <c r="C62" s="402"/>
      <c r="D62" s="98">
        <v>1</v>
      </c>
      <c r="E62" s="98">
        <v>2</v>
      </c>
      <c r="F62" s="98"/>
      <c r="G62" s="98"/>
      <c r="H62" s="98"/>
      <c r="I62" s="98"/>
      <c r="J62" s="98"/>
      <c r="K62" s="98"/>
      <c r="L62" s="98">
        <f t="shared" si="2"/>
        <v>2</v>
      </c>
    </row>
    <row r="63" spans="1:12" s="49" customFormat="1" ht="14.45" customHeight="1">
      <c r="A63" s="48"/>
      <c r="B63" s="401" t="s">
        <v>457</v>
      </c>
      <c r="C63" s="402"/>
      <c r="D63" s="98">
        <v>1</v>
      </c>
      <c r="E63" s="98">
        <v>1</v>
      </c>
      <c r="F63" s="98"/>
      <c r="G63" s="98"/>
      <c r="H63" s="98"/>
      <c r="I63" s="98"/>
      <c r="J63" s="98"/>
      <c r="K63" s="98"/>
      <c r="L63" s="98">
        <f t="shared" si="2"/>
        <v>1</v>
      </c>
    </row>
    <row r="64" spans="1:12" s="49" customFormat="1" ht="14.45" customHeight="1">
      <c r="A64" s="48"/>
      <c r="B64" s="401" t="s">
        <v>578</v>
      </c>
      <c r="C64" s="402"/>
      <c r="D64" s="98">
        <v>1</v>
      </c>
      <c r="E64" s="98">
        <v>2</v>
      </c>
      <c r="F64" s="98"/>
      <c r="G64" s="98"/>
      <c r="H64" s="98"/>
      <c r="I64" s="98"/>
      <c r="J64" s="98"/>
      <c r="K64" s="98"/>
      <c r="L64" s="98">
        <f t="shared" si="2"/>
        <v>2</v>
      </c>
    </row>
    <row r="65" spans="1:13" s="49" customFormat="1" ht="14.45" customHeight="1">
      <c r="A65" s="48"/>
      <c r="B65" s="401" t="s">
        <v>460</v>
      </c>
      <c r="C65" s="402"/>
      <c r="D65" s="98">
        <v>1</v>
      </c>
      <c r="E65" s="98">
        <v>1</v>
      </c>
      <c r="F65" s="98"/>
      <c r="G65" s="98"/>
      <c r="H65" s="98"/>
      <c r="I65" s="98"/>
      <c r="J65" s="98"/>
      <c r="K65" s="98"/>
      <c r="L65" s="98">
        <f t="shared" si="2"/>
        <v>1</v>
      </c>
    </row>
    <row r="66" spans="1:13" s="49" customFormat="1" ht="14.45" customHeight="1">
      <c r="A66" s="48"/>
      <c r="B66" s="401" t="s">
        <v>579</v>
      </c>
      <c r="C66" s="402"/>
      <c r="D66" s="98">
        <v>1</v>
      </c>
      <c r="E66" s="98">
        <v>2</v>
      </c>
      <c r="F66" s="98"/>
      <c r="G66" s="98"/>
      <c r="H66" s="98"/>
      <c r="I66" s="98"/>
      <c r="J66" s="98"/>
      <c r="K66" s="98"/>
      <c r="L66" s="98">
        <f t="shared" si="2"/>
        <v>2</v>
      </c>
    </row>
    <row r="67" spans="1:13" s="49" customFormat="1" ht="14.45" customHeight="1">
      <c r="A67" s="48"/>
      <c r="B67" s="401" t="s">
        <v>453</v>
      </c>
      <c r="C67" s="402"/>
      <c r="D67" s="98">
        <v>1</v>
      </c>
      <c r="E67" s="98">
        <v>1</v>
      </c>
      <c r="F67" s="98"/>
      <c r="G67" s="98"/>
      <c r="H67" s="98"/>
      <c r="I67" s="98"/>
      <c r="J67" s="98"/>
      <c r="K67" s="98"/>
      <c r="L67" s="98">
        <f t="shared" si="2"/>
        <v>1</v>
      </c>
    </row>
    <row r="68" spans="1:13" s="49" customFormat="1" ht="14.45" customHeight="1">
      <c r="A68" s="48"/>
      <c r="B68" s="401" t="s">
        <v>458</v>
      </c>
      <c r="C68" s="402"/>
      <c r="D68" s="98">
        <v>1</v>
      </c>
      <c r="E68" s="98">
        <v>1</v>
      </c>
      <c r="F68" s="98"/>
      <c r="G68" s="98"/>
      <c r="H68" s="98"/>
      <c r="I68" s="98"/>
      <c r="J68" s="98"/>
      <c r="K68" s="98"/>
      <c r="L68" s="98">
        <f t="shared" si="2"/>
        <v>1</v>
      </c>
    </row>
    <row r="69" spans="1:13" s="49" customFormat="1" ht="14.45" customHeight="1">
      <c r="A69" s="48"/>
      <c r="B69" s="401" t="s">
        <v>580</v>
      </c>
      <c r="C69" s="402"/>
      <c r="D69" s="98">
        <v>1</v>
      </c>
      <c r="E69" s="98">
        <v>1</v>
      </c>
      <c r="F69" s="98"/>
      <c r="G69" s="98"/>
      <c r="H69" s="98"/>
      <c r="I69" s="98"/>
      <c r="J69" s="98"/>
      <c r="K69" s="98"/>
      <c r="L69" s="98">
        <f t="shared" si="2"/>
        <v>1</v>
      </c>
    </row>
    <row r="70" spans="1:13" s="49" customFormat="1" ht="14.45" customHeight="1">
      <c r="A70" s="48"/>
      <c r="B70" s="48"/>
      <c r="C70" s="48"/>
      <c r="D70" s="48"/>
      <c r="E70" s="48"/>
      <c r="G70" s="48"/>
      <c r="K70" s="48"/>
    </row>
    <row r="71" spans="1:13" s="49" customFormat="1" ht="14.45" customHeight="1">
      <c r="A71" s="166" t="s">
        <v>494</v>
      </c>
      <c r="B71" s="405" t="str">
        <f>BM_06!B25</f>
        <v>REMOÇÃO DE JANELAS, DE FORMA MANUAL, SEM REAPROVEITAMENTO. AF_12/2017</v>
      </c>
      <c r="C71" s="405"/>
      <c r="D71" s="405"/>
      <c r="E71" s="405"/>
      <c r="F71" s="405"/>
      <c r="G71" s="405"/>
      <c r="H71" s="405"/>
      <c r="I71" s="405"/>
      <c r="J71" s="405"/>
      <c r="K71" s="405"/>
      <c r="L71" s="166">
        <f>SUM(L73:L91)</f>
        <v>14</v>
      </c>
      <c r="M71" s="166" t="s">
        <v>429</v>
      </c>
    </row>
    <row r="72" spans="1:13" s="49" customFormat="1" ht="14.45" customHeight="1">
      <c r="A72" s="98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</row>
    <row r="73" spans="1:13" s="49" customFormat="1" ht="14.45" customHeight="1">
      <c r="A73" s="98"/>
      <c r="B73" s="401" t="s">
        <v>465</v>
      </c>
      <c r="C73" s="402"/>
      <c r="D73" s="98">
        <v>1</v>
      </c>
      <c r="E73" s="98">
        <v>1</v>
      </c>
      <c r="F73" s="98"/>
      <c r="G73" s="98">
        <v>1</v>
      </c>
      <c r="H73" s="98"/>
      <c r="I73" s="98"/>
      <c r="J73" s="98"/>
      <c r="K73" s="98">
        <f t="shared" ref="K73:K91" si="3">E73*G73</f>
        <v>1</v>
      </c>
      <c r="L73" s="98">
        <f t="shared" ref="L73:L91" si="4">K73*D73</f>
        <v>1</v>
      </c>
      <c r="M73" s="98"/>
    </row>
    <row r="74" spans="1:13" s="49" customFormat="1" ht="14.45" customHeight="1">
      <c r="A74" s="98"/>
      <c r="B74" s="401" t="s">
        <v>582</v>
      </c>
      <c r="C74" s="402"/>
      <c r="D74" s="98">
        <v>1</v>
      </c>
      <c r="E74" s="98">
        <v>0.5</v>
      </c>
      <c r="F74" s="98"/>
      <c r="G74" s="98">
        <v>0.5</v>
      </c>
      <c r="H74" s="98"/>
      <c r="I74" s="98"/>
      <c r="J74" s="98"/>
      <c r="K74" s="98">
        <f t="shared" si="3"/>
        <v>0.25</v>
      </c>
      <c r="L74" s="98">
        <f t="shared" si="4"/>
        <v>0.25</v>
      </c>
      <c r="M74" s="98"/>
    </row>
    <row r="75" spans="1:13" s="49" customFormat="1" ht="14.45" customHeight="1">
      <c r="A75" s="98"/>
      <c r="B75" s="401" t="s">
        <v>436</v>
      </c>
      <c r="C75" s="402"/>
      <c r="D75" s="98">
        <v>1</v>
      </c>
      <c r="E75" s="98">
        <v>1</v>
      </c>
      <c r="F75" s="98"/>
      <c r="G75" s="98">
        <v>1</v>
      </c>
      <c r="H75" s="98"/>
      <c r="I75" s="98"/>
      <c r="J75" s="98"/>
      <c r="K75" s="98">
        <f t="shared" si="3"/>
        <v>1</v>
      </c>
      <c r="L75" s="98">
        <f t="shared" si="4"/>
        <v>1</v>
      </c>
      <c r="M75" s="98"/>
    </row>
    <row r="76" spans="1:13" s="49" customFormat="1" ht="14.45" customHeight="1">
      <c r="A76" s="98"/>
      <c r="B76" s="401" t="s">
        <v>437</v>
      </c>
      <c r="C76" s="402"/>
      <c r="D76" s="98">
        <v>1</v>
      </c>
      <c r="E76" s="98">
        <v>1</v>
      </c>
      <c r="F76" s="98"/>
      <c r="G76" s="98">
        <v>1</v>
      </c>
      <c r="H76" s="98"/>
      <c r="I76" s="98"/>
      <c r="J76" s="98"/>
      <c r="K76" s="98">
        <f t="shared" si="3"/>
        <v>1</v>
      </c>
      <c r="L76" s="98">
        <f t="shared" si="4"/>
        <v>1</v>
      </c>
      <c r="M76" s="98"/>
    </row>
    <row r="77" spans="1:13" s="49" customFormat="1" ht="14.45" customHeight="1">
      <c r="A77" s="98"/>
      <c r="B77" s="401" t="s">
        <v>582</v>
      </c>
      <c r="C77" s="402"/>
      <c r="D77" s="98">
        <v>1</v>
      </c>
      <c r="E77" s="98">
        <v>0.5</v>
      </c>
      <c r="F77" s="98"/>
      <c r="G77" s="98">
        <v>0.5</v>
      </c>
      <c r="H77" s="98"/>
      <c r="I77" s="98"/>
      <c r="J77" s="98"/>
      <c r="K77" s="98">
        <f t="shared" si="3"/>
        <v>0.25</v>
      </c>
      <c r="L77" s="98">
        <f t="shared" si="4"/>
        <v>0.25</v>
      </c>
      <c r="M77" s="98"/>
    </row>
    <row r="78" spans="1:13" s="49" customFormat="1" ht="14.45" customHeight="1">
      <c r="A78" s="98"/>
      <c r="B78" s="401" t="s">
        <v>437</v>
      </c>
      <c r="C78" s="402"/>
      <c r="D78" s="98">
        <v>1</v>
      </c>
      <c r="E78" s="98">
        <v>1</v>
      </c>
      <c r="F78" s="98"/>
      <c r="G78" s="98">
        <v>1</v>
      </c>
      <c r="H78" s="98"/>
      <c r="I78" s="98"/>
      <c r="J78" s="98"/>
      <c r="K78" s="98">
        <f t="shared" si="3"/>
        <v>1</v>
      </c>
      <c r="L78" s="98">
        <f t="shared" si="4"/>
        <v>1</v>
      </c>
      <c r="M78" s="98"/>
    </row>
    <row r="79" spans="1:13" s="49" customFormat="1" ht="14.45" customHeight="1">
      <c r="A79" s="98"/>
      <c r="B79" s="401" t="s">
        <v>582</v>
      </c>
      <c r="C79" s="402"/>
      <c r="D79" s="98">
        <v>1</v>
      </c>
      <c r="E79" s="98">
        <v>0.5</v>
      </c>
      <c r="F79" s="98"/>
      <c r="G79" s="98">
        <v>0.5</v>
      </c>
      <c r="H79" s="98"/>
      <c r="I79" s="98"/>
      <c r="J79" s="98"/>
      <c r="K79" s="98">
        <f t="shared" si="3"/>
        <v>0.25</v>
      </c>
      <c r="L79" s="98">
        <f t="shared" si="4"/>
        <v>0.25</v>
      </c>
      <c r="M79" s="98"/>
    </row>
    <row r="80" spans="1:13" s="49" customFormat="1" ht="14.45" customHeight="1">
      <c r="A80" s="98"/>
      <c r="B80" s="401" t="s">
        <v>579</v>
      </c>
      <c r="C80" s="402"/>
      <c r="D80" s="98">
        <v>2</v>
      </c>
      <c r="E80" s="98">
        <v>0.5</v>
      </c>
      <c r="F80" s="98"/>
      <c r="G80" s="98">
        <v>0.5</v>
      </c>
      <c r="H80" s="98"/>
      <c r="I80" s="98"/>
      <c r="J80" s="98"/>
      <c r="K80" s="98">
        <f t="shared" si="3"/>
        <v>0.25</v>
      </c>
      <c r="L80" s="98">
        <f t="shared" si="4"/>
        <v>0.5</v>
      </c>
      <c r="M80" s="98"/>
    </row>
    <row r="81" spans="1:13" s="49" customFormat="1" ht="14.45" customHeight="1">
      <c r="A81" s="98"/>
      <c r="B81" s="401" t="s">
        <v>442</v>
      </c>
      <c r="C81" s="402"/>
      <c r="D81" s="98">
        <v>1</v>
      </c>
      <c r="E81" s="98">
        <v>1</v>
      </c>
      <c r="F81" s="98"/>
      <c r="G81" s="98">
        <v>1</v>
      </c>
      <c r="H81" s="98"/>
      <c r="I81" s="98"/>
      <c r="J81" s="98"/>
      <c r="K81" s="98">
        <f t="shared" si="3"/>
        <v>1</v>
      </c>
      <c r="L81" s="98">
        <f t="shared" si="4"/>
        <v>1</v>
      </c>
      <c r="M81" s="98"/>
    </row>
    <row r="82" spans="1:13" s="49" customFormat="1" ht="14.45" customHeight="1">
      <c r="A82" s="98"/>
      <c r="B82" s="401" t="s">
        <v>443</v>
      </c>
      <c r="C82" s="402"/>
      <c r="D82" s="98">
        <v>1</v>
      </c>
      <c r="E82" s="98">
        <v>1</v>
      </c>
      <c r="F82" s="98"/>
      <c r="G82" s="98">
        <v>1</v>
      </c>
      <c r="H82" s="98"/>
      <c r="I82" s="98"/>
      <c r="J82" s="98"/>
      <c r="K82" s="98">
        <f t="shared" si="3"/>
        <v>1</v>
      </c>
      <c r="L82" s="98">
        <f t="shared" si="4"/>
        <v>1</v>
      </c>
      <c r="M82" s="98"/>
    </row>
    <row r="83" spans="1:13" s="49" customFormat="1" ht="14.45" customHeight="1">
      <c r="A83" s="98"/>
      <c r="B83" s="401" t="s">
        <v>481</v>
      </c>
      <c r="C83" s="402"/>
      <c r="D83" s="98">
        <v>1</v>
      </c>
      <c r="E83" s="98">
        <v>1</v>
      </c>
      <c r="F83" s="98"/>
      <c r="G83" s="98">
        <v>1</v>
      </c>
      <c r="H83" s="98"/>
      <c r="I83" s="98"/>
      <c r="J83" s="98"/>
      <c r="K83" s="98">
        <f t="shared" si="3"/>
        <v>1</v>
      </c>
      <c r="L83" s="98">
        <f t="shared" si="4"/>
        <v>1</v>
      </c>
      <c r="M83" s="98"/>
    </row>
    <row r="84" spans="1:13" s="49" customFormat="1" ht="14.45" customHeight="1">
      <c r="A84" s="98"/>
      <c r="B84" s="401" t="s">
        <v>445</v>
      </c>
      <c r="C84" s="402"/>
      <c r="D84" s="98">
        <v>1</v>
      </c>
      <c r="E84" s="98">
        <v>1</v>
      </c>
      <c r="F84" s="98"/>
      <c r="G84" s="98">
        <v>1</v>
      </c>
      <c r="H84" s="98"/>
      <c r="I84" s="98"/>
      <c r="J84" s="98"/>
      <c r="K84" s="98">
        <f t="shared" si="3"/>
        <v>1</v>
      </c>
      <c r="L84" s="98">
        <f t="shared" si="4"/>
        <v>1</v>
      </c>
      <c r="M84" s="98"/>
    </row>
    <row r="85" spans="1:13" s="49" customFormat="1" ht="14.45" customHeight="1">
      <c r="A85" s="98"/>
      <c r="B85" s="401" t="s">
        <v>446</v>
      </c>
      <c r="C85" s="402"/>
      <c r="D85" s="98">
        <v>1</v>
      </c>
      <c r="E85" s="98">
        <v>0.5</v>
      </c>
      <c r="F85" s="98"/>
      <c r="G85" s="98">
        <v>0.5</v>
      </c>
      <c r="H85" s="98"/>
      <c r="I85" s="98"/>
      <c r="J85" s="98"/>
      <c r="K85" s="98">
        <f t="shared" si="3"/>
        <v>0.25</v>
      </c>
      <c r="L85" s="98">
        <f t="shared" si="4"/>
        <v>0.25</v>
      </c>
      <c r="M85" s="98"/>
    </row>
    <row r="86" spans="1:13" s="49" customFormat="1" ht="14.45" customHeight="1">
      <c r="A86" s="98"/>
      <c r="B86" s="401" t="s">
        <v>447</v>
      </c>
      <c r="C86" s="402"/>
      <c r="D86" s="98">
        <v>1</v>
      </c>
      <c r="E86" s="98">
        <v>1</v>
      </c>
      <c r="F86" s="98"/>
      <c r="G86" s="98">
        <v>1</v>
      </c>
      <c r="H86" s="98"/>
      <c r="I86" s="98"/>
      <c r="J86" s="98"/>
      <c r="K86" s="98">
        <f t="shared" si="3"/>
        <v>1</v>
      </c>
      <c r="L86" s="98">
        <f t="shared" si="4"/>
        <v>1</v>
      </c>
      <c r="M86" s="98"/>
    </row>
    <row r="87" spans="1:13" s="49" customFormat="1" ht="14.45" customHeight="1">
      <c r="A87" s="98"/>
      <c r="B87" s="401" t="s">
        <v>457</v>
      </c>
      <c r="C87" s="402"/>
      <c r="D87" s="98">
        <v>1</v>
      </c>
      <c r="E87" s="98">
        <v>1</v>
      </c>
      <c r="F87" s="98"/>
      <c r="G87" s="98">
        <v>1</v>
      </c>
      <c r="H87" s="98"/>
      <c r="I87" s="98"/>
      <c r="J87" s="98"/>
      <c r="K87" s="98">
        <f t="shared" si="3"/>
        <v>1</v>
      </c>
      <c r="L87" s="98">
        <f t="shared" si="4"/>
        <v>1</v>
      </c>
      <c r="M87" s="98"/>
    </row>
    <row r="88" spans="1:13" s="49" customFormat="1" ht="14.45" customHeight="1">
      <c r="A88" s="98"/>
      <c r="B88" s="401" t="s">
        <v>578</v>
      </c>
      <c r="C88" s="402"/>
      <c r="D88" s="98">
        <v>1</v>
      </c>
      <c r="E88" s="98">
        <v>0.5</v>
      </c>
      <c r="F88" s="98"/>
      <c r="G88" s="98">
        <v>0.5</v>
      </c>
      <c r="H88" s="98"/>
      <c r="I88" s="98"/>
      <c r="J88" s="98"/>
      <c r="K88" s="98">
        <f t="shared" si="3"/>
        <v>0.25</v>
      </c>
      <c r="L88" s="98">
        <f t="shared" si="4"/>
        <v>0.25</v>
      </c>
      <c r="M88" s="98"/>
    </row>
    <row r="89" spans="1:13" s="49" customFormat="1" ht="14.45" customHeight="1">
      <c r="A89" s="98"/>
      <c r="B89" s="401" t="s">
        <v>460</v>
      </c>
      <c r="C89" s="402"/>
      <c r="D89" s="98">
        <v>1</v>
      </c>
      <c r="E89" s="98">
        <v>1</v>
      </c>
      <c r="F89" s="98"/>
      <c r="G89" s="98">
        <v>1</v>
      </c>
      <c r="H89" s="98"/>
      <c r="I89" s="98"/>
      <c r="J89" s="98"/>
      <c r="K89" s="98">
        <f t="shared" si="3"/>
        <v>1</v>
      </c>
      <c r="L89" s="98">
        <f t="shared" si="4"/>
        <v>1</v>
      </c>
      <c r="M89" s="98"/>
    </row>
    <row r="90" spans="1:13" s="49" customFormat="1" ht="14.45" customHeight="1">
      <c r="A90" s="98"/>
      <c r="B90" s="401" t="s">
        <v>579</v>
      </c>
      <c r="C90" s="402"/>
      <c r="D90" s="98">
        <v>1</v>
      </c>
      <c r="E90" s="98">
        <v>1</v>
      </c>
      <c r="F90" s="98"/>
      <c r="G90" s="98">
        <v>1</v>
      </c>
      <c r="H90" s="98"/>
      <c r="I90" s="98"/>
      <c r="J90" s="98"/>
      <c r="K90" s="98">
        <f t="shared" si="3"/>
        <v>1</v>
      </c>
      <c r="L90" s="98">
        <f t="shared" si="4"/>
        <v>1</v>
      </c>
      <c r="M90" s="98"/>
    </row>
    <row r="91" spans="1:13" s="49" customFormat="1" ht="14.45" customHeight="1">
      <c r="A91" s="98"/>
      <c r="B91" s="401" t="s">
        <v>580</v>
      </c>
      <c r="C91" s="402"/>
      <c r="D91" s="98">
        <v>1</v>
      </c>
      <c r="E91" s="98">
        <v>0.5</v>
      </c>
      <c r="F91" s="98"/>
      <c r="G91" s="98">
        <v>0.5</v>
      </c>
      <c r="H91" s="98"/>
      <c r="I91" s="98"/>
      <c r="J91" s="98"/>
      <c r="K91" s="98">
        <f t="shared" si="3"/>
        <v>0.25</v>
      </c>
      <c r="L91" s="98">
        <f t="shared" si="4"/>
        <v>0.25</v>
      </c>
      <c r="M91" s="98"/>
    </row>
    <row r="92" spans="1:13" s="49" customFormat="1" ht="14.45" customHeight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</row>
    <row r="93" spans="1:13" s="49" customFormat="1" ht="14.45" customHeight="1">
      <c r="A93" s="166" t="s">
        <v>495</v>
      </c>
      <c r="B93" s="405" t="str">
        <f>BM_06!B26</f>
        <v>REMOÇÃO DE FORRO DE GESSO, DE FORMA MANUAL, SEM REAPROVEITAMENTO. AF_12/2017</v>
      </c>
      <c r="C93" s="405"/>
      <c r="D93" s="405"/>
      <c r="E93" s="405"/>
      <c r="F93" s="405"/>
      <c r="G93" s="405"/>
      <c r="H93" s="405"/>
      <c r="I93" s="405"/>
      <c r="J93" s="405"/>
      <c r="K93" s="405"/>
      <c r="L93" s="166">
        <f>SUM(L95:L103)</f>
        <v>396.84</v>
      </c>
      <c r="M93" s="166" t="s">
        <v>429</v>
      </c>
    </row>
    <row r="94" spans="1:13" s="49" customFormat="1" ht="14.45" customHeight="1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</row>
    <row r="95" spans="1:13" s="49" customFormat="1" ht="14.45" customHeight="1">
      <c r="A95" s="98"/>
      <c r="B95" s="406" t="s">
        <v>438</v>
      </c>
      <c r="C95" s="406"/>
      <c r="D95" s="98">
        <v>1</v>
      </c>
      <c r="E95" s="98">
        <v>6.7</v>
      </c>
      <c r="F95" s="98"/>
      <c r="G95" s="98">
        <v>19.2</v>
      </c>
      <c r="H95" s="98"/>
      <c r="I95" s="98"/>
      <c r="J95" s="98"/>
      <c r="K95" s="98">
        <f>E95*G95</f>
        <v>128.63999999999999</v>
      </c>
      <c r="L95" s="98">
        <f>K95*D95</f>
        <v>128.63999999999999</v>
      </c>
      <c r="M95" s="98"/>
    </row>
    <row r="96" spans="1:13" s="49" customFormat="1" ht="14.45" customHeight="1">
      <c r="A96" s="98"/>
      <c r="B96" s="406" t="s">
        <v>583</v>
      </c>
      <c r="C96" s="406"/>
      <c r="D96" s="98">
        <v>1</v>
      </c>
      <c r="E96" s="98">
        <v>6.2</v>
      </c>
      <c r="F96" s="98"/>
      <c r="G96" s="98">
        <v>4.0999999999999996</v>
      </c>
      <c r="H96" s="98"/>
      <c r="I96" s="98"/>
      <c r="J96" s="98"/>
      <c r="K96" s="98">
        <f t="shared" ref="K96:K103" si="5">E96*G96</f>
        <v>25.419999999999998</v>
      </c>
      <c r="L96" s="98">
        <f t="shared" ref="L96:L103" si="6">K96*D96</f>
        <v>25.419999999999998</v>
      </c>
      <c r="M96" s="98"/>
    </row>
    <row r="97" spans="1:13" s="49" customFormat="1" ht="14.45" customHeight="1">
      <c r="A97" s="98"/>
      <c r="B97" s="406" t="s">
        <v>435</v>
      </c>
      <c r="C97" s="406"/>
      <c r="D97" s="98">
        <v>1</v>
      </c>
      <c r="E97" s="98">
        <v>5.2</v>
      </c>
      <c r="F97" s="98"/>
      <c r="G97" s="98">
        <v>5.6</v>
      </c>
      <c r="H97" s="98"/>
      <c r="I97" s="98"/>
      <c r="J97" s="98"/>
      <c r="K97" s="98">
        <f t="shared" si="5"/>
        <v>29.119999999999997</v>
      </c>
      <c r="L97" s="98">
        <f t="shared" si="6"/>
        <v>29.119999999999997</v>
      </c>
      <c r="M97" s="98"/>
    </row>
    <row r="98" spans="1:13" s="49" customFormat="1" ht="14.45" customHeight="1">
      <c r="A98" s="98"/>
      <c r="B98" s="406" t="s">
        <v>436</v>
      </c>
      <c r="C98" s="406"/>
      <c r="D98" s="98">
        <v>1</v>
      </c>
      <c r="E98" s="98">
        <v>5.2</v>
      </c>
      <c r="F98" s="98"/>
      <c r="G98" s="98">
        <v>5.6</v>
      </c>
      <c r="H98" s="98"/>
      <c r="I98" s="98"/>
      <c r="J98" s="98"/>
      <c r="K98" s="98">
        <f t="shared" si="5"/>
        <v>29.119999999999997</v>
      </c>
      <c r="L98" s="98">
        <f t="shared" si="6"/>
        <v>29.119999999999997</v>
      </c>
      <c r="M98" s="98"/>
    </row>
    <row r="99" spans="1:13" s="49" customFormat="1" ht="14.45" customHeight="1">
      <c r="A99" s="98"/>
      <c r="B99" s="406" t="s">
        <v>437</v>
      </c>
      <c r="C99" s="406"/>
      <c r="D99" s="98">
        <v>1</v>
      </c>
      <c r="E99" s="98">
        <v>5.2</v>
      </c>
      <c r="F99" s="98"/>
      <c r="G99" s="98">
        <v>5.6</v>
      </c>
      <c r="H99" s="98"/>
      <c r="I99" s="98"/>
      <c r="J99" s="98"/>
      <c r="K99" s="98">
        <f t="shared" si="5"/>
        <v>29.119999999999997</v>
      </c>
      <c r="L99" s="98">
        <f t="shared" si="6"/>
        <v>29.119999999999997</v>
      </c>
      <c r="M99" s="98"/>
    </row>
    <row r="100" spans="1:13" s="49" customFormat="1" ht="14.45" customHeight="1">
      <c r="A100" s="98"/>
      <c r="B100" s="406" t="s">
        <v>437</v>
      </c>
      <c r="C100" s="406"/>
      <c r="D100" s="98">
        <v>1</v>
      </c>
      <c r="E100" s="98">
        <v>5.2</v>
      </c>
      <c r="F100" s="98"/>
      <c r="G100" s="98">
        <v>5.6</v>
      </c>
      <c r="H100" s="98"/>
      <c r="I100" s="98"/>
      <c r="J100" s="98"/>
      <c r="K100" s="98">
        <f t="shared" si="5"/>
        <v>29.119999999999997</v>
      </c>
      <c r="L100" s="98">
        <f t="shared" si="6"/>
        <v>29.119999999999997</v>
      </c>
      <c r="M100" s="98"/>
    </row>
    <row r="101" spans="1:13" s="49" customFormat="1" ht="14.45" customHeight="1">
      <c r="A101" s="98"/>
      <c r="B101" s="406" t="s">
        <v>584</v>
      </c>
      <c r="C101" s="406"/>
      <c r="D101" s="98">
        <v>1</v>
      </c>
      <c r="E101" s="98">
        <v>2</v>
      </c>
      <c r="F101" s="98"/>
      <c r="G101" s="98">
        <v>22.9</v>
      </c>
      <c r="H101" s="98"/>
      <c r="I101" s="98"/>
      <c r="J101" s="98"/>
      <c r="K101" s="98">
        <f t="shared" si="5"/>
        <v>45.8</v>
      </c>
      <c r="L101" s="98">
        <f t="shared" si="6"/>
        <v>45.8</v>
      </c>
      <c r="M101" s="98"/>
    </row>
    <row r="102" spans="1:13" s="49" customFormat="1" ht="14.45" customHeight="1">
      <c r="A102" s="98"/>
      <c r="B102" s="406" t="s">
        <v>585</v>
      </c>
      <c r="C102" s="406"/>
      <c r="D102" s="98">
        <v>1</v>
      </c>
      <c r="E102" s="98">
        <v>5.2</v>
      </c>
      <c r="F102" s="98"/>
      <c r="G102" s="98">
        <v>13</v>
      </c>
      <c r="H102" s="98"/>
      <c r="I102" s="98"/>
      <c r="J102" s="98"/>
      <c r="K102" s="98">
        <f t="shared" si="5"/>
        <v>67.600000000000009</v>
      </c>
      <c r="L102" s="98">
        <f t="shared" si="6"/>
        <v>67.600000000000009</v>
      </c>
      <c r="M102" s="98"/>
    </row>
    <row r="103" spans="1:13" s="49" customFormat="1" ht="14.45" customHeight="1">
      <c r="A103" s="98"/>
      <c r="B103" s="406" t="s">
        <v>586</v>
      </c>
      <c r="C103" s="406"/>
      <c r="D103" s="98">
        <v>1</v>
      </c>
      <c r="E103" s="98">
        <v>3</v>
      </c>
      <c r="F103" s="98"/>
      <c r="G103" s="98">
        <v>4.3</v>
      </c>
      <c r="H103" s="98"/>
      <c r="I103" s="98"/>
      <c r="J103" s="98"/>
      <c r="K103" s="98">
        <f t="shared" si="5"/>
        <v>12.899999999999999</v>
      </c>
      <c r="L103" s="98">
        <f t="shared" si="6"/>
        <v>12.899999999999999</v>
      </c>
      <c r="M103" s="98"/>
    </row>
    <row r="104" spans="1:13" s="49" customFormat="1" ht="14.4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</row>
    <row r="105" spans="1:13" s="49" customFormat="1" ht="14.45" customHeight="1">
      <c r="A105" s="166" t="s">
        <v>496</v>
      </c>
      <c r="B105" s="405" t="str">
        <f>BM_06!B27</f>
        <v>DEMOLIÇÃO DE LAJES, DE FORMA MANUAL, SEM REAPROVEITAMENTO. AF_12/2017</v>
      </c>
      <c r="C105" s="405"/>
      <c r="D105" s="405"/>
      <c r="E105" s="405"/>
      <c r="F105" s="405"/>
      <c r="G105" s="405"/>
      <c r="H105" s="405"/>
      <c r="I105" s="405"/>
      <c r="J105" s="405"/>
      <c r="K105" s="405"/>
      <c r="L105" s="166">
        <f>SUM(L107:L111)</f>
        <v>35.363999999999997</v>
      </c>
      <c r="M105" s="166" t="s">
        <v>498</v>
      </c>
    </row>
    <row r="106" spans="1:13" s="49" customFormat="1" ht="14.4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</row>
    <row r="107" spans="1:13" s="49" customFormat="1" ht="14.45" customHeight="1">
      <c r="A107" s="98"/>
      <c r="B107" s="406" t="s">
        <v>438</v>
      </c>
      <c r="C107" s="406"/>
      <c r="D107" s="98">
        <v>1</v>
      </c>
      <c r="E107" s="98">
        <v>6.7</v>
      </c>
      <c r="F107" s="98"/>
      <c r="G107" s="98">
        <v>19.2</v>
      </c>
      <c r="H107" s="98"/>
      <c r="I107" s="98">
        <v>0.15</v>
      </c>
      <c r="J107" s="98"/>
      <c r="K107" s="98">
        <f>E107*G107*I107</f>
        <v>19.295999999999996</v>
      </c>
      <c r="L107" s="98">
        <f>K107*D107</f>
        <v>19.295999999999996</v>
      </c>
      <c r="M107" s="98"/>
    </row>
    <row r="108" spans="1:13" s="49" customFormat="1" ht="14.45" customHeight="1">
      <c r="A108" s="98"/>
      <c r="B108" s="406" t="s">
        <v>585</v>
      </c>
      <c r="C108" s="406"/>
      <c r="D108" s="98">
        <v>1</v>
      </c>
      <c r="E108" s="98">
        <v>5.2</v>
      </c>
      <c r="F108" s="98"/>
      <c r="G108" s="98">
        <v>13</v>
      </c>
      <c r="H108" s="98"/>
      <c r="I108" s="98">
        <v>0.15</v>
      </c>
      <c r="J108" s="98"/>
      <c r="K108" s="98">
        <f>E108*G108*I108</f>
        <v>10.14</v>
      </c>
      <c r="L108" s="98">
        <f>K108*D108</f>
        <v>10.14</v>
      </c>
      <c r="M108" s="98"/>
    </row>
    <row r="109" spans="1:13" s="49" customFormat="1" ht="14.45" customHeight="1">
      <c r="A109" s="98"/>
      <c r="B109" s="406" t="s">
        <v>587</v>
      </c>
      <c r="C109" s="406"/>
      <c r="D109" s="98">
        <v>1</v>
      </c>
      <c r="E109" s="98">
        <v>4.7</v>
      </c>
      <c r="F109" s="98"/>
      <c r="G109" s="98">
        <v>4.0999999999999996</v>
      </c>
      <c r="H109" s="98"/>
      <c r="I109" s="98">
        <v>0.15</v>
      </c>
      <c r="J109" s="98"/>
      <c r="K109" s="98">
        <f>E109*G109*I109</f>
        <v>2.8904999999999998</v>
      </c>
      <c r="L109" s="98">
        <f>K109*D109</f>
        <v>2.8904999999999998</v>
      </c>
      <c r="M109" s="98"/>
    </row>
    <row r="110" spans="1:13" s="49" customFormat="1" ht="14.45" customHeight="1">
      <c r="A110" s="98"/>
      <c r="B110" s="406" t="s">
        <v>576</v>
      </c>
      <c r="C110" s="406"/>
      <c r="D110" s="98">
        <v>1</v>
      </c>
      <c r="E110" s="98">
        <v>3.9</v>
      </c>
      <c r="F110" s="98"/>
      <c r="G110" s="98">
        <v>2.2999999999999998</v>
      </c>
      <c r="H110" s="98"/>
      <c r="I110" s="98">
        <v>0.15</v>
      </c>
      <c r="J110" s="98"/>
      <c r="K110" s="98">
        <f>E110*G110*I110</f>
        <v>1.3454999999999997</v>
      </c>
      <c r="L110" s="98">
        <f>K110*D110</f>
        <v>1.3454999999999997</v>
      </c>
      <c r="M110" s="98"/>
    </row>
    <row r="111" spans="1:13" s="49" customFormat="1" ht="14.45" customHeight="1">
      <c r="A111" s="98"/>
      <c r="B111" s="406" t="s">
        <v>446</v>
      </c>
      <c r="C111" s="406"/>
      <c r="D111" s="98">
        <v>1</v>
      </c>
      <c r="E111" s="98">
        <v>4.7</v>
      </c>
      <c r="F111" s="98"/>
      <c r="G111" s="98">
        <v>2.4</v>
      </c>
      <c r="H111" s="98"/>
      <c r="I111" s="98">
        <v>0.15</v>
      </c>
      <c r="J111" s="98"/>
      <c r="K111" s="98">
        <f>E111*G111*I111</f>
        <v>1.6919999999999999</v>
      </c>
      <c r="L111" s="98">
        <f>K111*D111</f>
        <v>1.6919999999999999</v>
      </c>
      <c r="M111" s="98"/>
    </row>
    <row r="112" spans="1:13" s="49" customFormat="1" ht="14.45" customHeight="1">
      <c r="A112" s="48"/>
      <c r="B112" s="48"/>
      <c r="C112" s="48"/>
      <c r="D112" s="48"/>
      <c r="E112" s="48"/>
      <c r="G112" s="48"/>
      <c r="K112" s="48"/>
    </row>
    <row r="113" spans="1:13" s="49" customFormat="1" ht="19.149999999999999" customHeight="1">
      <c r="A113" s="166" t="s">
        <v>523</v>
      </c>
      <c r="B113" s="405" t="str">
        <f>BM_06!B28</f>
        <v>REMOÇÃO DE TELHAS, DE FIBROCIMENTO, METÁLICA E CERÂMICA, DE FORMA MANUAL, SEM REAPROVEITAMENTO. AF_12/2017</v>
      </c>
      <c r="C113" s="405"/>
      <c r="D113" s="405"/>
      <c r="E113" s="405"/>
      <c r="F113" s="405"/>
      <c r="G113" s="405"/>
      <c r="H113" s="405"/>
      <c r="I113" s="405"/>
      <c r="J113" s="405"/>
      <c r="K113" s="405"/>
      <c r="L113" s="166">
        <f>SUM(L115:L119)</f>
        <v>636.83999999999992</v>
      </c>
      <c r="M113" s="166" t="s">
        <v>429</v>
      </c>
    </row>
    <row r="114" spans="1:13" s="49" customFormat="1" ht="14.45" customHeight="1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</row>
    <row r="115" spans="1:13" s="49" customFormat="1" ht="14.45" customHeight="1">
      <c r="A115" s="98"/>
      <c r="B115" s="406" t="s">
        <v>589</v>
      </c>
      <c r="C115" s="406"/>
      <c r="D115" s="98">
        <v>1</v>
      </c>
      <c r="E115" s="98">
        <v>211.67</v>
      </c>
      <c r="F115" s="98"/>
      <c r="G115" s="98"/>
      <c r="H115" s="98"/>
      <c r="I115" s="98"/>
      <c r="J115" s="98"/>
      <c r="K115" s="98">
        <f>E115</f>
        <v>211.67</v>
      </c>
      <c r="L115" s="98">
        <f>K115*D115</f>
        <v>211.67</v>
      </c>
      <c r="M115" s="98"/>
    </row>
    <row r="116" spans="1:13" s="49" customFormat="1" ht="14.45" customHeight="1">
      <c r="A116" s="98"/>
      <c r="B116" s="406" t="s">
        <v>590</v>
      </c>
      <c r="C116" s="406"/>
      <c r="D116" s="98">
        <v>1</v>
      </c>
      <c r="E116" s="98">
        <v>5</v>
      </c>
      <c r="F116" s="98"/>
      <c r="G116" s="98"/>
      <c r="H116" s="98">
        <v>11.4</v>
      </c>
      <c r="I116" s="98"/>
      <c r="J116" s="98"/>
      <c r="K116" s="98">
        <f t="shared" ref="K116" si="7">E116*H116</f>
        <v>57</v>
      </c>
      <c r="L116" s="98">
        <f t="shared" ref="L116:L119" si="8">K116*D116</f>
        <v>57</v>
      </c>
      <c r="M116" s="98"/>
    </row>
    <row r="117" spans="1:13" s="49" customFormat="1" ht="14.45" customHeight="1">
      <c r="A117" s="98"/>
      <c r="B117" s="406" t="s">
        <v>591</v>
      </c>
      <c r="C117" s="406"/>
      <c r="D117" s="98">
        <v>1</v>
      </c>
      <c r="E117" s="98">
        <v>159.29</v>
      </c>
      <c r="F117" s="98"/>
      <c r="G117" s="98"/>
      <c r="H117" s="98"/>
      <c r="I117" s="98"/>
      <c r="J117" s="98"/>
      <c r="K117" s="98">
        <f>E117</f>
        <v>159.29</v>
      </c>
      <c r="L117" s="98">
        <f t="shared" si="8"/>
        <v>159.29</v>
      </c>
      <c r="M117" s="98"/>
    </row>
    <row r="118" spans="1:13" s="49" customFormat="1" ht="14.45" customHeight="1">
      <c r="A118" s="98"/>
      <c r="B118" s="406" t="s">
        <v>591</v>
      </c>
      <c r="C118" s="406"/>
      <c r="D118" s="98">
        <v>1</v>
      </c>
      <c r="E118" s="98">
        <v>180.53</v>
      </c>
      <c r="F118" s="98"/>
      <c r="G118" s="98"/>
      <c r="H118" s="98"/>
      <c r="I118" s="98"/>
      <c r="J118" s="98"/>
      <c r="K118" s="98">
        <f>E118</f>
        <v>180.53</v>
      </c>
      <c r="L118" s="98">
        <f t="shared" si="8"/>
        <v>180.53</v>
      </c>
      <c r="M118" s="98"/>
    </row>
    <row r="119" spans="1:13" s="49" customFormat="1" ht="14.45" customHeight="1">
      <c r="A119" s="98"/>
      <c r="B119" s="406" t="s">
        <v>592</v>
      </c>
      <c r="C119" s="406"/>
      <c r="D119" s="98">
        <v>1</v>
      </c>
      <c r="E119" s="98">
        <v>28.35</v>
      </c>
      <c r="F119" s="98"/>
      <c r="G119" s="98"/>
      <c r="H119" s="98"/>
      <c r="I119" s="98"/>
      <c r="J119" s="98"/>
      <c r="K119" s="98">
        <f>E119</f>
        <v>28.35</v>
      </c>
      <c r="L119" s="98">
        <f t="shared" si="8"/>
        <v>28.35</v>
      </c>
      <c r="M119" s="98"/>
    </row>
    <row r="120" spans="1:13" s="49" customFormat="1" ht="14.45" customHeight="1">
      <c r="A120" s="48"/>
      <c r="B120" s="48"/>
      <c r="C120" s="48"/>
      <c r="D120" s="48"/>
      <c r="E120" s="48"/>
      <c r="G120" s="48"/>
      <c r="K120" s="48"/>
    </row>
    <row r="121" spans="1:13" s="49" customFormat="1" ht="14.45" customHeight="1">
      <c r="A121" s="166" t="s">
        <v>593</v>
      </c>
      <c r="B121" s="405" t="str">
        <f>REPROGRAMAÇÃO!C24</f>
        <v>INFRA ESTRUTURA E SUPERESTRUTURA</v>
      </c>
      <c r="C121" s="405"/>
      <c r="D121" s="405"/>
      <c r="E121" s="405"/>
      <c r="F121" s="405"/>
      <c r="G121" s="405"/>
      <c r="H121" s="405"/>
      <c r="I121" s="405"/>
      <c r="J121" s="405"/>
      <c r="K121" s="405"/>
      <c r="L121" s="166"/>
      <c r="M121" s="166"/>
    </row>
    <row r="122" spans="1:13" s="49" customFormat="1" ht="14.45" customHeight="1">
      <c r="A122" s="98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</row>
    <row r="123" spans="1:13" s="49" customFormat="1" ht="23.45" customHeight="1">
      <c r="A123" s="166" t="str">
        <f>BM_06!A34</f>
        <v>2.5</v>
      </c>
      <c r="B123" s="405" t="str">
        <f>BM_06!B34</f>
        <v>CONCRETO FCK = 30MPA, TRAÇO 1:2,1:2,5 (EM MASSA SECA DE CIMENTO/ AREIA MÉDIA/ BRITA 1) - PREPARO MECÂNICO COM BETONEIRA 600 L. AF_05/2021</v>
      </c>
      <c r="C123" s="405"/>
      <c r="D123" s="405"/>
      <c r="E123" s="405"/>
      <c r="F123" s="405"/>
      <c r="G123" s="405"/>
      <c r="H123" s="405"/>
      <c r="I123" s="405"/>
      <c r="J123" s="405"/>
      <c r="K123" s="405"/>
      <c r="L123" s="166">
        <f>SUM(L125:L135)</f>
        <v>12.295800000000003</v>
      </c>
      <c r="M123" s="166" t="s">
        <v>498</v>
      </c>
    </row>
    <row r="124" spans="1:13" s="49" customFormat="1" ht="14.45" customHeight="1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</row>
    <row r="125" spans="1:13" s="49" customFormat="1" ht="14.45" customHeight="1">
      <c r="A125" s="98"/>
      <c r="B125" s="401" t="s">
        <v>594</v>
      </c>
      <c r="C125" s="402"/>
      <c r="D125" s="98">
        <v>2</v>
      </c>
      <c r="E125" s="98">
        <v>6.08</v>
      </c>
      <c r="F125" s="98"/>
      <c r="G125" s="98">
        <v>0.5</v>
      </c>
      <c r="H125" s="98"/>
      <c r="I125" s="98">
        <v>0.15</v>
      </c>
      <c r="J125" s="98"/>
      <c r="K125" s="98">
        <f>E125*G125*I125</f>
        <v>0.45599999999999996</v>
      </c>
      <c r="L125" s="98">
        <f>K125*D125</f>
        <v>0.91199999999999992</v>
      </c>
      <c r="M125" s="98"/>
    </row>
    <row r="126" spans="1:13" s="49" customFormat="1" ht="14.45" customHeight="1">
      <c r="A126" s="98"/>
      <c r="B126" s="401" t="s">
        <v>595</v>
      </c>
      <c r="C126" s="402"/>
      <c r="D126" s="98">
        <v>2</v>
      </c>
      <c r="E126" s="98">
        <v>1.28</v>
      </c>
      <c r="F126" s="98"/>
      <c r="G126" s="98">
        <v>0.3</v>
      </c>
      <c r="H126" s="98"/>
      <c r="I126" s="98">
        <v>0.15</v>
      </c>
      <c r="J126" s="98"/>
      <c r="K126" s="98">
        <f t="shared" ref="K126:K135" si="9">E126*G126*I126</f>
        <v>5.7599999999999998E-2</v>
      </c>
      <c r="L126" s="98">
        <f t="shared" ref="L126:L135" si="10">K126*D126</f>
        <v>0.1152</v>
      </c>
      <c r="M126" s="98"/>
    </row>
    <row r="127" spans="1:13" s="49" customFormat="1" ht="14.45" customHeight="1">
      <c r="A127" s="98"/>
      <c r="B127" s="401" t="s">
        <v>596</v>
      </c>
      <c r="C127" s="402"/>
      <c r="D127" s="98">
        <v>2</v>
      </c>
      <c r="E127" s="98">
        <v>19.23</v>
      </c>
      <c r="F127" s="98"/>
      <c r="G127" s="98">
        <v>0.5</v>
      </c>
      <c r="H127" s="98"/>
      <c r="I127" s="98">
        <v>0.15</v>
      </c>
      <c r="J127" s="98"/>
      <c r="K127" s="98">
        <f t="shared" si="9"/>
        <v>1.44225</v>
      </c>
      <c r="L127" s="98">
        <f t="shared" si="10"/>
        <v>2.8845000000000001</v>
      </c>
      <c r="M127" s="98"/>
    </row>
    <row r="128" spans="1:13" s="49" customFormat="1" ht="14.45" customHeight="1">
      <c r="A128" s="98"/>
      <c r="B128" s="401" t="s">
        <v>597</v>
      </c>
      <c r="C128" s="402"/>
      <c r="D128" s="98">
        <v>2</v>
      </c>
      <c r="E128" s="98">
        <v>10.9</v>
      </c>
      <c r="F128" s="98"/>
      <c r="G128" s="98">
        <v>0.5</v>
      </c>
      <c r="H128" s="98"/>
      <c r="I128" s="98">
        <v>0.15</v>
      </c>
      <c r="J128" s="98"/>
      <c r="K128" s="98">
        <f t="shared" si="9"/>
        <v>0.8175</v>
      </c>
      <c r="L128" s="98">
        <f t="shared" si="10"/>
        <v>1.635</v>
      </c>
      <c r="M128" s="98"/>
    </row>
    <row r="129" spans="1:13" s="49" customFormat="1" ht="14.45" customHeight="1">
      <c r="A129" s="98"/>
      <c r="B129" s="401" t="s">
        <v>598</v>
      </c>
      <c r="C129" s="402"/>
      <c r="D129" s="98">
        <v>2</v>
      </c>
      <c r="E129" s="98">
        <v>39.11</v>
      </c>
      <c r="F129" s="98"/>
      <c r="G129" s="98">
        <v>0.5</v>
      </c>
      <c r="H129" s="98"/>
      <c r="I129" s="98">
        <v>0.15</v>
      </c>
      <c r="J129" s="98"/>
      <c r="K129" s="98">
        <f t="shared" si="9"/>
        <v>2.9332499999999997</v>
      </c>
      <c r="L129" s="98">
        <f t="shared" si="10"/>
        <v>5.8664999999999994</v>
      </c>
      <c r="M129" s="98"/>
    </row>
    <row r="130" spans="1:13" s="49" customFormat="1" ht="14.45" customHeight="1">
      <c r="A130" s="98"/>
      <c r="B130" s="401" t="s">
        <v>599</v>
      </c>
      <c r="C130" s="402"/>
      <c r="D130" s="98">
        <v>2</v>
      </c>
      <c r="E130" s="98">
        <v>1.48</v>
      </c>
      <c r="F130" s="98"/>
      <c r="G130" s="98">
        <v>0.3</v>
      </c>
      <c r="H130" s="98"/>
      <c r="I130" s="98">
        <v>0.15</v>
      </c>
      <c r="J130" s="98"/>
      <c r="K130" s="98">
        <f t="shared" si="9"/>
        <v>6.6599999999999993E-2</v>
      </c>
      <c r="L130" s="98">
        <f t="shared" si="10"/>
        <v>0.13319999999999999</v>
      </c>
      <c r="M130" s="98"/>
    </row>
    <row r="131" spans="1:13" s="49" customFormat="1" ht="14.45" customHeight="1">
      <c r="A131" s="98"/>
      <c r="B131" s="401" t="s">
        <v>600</v>
      </c>
      <c r="C131" s="402"/>
      <c r="D131" s="98">
        <v>2</v>
      </c>
      <c r="E131" s="98">
        <v>1.48</v>
      </c>
      <c r="F131" s="98"/>
      <c r="G131" s="98">
        <v>0.3</v>
      </c>
      <c r="H131" s="98"/>
      <c r="I131" s="98">
        <v>0.15</v>
      </c>
      <c r="J131" s="98"/>
      <c r="K131" s="98">
        <f t="shared" si="9"/>
        <v>6.6599999999999993E-2</v>
      </c>
      <c r="L131" s="98">
        <f t="shared" si="10"/>
        <v>0.13319999999999999</v>
      </c>
      <c r="M131" s="98"/>
    </row>
    <row r="132" spans="1:13" s="49" customFormat="1" ht="14.45" customHeight="1">
      <c r="A132" s="98"/>
      <c r="B132" s="401" t="s">
        <v>601</v>
      </c>
      <c r="C132" s="402"/>
      <c r="D132" s="98">
        <v>2</v>
      </c>
      <c r="E132" s="98">
        <v>1.58</v>
      </c>
      <c r="F132" s="98"/>
      <c r="G132" s="98">
        <v>0.4</v>
      </c>
      <c r="H132" s="98"/>
      <c r="I132" s="98">
        <v>0.15</v>
      </c>
      <c r="J132" s="98"/>
      <c r="K132" s="98">
        <f t="shared" si="9"/>
        <v>9.4800000000000009E-2</v>
      </c>
      <c r="L132" s="98">
        <f t="shared" si="10"/>
        <v>0.18960000000000002</v>
      </c>
      <c r="M132" s="98"/>
    </row>
    <row r="133" spans="1:13" s="49" customFormat="1" ht="14.45" customHeight="1">
      <c r="A133" s="98"/>
      <c r="B133" s="401" t="s">
        <v>602</v>
      </c>
      <c r="C133" s="402"/>
      <c r="D133" s="98">
        <v>2</v>
      </c>
      <c r="E133" s="98">
        <v>1.58</v>
      </c>
      <c r="F133" s="98"/>
      <c r="G133" s="98">
        <v>0.3</v>
      </c>
      <c r="H133" s="98"/>
      <c r="I133" s="98">
        <v>0.15</v>
      </c>
      <c r="J133" s="98"/>
      <c r="K133" s="98">
        <f t="shared" si="9"/>
        <v>7.1099999999999997E-2</v>
      </c>
      <c r="L133" s="98">
        <f t="shared" si="10"/>
        <v>0.14219999999999999</v>
      </c>
      <c r="M133" s="98"/>
    </row>
    <row r="134" spans="1:13" s="49" customFormat="1" ht="14.45" customHeight="1">
      <c r="A134" s="98"/>
      <c r="B134" s="401" t="s">
        <v>603</v>
      </c>
      <c r="C134" s="402"/>
      <c r="D134" s="98">
        <v>2</v>
      </c>
      <c r="E134" s="98">
        <v>1.58</v>
      </c>
      <c r="F134" s="98"/>
      <c r="G134" s="98">
        <v>0.3</v>
      </c>
      <c r="H134" s="98"/>
      <c r="I134" s="98">
        <v>0.15</v>
      </c>
      <c r="J134" s="98"/>
      <c r="K134" s="98">
        <f t="shared" si="9"/>
        <v>7.1099999999999997E-2</v>
      </c>
      <c r="L134" s="98">
        <f t="shared" si="10"/>
        <v>0.14219999999999999</v>
      </c>
      <c r="M134" s="98"/>
    </row>
    <row r="135" spans="1:13" s="49" customFormat="1" ht="14.45" customHeight="1">
      <c r="A135" s="98"/>
      <c r="B135" s="401" t="s">
        <v>604</v>
      </c>
      <c r="C135" s="402"/>
      <c r="D135" s="98">
        <v>2</v>
      </c>
      <c r="E135" s="98">
        <v>1.58</v>
      </c>
      <c r="F135" s="98"/>
      <c r="G135" s="98">
        <v>0.3</v>
      </c>
      <c r="H135" s="98"/>
      <c r="I135" s="98">
        <v>0.15</v>
      </c>
      <c r="J135" s="98"/>
      <c r="K135" s="98">
        <f t="shared" si="9"/>
        <v>7.1099999999999997E-2</v>
      </c>
      <c r="L135" s="98">
        <f t="shared" si="10"/>
        <v>0.14219999999999999</v>
      </c>
      <c r="M135" s="98"/>
    </row>
    <row r="136" spans="1:13" s="49" customFormat="1" ht="14.45" customHeight="1">
      <c r="A136" s="98"/>
      <c r="B136" s="95"/>
      <c r="C136" s="96"/>
      <c r="D136" s="98"/>
      <c r="E136" s="98"/>
      <c r="F136" s="98"/>
      <c r="G136" s="98"/>
      <c r="H136" s="98"/>
      <c r="I136" s="98"/>
      <c r="J136" s="98"/>
      <c r="K136" s="98"/>
      <c r="L136" s="98"/>
      <c r="M136" s="98"/>
    </row>
    <row r="137" spans="1:13" s="49" customFormat="1" ht="14.45" customHeight="1">
      <c r="A137" s="166" t="s">
        <v>20</v>
      </c>
      <c r="B137" s="405" t="str">
        <f>BM_06!B35</f>
        <v>LANÇAMENTO COM USO DE BALDES, ADENSAMENTO E ACABAMENTO DE CONCRETO EM ESTRUTURAS. AF_12/2015</v>
      </c>
      <c r="C137" s="405"/>
      <c r="D137" s="405"/>
      <c r="E137" s="405"/>
      <c r="F137" s="405"/>
      <c r="G137" s="405"/>
      <c r="H137" s="405"/>
      <c r="I137" s="405"/>
      <c r="J137" s="405"/>
      <c r="K137" s="405"/>
      <c r="L137" s="166">
        <f>SUM(L139:L149)</f>
        <v>12.295800000000003</v>
      </c>
      <c r="M137" s="166" t="s">
        <v>498</v>
      </c>
    </row>
    <row r="138" spans="1:13" s="49" customFormat="1" ht="14.45" customHeight="1">
      <c r="A138" s="98"/>
      <c r="B138" s="95"/>
      <c r="C138" s="96"/>
      <c r="D138" s="98"/>
      <c r="E138" s="98"/>
      <c r="F138" s="98"/>
      <c r="G138" s="98"/>
      <c r="H138" s="98"/>
      <c r="I138" s="98"/>
      <c r="J138" s="98"/>
      <c r="K138" s="98"/>
      <c r="L138" s="98"/>
      <c r="M138" s="98"/>
    </row>
    <row r="139" spans="1:13" s="49" customFormat="1" ht="14.45" customHeight="1">
      <c r="A139" s="98"/>
      <c r="B139" s="401" t="s">
        <v>594</v>
      </c>
      <c r="C139" s="402"/>
      <c r="D139" s="98">
        <v>2</v>
      </c>
      <c r="E139" s="98">
        <v>6.08</v>
      </c>
      <c r="F139" s="98"/>
      <c r="G139" s="98">
        <v>0.5</v>
      </c>
      <c r="H139" s="98"/>
      <c r="I139" s="98">
        <v>0.15</v>
      </c>
      <c r="J139" s="98"/>
      <c r="K139" s="98">
        <f>E139*G139*I139</f>
        <v>0.45599999999999996</v>
      </c>
      <c r="L139" s="98">
        <f>K139*D139</f>
        <v>0.91199999999999992</v>
      </c>
      <c r="M139" s="98"/>
    </row>
    <row r="140" spans="1:13" s="49" customFormat="1" ht="14.45" customHeight="1">
      <c r="A140" s="98"/>
      <c r="B140" s="401" t="s">
        <v>595</v>
      </c>
      <c r="C140" s="402"/>
      <c r="D140" s="98">
        <v>2</v>
      </c>
      <c r="E140" s="98">
        <v>1.28</v>
      </c>
      <c r="F140" s="98"/>
      <c r="G140" s="98">
        <v>0.3</v>
      </c>
      <c r="H140" s="98"/>
      <c r="I140" s="98">
        <v>0.15</v>
      </c>
      <c r="J140" s="98"/>
      <c r="K140" s="98">
        <f t="shared" ref="K140:K149" si="11">E140*G140*I140</f>
        <v>5.7599999999999998E-2</v>
      </c>
      <c r="L140" s="98">
        <f t="shared" ref="L140:L149" si="12">K140*D140</f>
        <v>0.1152</v>
      </c>
      <c r="M140" s="98"/>
    </row>
    <row r="141" spans="1:13" s="49" customFormat="1" ht="14.45" customHeight="1">
      <c r="A141" s="98"/>
      <c r="B141" s="401" t="s">
        <v>596</v>
      </c>
      <c r="C141" s="402"/>
      <c r="D141" s="98">
        <v>2</v>
      </c>
      <c r="E141" s="98">
        <v>19.23</v>
      </c>
      <c r="F141" s="98"/>
      <c r="G141" s="98">
        <v>0.5</v>
      </c>
      <c r="H141" s="98"/>
      <c r="I141" s="98">
        <v>0.15</v>
      </c>
      <c r="J141" s="98"/>
      <c r="K141" s="98">
        <f t="shared" si="11"/>
        <v>1.44225</v>
      </c>
      <c r="L141" s="98">
        <f t="shared" si="12"/>
        <v>2.8845000000000001</v>
      </c>
      <c r="M141" s="98"/>
    </row>
    <row r="142" spans="1:13" s="49" customFormat="1" ht="14.45" customHeight="1">
      <c r="A142" s="98"/>
      <c r="B142" s="401" t="s">
        <v>597</v>
      </c>
      <c r="C142" s="402"/>
      <c r="D142" s="98">
        <v>2</v>
      </c>
      <c r="E142" s="98">
        <v>10.9</v>
      </c>
      <c r="F142" s="98"/>
      <c r="G142" s="98">
        <v>0.5</v>
      </c>
      <c r="H142" s="98"/>
      <c r="I142" s="98">
        <v>0.15</v>
      </c>
      <c r="J142" s="98"/>
      <c r="K142" s="98">
        <f t="shared" si="11"/>
        <v>0.8175</v>
      </c>
      <c r="L142" s="98">
        <f t="shared" si="12"/>
        <v>1.635</v>
      </c>
      <c r="M142" s="98"/>
    </row>
    <row r="143" spans="1:13" s="49" customFormat="1" ht="14.45" customHeight="1">
      <c r="A143" s="98"/>
      <c r="B143" s="401" t="s">
        <v>598</v>
      </c>
      <c r="C143" s="402"/>
      <c r="D143" s="98">
        <v>2</v>
      </c>
      <c r="E143" s="98">
        <v>39.11</v>
      </c>
      <c r="F143" s="98"/>
      <c r="G143" s="98">
        <v>0.5</v>
      </c>
      <c r="H143" s="98"/>
      <c r="I143" s="98">
        <v>0.15</v>
      </c>
      <c r="J143" s="98"/>
      <c r="K143" s="98">
        <f t="shared" si="11"/>
        <v>2.9332499999999997</v>
      </c>
      <c r="L143" s="98">
        <f t="shared" si="12"/>
        <v>5.8664999999999994</v>
      </c>
      <c r="M143" s="98"/>
    </row>
    <row r="144" spans="1:13" s="49" customFormat="1" ht="14.45" customHeight="1">
      <c r="A144" s="98"/>
      <c r="B144" s="401" t="s">
        <v>599</v>
      </c>
      <c r="C144" s="402"/>
      <c r="D144" s="98">
        <v>2</v>
      </c>
      <c r="E144" s="98">
        <v>1.48</v>
      </c>
      <c r="F144" s="98"/>
      <c r="G144" s="98">
        <v>0.3</v>
      </c>
      <c r="H144" s="98"/>
      <c r="I144" s="98">
        <v>0.15</v>
      </c>
      <c r="J144" s="98"/>
      <c r="K144" s="98">
        <f t="shared" si="11"/>
        <v>6.6599999999999993E-2</v>
      </c>
      <c r="L144" s="98">
        <f t="shared" si="12"/>
        <v>0.13319999999999999</v>
      </c>
      <c r="M144" s="98"/>
    </row>
    <row r="145" spans="1:13" s="49" customFormat="1" ht="14.45" customHeight="1">
      <c r="A145" s="98"/>
      <c r="B145" s="401" t="s">
        <v>600</v>
      </c>
      <c r="C145" s="402"/>
      <c r="D145" s="98">
        <v>2</v>
      </c>
      <c r="E145" s="98">
        <v>1.48</v>
      </c>
      <c r="F145" s="98"/>
      <c r="G145" s="98">
        <v>0.3</v>
      </c>
      <c r="H145" s="98"/>
      <c r="I145" s="98">
        <v>0.15</v>
      </c>
      <c r="J145" s="98"/>
      <c r="K145" s="98">
        <f t="shared" si="11"/>
        <v>6.6599999999999993E-2</v>
      </c>
      <c r="L145" s="98">
        <f t="shared" si="12"/>
        <v>0.13319999999999999</v>
      </c>
      <c r="M145" s="98"/>
    </row>
    <row r="146" spans="1:13" s="49" customFormat="1" ht="14.45" customHeight="1">
      <c r="A146" s="98"/>
      <c r="B146" s="401" t="s">
        <v>601</v>
      </c>
      <c r="C146" s="402"/>
      <c r="D146" s="98">
        <v>2</v>
      </c>
      <c r="E146" s="98">
        <v>1.58</v>
      </c>
      <c r="F146" s="98"/>
      <c r="G146" s="98">
        <v>0.4</v>
      </c>
      <c r="H146" s="98"/>
      <c r="I146" s="98">
        <v>0.15</v>
      </c>
      <c r="J146" s="98"/>
      <c r="K146" s="98">
        <f t="shared" si="11"/>
        <v>9.4800000000000009E-2</v>
      </c>
      <c r="L146" s="98">
        <f t="shared" si="12"/>
        <v>0.18960000000000002</v>
      </c>
      <c r="M146" s="98"/>
    </row>
    <row r="147" spans="1:13" s="49" customFormat="1" ht="14.45" customHeight="1">
      <c r="A147" s="98"/>
      <c r="B147" s="401" t="s">
        <v>602</v>
      </c>
      <c r="C147" s="402"/>
      <c r="D147" s="98">
        <v>2</v>
      </c>
      <c r="E147" s="98">
        <v>1.58</v>
      </c>
      <c r="F147" s="98"/>
      <c r="G147" s="98">
        <v>0.3</v>
      </c>
      <c r="H147" s="98"/>
      <c r="I147" s="98">
        <v>0.15</v>
      </c>
      <c r="J147" s="98"/>
      <c r="K147" s="98">
        <f t="shared" si="11"/>
        <v>7.1099999999999997E-2</v>
      </c>
      <c r="L147" s="98">
        <f t="shared" si="12"/>
        <v>0.14219999999999999</v>
      </c>
      <c r="M147" s="98"/>
    </row>
    <row r="148" spans="1:13" s="49" customFormat="1" ht="14.45" customHeight="1">
      <c r="A148" s="98"/>
      <c r="B148" s="401" t="s">
        <v>603</v>
      </c>
      <c r="C148" s="402"/>
      <c r="D148" s="98">
        <v>2</v>
      </c>
      <c r="E148" s="98">
        <v>1.58</v>
      </c>
      <c r="F148" s="98"/>
      <c r="G148" s="98">
        <v>0.3</v>
      </c>
      <c r="H148" s="98"/>
      <c r="I148" s="98">
        <v>0.15</v>
      </c>
      <c r="J148" s="98"/>
      <c r="K148" s="98">
        <f t="shared" si="11"/>
        <v>7.1099999999999997E-2</v>
      </c>
      <c r="L148" s="98">
        <f t="shared" si="12"/>
        <v>0.14219999999999999</v>
      </c>
      <c r="M148" s="98"/>
    </row>
    <row r="149" spans="1:13" s="49" customFormat="1" ht="14.45" customHeight="1">
      <c r="A149" s="98"/>
      <c r="B149" s="401" t="s">
        <v>604</v>
      </c>
      <c r="C149" s="402"/>
      <c r="D149" s="98">
        <v>2</v>
      </c>
      <c r="E149" s="98">
        <v>1.58</v>
      </c>
      <c r="F149" s="98"/>
      <c r="G149" s="98">
        <v>0.3</v>
      </c>
      <c r="H149" s="98"/>
      <c r="I149" s="98">
        <v>0.15</v>
      </c>
      <c r="J149" s="98"/>
      <c r="K149" s="98">
        <f t="shared" si="11"/>
        <v>7.1099999999999997E-2</v>
      </c>
      <c r="L149" s="98">
        <f t="shared" si="12"/>
        <v>0.14219999999999999</v>
      </c>
      <c r="M149" s="98"/>
    </row>
    <row r="150" spans="1:13" s="49" customFormat="1" ht="14.45" customHeight="1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</row>
    <row r="151" spans="1:13" s="49" customFormat="1" ht="23.45" customHeight="1">
      <c r="A151" s="166" t="s">
        <v>29</v>
      </c>
      <c r="B151" s="405" t="str">
        <f>BM_06!B38</f>
        <v>ARMAÇÃO DE PILAR OU VIGA DE UMA ESTRUTURA CONVENCIONAL DE CONCRETO ARMADO EM UM EDIFÍCIO DE MÚLTIPLOS PAVIMENTOS UTILIZANDO AÇO CA-50 DE 12,5 MM - MONTAGEM. AF_12/2015</v>
      </c>
      <c r="C151" s="405"/>
      <c r="D151" s="405"/>
      <c r="E151" s="405"/>
      <c r="F151" s="405"/>
      <c r="G151" s="405"/>
      <c r="H151" s="405"/>
      <c r="I151" s="405"/>
      <c r="J151" s="405"/>
      <c r="K151" s="405"/>
      <c r="L151" s="166">
        <f>SUM(L153:L159)</f>
        <v>99.050000000000011</v>
      </c>
      <c r="M151" s="166" t="s">
        <v>605</v>
      </c>
    </row>
    <row r="152" spans="1:13" s="49" customFormat="1" ht="14.45" customHeight="1">
      <c r="A152" s="98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</row>
    <row r="153" spans="1:13" s="49" customFormat="1" ht="14.45" customHeight="1">
      <c r="A153" s="98"/>
      <c r="B153" s="401" t="s">
        <v>597</v>
      </c>
      <c r="C153" s="402"/>
      <c r="D153" s="98">
        <v>2</v>
      </c>
      <c r="E153" s="98">
        <f>2*4.2</f>
        <v>8.4</v>
      </c>
      <c r="F153" s="98"/>
      <c r="G153" s="98"/>
      <c r="H153" s="98"/>
      <c r="I153" s="98"/>
      <c r="J153" s="98"/>
      <c r="K153" s="98">
        <f>D153*E153</f>
        <v>16.8</v>
      </c>
      <c r="L153" s="98">
        <f>K153*1</f>
        <v>16.8</v>
      </c>
      <c r="M153" s="98"/>
    </row>
    <row r="154" spans="1:13" s="49" customFormat="1" ht="14.45" customHeight="1">
      <c r="A154" s="98"/>
      <c r="B154" s="401" t="s">
        <v>601</v>
      </c>
      <c r="C154" s="402"/>
      <c r="D154" s="98">
        <v>2</v>
      </c>
      <c r="E154" s="98">
        <f>3*2.28+1.79</f>
        <v>8.629999999999999</v>
      </c>
      <c r="F154" s="98"/>
      <c r="G154" s="98"/>
      <c r="H154" s="98"/>
      <c r="I154" s="98"/>
      <c r="J154" s="98"/>
      <c r="K154" s="98">
        <f t="shared" ref="K154:K155" si="13">D154*E154</f>
        <v>17.259999999999998</v>
      </c>
      <c r="L154" s="98">
        <f t="shared" ref="L154:L155" si="14">K154*1</f>
        <v>17.259999999999998</v>
      </c>
      <c r="M154" s="98"/>
    </row>
    <row r="155" spans="1:13" s="49" customFormat="1" ht="14.45" customHeight="1">
      <c r="A155" s="98"/>
      <c r="B155" s="401" t="s">
        <v>602</v>
      </c>
      <c r="C155" s="402"/>
      <c r="D155" s="98">
        <v>2</v>
      </c>
      <c r="E155" s="98">
        <f>2*1.92</f>
        <v>3.84</v>
      </c>
      <c r="F155" s="98"/>
      <c r="G155" s="98"/>
      <c r="H155" s="98"/>
      <c r="I155" s="98"/>
      <c r="J155" s="98"/>
      <c r="K155" s="98">
        <f t="shared" si="13"/>
        <v>7.68</v>
      </c>
      <c r="L155" s="98">
        <f t="shared" si="14"/>
        <v>7.68</v>
      </c>
      <c r="M155" s="98"/>
    </row>
    <row r="156" spans="1:13" s="49" customFormat="1" ht="14.45" customHeight="1">
      <c r="A156" s="98"/>
      <c r="B156" s="403" t="s">
        <v>451</v>
      </c>
      <c r="C156" s="403"/>
      <c r="D156" s="97"/>
      <c r="E156" s="167"/>
      <c r="F156" s="97"/>
      <c r="G156" s="97"/>
      <c r="H156" s="97"/>
      <c r="I156" s="97"/>
      <c r="J156" s="97"/>
      <c r="K156" s="97"/>
      <c r="L156" s="167"/>
      <c r="M156" s="98"/>
    </row>
    <row r="157" spans="1:13" s="49" customFormat="1" ht="14.45" customHeight="1">
      <c r="A157" s="98"/>
      <c r="B157" s="97"/>
      <c r="C157" s="97"/>
      <c r="D157" s="97"/>
      <c r="E157" s="167"/>
      <c r="F157" s="97"/>
      <c r="G157" s="97"/>
      <c r="H157" s="97"/>
      <c r="I157" s="97"/>
      <c r="J157" s="97"/>
      <c r="K157" s="97"/>
      <c r="L157" s="167"/>
      <c r="M157" s="98"/>
    </row>
    <row r="158" spans="1:13" s="49" customFormat="1" ht="14.45" customHeight="1">
      <c r="A158" s="98"/>
      <c r="B158" s="404" t="s">
        <v>606</v>
      </c>
      <c r="C158" s="404"/>
      <c r="D158" s="168">
        <v>1</v>
      </c>
      <c r="E158" s="167">
        <f>(2*7.68)+(3*4.73)</f>
        <v>29.55</v>
      </c>
      <c r="F158" s="97"/>
      <c r="G158" s="97"/>
      <c r="H158" s="97"/>
      <c r="I158" s="97"/>
      <c r="J158" s="97"/>
      <c r="K158" s="97">
        <f>E158</f>
        <v>29.55</v>
      </c>
      <c r="L158" s="167">
        <f>K158*1</f>
        <v>29.55</v>
      </c>
      <c r="M158" s="98"/>
    </row>
    <row r="159" spans="1:13" s="49" customFormat="1" ht="14.45" customHeight="1">
      <c r="A159" s="98"/>
      <c r="B159" s="404" t="s">
        <v>607</v>
      </c>
      <c r="C159" s="404"/>
      <c r="D159" s="97">
        <v>1</v>
      </c>
      <c r="E159" s="167">
        <v>6.52</v>
      </c>
      <c r="F159" s="97">
        <f>4*3.68</f>
        <v>14.72</v>
      </c>
      <c r="G159" s="97">
        <v>2</v>
      </c>
      <c r="H159" s="97"/>
      <c r="I159" s="97"/>
      <c r="J159" s="97"/>
      <c r="K159" s="97">
        <f>(E159*G159)+F159</f>
        <v>27.759999999999998</v>
      </c>
      <c r="L159" s="167">
        <f t="shared" ref="L159" si="15">K159*1</f>
        <v>27.759999999999998</v>
      </c>
      <c r="M159" s="98"/>
    </row>
    <row r="160" spans="1:13" s="49" customFormat="1" ht="14.45" customHeight="1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</row>
    <row r="161" spans="1:13" s="49" customFormat="1" ht="23.45" customHeight="1">
      <c r="A161" s="166" t="s">
        <v>30</v>
      </c>
      <c r="B161" s="405" t="str">
        <f>BM_06!B39</f>
        <v>ARMAÇÃO DE PILAR OU VIGA DE UMA ESTRUTURA CONVENCIONAL DE CONCRETO ARMADO EM UM EDIFÍCIO DE MÚLTIPLOS PAVIMENTOS UTILIZANDO AÇO CA-50 DE 10,0 MM - MONTAGEM. AF_12/2015</v>
      </c>
      <c r="C161" s="405"/>
      <c r="D161" s="405"/>
      <c r="E161" s="405"/>
      <c r="F161" s="405"/>
      <c r="G161" s="405"/>
      <c r="H161" s="405"/>
      <c r="I161" s="405"/>
      <c r="J161" s="405"/>
      <c r="K161" s="405"/>
      <c r="L161" s="166">
        <f>SUM(L163:L173)</f>
        <v>446.57226000000009</v>
      </c>
      <c r="M161" s="166" t="s">
        <v>605</v>
      </c>
    </row>
    <row r="162" spans="1:13" s="49" customFormat="1" ht="14.45" customHeight="1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</row>
    <row r="163" spans="1:13" s="49" customFormat="1" ht="14.45" customHeight="1">
      <c r="A163" s="98"/>
      <c r="B163" s="401" t="s">
        <v>594</v>
      </c>
      <c r="C163" s="402"/>
      <c r="D163" s="98">
        <v>2</v>
      </c>
      <c r="E163" s="98">
        <f>2*7.2+2*6.62</f>
        <v>27.64</v>
      </c>
      <c r="F163" s="98"/>
      <c r="G163" s="98"/>
      <c r="H163" s="98"/>
      <c r="I163" s="98"/>
      <c r="J163" s="98"/>
      <c r="K163" s="98">
        <f>E163*D163</f>
        <v>55.28</v>
      </c>
      <c r="L163" s="98">
        <f>K163*0.617</f>
        <v>34.107759999999999</v>
      </c>
      <c r="M163" s="98"/>
    </row>
    <row r="164" spans="1:13" s="49" customFormat="1" ht="14.45" customHeight="1">
      <c r="A164" s="98"/>
      <c r="B164" s="401" t="s">
        <v>595</v>
      </c>
      <c r="C164" s="402"/>
      <c r="D164" s="98">
        <v>2</v>
      </c>
      <c r="E164" s="98">
        <f>2*2.31+2.1</f>
        <v>6.7200000000000006</v>
      </c>
      <c r="F164" s="98"/>
      <c r="G164" s="98"/>
      <c r="H164" s="98"/>
      <c r="I164" s="98"/>
      <c r="J164" s="98"/>
      <c r="K164" s="98">
        <f t="shared" ref="K164:K173" si="16">E164*D164</f>
        <v>13.440000000000001</v>
      </c>
      <c r="L164" s="98">
        <f t="shared" ref="L164:L173" si="17">K164*0.617</f>
        <v>8.2924800000000012</v>
      </c>
      <c r="M164" s="98"/>
    </row>
    <row r="165" spans="1:13" s="49" customFormat="1" ht="14.45" customHeight="1">
      <c r="A165" s="98"/>
      <c r="B165" s="401" t="s">
        <v>596</v>
      </c>
      <c r="C165" s="402"/>
      <c r="D165" s="98">
        <v>2</v>
      </c>
      <c r="E165" s="98">
        <f>2*11.98+2*9.04+3.7+2*7.14+2*5.75+2*7.23+1.85+1.41</f>
        <v>89.240000000000009</v>
      </c>
      <c r="F165" s="98"/>
      <c r="G165" s="98"/>
      <c r="H165" s="98"/>
      <c r="I165" s="98"/>
      <c r="J165" s="98"/>
      <c r="K165" s="98">
        <f t="shared" si="16"/>
        <v>178.48000000000002</v>
      </c>
      <c r="L165" s="98">
        <f t="shared" si="17"/>
        <v>110.12216000000001</v>
      </c>
      <c r="M165" s="98"/>
    </row>
    <row r="166" spans="1:13" s="49" customFormat="1" ht="14.45" customHeight="1">
      <c r="A166" s="98"/>
      <c r="B166" s="401" t="s">
        <v>597</v>
      </c>
      <c r="C166" s="402"/>
      <c r="D166" s="98">
        <v>2</v>
      </c>
      <c r="E166" s="98">
        <f>2*7.43+2*11.29</f>
        <v>37.44</v>
      </c>
      <c r="F166" s="98"/>
      <c r="G166" s="98"/>
      <c r="H166" s="98"/>
      <c r="I166" s="98"/>
      <c r="J166" s="98"/>
      <c r="K166" s="98">
        <f t="shared" si="16"/>
        <v>74.88</v>
      </c>
      <c r="L166" s="98">
        <f t="shared" si="17"/>
        <v>46.200959999999995</v>
      </c>
      <c r="M166" s="98"/>
    </row>
    <row r="167" spans="1:13" s="49" customFormat="1" ht="14.45" customHeight="1">
      <c r="A167" s="98"/>
      <c r="B167" s="401" t="s">
        <v>598</v>
      </c>
      <c r="C167" s="402"/>
      <c r="D167" s="98">
        <v>2</v>
      </c>
      <c r="E167" s="98">
        <f>6*12+2*5.57+2*9.5+2*9.8+2*6.87+2*5.75+2*7.23</f>
        <v>161.44000000000003</v>
      </c>
      <c r="F167" s="98"/>
      <c r="G167" s="98"/>
      <c r="H167" s="98"/>
      <c r="I167" s="98"/>
      <c r="J167" s="98"/>
      <c r="K167" s="98">
        <f t="shared" si="16"/>
        <v>322.88000000000005</v>
      </c>
      <c r="L167" s="98">
        <f t="shared" si="17"/>
        <v>199.21696000000003</v>
      </c>
      <c r="M167" s="98"/>
    </row>
    <row r="168" spans="1:13" s="49" customFormat="1" ht="14.45" customHeight="1">
      <c r="A168" s="98"/>
      <c r="B168" s="401" t="s">
        <v>599</v>
      </c>
      <c r="C168" s="402"/>
      <c r="D168" s="98">
        <v>2</v>
      </c>
      <c r="E168" s="98">
        <f>2*1.75+2*1.5</f>
        <v>6.5</v>
      </c>
      <c r="F168" s="98"/>
      <c r="G168" s="98"/>
      <c r="H168" s="98"/>
      <c r="I168" s="98"/>
      <c r="J168" s="98"/>
      <c r="K168" s="98">
        <f t="shared" si="16"/>
        <v>13</v>
      </c>
      <c r="L168" s="98">
        <f t="shared" si="17"/>
        <v>8.0210000000000008</v>
      </c>
      <c r="M168" s="98"/>
    </row>
    <row r="169" spans="1:13" s="49" customFormat="1" ht="14.45" customHeight="1">
      <c r="A169" s="98"/>
      <c r="B169" s="401" t="s">
        <v>600</v>
      </c>
      <c r="C169" s="402"/>
      <c r="D169" s="98">
        <v>2</v>
      </c>
      <c r="E169" s="98">
        <f>2*1.9+1.8+1.67+2*1.5</f>
        <v>10.27</v>
      </c>
      <c r="F169" s="98"/>
      <c r="G169" s="98"/>
      <c r="H169" s="98"/>
      <c r="I169" s="98"/>
      <c r="J169" s="98"/>
      <c r="K169" s="98">
        <f t="shared" si="16"/>
        <v>20.54</v>
      </c>
      <c r="L169" s="98">
        <f t="shared" si="17"/>
        <v>12.673179999999999</v>
      </c>
      <c r="M169" s="98"/>
    </row>
    <row r="170" spans="1:13" s="49" customFormat="1" ht="14.45" customHeight="1">
      <c r="A170" s="98"/>
      <c r="B170" s="401" t="s">
        <v>601</v>
      </c>
      <c r="C170" s="402"/>
      <c r="D170" s="98">
        <v>2</v>
      </c>
      <c r="E170" s="98">
        <f>2*1.66</f>
        <v>3.32</v>
      </c>
      <c r="F170" s="98"/>
      <c r="G170" s="98"/>
      <c r="H170" s="98"/>
      <c r="I170" s="98"/>
      <c r="J170" s="98"/>
      <c r="K170" s="98">
        <f t="shared" si="16"/>
        <v>6.64</v>
      </c>
      <c r="L170" s="98">
        <f t="shared" si="17"/>
        <v>4.0968799999999996</v>
      </c>
      <c r="M170" s="98"/>
    </row>
    <row r="171" spans="1:13" s="49" customFormat="1" ht="14.45" customHeight="1">
      <c r="A171" s="98"/>
      <c r="B171" s="401" t="s">
        <v>602</v>
      </c>
      <c r="C171" s="402"/>
      <c r="D171" s="98">
        <v>2</v>
      </c>
      <c r="E171" s="98">
        <f>2*1.65</f>
        <v>3.3</v>
      </c>
      <c r="F171" s="98"/>
      <c r="G171" s="98"/>
      <c r="H171" s="98"/>
      <c r="I171" s="98"/>
      <c r="J171" s="98"/>
      <c r="K171" s="98">
        <f t="shared" si="16"/>
        <v>6.6</v>
      </c>
      <c r="L171" s="98">
        <f t="shared" si="17"/>
        <v>4.0721999999999996</v>
      </c>
      <c r="M171" s="98"/>
    </row>
    <row r="172" spans="1:13" s="49" customFormat="1" ht="14.45" customHeight="1">
      <c r="A172" s="98"/>
      <c r="B172" s="401" t="s">
        <v>603</v>
      </c>
      <c r="C172" s="402"/>
      <c r="D172" s="98">
        <v>2</v>
      </c>
      <c r="E172" s="98">
        <f>2*1.93+1.8+2*1.65</f>
        <v>8.9600000000000009</v>
      </c>
      <c r="F172" s="98"/>
      <c r="G172" s="98"/>
      <c r="H172" s="98"/>
      <c r="I172" s="98"/>
      <c r="J172" s="98"/>
      <c r="K172" s="98">
        <f t="shared" si="16"/>
        <v>17.920000000000002</v>
      </c>
      <c r="L172" s="98">
        <f t="shared" si="17"/>
        <v>11.056640000000002</v>
      </c>
      <c r="M172" s="98"/>
    </row>
    <row r="173" spans="1:13" s="49" customFormat="1" ht="14.45" customHeight="1">
      <c r="A173" s="98"/>
      <c r="B173" s="401" t="s">
        <v>604</v>
      </c>
      <c r="C173" s="402"/>
      <c r="D173" s="98">
        <v>2</v>
      </c>
      <c r="E173" s="98">
        <f>2*1.93+2*1.6</f>
        <v>7.0600000000000005</v>
      </c>
      <c r="F173" s="98"/>
      <c r="G173" s="98"/>
      <c r="H173" s="98"/>
      <c r="I173" s="98"/>
      <c r="J173" s="98"/>
      <c r="K173" s="98">
        <f t="shared" si="16"/>
        <v>14.120000000000001</v>
      </c>
      <c r="L173" s="98">
        <f t="shared" si="17"/>
        <v>8.71204</v>
      </c>
      <c r="M173" s="98"/>
    </row>
    <row r="174" spans="1:13" s="49" customFormat="1" ht="14.45" customHeight="1">
      <c r="A174" s="48"/>
      <c r="B174" s="48"/>
      <c r="C174" s="48"/>
      <c r="D174" s="48"/>
      <c r="E174" s="48"/>
      <c r="G174" s="48"/>
      <c r="K174" s="48"/>
    </row>
    <row r="175" spans="1:13" s="49" customFormat="1" ht="14.45" customHeight="1">
      <c r="A175" s="48"/>
      <c r="B175" s="48"/>
      <c r="C175" s="48"/>
      <c r="D175" s="48"/>
      <c r="E175" s="48"/>
      <c r="G175" s="48"/>
      <c r="K175" s="48"/>
    </row>
    <row r="176" spans="1:13" s="49" customFormat="1" ht="14.45" customHeight="1">
      <c r="A176" s="48"/>
      <c r="B176" s="48"/>
      <c r="C176" s="48"/>
      <c r="D176" s="48"/>
      <c r="E176" s="48"/>
      <c r="G176" s="48"/>
      <c r="K176" s="48"/>
    </row>
    <row r="177" spans="1:11" s="49" customFormat="1" ht="14.45" customHeight="1">
      <c r="A177" s="48"/>
      <c r="B177" s="48"/>
      <c r="C177" s="48"/>
      <c r="D177" s="48"/>
      <c r="E177" s="48"/>
      <c r="G177" s="48"/>
      <c r="K177" s="48"/>
    </row>
    <row r="178" spans="1:11" s="49" customFormat="1" ht="14.45" customHeight="1">
      <c r="A178" s="48"/>
      <c r="B178" s="48"/>
      <c r="C178" s="48"/>
      <c r="D178" s="48"/>
      <c r="E178" s="48"/>
      <c r="G178" s="48"/>
      <c r="K178" s="48"/>
    </row>
    <row r="179" spans="1:11" s="49" customFormat="1" ht="14.45" customHeight="1">
      <c r="A179" s="48"/>
      <c r="B179" s="48"/>
      <c r="C179" s="48"/>
      <c r="D179" s="48"/>
      <c r="E179" s="48"/>
      <c r="G179" s="48"/>
      <c r="K179" s="48"/>
    </row>
    <row r="180" spans="1:11" s="49" customFormat="1" ht="14.45" customHeight="1">
      <c r="A180" s="48"/>
      <c r="B180" s="48"/>
      <c r="C180" s="48"/>
      <c r="D180" s="48"/>
      <c r="E180" s="48"/>
      <c r="G180" s="48"/>
      <c r="K180" s="48"/>
    </row>
    <row r="181" spans="1:11" s="49" customFormat="1" ht="14.45" customHeight="1">
      <c r="A181" s="48"/>
      <c r="B181" s="48"/>
      <c r="C181" s="48"/>
      <c r="D181" s="48"/>
      <c r="E181" s="48"/>
      <c r="G181" s="48"/>
      <c r="K181" s="48"/>
    </row>
    <row r="182" spans="1:11" s="49" customFormat="1" ht="14.45" customHeight="1">
      <c r="A182" s="48"/>
      <c r="B182" s="48"/>
      <c r="C182" s="48"/>
      <c r="D182" s="48"/>
      <c r="E182" s="48"/>
      <c r="G182" s="48"/>
      <c r="K182" s="48"/>
    </row>
    <row r="183" spans="1:11" s="49" customFormat="1" ht="14.45" customHeight="1">
      <c r="A183" s="48"/>
      <c r="B183" s="48"/>
      <c r="C183" s="48"/>
      <c r="D183" s="48"/>
      <c r="E183" s="48"/>
      <c r="G183" s="48"/>
      <c r="K183" s="48"/>
    </row>
    <row r="184" spans="1:11" s="49" customFormat="1" ht="14.45" customHeight="1">
      <c r="A184" s="48"/>
      <c r="B184" s="48"/>
      <c r="C184" s="48"/>
      <c r="D184" s="48"/>
      <c r="E184" s="48"/>
      <c r="G184" s="48"/>
      <c r="K184" s="48"/>
    </row>
    <row r="185" spans="1:11" s="49" customFormat="1" ht="14.45" customHeight="1">
      <c r="A185" s="48"/>
      <c r="B185" s="48"/>
      <c r="C185" s="48"/>
      <c r="D185" s="48"/>
      <c r="E185" s="48"/>
      <c r="G185" s="48"/>
      <c r="K185" s="48"/>
    </row>
    <row r="186" spans="1:11" s="49" customFormat="1" ht="14.45" customHeight="1">
      <c r="A186" s="48"/>
      <c r="B186" s="48"/>
      <c r="C186" s="48"/>
      <c r="D186" s="48"/>
      <c r="E186" s="48"/>
      <c r="G186" s="48"/>
      <c r="K186" s="48"/>
    </row>
    <row r="187" spans="1:11" s="49" customFormat="1" ht="14.45" customHeight="1">
      <c r="A187" s="48"/>
      <c r="B187" s="48"/>
      <c r="C187" s="48"/>
      <c r="D187" s="48"/>
      <c r="E187" s="48"/>
      <c r="G187" s="48"/>
      <c r="K187" s="48"/>
    </row>
    <row r="188" spans="1:11" s="49" customFormat="1" ht="14.45" customHeight="1">
      <c r="A188" s="48"/>
      <c r="B188" s="48"/>
      <c r="C188" s="48"/>
      <c r="D188" s="48"/>
      <c r="E188" s="48"/>
      <c r="G188" s="48"/>
      <c r="K188" s="48"/>
    </row>
    <row r="189" spans="1:11" s="49" customFormat="1" ht="14.45" customHeight="1">
      <c r="A189" s="48"/>
      <c r="B189" s="48"/>
      <c r="C189" s="48"/>
      <c r="D189" s="48"/>
      <c r="E189" s="48"/>
      <c r="G189" s="48"/>
      <c r="K189" s="48"/>
    </row>
    <row r="190" spans="1:11" s="49" customFormat="1" ht="14.45" customHeight="1">
      <c r="A190" s="48"/>
      <c r="B190" s="48"/>
      <c r="C190" s="48"/>
      <c r="D190" s="48"/>
      <c r="E190" s="48"/>
      <c r="G190" s="48"/>
      <c r="K190" s="48"/>
    </row>
    <row r="191" spans="1:11" s="49" customFormat="1" ht="14.45" customHeight="1">
      <c r="A191" s="48"/>
      <c r="B191" s="48"/>
      <c r="C191" s="48"/>
      <c r="D191" s="48"/>
      <c r="E191" s="48"/>
      <c r="G191" s="48"/>
      <c r="K191" s="48"/>
    </row>
    <row r="192" spans="1:11" s="49" customFormat="1" ht="14.45" customHeight="1">
      <c r="A192" s="48"/>
      <c r="B192" s="48"/>
      <c r="C192" s="48"/>
      <c r="D192" s="48"/>
      <c r="E192" s="48"/>
      <c r="G192" s="48"/>
      <c r="K192" s="48"/>
    </row>
    <row r="193" spans="1:11" s="49" customFormat="1" ht="14.45" customHeight="1">
      <c r="A193" s="48"/>
      <c r="B193" s="48"/>
      <c r="C193" s="48"/>
      <c r="D193" s="48"/>
      <c r="E193" s="48"/>
      <c r="G193" s="48"/>
      <c r="K193" s="48"/>
    </row>
    <row r="194" spans="1:11" s="49" customFormat="1" ht="14.45" customHeight="1">
      <c r="A194" s="48"/>
      <c r="B194" s="48"/>
      <c r="C194" s="48"/>
      <c r="D194" s="48"/>
      <c r="E194" s="48"/>
      <c r="G194" s="48"/>
      <c r="K194" s="48"/>
    </row>
    <row r="195" spans="1:11" s="49" customFormat="1" ht="14.45" customHeight="1">
      <c r="A195" s="48"/>
      <c r="B195" s="48"/>
      <c r="C195" s="48"/>
      <c r="D195" s="48"/>
      <c r="E195" s="48"/>
      <c r="G195" s="48"/>
      <c r="K195" s="48"/>
    </row>
    <row r="196" spans="1:11" s="49" customFormat="1" ht="14.45" customHeight="1">
      <c r="A196" s="48"/>
      <c r="B196" s="48"/>
      <c r="C196" s="48"/>
      <c r="D196" s="48"/>
      <c r="E196" s="48"/>
      <c r="G196" s="48"/>
      <c r="K196" s="48"/>
    </row>
    <row r="197" spans="1:11" s="49" customFormat="1" ht="14.45" customHeight="1">
      <c r="A197" s="48"/>
      <c r="B197" s="48"/>
      <c r="C197" s="48"/>
      <c r="D197" s="48"/>
      <c r="E197" s="48"/>
      <c r="G197" s="48"/>
      <c r="K197" s="48"/>
    </row>
    <row r="198" spans="1:11" s="49" customFormat="1" ht="14.45" customHeight="1">
      <c r="A198" s="48"/>
      <c r="B198" s="48"/>
      <c r="C198" s="48"/>
      <c r="D198" s="48"/>
      <c r="E198" s="48"/>
      <c r="G198" s="48"/>
      <c r="K198" s="48"/>
    </row>
    <row r="199" spans="1:11" s="49" customFormat="1" ht="14.45" customHeight="1">
      <c r="A199" s="48"/>
      <c r="B199" s="48"/>
      <c r="C199" s="48"/>
      <c r="D199" s="48"/>
      <c r="E199" s="48"/>
      <c r="G199" s="48"/>
      <c r="K199" s="48"/>
    </row>
    <row r="200" spans="1:11" s="49" customFormat="1" ht="14.45" customHeight="1">
      <c r="A200" s="48"/>
      <c r="B200" s="48"/>
      <c r="C200" s="48"/>
      <c r="D200" s="48"/>
      <c r="E200" s="48"/>
      <c r="G200" s="48"/>
      <c r="K200" s="48"/>
    </row>
    <row r="201" spans="1:11" s="49" customFormat="1" ht="14.45" customHeight="1">
      <c r="A201" s="48"/>
      <c r="B201" s="48"/>
      <c r="C201" s="48"/>
      <c r="D201" s="48"/>
      <c r="E201" s="48"/>
      <c r="G201" s="48"/>
      <c r="K201" s="48"/>
    </row>
    <row r="202" spans="1:11" s="49" customFormat="1" ht="14.45" customHeight="1">
      <c r="A202" s="48"/>
      <c r="B202" s="48"/>
      <c r="C202" s="48"/>
      <c r="D202" s="48"/>
      <c r="E202" s="48"/>
      <c r="G202" s="48"/>
      <c r="K202" s="48"/>
    </row>
    <row r="203" spans="1:11" s="49" customFormat="1" ht="14.45" customHeight="1">
      <c r="A203" s="48"/>
      <c r="B203" s="48"/>
      <c r="C203" s="48"/>
      <c r="D203" s="48"/>
      <c r="E203" s="48"/>
      <c r="G203" s="48"/>
      <c r="K203" s="48"/>
    </row>
    <row r="204" spans="1:11" s="49" customFormat="1" ht="14.45" customHeight="1">
      <c r="A204" s="48"/>
      <c r="B204" s="48"/>
      <c r="C204" s="48"/>
      <c r="D204" s="48"/>
      <c r="E204" s="48"/>
      <c r="G204" s="48"/>
      <c r="K204" s="48"/>
    </row>
    <row r="205" spans="1:11" s="49" customFormat="1" ht="14.45" customHeight="1">
      <c r="A205" s="48"/>
      <c r="B205" s="48"/>
      <c r="C205" s="48"/>
      <c r="D205" s="48"/>
      <c r="E205" s="48"/>
      <c r="G205" s="48"/>
      <c r="K205" s="48"/>
    </row>
    <row r="206" spans="1:11" s="49" customFormat="1" ht="14.45" customHeight="1">
      <c r="A206" s="48"/>
      <c r="B206" s="48"/>
      <c r="C206" s="48"/>
      <c r="D206" s="48"/>
      <c r="E206" s="48"/>
      <c r="G206" s="48"/>
      <c r="K206" s="48"/>
    </row>
    <row r="207" spans="1:11" s="49" customFormat="1" ht="14.45" customHeight="1">
      <c r="A207" s="48"/>
      <c r="B207" s="48"/>
      <c r="C207" s="48"/>
      <c r="D207" s="48"/>
      <c r="E207" s="48"/>
      <c r="G207" s="48"/>
      <c r="K207" s="48"/>
    </row>
    <row r="208" spans="1:11" s="49" customFormat="1" ht="14.45" customHeight="1">
      <c r="A208" s="48"/>
      <c r="B208" s="48"/>
      <c r="C208" s="48"/>
      <c r="D208" s="48"/>
      <c r="E208" s="48"/>
      <c r="G208" s="48"/>
      <c r="K208" s="48"/>
    </row>
    <row r="209" spans="1:11" s="49" customFormat="1" ht="14.45" customHeight="1">
      <c r="A209" s="48"/>
      <c r="B209" s="48"/>
      <c r="C209" s="48"/>
      <c r="D209" s="48"/>
      <c r="E209" s="48"/>
      <c r="G209" s="48"/>
      <c r="K209" s="48"/>
    </row>
    <row r="210" spans="1:11" s="49" customFormat="1" ht="14.45" customHeight="1">
      <c r="A210" s="48"/>
      <c r="B210" s="48"/>
      <c r="C210" s="48"/>
      <c r="D210" s="48"/>
      <c r="E210" s="48"/>
      <c r="G210" s="48"/>
      <c r="K210" s="48"/>
    </row>
    <row r="211" spans="1:11" s="49" customFormat="1" ht="14.45" customHeight="1">
      <c r="A211" s="48"/>
      <c r="B211" s="48"/>
      <c r="C211" s="48"/>
      <c r="D211" s="48"/>
      <c r="E211" s="48"/>
      <c r="G211" s="48"/>
      <c r="K211" s="48"/>
    </row>
    <row r="212" spans="1:11" s="49" customFormat="1" ht="14.45" customHeight="1">
      <c r="A212" s="48"/>
      <c r="B212" s="48"/>
      <c r="C212" s="48"/>
      <c r="D212" s="48"/>
      <c r="E212" s="48"/>
      <c r="G212" s="48"/>
      <c r="K212" s="48"/>
    </row>
    <row r="213" spans="1:11" s="49" customFormat="1" ht="14.45" customHeight="1">
      <c r="A213" s="48"/>
      <c r="B213" s="48"/>
      <c r="C213" s="48"/>
      <c r="D213" s="48"/>
      <c r="E213" s="48"/>
      <c r="G213" s="48"/>
      <c r="K213" s="48"/>
    </row>
    <row r="214" spans="1:11" s="49" customFormat="1" ht="14.45" customHeight="1">
      <c r="A214" s="48"/>
      <c r="B214" s="48"/>
      <c r="C214" s="48"/>
      <c r="D214" s="48"/>
      <c r="E214" s="48"/>
      <c r="G214" s="48"/>
      <c r="K214" s="48"/>
    </row>
    <row r="215" spans="1:11" s="49" customFormat="1" ht="14.45" customHeight="1">
      <c r="A215" s="48"/>
      <c r="B215" s="48"/>
      <c r="C215" s="48"/>
      <c r="D215" s="48"/>
      <c r="E215" s="48"/>
      <c r="G215" s="48"/>
      <c r="K215" s="48"/>
    </row>
    <row r="216" spans="1:11" s="49" customFormat="1" ht="14.45" customHeight="1">
      <c r="A216" s="48"/>
      <c r="B216" s="48"/>
      <c r="C216" s="48"/>
      <c r="D216" s="48"/>
      <c r="E216" s="48"/>
      <c r="G216" s="48"/>
      <c r="K216" s="48"/>
    </row>
    <row r="217" spans="1:11" s="49" customFormat="1" ht="14.45" customHeight="1">
      <c r="A217" s="48"/>
      <c r="B217" s="48"/>
      <c r="C217" s="48"/>
      <c r="D217" s="48"/>
      <c r="E217" s="48"/>
      <c r="G217" s="48"/>
      <c r="K217" s="48"/>
    </row>
    <row r="218" spans="1:11" s="49" customFormat="1" ht="14.45" customHeight="1">
      <c r="A218" s="48"/>
      <c r="B218" s="48"/>
      <c r="C218" s="48"/>
      <c r="D218" s="48"/>
      <c r="E218" s="48"/>
      <c r="G218" s="48"/>
      <c r="K218" s="48"/>
    </row>
    <row r="219" spans="1:11" s="49" customFormat="1" ht="14.45" customHeight="1">
      <c r="A219" s="48"/>
      <c r="B219" s="48"/>
      <c r="C219" s="48"/>
      <c r="D219" s="48"/>
      <c r="E219" s="48"/>
      <c r="G219" s="48"/>
      <c r="K219" s="48"/>
    </row>
    <row r="220" spans="1:11" s="49" customFormat="1" ht="14.45" customHeight="1">
      <c r="A220" s="48"/>
      <c r="B220" s="48"/>
      <c r="C220" s="48"/>
      <c r="D220" s="48"/>
      <c r="E220" s="48"/>
      <c r="G220" s="48"/>
      <c r="K220" s="48"/>
    </row>
    <row r="221" spans="1:11" s="49" customFormat="1" ht="14.45" customHeight="1">
      <c r="A221" s="48"/>
      <c r="B221" s="48"/>
      <c r="C221" s="48"/>
      <c r="D221" s="48"/>
      <c r="E221" s="48"/>
      <c r="G221" s="48"/>
      <c r="K221" s="48"/>
    </row>
    <row r="222" spans="1:11" s="49" customFormat="1" ht="14.45" customHeight="1">
      <c r="A222" s="48"/>
      <c r="B222" s="48"/>
      <c r="C222" s="48"/>
      <c r="D222" s="48"/>
      <c r="E222" s="48"/>
      <c r="G222" s="48"/>
      <c r="K222" s="48"/>
    </row>
    <row r="223" spans="1:11" s="49" customFormat="1" ht="14.45" customHeight="1">
      <c r="A223" s="48"/>
      <c r="B223" s="48"/>
      <c r="C223" s="48"/>
      <c r="D223" s="48"/>
      <c r="E223" s="48"/>
      <c r="G223" s="48"/>
      <c r="K223" s="48"/>
    </row>
    <row r="224" spans="1:11" s="49" customFormat="1" ht="14.45" customHeight="1">
      <c r="A224" s="48"/>
      <c r="B224" s="48"/>
      <c r="C224" s="48"/>
      <c r="D224" s="48"/>
      <c r="E224" s="48"/>
      <c r="G224" s="48"/>
      <c r="K224" s="48"/>
    </row>
    <row r="225" spans="1:11" s="49" customFormat="1" ht="14.45" customHeight="1">
      <c r="A225" s="48"/>
      <c r="B225" s="48"/>
      <c r="C225" s="48"/>
      <c r="D225" s="48"/>
      <c r="E225" s="48"/>
      <c r="G225" s="48"/>
      <c r="K225" s="48"/>
    </row>
    <row r="226" spans="1:11" s="49" customFormat="1" ht="14.45" customHeight="1">
      <c r="A226" s="48"/>
      <c r="B226" s="48"/>
      <c r="C226" s="48"/>
      <c r="D226" s="48"/>
      <c r="E226" s="48"/>
      <c r="G226" s="48"/>
      <c r="K226" s="48"/>
    </row>
    <row r="227" spans="1:11" s="49" customFormat="1" ht="14.45" customHeight="1">
      <c r="A227" s="48"/>
      <c r="B227" s="48"/>
      <c r="C227" s="48"/>
      <c r="D227" s="48"/>
      <c r="E227" s="48"/>
      <c r="G227" s="48"/>
      <c r="K227" s="48"/>
    </row>
    <row r="228" spans="1:11" s="49" customFormat="1" ht="14.45" customHeight="1">
      <c r="A228" s="48"/>
      <c r="B228" s="48"/>
      <c r="C228" s="48"/>
      <c r="D228" s="48"/>
      <c r="E228" s="48"/>
      <c r="G228" s="48"/>
      <c r="K228" s="48"/>
    </row>
    <row r="229" spans="1:11" s="49" customFormat="1" ht="14.45" customHeight="1">
      <c r="A229" s="48"/>
      <c r="B229" s="48"/>
      <c r="C229" s="48"/>
      <c r="D229" s="48"/>
      <c r="E229" s="48"/>
      <c r="G229" s="48"/>
      <c r="K229" s="48"/>
    </row>
    <row r="230" spans="1:11" s="49" customFormat="1" ht="14.45" customHeight="1">
      <c r="A230" s="48"/>
      <c r="B230" s="48"/>
      <c r="C230" s="48"/>
      <c r="D230" s="48"/>
      <c r="E230" s="48"/>
      <c r="G230" s="48"/>
      <c r="K230" s="48"/>
    </row>
    <row r="231" spans="1:11" s="49" customFormat="1" ht="14.45" customHeight="1">
      <c r="A231" s="48"/>
      <c r="B231" s="48"/>
      <c r="C231" s="48"/>
      <c r="D231" s="48"/>
      <c r="E231" s="48"/>
      <c r="G231" s="48"/>
      <c r="K231" s="48"/>
    </row>
    <row r="232" spans="1:11" s="49" customFormat="1" ht="14.45" customHeight="1">
      <c r="A232" s="48"/>
      <c r="B232" s="48"/>
      <c r="C232" s="48"/>
      <c r="D232" s="48"/>
      <c r="E232" s="48"/>
      <c r="G232" s="48"/>
      <c r="K232" s="48"/>
    </row>
    <row r="233" spans="1:11" s="49" customFormat="1" ht="14.45" customHeight="1">
      <c r="A233" s="48"/>
      <c r="B233" s="48"/>
      <c r="C233" s="48"/>
      <c r="D233" s="48"/>
      <c r="E233" s="48"/>
      <c r="G233" s="48"/>
      <c r="K233" s="48"/>
    </row>
    <row r="234" spans="1:11" s="49" customFormat="1" ht="14.45" customHeight="1">
      <c r="A234" s="48"/>
      <c r="B234" s="48"/>
      <c r="C234" s="48"/>
      <c r="D234" s="48"/>
      <c r="E234" s="48"/>
      <c r="G234" s="48"/>
      <c r="K234" s="48"/>
    </row>
    <row r="235" spans="1:11" s="49" customFormat="1" ht="14.45" customHeight="1">
      <c r="A235" s="48"/>
      <c r="B235" s="48"/>
      <c r="C235" s="48"/>
      <c r="D235" s="48"/>
      <c r="E235" s="48"/>
      <c r="G235" s="48"/>
      <c r="K235" s="48"/>
    </row>
    <row r="236" spans="1:11" s="49" customFormat="1" ht="14.45" customHeight="1">
      <c r="A236" s="48"/>
      <c r="B236" s="48"/>
      <c r="C236" s="48"/>
      <c r="D236" s="48"/>
      <c r="E236" s="48"/>
      <c r="G236" s="48"/>
      <c r="K236" s="48"/>
    </row>
    <row r="237" spans="1:11" s="49" customFormat="1" ht="14.45" customHeight="1">
      <c r="A237" s="48"/>
      <c r="B237" s="48"/>
      <c r="C237" s="48"/>
      <c r="D237" s="48"/>
      <c r="E237" s="48"/>
      <c r="G237" s="48"/>
      <c r="K237" s="48"/>
    </row>
    <row r="238" spans="1:11" s="49" customFormat="1" ht="14.45" customHeight="1">
      <c r="A238" s="48"/>
      <c r="B238" s="48"/>
      <c r="C238" s="48"/>
      <c r="D238" s="48"/>
      <c r="E238" s="48"/>
      <c r="G238" s="48"/>
      <c r="K238" s="48"/>
    </row>
    <row r="239" spans="1:11" s="49" customFormat="1" ht="14.45" customHeight="1">
      <c r="A239" s="48"/>
      <c r="B239" s="48"/>
      <c r="C239" s="48"/>
      <c r="D239" s="48"/>
      <c r="E239" s="48"/>
      <c r="G239" s="48"/>
      <c r="K239" s="48"/>
    </row>
    <row r="240" spans="1:11" s="49" customFormat="1" ht="14.45" customHeight="1">
      <c r="A240" s="48"/>
      <c r="B240" s="48"/>
      <c r="C240" s="48"/>
      <c r="D240" s="48"/>
      <c r="E240" s="48"/>
      <c r="G240" s="48"/>
      <c r="K240" s="48"/>
    </row>
    <row r="241" spans="1:11" s="49" customFormat="1" ht="14.45" customHeight="1">
      <c r="A241" s="48"/>
      <c r="B241" s="48"/>
      <c r="C241" s="48"/>
      <c r="D241" s="48"/>
      <c r="E241" s="48"/>
      <c r="G241" s="48"/>
      <c r="K241" s="48"/>
    </row>
    <row r="242" spans="1:11" s="49" customFormat="1" ht="14.45" customHeight="1">
      <c r="A242" s="48"/>
      <c r="B242" s="48"/>
      <c r="C242" s="48"/>
      <c r="D242" s="48"/>
      <c r="E242" s="48"/>
      <c r="G242" s="48"/>
      <c r="K242" s="48"/>
    </row>
    <row r="243" spans="1:11" s="49" customFormat="1" ht="14.45" customHeight="1">
      <c r="A243" s="48"/>
      <c r="B243" s="48"/>
      <c r="C243" s="48"/>
      <c r="D243" s="48"/>
      <c r="E243" s="48"/>
      <c r="G243" s="48"/>
      <c r="K243" s="48"/>
    </row>
    <row r="244" spans="1:11" s="49" customFormat="1" ht="14.45" customHeight="1">
      <c r="A244" s="48"/>
      <c r="B244" s="48"/>
      <c r="C244" s="48"/>
      <c r="D244" s="48"/>
      <c r="E244" s="48"/>
      <c r="G244" s="48"/>
      <c r="K244" s="48"/>
    </row>
    <row r="245" spans="1:11" s="49" customFormat="1" ht="14.45" customHeight="1">
      <c r="A245" s="48"/>
      <c r="B245" s="48"/>
      <c r="C245" s="48"/>
      <c r="D245" s="48"/>
      <c r="E245" s="48"/>
      <c r="G245" s="48"/>
      <c r="K245" s="48"/>
    </row>
    <row r="246" spans="1:11" s="49" customFormat="1" ht="14.45" customHeight="1">
      <c r="A246" s="48"/>
      <c r="B246" s="48"/>
      <c r="C246" s="48"/>
      <c r="D246" s="48"/>
      <c r="E246" s="48"/>
      <c r="G246" s="48"/>
      <c r="K246" s="48"/>
    </row>
    <row r="247" spans="1:11" s="49" customFormat="1" ht="14.45" customHeight="1">
      <c r="A247" s="48"/>
      <c r="B247" s="48"/>
      <c r="C247" s="48"/>
      <c r="D247" s="48"/>
      <c r="E247" s="48"/>
      <c r="G247" s="48"/>
      <c r="K247" s="48"/>
    </row>
    <row r="248" spans="1:11" s="49" customFormat="1" ht="14.45" customHeight="1">
      <c r="A248" s="48"/>
      <c r="B248" s="48"/>
      <c r="C248" s="48"/>
      <c r="D248" s="48"/>
      <c r="E248" s="48"/>
      <c r="G248" s="48"/>
      <c r="K248" s="48"/>
    </row>
    <row r="249" spans="1:11" s="49" customFormat="1" ht="14.45" customHeight="1">
      <c r="A249" s="48"/>
      <c r="B249" s="48"/>
      <c r="C249" s="48"/>
      <c r="D249" s="48"/>
      <c r="E249" s="48"/>
      <c r="G249" s="48"/>
      <c r="K249" s="48"/>
    </row>
    <row r="250" spans="1:11" s="49" customFormat="1" ht="14.45" customHeight="1">
      <c r="A250" s="48"/>
      <c r="B250" s="48"/>
      <c r="C250" s="48"/>
      <c r="D250" s="48"/>
      <c r="E250" s="48"/>
      <c r="G250" s="48"/>
      <c r="K250" s="48"/>
    </row>
    <row r="251" spans="1:11" s="49" customFormat="1" ht="14.45" customHeight="1">
      <c r="A251" s="48"/>
      <c r="B251" s="48"/>
      <c r="C251" s="48"/>
      <c r="D251" s="48"/>
      <c r="E251" s="48"/>
      <c r="G251" s="48"/>
      <c r="K251" s="48"/>
    </row>
    <row r="252" spans="1:11" s="49" customFormat="1" ht="14.45" customHeight="1">
      <c r="A252" s="48"/>
      <c r="B252" s="48"/>
      <c r="C252" s="48"/>
      <c r="D252" s="48"/>
      <c r="E252" s="48"/>
      <c r="G252" s="48"/>
      <c r="K252" s="48"/>
    </row>
    <row r="253" spans="1:11" s="49" customFormat="1" ht="14.45" customHeight="1">
      <c r="A253" s="48"/>
      <c r="B253" s="48"/>
      <c r="C253" s="48"/>
      <c r="D253" s="48"/>
      <c r="E253" s="48"/>
      <c r="G253" s="48"/>
      <c r="K253" s="48"/>
    </row>
    <row r="254" spans="1:11" s="49" customFormat="1" ht="14.45" customHeight="1">
      <c r="A254" s="48"/>
      <c r="B254" s="48"/>
      <c r="C254" s="48"/>
      <c r="D254" s="48"/>
      <c r="E254" s="48"/>
      <c r="G254" s="48"/>
      <c r="K254" s="48"/>
    </row>
    <row r="255" spans="1:11" s="49" customFormat="1" ht="14.45" customHeight="1">
      <c r="A255" s="48"/>
      <c r="B255" s="48"/>
      <c r="C255" s="48"/>
      <c r="D255" s="48"/>
      <c r="E255" s="48"/>
      <c r="G255" s="48"/>
      <c r="K255" s="48"/>
    </row>
    <row r="256" spans="1:11" s="49" customFormat="1" ht="14.45" customHeight="1">
      <c r="A256" s="48"/>
      <c r="B256" s="48"/>
      <c r="C256" s="48"/>
      <c r="D256" s="48"/>
      <c r="E256" s="48"/>
      <c r="G256" s="48"/>
      <c r="K256" s="48"/>
    </row>
    <row r="257" spans="1:11" s="49" customFormat="1" ht="14.45" customHeight="1">
      <c r="A257" s="48"/>
      <c r="B257" s="48"/>
      <c r="C257" s="48"/>
      <c r="D257" s="48"/>
      <c r="E257" s="48"/>
      <c r="G257" s="48"/>
      <c r="K257" s="48"/>
    </row>
    <row r="258" spans="1:11" s="49" customFormat="1" ht="14.45" customHeight="1">
      <c r="A258" s="48"/>
      <c r="B258" s="48"/>
      <c r="C258" s="48"/>
      <c r="D258" s="48"/>
      <c r="E258" s="48"/>
      <c r="G258" s="48"/>
      <c r="K258" s="48"/>
    </row>
    <row r="259" spans="1:11" s="49" customFormat="1" ht="14.45" customHeight="1">
      <c r="A259" s="48"/>
      <c r="B259" s="48"/>
      <c r="C259" s="48"/>
      <c r="D259" s="48"/>
      <c r="E259" s="48"/>
      <c r="G259" s="48"/>
      <c r="K259" s="48"/>
    </row>
    <row r="260" spans="1:11" s="49" customFormat="1" ht="14.45" customHeight="1">
      <c r="A260" s="48"/>
      <c r="B260" s="48"/>
      <c r="C260" s="48"/>
      <c r="D260" s="48"/>
      <c r="E260" s="48"/>
      <c r="G260" s="48"/>
      <c r="K260" s="48"/>
    </row>
    <row r="261" spans="1:11" s="49" customFormat="1" ht="14.45" customHeight="1">
      <c r="A261" s="48"/>
      <c r="B261" s="48"/>
      <c r="C261" s="48"/>
      <c r="D261" s="48"/>
      <c r="E261" s="48"/>
      <c r="G261" s="48"/>
      <c r="K261" s="48"/>
    </row>
    <row r="262" spans="1:11" s="49" customFormat="1" ht="14.45" customHeight="1">
      <c r="A262" s="48"/>
      <c r="B262" s="48"/>
      <c r="C262" s="48"/>
      <c r="D262" s="48"/>
      <c r="E262" s="48"/>
      <c r="G262" s="48"/>
      <c r="K262" s="48"/>
    </row>
    <row r="263" spans="1:11" s="49" customFormat="1" ht="14.45" customHeight="1">
      <c r="A263" s="48"/>
      <c r="B263" s="48"/>
      <c r="C263" s="48"/>
      <c r="D263" s="48"/>
      <c r="E263" s="48"/>
      <c r="G263" s="48"/>
      <c r="K263" s="48"/>
    </row>
    <row r="264" spans="1:11" s="49" customFormat="1" ht="14.45" customHeight="1">
      <c r="A264" s="48"/>
      <c r="B264" s="48"/>
      <c r="C264" s="48"/>
      <c r="D264" s="48"/>
      <c r="E264" s="48"/>
      <c r="G264" s="48"/>
      <c r="K264" s="48"/>
    </row>
    <row r="265" spans="1:11" s="49" customFormat="1" ht="14.45" customHeight="1">
      <c r="A265" s="48"/>
      <c r="B265" s="48"/>
      <c r="C265" s="48"/>
      <c r="D265" s="48"/>
      <c r="E265" s="48"/>
      <c r="G265" s="48"/>
      <c r="K265" s="48"/>
    </row>
    <row r="266" spans="1:11" s="49" customFormat="1" ht="14.45" customHeight="1">
      <c r="A266" s="48"/>
      <c r="B266" s="48"/>
      <c r="C266" s="48"/>
      <c r="D266" s="48"/>
      <c r="E266" s="48"/>
      <c r="G266" s="48"/>
      <c r="K266" s="48"/>
    </row>
    <row r="267" spans="1:11" s="49" customFormat="1" ht="14.45" customHeight="1">
      <c r="A267" s="48"/>
      <c r="B267" s="48"/>
      <c r="C267" s="48"/>
      <c r="D267" s="48"/>
      <c r="E267" s="48"/>
      <c r="G267" s="48"/>
      <c r="K267" s="48"/>
    </row>
    <row r="268" spans="1:11" s="49" customFormat="1" ht="14.45" customHeight="1">
      <c r="A268" s="48"/>
      <c r="B268" s="48"/>
      <c r="C268" s="48"/>
      <c r="D268" s="48"/>
      <c r="E268" s="48"/>
      <c r="G268" s="48"/>
      <c r="K268" s="48"/>
    </row>
    <row r="269" spans="1:11" s="49" customFormat="1" ht="14.45" customHeight="1">
      <c r="A269" s="48"/>
      <c r="B269" s="48"/>
      <c r="C269" s="48"/>
      <c r="D269" s="48"/>
      <c r="E269" s="48"/>
      <c r="G269" s="48"/>
      <c r="K269" s="48"/>
    </row>
    <row r="270" spans="1:11" s="49" customFormat="1" ht="14.45" customHeight="1">
      <c r="A270" s="48"/>
      <c r="B270" s="48"/>
      <c r="C270" s="48"/>
      <c r="D270" s="48"/>
      <c r="E270" s="48"/>
      <c r="G270" s="48"/>
      <c r="K270" s="48"/>
    </row>
    <row r="271" spans="1:11" s="49" customFormat="1" ht="14.45" customHeight="1">
      <c r="A271" s="48"/>
      <c r="B271" s="48"/>
      <c r="C271" s="48"/>
      <c r="D271" s="48"/>
      <c r="E271" s="48"/>
      <c r="G271" s="48"/>
      <c r="K271" s="48"/>
    </row>
    <row r="272" spans="1:11" s="49" customFormat="1" ht="14.45" customHeight="1">
      <c r="A272" s="48"/>
      <c r="B272" s="48"/>
      <c r="C272" s="48"/>
      <c r="D272" s="48"/>
      <c r="E272" s="48"/>
      <c r="G272" s="48"/>
      <c r="K272" s="48"/>
    </row>
    <row r="273" spans="1:11" s="49" customFormat="1" ht="14.45" customHeight="1">
      <c r="A273" s="48"/>
      <c r="B273" s="48"/>
      <c r="C273" s="48"/>
      <c r="D273" s="48"/>
      <c r="E273" s="48"/>
      <c r="G273" s="48"/>
      <c r="K273" s="48"/>
    </row>
    <row r="274" spans="1:11" s="49" customFormat="1" ht="14.45" customHeight="1">
      <c r="A274" s="48"/>
      <c r="B274" s="48"/>
      <c r="C274" s="48"/>
      <c r="D274" s="48"/>
      <c r="E274" s="48"/>
      <c r="G274" s="48"/>
      <c r="K274" s="48"/>
    </row>
    <row r="275" spans="1:11" s="49" customFormat="1" ht="14.45" customHeight="1">
      <c r="A275" s="48"/>
      <c r="B275" s="48"/>
      <c r="C275" s="48"/>
      <c r="D275" s="48"/>
      <c r="E275" s="48"/>
      <c r="G275" s="48"/>
      <c r="K275" s="48"/>
    </row>
    <row r="276" spans="1:11" s="49" customFormat="1" ht="14.45" customHeight="1">
      <c r="A276" s="48"/>
      <c r="B276" s="48"/>
      <c r="C276" s="48"/>
      <c r="D276" s="48"/>
      <c r="E276" s="48"/>
      <c r="G276" s="48"/>
      <c r="K276" s="48"/>
    </row>
    <row r="277" spans="1:11" s="49" customFormat="1" ht="14.45" customHeight="1">
      <c r="A277" s="48"/>
      <c r="B277" s="48"/>
      <c r="C277" s="48"/>
      <c r="D277" s="48"/>
      <c r="E277" s="48"/>
      <c r="G277" s="48"/>
      <c r="K277" s="48"/>
    </row>
    <row r="278" spans="1:11" s="49" customFormat="1" ht="14.45" customHeight="1">
      <c r="A278" s="48"/>
      <c r="B278" s="48"/>
      <c r="C278" s="48"/>
      <c r="D278" s="48"/>
      <c r="E278" s="48"/>
      <c r="G278" s="48"/>
      <c r="K278" s="48"/>
    </row>
    <row r="279" spans="1:11" s="49" customFormat="1" ht="14.45" customHeight="1">
      <c r="A279" s="48"/>
      <c r="B279" s="48"/>
      <c r="C279" s="48"/>
      <c r="D279" s="48"/>
      <c r="E279" s="48"/>
      <c r="G279" s="48"/>
      <c r="K279" s="48"/>
    </row>
    <row r="280" spans="1:11" s="49" customFormat="1" ht="14.45" customHeight="1">
      <c r="A280" s="48"/>
      <c r="B280" s="48"/>
      <c r="C280" s="48"/>
      <c r="D280" s="48"/>
      <c r="E280" s="48"/>
      <c r="G280" s="48"/>
      <c r="K280" s="48"/>
    </row>
    <row r="281" spans="1:11" s="49" customFormat="1" ht="14.45" customHeight="1">
      <c r="A281" s="48"/>
      <c r="B281" s="48"/>
      <c r="C281" s="48"/>
      <c r="D281" s="48"/>
      <c r="E281" s="48"/>
      <c r="G281" s="48"/>
      <c r="K281" s="48"/>
    </row>
    <row r="282" spans="1:11" s="49" customFormat="1" ht="14.45" customHeight="1">
      <c r="A282" s="48"/>
      <c r="B282" s="48"/>
      <c r="C282" s="48"/>
      <c r="D282" s="48"/>
      <c r="E282" s="48"/>
      <c r="G282" s="48"/>
      <c r="K282" s="48"/>
    </row>
    <row r="283" spans="1:11" s="49" customFormat="1" ht="14.45" customHeight="1">
      <c r="A283" s="48"/>
      <c r="B283" s="48"/>
      <c r="C283" s="48"/>
      <c r="D283" s="48"/>
      <c r="E283" s="48"/>
      <c r="G283" s="48"/>
      <c r="K283" s="48"/>
    </row>
    <row r="284" spans="1:11" s="49" customFormat="1" ht="14.45" customHeight="1">
      <c r="A284" s="48"/>
      <c r="B284" s="48"/>
      <c r="C284" s="48"/>
      <c r="D284" s="48"/>
      <c r="E284" s="48"/>
      <c r="G284" s="48"/>
      <c r="K284" s="48"/>
    </row>
    <row r="285" spans="1:11" s="49" customFormat="1" ht="14.45" customHeight="1">
      <c r="A285" s="48"/>
      <c r="B285" s="48"/>
      <c r="C285" s="48"/>
      <c r="D285" s="48"/>
      <c r="E285" s="48"/>
      <c r="G285" s="48"/>
      <c r="K285" s="48"/>
    </row>
    <row r="286" spans="1:11" s="49" customFormat="1" ht="14.45" customHeight="1">
      <c r="A286" s="48"/>
      <c r="B286" s="48"/>
      <c r="C286" s="48"/>
      <c r="D286" s="48"/>
      <c r="E286" s="48"/>
      <c r="G286" s="48"/>
      <c r="K286" s="48"/>
    </row>
    <row r="287" spans="1:11" s="49" customFormat="1" ht="14.45" customHeight="1">
      <c r="A287" s="48"/>
      <c r="B287" s="48"/>
      <c r="C287" s="48"/>
      <c r="D287" s="48"/>
      <c r="E287" s="48"/>
      <c r="G287" s="48"/>
      <c r="K287" s="48"/>
    </row>
    <row r="288" spans="1:11" s="49" customFormat="1" ht="14.45" customHeight="1">
      <c r="A288" s="48"/>
      <c r="B288" s="48"/>
      <c r="C288" s="48"/>
      <c r="D288" s="48"/>
      <c r="E288" s="48"/>
      <c r="G288" s="48"/>
      <c r="K288" s="48"/>
    </row>
    <row r="289" spans="1:11" s="49" customFormat="1" ht="14.45" customHeight="1">
      <c r="A289" s="48"/>
      <c r="B289" s="48"/>
      <c r="C289" s="48"/>
      <c r="D289" s="48"/>
      <c r="E289" s="48"/>
      <c r="G289" s="48"/>
      <c r="K289" s="48"/>
    </row>
    <row r="290" spans="1:11" s="49" customFormat="1" ht="14.45" customHeight="1">
      <c r="A290" s="48"/>
      <c r="B290" s="48"/>
      <c r="C290" s="48"/>
      <c r="D290" s="48"/>
      <c r="E290" s="48"/>
      <c r="G290" s="48"/>
      <c r="K290" s="48"/>
    </row>
    <row r="291" spans="1:11" s="49" customFormat="1" ht="14.45" customHeight="1">
      <c r="A291" s="48"/>
      <c r="B291" s="48"/>
      <c r="C291" s="48"/>
      <c r="D291" s="48"/>
      <c r="E291" s="48"/>
      <c r="G291" s="48"/>
      <c r="K291" s="48"/>
    </row>
    <row r="292" spans="1:11" s="49" customFormat="1" ht="14.45" customHeight="1">
      <c r="A292" s="48"/>
      <c r="B292" s="48"/>
      <c r="C292" s="48"/>
      <c r="D292" s="48"/>
      <c r="E292" s="48"/>
      <c r="G292" s="48"/>
      <c r="K292" s="48"/>
    </row>
    <row r="293" spans="1:11" s="49" customFormat="1" ht="14.45" customHeight="1">
      <c r="A293" s="48"/>
      <c r="B293" s="48"/>
      <c r="C293" s="48"/>
      <c r="D293" s="48"/>
      <c r="E293" s="48"/>
      <c r="G293" s="48"/>
      <c r="K293" s="48"/>
    </row>
    <row r="294" spans="1:11" s="49" customFormat="1" ht="14.45" customHeight="1">
      <c r="A294" s="48"/>
      <c r="B294" s="48"/>
      <c r="C294" s="48"/>
      <c r="D294" s="48"/>
      <c r="E294" s="48"/>
      <c r="G294" s="48"/>
      <c r="K294" s="48"/>
    </row>
    <row r="295" spans="1:11" s="49" customFormat="1" ht="14.45" customHeight="1">
      <c r="A295" s="48"/>
      <c r="B295" s="48"/>
      <c r="C295" s="48"/>
      <c r="D295" s="48"/>
      <c r="E295" s="48"/>
      <c r="G295" s="48"/>
      <c r="K295" s="48"/>
    </row>
    <row r="296" spans="1:11" s="49" customFormat="1" ht="14.45" customHeight="1">
      <c r="A296" s="48"/>
      <c r="B296" s="48"/>
      <c r="C296" s="48"/>
      <c r="D296" s="48"/>
      <c r="E296" s="48"/>
      <c r="G296" s="48"/>
      <c r="K296" s="48"/>
    </row>
    <row r="297" spans="1:11" s="49" customFormat="1" ht="14.45" customHeight="1">
      <c r="A297" s="48"/>
      <c r="B297" s="48"/>
      <c r="C297" s="48"/>
      <c r="D297" s="48"/>
      <c r="E297" s="48"/>
      <c r="G297" s="48"/>
      <c r="K297" s="48"/>
    </row>
    <row r="298" spans="1:11" s="49" customFormat="1" ht="14.45" customHeight="1">
      <c r="A298" s="48"/>
      <c r="B298" s="48"/>
      <c r="C298" s="48"/>
      <c r="D298" s="48"/>
      <c r="E298" s="48"/>
      <c r="G298" s="48"/>
      <c r="K298" s="48"/>
    </row>
    <row r="299" spans="1:11" s="49" customFormat="1" ht="14.45" customHeight="1">
      <c r="A299" s="48"/>
      <c r="B299" s="48"/>
      <c r="C299" s="48"/>
      <c r="D299" s="48"/>
      <c r="E299" s="48"/>
      <c r="G299" s="48"/>
      <c r="K299" s="48"/>
    </row>
    <row r="300" spans="1:11" s="49" customFormat="1" ht="14.45" customHeight="1">
      <c r="A300" s="48"/>
      <c r="B300" s="48"/>
      <c r="C300" s="48"/>
      <c r="D300" s="48"/>
      <c r="E300" s="48"/>
      <c r="G300" s="48"/>
      <c r="K300" s="48"/>
    </row>
    <row r="301" spans="1:11" s="49" customFormat="1" ht="14.45" customHeight="1">
      <c r="A301" s="48"/>
      <c r="B301" s="48"/>
      <c r="C301" s="48"/>
      <c r="D301" s="48"/>
      <c r="E301" s="48"/>
      <c r="G301" s="48"/>
      <c r="K301" s="48"/>
    </row>
    <row r="302" spans="1:11" s="49" customFormat="1" ht="14.45" customHeight="1">
      <c r="A302" s="48"/>
      <c r="B302" s="48"/>
      <c r="C302" s="48"/>
      <c r="D302" s="48"/>
      <c r="E302" s="48"/>
      <c r="G302" s="48"/>
      <c r="K302" s="48"/>
    </row>
    <row r="303" spans="1:11" s="49" customFormat="1" ht="14.45" customHeight="1">
      <c r="A303" s="48"/>
      <c r="B303" s="48"/>
      <c r="C303" s="48"/>
      <c r="D303" s="48"/>
      <c r="E303" s="48"/>
      <c r="G303" s="48"/>
      <c r="K303" s="48"/>
    </row>
    <row r="304" spans="1:11" s="49" customFormat="1" ht="14.45" customHeight="1">
      <c r="A304" s="48"/>
      <c r="B304" s="48"/>
      <c r="C304" s="48"/>
      <c r="D304" s="48"/>
      <c r="E304" s="48"/>
      <c r="G304" s="48"/>
      <c r="K304" s="48"/>
    </row>
    <row r="305" spans="1:11" s="49" customFormat="1" ht="14.45" customHeight="1">
      <c r="A305" s="48"/>
      <c r="B305" s="48"/>
      <c r="C305" s="48"/>
      <c r="D305" s="48"/>
      <c r="E305" s="48"/>
      <c r="G305" s="48"/>
      <c r="K305" s="48"/>
    </row>
    <row r="306" spans="1:11" s="49" customFormat="1" ht="14.45" customHeight="1">
      <c r="A306" s="48"/>
      <c r="B306" s="48"/>
      <c r="C306" s="48"/>
      <c r="D306" s="48"/>
      <c r="E306" s="48"/>
      <c r="G306" s="48"/>
      <c r="K306" s="48"/>
    </row>
    <row r="307" spans="1:11" s="49" customFormat="1" ht="14.45" customHeight="1">
      <c r="A307" s="48"/>
      <c r="B307" s="48"/>
      <c r="C307" s="48"/>
      <c r="D307" s="48"/>
      <c r="E307" s="48"/>
      <c r="G307" s="48"/>
      <c r="K307" s="48"/>
    </row>
    <row r="308" spans="1:11" s="49" customFormat="1" ht="14.45" customHeight="1">
      <c r="A308" s="48"/>
      <c r="B308" s="48"/>
      <c r="C308" s="48"/>
      <c r="D308" s="48"/>
      <c r="E308" s="48"/>
      <c r="G308" s="48"/>
      <c r="K308" s="48"/>
    </row>
    <row r="309" spans="1:11" s="49" customFormat="1" ht="14.45" customHeight="1">
      <c r="A309" s="48"/>
      <c r="B309" s="48"/>
      <c r="C309" s="48"/>
      <c r="D309" s="48"/>
      <c r="E309" s="48"/>
      <c r="G309" s="48"/>
      <c r="K309" s="48"/>
    </row>
    <row r="310" spans="1:11" s="49" customFormat="1" ht="14.45" customHeight="1">
      <c r="A310" s="48"/>
      <c r="B310" s="48"/>
      <c r="C310" s="48"/>
      <c r="D310" s="48"/>
      <c r="E310" s="48"/>
      <c r="G310" s="48"/>
      <c r="K310" s="48"/>
    </row>
    <row r="311" spans="1:11" s="49" customFormat="1" ht="14.45" customHeight="1">
      <c r="A311" s="48"/>
      <c r="B311" s="48"/>
      <c r="C311" s="48"/>
      <c r="D311" s="48"/>
      <c r="E311" s="48"/>
      <c r="G311" s="48"/>
      <c r="K311" s="48"/>
    </row>
    <row r="312" spans="1:11" s="49" customFormat="1" ht="14.45" customHeight="1">
      <c r="A312" s="48"/>
      <c r="B312" s="48"/>
      <c r="C312" s="48"/>
      <c r="D312" s="48"/>
      <c r="E312" s="48"/>
      <c r="G312" s="48"/>
      <c r="K312" s="48"/>
    </row>
    <row r="313" spans="1:11" s="49" customFormat="1" ht="14.45" customHeight="1">
      <c r="A313" s="48"/>
      <c r="B313" s="48"/>
      <c r="C313" s="48"/>
      <c r="D313" s="48"/>
      <c r="E313" s="48"/>
      <c r="G313" s="48"/>
      <c r="K313" s="48"/>
    </row>
    <row r="314" spans="1:11" s="49" customFormat="1" ht="14.45" customHeight="1">
      <c r="A314" s="48"/>
      <c r="B314" s="48"/>
      <c r="C314" s="48"/>
      <c r="D314" s="48"/>
      <c r="E314" s="48"/>
      <c r="G314" s="48"/>
      <c r="K314" s="48"/>
    </row>
    <row r="315" spans="1:11" s="49" customFormat="1" ht="14.45" customHeight="1">
      <c r="A315" s="48"/>
      <c r="B315" s="48"/>
      <c r="C315" s="48"/>
      <c r="D315" s="48"/>
      <c r="E315" s="48"/>
      <c r="G315" s="48"/>
      <c r="K315" s="48"/>
    </row>
    <row r="316" spans="1:11" s="49" customFormat="1" ht="14.45" customHeight="1">
      <c r="A316" s="48"/>
      <c r="B316" s="48"/>
      <c r="C316" s="48"/>
      <c r="D316" s="48"/>
      <c r="E316" s="48"/>
      <c r="G316" s="48"/>
      <c r="K316" s="48"/>
    </row>
    <row r="317" spans="1:11" s="49" customFormat="1" ht="14.45" customHeight="1">
      <c r="A317" s="48"/>
      <c r="B317" s="48"/>
      <c r="C317" s="48"/>
      <c r="D317" s="48"/>
      <c r="E317" s="48"/>
      <c r="G317" s="48"/>
      <c r="K317" s="48"/>
    </row>
    <row r="318" spans="1:11" s="49" customFormat="1" ht="14.45" customHeight="1">
      <c r="A318" s="48"/>
      <c r="B318" s="48"/>
      <c r="C318" s="48"/>
      <c r="D318" s="48"/>
      <c r="E318" s="48"/>
      <c r="G318" s="48"/>
      <c r="K318" s="48"/>
    </row>
    <row r="319" spans="1:11" s="49" customFormat="1" ht="14.45" customHeight="1">
      <c r="A319" s="48"/>
      <c r="B319" s="48"/>
      <c r="C319" s="48"/>
      <c r="D319" s="48"/>
      <c r="E319" s="48"/>
      <c r="G319" s="48"/>
      <c r="K319" s="48"/>
    </row>
    <row r="320" spans="1:11" s="49" customFormat="1" ht="14.45" customHeight="1">
      <c r="A320" s="48"/>
      <c r="B320" s="48"/>
      <c r="C320" s="48"/>
      <c r="D320" s="48"/>
      <c r="E320" s="48"/>
      <c r="G320" s="48"/>
      <c r="K320" s="48"/>
    </row>
    <row r="321" spans="1:13" s="49" customFormat="1" ht="14.45" customHeight="1">
      <c r="A321" s="48"/>
      <c r="B321" s="48"/>
      <c r="C321" s="48"/>
      <c r="D321" s="48"/>
      <c r="E321" s="48"/>
      <c r="G321" s="48"/>
      <c r="K321" s="48"/>
    </row>
    <row r="322" spans="1:13" s="49" customFormat="1" ht="14.45" customHeight="1">
      <c r="A322" s="48"/>
      <c r="B322" s="48"/>
      <c r="C322" s="48"/>
      <c r="D322" s="48"/>
      <c r="E322" s="48"/>
      <c r="G322" s="48"/>
      <c r="K322" s="48"/>
    </row>
    <row r="323" spans="1:13" s="49" customFormat="1" ht="14.45" customHeight="1">
      <c r="A323" s="48"/>
      <c r="B323" s="48"/>
      <c r="C323" s="48"/>
      <c r="D323" s="48"/>
      <c r="E323" s="48"/>
      <c r="G323" s="48"/>
      <c r="K323" s="48"/>
    </row>
    <row r="324" spans="1:13" s="49" customFormat="1" ht="14.45" customHeight="1">
      <c r="A324" s="48"/>
      <c r="B324" s="48"/>
      <c r="C324" s="48"/>
      <c r="D324" s="48"/>
      <c r="E324" s="48"/>
      <c r="G324" s="48"/>
      <c r="K324" s="48"/>
    </row>
    <row r="325" spans="1:13" s="49" customFormat="1" ht="14.45" customHeight="1">
      <c r="A325" s="48"/>
      <c r="B325" s="48"/>
      <c r="C325" s="48"/>
      <c r="D325" s="48"/>
      <c r="E325" s="48"/>
      <c r="G325" s="48"/>
      <c r="K325" s="48"/>
    </row>
    <row r="326" spans="1:13" s="49" customFormat="1" ht="14.45" customHeight="1">
      <c r="A326" s="48"/>
      <c r="B326" s="48"/>
      <c r="C326" s="48"/>
      <c r="D326" s="48"/>
      <c r="E326" s="48"/>
      <c r="G326" s="48"/>
      <c r="K326" s="48"/>
    </row>
    <row r="327" spans="1:13" s="49" customFormat="1" ht="14.45" customHeight="1">
      <c r="A327" s="48"/>
      <c r="B327" s="48"/>
      <c r="C327" s="48"/>
      <c r="D327" s="48"/>
      <c r="E327" s="48"/>
      <c r="G327" s="48"/>
      <c r="K327" s="48"/>
    </row>
    <row r="328" spans="1:13" ht="15" customHeight="1">
      <c r="D328" s="51"/>
      <c r="E328" s="51"/>
      <c r="F328" s="51"/>
      <c r="G328" s="51"/>
      <c r="H328" s="51"/>
      <c r="I328" s="51"/>
      <c r="J328" s="51"/>
      <c r="K328" s="51"/>
      <c r="L328" s="51"/>
    </row>
    <row r="329" spans="1:13" ht="15.75" thickBot="1"/>
    <row r="330" spans="1:13">
      <c r="A330" s="93">
        <f>BM_06!A56</f>
        <v>5</v>
      </c>
      <c r="B330" s="407" t="str">
        <f>BM_06!B56</f>
        <v>COBERTURAS E PROTEÇÕES</v>
      </c>
      <c r="C330" s="408"/>
      <c r="D330" s="408"/>
      <c r="E330" s="408"/>
      <c r="F330" s="408"/>
      <c r="G330" s="408"/>
      <c r="H330" s="408"/>
      <c r="I330" s="408"/>
      <c r="J330" s="408"/>
      <c r="K330" s="408"/>
      <c r="L330" s="43"/>
      <c r="M330" s="94"/>
    </row>
    <row r="331" spans="1:13" ht="25.15" customHeight="1" thickBot="1">
      <c r="I331" s="48"/>
    </row>
    <row r="332" spans="1:13" ht="24.6" customHeight="1">
      <c r="A332" s="93" t="str">
        <f>BM_06!A57</f>
        <v>5.1</v>
      </c>
      <c r="B332" s="417" t="str">
        <f>BM_06!B57</f>
        <v>TRAMA DE MADEIRA COMPOSTA POR RIPAS, CAIBROS E TERÇAS PARA TELHADOS DE ATÉ 2 ÁGUAS PARA TELHA DE ENCAIXE DE CERÂMICA OU DE CONCRETO, INCLUSO TRANSPORTE VERTICAL. AF_07/2019</v>
      </c>
      <c r="C332" s="418"/>
      <c r="D332" s="418"/>
      <c r="E332" s="418"/>
      <c r="F332" s="418"/>
      <c r="G332" s="418"/>
      <c r="H332" s="418"/>
      <c r="I332" s="418"/>
      <c r="J332" s="418"/>
      <c r="K332" s="418"/>
      <c r="L332" s="43"/>
      <c r="M332" s="94"/>
    </row>
    <row r="333" spans="1:13">
      <c r="A333" s="74"/>
      <c r="B333" s="55"/>
      <c r="C333" s="55"/>
      <c r="D333" s="55"/>
      <c r="E333" s="55"/>
      <c r="F333" s="55"/>
      <c r="G333" s="78"/>
      <c r="H333" s="55"/>
      <c r="I333" s="55"/>
      <c r="J333" s="55"/>
      <c r="K333" s="73" t="s">
        <v>480</v>
      </c>
      <c r="L333" s="71">
        <f>SUM(L334:L337)</f>
        <v>150.02999999999997</v>
      </c>
    </row>
    <row r="334" spans="1:13">
      <c r="A334" s="74"/>
      <c r="B334" s="416" t="s">
        <v>481</v>
      </c>
      <c r="C334" s="416"/>
      <c r="D334" s="72">
        <v>1</v>
      </c>
      <c r="E334" s="72">
        <v>8.6</v>
      </c>
      <c r="F334" s="72"/>
      <c r="G334" s="72">
        <v>13.2</v>
      </c>
      <c r="H334" s="72"/>
      <c r="I334" s="72"/>
      <c r="J334" s="72"/>
      <c r="K334" s="72">
        <f>E334*G334</f>
        <v>113.52</v>
      </c>
      <c r="L334" s="72">
        <f>K334*D334</f>
        <v>113.52</v>
      </c>
    </row>
    <row r="335" spans="1:13">
      <c r="A335" s="74"/>
      <c r="B335" s="416" t="s">
        <v>471</v>
      </c>
      <c r="C335" s="416"/>
      <c r="D335" s="72">
        <v>1</v>
      </c>
      <c r="E335" s="72">
        <v>1.6</v>
      </c>
      <c r="F335" s="72"/>
      <c r="G335" s="72">
        <v>2.2000000000000002</v>
      </c>
      <c r="H335" s="72"/>
      <c r="I335" s="72"/>
      <c r="J335" s="72"/>
      <c r="K335" s="72">
        <f>E335*G335</f>
        <v>3.5200000000000005</v>
      </c>
      <c r="L335" s="72">
        <f>K335*D335</f>
        <v>3.5200000000000005</v>
      </c>
    </row>
    <row r="336" spans="1:13">
      <c r="A336" s="74"/>
      <c r="B336" s="416" t="s">
        <v>482</v>
      </c>
      <c r="C336" s="416"/>
      <c r="D336" s="72">
        <v>1</v>
      </c>
      <c r="E336" s="72">
        <v>4.4000000000000004</v>
      </c>
      <c r="F336" s="72"/>
      <c r="G336" s="72">
        <v>2.8</v>
      </c>
      <c r="H336" s="72"/>
      <c r="I336" s="72"/>
      <c r="J336" s="72"/>
      <c r="K336" s="72">
        <f>E336*G336</f>
        <v>12.32</v>
      </c>
      <c r="L336" s="72">
        <f>K336*D336</f>
        <v>12.32</v>
      </c>
    </row>
    <row r="337" spans="1:13">
      <c r="A337" s="74"/>
      <c r="B337" s="416" t="s">
        <v>483</v>
      </c>
      <c r="C337" s="416"/>
      <c r="D337" s="82">
        <v>1</v>
      </c>
      <c r="E337" s="82">
        <v>5.3</v>
      </c>
      <c r="F337" s="55"/>
      <c r="G337" s="82">
        <v>3.9</v>
      </c>
      <c r="H337" s="55"/>
      <c r="I337" s="55"/>
      <c r="J337" s="55"/>
      <c r="K337" s="82">
        <f>E337*G337</f>
        <v>20.669999999999998</v>
      </c>
      <c r="L337" s="82">
        <f>K337*D337</f>
        <v>20.669999999999998</v>
      </c>
    </row>
    <row r="338" spans="1:13" ht="15.75" thickBot="1">
      <c r="A338" s="100"/>
      <c r="B338" s="101"/>
      <c r="C338" s="101"/>
      <c r="D338" s="101"/>
      <c r="E338" s="101"/>
      <c r="F338" s="101"/>
      <c r="G338" s="102"/>
      <c r="H338" s="101"/>
      <c r="I338" s="101"/>
      <c r="J338" s="101"/>
      <c r="K338" s="101"/>
      <c r="L338" s="101"/>
    </row>
    <row r="339" spans="1:13" ht="21.6" customHeight="1">
      <c r="A339" s="93" t="s">
        <v>58</v>
      </c>
      <c r="B339" s="417" t="str">
        <f>BM_06!B58</f>
        <v>TELHAMENTO COM TELHA CERÂMICA CAPA-CANAL, TIPO COLONIAL, COM ATÉ 2 ÁGUAS, INCLUSO TRANSPORTE VERTICAL. AF_07/2019</v>
      </c>
      <c r="C339" s="418"/>
      <c r="D339" s="418"/>
      <c r="E339" s="418"/>
      <c r="F339" s="418"/>
      <c r="G339" s="418"/>
      <c r="H339" s="418"/>
      <c r="I339" s="418"/>
      <c r="J339" s="418"/>
      <c r="K339" s="418"/>
      <c r="L339" s="43"/>
      <c r="M339" s="94"/>
    </row>
    <row r="340" spans="1:13">
      <c r="A340" s="74"/>
      <c r="B340" s="55"/>
      <c r="C340" s="55"/>
      <c r="D340" s="55"/>
      <c r="E340" s="55"/>
      <c r="F340" s="55"/>
      <c r="G340" s="81"/>
      <c r="H340" s="55"/>
      <c r="I340" s="55"/>
      <c r="J340" s="55"/>
      <c r="K340" s="73" t="s">
        <v>480</v>
      </c>
      <c r="L340" s="71">
        <f>SUM(L341:L344)</f>
        <v>150.02999999999997</v>
      </c>
    </row>
    <row r="341" spans="1:13">
      <c r="A341" s="74"/>
      <c r="B341" s="416" t="s">
        <v>481</v>
      </c>
      <c r="C341" s="416"/>
      <c r="D341" s="82">
        <v>1</v>
      </c>
      <c r="E341" s="82">
        <v>8.6</v>
      </c>
      <c r="F341" s="82"/>
      <c r="G341" s="82">
        <v>13.2</v>
      </c>
      <c r="H341" s="82"/>
      <c r="I341" s="82"/>
      <c r="J341" s="82"/>
      <c r="K341" s="82">
        <f>E341*G341</f>
        <v>113.52</v>
      </c>
      <c r="L341" s="82">
        <f>K341*D341</f>
        <v>113.52</v>
      </c>
    </row>
    <row r="342" spans="1:13">
      <c r="A342" s="74"/>
      <c r="B342" s="416" t="s">
        <v>471</v>
      </c>
      <c r="C342" s="416"/>
      <c r="D342" s="82">
        <v>1</v>
      </c>
      <c r="E342" s="82">
        <v>1.6</v>
      </c>
      <c r="F342" s="82"/>
      <c r="G342" s="82">
        <v>2.2000000000000002</v>
      </c>
      <c r="H342" s="82"/>
      <c r="I342" s="82"/>
      <c r="J342" s="82"/>
      <c r="K342" s="82">
        <f>E342*G342</f>
        <v>3.5200000000000005</v>
      </c>
      <c r="L342" s="82">
        <f>K342*D342</f>
        <v>3.5200000000000005</v>
      </c>
    </row>
    <row r="343" spans="1:13">
      <c r="A343" s="74"/>
      <c r="B343" s="416" t="s">
        <v>482</v>
      </c>
      <c r="C343" s="416"/>
      <c r="D343" s="82">
        <v>1</v>
      </c>
      <c r="E343" s="82">
        <v>4.4000000000000004</v>
      </c>
      <c r="F343" s="82"/>
      <c r="G343" s="82">
        <v>2.8</v>
      </c>
      <c r="H343" s="82"/>
      <c r="I343" s="82"/>
      <c r="J343" s="82"/>
      <c r="K343" s="82">
        <f>E343*G343</f>
        <v>12.32</v>
      </c>
      <c r="L343" s="82">
        <f>K343*D343</f>
        <v>12.32</v>
      </c>
    </row>
    <row r="344" spans="1:13">
      <c r="A344" s="74"/>
      <c r="B344" s="416" t="s">
        <v>483</v>
      </c>
      <c r="C344" s="416"/>
      <c r="D344" s="82">
        <v>1</v>
      </c>
      <c r="E344" s="82">
        <v>5.3</v>
      </c>
      <c r="F344" s="55"/>
      <c r="G344" s="82">
        <v>3.9</v>
      </c>
      <c r="H344" s="55"/>
      <c r="I344" s="55"/>
      <c r="J344" s="55"/>
      <c r="K344" s="82">
        <f>E344*G344</f>
        <v>20.669999999999998</v>
      </c>
      <c r="L344" s="82">
        <f>K344*D344</f>
        <v>20.669999999999998</v>
      </c>
    </row>
    <row r="345" spans="1:13">
      <c r="A345" s="100"/>
      <c r="B345" s="101"/>
      <c r="C345" s="101"/>
      <c r="D345" s="101"/>
      <c r="E345" s="101"/>
      <c r="F345" s="101"/>
      <c r="G345" s="102"/>
      <c r="H345" s="101"/>
      <c r="I345" s="101"/>
      <c r="J345" s="101"/>
      <c r="K345" s="101"/>
      <c r="L345" s="101"/>
    </row>
    <row r="346" spans="1:13" ht="14.45" customHeight="1" thickBot="1"/>
    <row r="347" spans="1:13" ht="15.75" thickBot="1">
      <c r="A347" s="93">
        <f>BM_06!A93</f>
        <v>8</v>
      </c>
      <c r="B347" s="407" t="str">
        <f>BM_06!B93</f>
        <v>PAVIMENTAÇÃO</v>
      </c>
      <c r="C347" s="408"/>
      <c r="D347" s="408"/>
      <c r="E347" s="408"/>
      <c r="F347" s="408"/>
      <c r="G347" s="408"/>
      <c r="H347" s="408"/>
      <c r="I347" s="408"/>
      <c r="J347" s="408"/>
      <c r="K347" s="408"/>
      <c r="L347" s="43"/>
      <c r="M347" s="94"/>
    </row>
    <row r="348" spans="1:13" ht="21.6" customHeight="1" thickBot="1">
      <c r="A348" s="83" t="str">
        <f>BM_06!A94</f>
        <v>8.1</v>
      </c>
      <c r="B348" s="409" t="str">
        <f>BM_06!B94</f>
        <v>CONTRAPISO EM ARGAMASSA TRAÇO 1:4 (CIMENTO E AREIA), PREPARO MECÂNICO COM BETONEIRA 400 L, APLICADO EM ÁREAS SECAS SOBRE LAJE, ADERIDO, ACABAMENTO NÃO REFORÇADO, ESPESSURA 2CM. AF_07/2021</v>
      </c>
      <c r="C348" s="410"/>
      <c r="D348" s="410"/>
      <c r="E348" s="410"/>
      <c r="F348" s="410"/>
      <c r="G348" s="410"/>
      <c r="H348" s="410"/>
      <c r="I348" s="410"/>
      <c r="J348" s="410"/>
      <c r="K348" s="410"/>
      <c r="L348" s="62"/>
      <c r="M348" s="44"/>
    </row>
    <row r="349" spans="1:13">
      <c r="L349" s="52"/>
    </row>
    <row r="350" spans="1:13">
      <c r="B350" s="80"/>
      <c r="C350" s="80"/>
      <c r="D350" s="80"/>
      <c r="E350" s="80"/>
      <c r="F350" s="46" t="s">
        <v>463</v>
      </c>
      <c r="G350" s="80"/>
      <c r="H350" s="46" t="s">
        <v>463</v>
      </c>
      <c r="I350" s="80"/>
      <c r="J350" s="80"/>
      <c r="K350" s="54" t="s">
        <v>454</v>
      </c>
      <c r="L350" s="76">
        <f>SUM(L353:L377)</f>
        <v>736.73</v>
      </c>
    </row>
    <row r="351" spans="1:13">
      <c r="B351" s="80"/>
      <c r="C351" s="80"/>
      <c r="D351" s="80"/>
      <c r="E351" s="80"/>
      <c r="F351" s="46"/>
      <c r="G351" s="80"/>
      <c r="H351" s="46"/>
      <c r="I351" s="80"/>
      <c r="J351" s="80"/>
      <c r="K351" s="54" t="s">
        <v>455</v>
      </c>
      <c r="L351" s="76">
        <v>231.18</v>
      </c>
    </row>
    <row r="352" spans="1:13">
      <c r="B352" s="80"/>
      <c r="C352" s="80"/>
      <c r="D352" s="80"/>
      <c r="E352" s="80"/>
      <c r="F352" s="46"/>
      <c r="G352" s="80"/>
      <c r="H352" s="46"/>
      <c r="I352" s="80"/>
      <c r="J352" s="80"/>
      <c r="K352" s="54" t="s">
        <v>480</v>
      </c>
      <c r="L352" s="76">
        <f>L350-L351</f>
        <v>505.55</v>
      </c>
    </row>
    <row r="353" spans="2:12">
      <c r="B353" s="406" t="s">
        <v>435</v>
      </c>
      <c r="C353" s="406"/>
      <c r="D353" s="80">
        <v>1</v>
      </c>
      <c r="E353" s="80">
        <v>5.2</v>
      </c>
      <c r="F353" s="80"/>
      <c r="G353" s="80">
        <v>5.6</v>
      </c>
      <c r="H353" s="80"/>
      <c r="I353" s="80"/>
      <c r="J353" s="80"/>
      <c r="K353" s="80">
        <f>(E353*G353)+(F353*H353)</f>
        <v>29.119999999999997</v>
      </c>
      <c r="L353" s="46">
        <f t="shared" ref="L353:L377" si="18">K353*D353</f>
        <v>29.119999999999997</v>
      </c>
    </row>
    <row r="354" spans="2:12">
      <c r="B354" s="406" t="s">
        <v>436</v>
      </c>
      <c r="C354" s="406"/>
      <c r="D354" s="80">
        <v>1</v>
      </c>
      <c r="E354" s="80">
        <v>5.2</v>
      </c>
      <c r="F354" s="80"/>
      <c r="G354" s="80">
        <v>5.6</v>
      </c>
      <c r="H354" s="80"/>
      <c r="I354" s="80"/>
      <c r="J354" s="80"/>
      <c r="K354" s="80">
        <f t="shared" ref="K354:K377" si="19">(E354*G354)+(F354*H354)</f>
        <v>29.119999999999997</v>
      </c>
      <c r="L354" s="46">
        <f t="shared" si="18"/>
        <v>29.119999999999997</v>
      </c>
    </row>
    <row r="355" spans="2:12">
      <c r="B355" s="406" t="s">
        <v>437</v>
      </c>
      <c r="C355" s="406"/>
      <c r="D355" s="80">
        <v>1</v>
      </c>
      <c r="E355" s="80">
        <v>5.2</v>
      </c>
      <c r="F355" s="80"/>
      <c r="G355" s="80">
        <v>5.6</v>
      </c>
      <c r="H355" s="80"/>
      <c r="I355" s="80"/>
      <c r="J355" s="80"/>
      <c r="K355" s="80">
        <f t="shared" si="19"/>
        <v>29.119999999999997</v>
      </c>
      <c r="L355" s="46">
        <f t="shared" si="18"/>
        <v>29.119999999999997</v>
      </c>
    </row>
    <row r="356" spans="2:12">
      <c r="B356" s="406" t="s">
        <v>437</v>
      </c>
      <c r="C356" s="406"/>
      <c r="D356" s="80">
        <v>1</v>
      </c>
      <c r="E356" s="80">
        <v>5.2</v>
      </c>
      <c r="F356" s="80"/>
      <c r="G356" s="80">
        <v>5.6</v>
      </c>
      <c r="H356" s="80"/>
      <c r="I356" s="80"/>
      <c r="J356" s="80"/>
      <c r="K356" s="80">
        <f t="shared" si="19"/>
        <v>29.119999999999997</v>
      </c>
      <c r="L356" s="46">
        <f t="shared" si="18"/>
        <v>29.119999999999997</v>
      </c>
    </row>
    <row r="357" spans="2:12">
      <c r="B357" s="406" t="s">
        <v>461</v>
      </c>
      <c r="C357" s="406"/>
      <c r="D357" s="80">
        <v>1</v>
      </c>
      <c r="E357" s="80">
        <v>2</v>
      </c>
      <c r="F357" s="80"/>
      <c r="G357" s="80">
        <v>20</v>
      </c>
      <c r="H357" s="80"/>
      <c r="I357" s="80"/>
      <c r="J357" s="80"/>
      <c r="K357" s="80">
        <f t="shared" si="19"/>
        <v>40</v>
      </c>
      <c r="L357" s="46">
        <f t="shared" si="18"/>
        <v>40</v>
      </c>
    </row>
    <row r="358" spans="2:12">
      <c r="B358" s="419" t="s">
        <v>440</v>
      </c>
      <c r="C358" s="419"/>
      <c r="D358" s="85">
        <v>1</v>
      </c>
      <c r="E358" s="85">
        <v>2</v>
      </c>
      <c r="F358" s="86"/>
      <c r="G358" s="85">
        <v>34.700000000000003</v>
      </c>
      <c r="H358" s="86"/>
      <c r="I358" s="86"/>
      <c r="J358" s="86"/>
      <c r="K358" s="80">
        <f t="shared" si="19"/>
        <v>69.400000000000006</v>
      </c>
      <c r="L358" s="46">
        <f t="shared" si="18"/>
        <v>69.400000000000006</v>
      </c>
    </row>
    <row r="359" spans="2:12">
      <c r="B359" s="89"/>
      <c r="C359" s="90"/>
      <c r="D359" s="85"/>
      <c r="E359" s="85"/>
      <c r="F359" s="86"/>
      <c r="G359" s="85"/>
      <c r="H359" s="86"/>
      <c r="I359" s="86"/>
      <c r="J359" s="86"/>
      <c r="K359" s="80">
        <f t="shared" si="19"/>
        <v>0</v>
      </c>
      <c r="L359" s="46">
        <f t="shared" si="18"/>
        <v>0</v>
      </c>
    </row>
    <row r="360" spans="2:12">
      <c r="B360" s="401" t="s">
        <v>445</v>
      </c>
      <c r="C360" s="402"/>
      <c r="D360" s="80">
        <v>1</v>
      </c>
      <c r="E360" s="80">
        <v>4.3</v>
      </c>
      <c r="F360" s="46"/>
      <c r="G360" s="80">
        <v>3</v>
      </c>
      <c r="H360" s="46"/>
      <c r="I360" s="46"/>
      <c r="J360" s="46"/>
      <c r="K360" s="80">
        <f t="shared" si="19"/>
        <v>12.899999999999999</v>
      </c>
      <c r="L360" s="46">
        <f t="shared" si="18"/>
        <v>12.899999999999999</v>
      </c>
    </row>
    <row r="361" spans="2:12">
      <c r="B361" s="401" t="s">
        <v>451</v>
      </c>
      <c r="C361" s="402"/>
      <c r="D361" s="80">
        <v>1</v>
      </c>
      <c r="E361" s="80">
        <v>8.6999999999999993</v>
      </c>
      <c r="F361" s="46"/>
      <c r="G361" s="80">
        <v>6</v>
      </c>
      <c r="H361" s="46"/>
      <c r="I361" s="46"/>
      <c r="J361" s="46"/>
      <c r="K361" s="80">
        <f t="shared" si="19"/>
        <v>52.199999999999996</v>
      </c>
      <c r="L361" s="46">
        <f t="shared" si="18"/>
        <v>52.199999999999996</v>
      </c>
    </row>
    <row r="362" spans="2:12">
      <c r="B362" s="401" t="s">
        <v>456</v>
      </c>
      <c r="C362" s="402"/>
      <c r="D362" s="80">
        <v>1</v>
      </c>
      <c r="E362" s="80">
        <v>7.5</v>
      </c>
      <c r="F362" s="46"/>
      <c r="G362" s="80">
        <v>4</v>
      </c>
      <c r="H362" s="46"/>
      <c r="I362" s="46"/>
      <c r="J362" s="46"/>
      <c r="K362" s="80">
        <f t="shared" si="19"/>
        <v>30</v>
      </c>
      <c r="L362" s="46">
        <f t="shared" si="18"/>
        <v>30</v>
      </c>
    </row>
    <row r="363" spans="2:12">
      <c r="B363" s="401" t="s">
        <v>444</v>
      </c>
      <c r="C363" s="402"/>
      <c r="D363" s="80">
        <v>1</v>
      </c>
      <c r="E363" s="80">
        <v>14.6</v>
      </c>
      <c r="F363" s="46"/>
      <c r="G363" s="80">
        <v>2.7</v>
      </c>
      <c r="H363" s="46"/>
      <c r="I363" s="46"/>
      <c r="J363" s="46"/>
      <c r="K363" s="80">
        <f t="shared" si="19"/>
        <v>39.42</v>
      </c>
      <c r="L363" s="46">
        <f t="shared" si="18"/>
        <v>39.42</v>
      </c>
    </row>
    <row r="364" spans="2:12">
      <c r="B364" s="401" t="s">
        <v>443</v>
      </c>
      <c r="C364" s="402"/>
      <c r="D364" s="80">
        <v>1</v>
      </c>
      <c r="E364" s="80">
        <v>6.3</v>
      </c>
      <c r="F364" s="46">
        <v>3.9</v>
      </c>
      <c r="G364" s="80">
        <v>3.9</v>
      </c>
      <c r="H364" s="46">
        <v>1.4</v>
      </c>
      <c r="I364" s="46"/>
      <c r="J364" s="46"/>
      <c r="K364" s="80">
        <f t="shared" si="19"/>
        <v>30.03</v>
      </c>
      <c r="L364" s="46">
        <f t="shared" si="18"/>
        <v>30.03</v>
      </c>
    </row>
    <row r="365" spans="2:12">
      <c r="B365" s="401" t="s">
        <v>442</v>
      </c>
      <c r="C365" s="402"/>
      <c r="D365" s="80">
        <v>1</v>
      </c>
      <c r="E365" s="80">
        <v>6.3</v>
      </c>
      <c r="F365" s="46"/>
      <c r="G365" s="80">
        <v>3.9</v>
      </c>
      <c r="H365" s="46"/>
      <c r="I365" s="46"/>
      <c r="J365" s="46"/>
      <c r="K365" s="80">
        <f t="shared" si="19"/>
        <v>24.57</v>
      </c>
      <c r="L365" s="46">
        <f t="shared" si="18"/>
        <v>24.57</v>
      </c>
    </row>
    <row r="366" spans="2:12">
      <c r="B366" s="401" t="s">
        <v>457</v>
      </c>
      <c r="C366" s="402"/>
      <c r="D366" s="80">
        <v>1</v>
      </c>
      <c r="E366" s="80">
        <v>3.2</v>
      </c>
      <c r="F366" s="46"/>
      <c r="G366" s="80">
        <v>3.5</v>
      </c>
      <c r="H366" s="46"/>
      <c r="I366" s="46"/>
      <c r="J366" s="46"/>
      <c r="K366" s="80">
        <f t="shared" si="19"/>
        <v>11.200000000000001</v>
      </c>
      <c r="L366" s="46">
        <f t="shared" si="18"/>
        <v>11.200000000000001</v>
      </c>
    </row>
    <row r="367" spans="2:12">
      <c r="B367" s="401" t="s">
        <v>458</v>
      </c>
      <c r="C367" s="402"/>
      <c r="D367" s="80">
        <v>1</v>
      </c>
      <c r="E367" s="80">
        <v>5</v>
      </c>
      <c r="F367" s="46"/>
      <c r="G367" s="80">
        <v>4.2</v>
      </c>
      <c r="H367" s="46"/>
      <c r="I367" s="46"/>
      <c r="J367" s="46"/>
      <c r="K367" s="80">
        <f t="shared" si="19"/>
        <v>21</v>
      </c>
      <c r="L367" s="46">
        <f t="shared" si="18"/>
        <v>21</v>
      </c>
    </row>
    <row r="368" spans="2:12">
      <c r="B368" s="401" t="s">
        <v>447</v>
      </c>
      <c r="C368" s="402"/>
      <c r="D368" s="80">
        <v>1</v>
      </c>
      <c r="E368" s="80">
        <v>3.5</v>
      </c>
      <c r="F368" s="46">
        <v>1.5</v>
      </c>
      <c r="G368" s="80">
        <v>3</v>
      </c>
      <c r="H368" s="46">
        <v>1.6</v>
      </c>
      <c r="I368" s="46"/>
      <c r="J368" s="46"/>
      <c r="K368" s="80">
        <f t="shared" si="19"/>
        <v>12.9</v>
      </c>
      <c r="L368" s="46">
        <f t="shared" si="18"/>
        <v>12.9</v>
      </c>
    </row>
    <row r="369" spans="1:13">
      <c r="B369" s="401" t="s">
        <v>453</v>
      </c>
      <c r="C369" s="402"/>
      <c r="D369" s="80">
        <v>1</v>
      </c>
      <c r="E369" s="80">
        <v>4.2</v>
      </c>
      <c r="F369" s="46"/>
      <c r="G369" s="80">
        <v>3.1</v>
      </c>
      <c r="H369" s="46"/>
      <c r="I369" s="46"/>
      <c r="J369" s="46"/>
      <c r="K369" s="80">
        <f t="shared" si="19"/>
        <v>13.020000000000001</v>
      </c>
      <c r="L369" s="46">
        <f t="shared" si="18"/>
        <v>13.020000000000001</v>
      </c>
    </row>
    <row r="370" spans="1:13">
      <c r="B370" s="401" t="s">
        <v>459</v>
      </c>
      <c r="C370" s="402"/>
      <c r="D370" s="80">
        <v>1</v>
      </c>
      <c r="E370" s="80">
        <v>7</v>
      </c>
      <c r="F370" s="46"/>
      <c r="G370" s="80">
        <v>4.5999999999999996</v>
      </c>
      <c r="H370" s="46"/>
      <c r="I370" s="46"/>
      <c r="J370" s="46"/>
      <c r="K370" s="80">
        <f t="shared" si="19"/>
        <v>32.199999999999996</v>
      </c>
      <c r="L370" s="46">
        <f t="shared" si="18"/>
        <v>32.199999999999996</v>
      </c>
    </row>
    <row r="371" spans="1:13">
      <c r="B371" s="401" t="s">
        <v>460</v>
      </c>
      <c r="C371" s="402"/>
      <c r="D371" s="80">
        <v>1</v>
      </c>
      <c r="E371" s="80">
        <v>3.7</v>
      </c>
      <c r="F371" s="46"/>
      <c r="G371" s="80">
        <v>4.2</v>
      </c>
      <c r="H371" s="46"/>
      <c r="I371" s="46"/>
      <c r="J371" s="46"/>
      <c r="K371" s="80">
        <f t="shared" si="19"/>
        <v>15.540000000000001</v>
      </c>
      <c r="L371" s="46">
        <f t="shared" si="18"/>
        <v>15.540000000000001</v>
      </c>
    </row>
    <row r="372" spans="1:13">
      <c r="B372" s="401" t="s">
        <v>449</v>
      </c>
      <c r="C372" s="402"/>
      <c r="D372" s="80">
        <v>1</v>
      </c>
      <c r="E372" s="80">
        <v>34.700000000000003</v>
      </c>
      <c r="F372" s="46"/>
      <c r="G372" s="80">
        <v>1.9</v>
      </c>
      <c r="H372" s="46"/>
      <c r="I372" s="46"/>
      <c r="J372" s="46"/>
      <c r="K372" s="80">
        <f t="shared" si="19"/>
        <v>65.930000000000007</v>
      </c>
      <c r="L372" s="46">
        <f t="shared" si="18"/>
        <v>65.930000000000007</v>
      </c>
    </row>
    <row r="373" spans="1:13">
      <c r="B373" s="401" t="s">
        <v>462</v>
      </c>
      <c r="C373" s="402"/>
      <c r="D373" s="80">
        <v>1</v>
      </c>
      <c r="E373" s="80">
        <v>3.5</v>
      </c>
      <c r="F373" s="46"/>
      <c r="G373" s="80">
        <v>2.7</v>
      </c>
      <c r="H373" s="46"/>
      <c r="I373" s="46"/>
      <c r="J373" s="46"/>
      <c r="K373" s="80">
        <f t="shared" si="19"/>
        <v>9.4500000000000011</v>
      </c>
      <c r="L373" s="46">
        <f t="shared" si="18"/>
        <v>9.4500000000000011</v>
      </c>
    </row>
    <row r="374" spans="1:13">
      <c r="B374" s="401" t="s">
        <v>448</v>
      </c>
      <c r="C374" s="402"/>
      <c r="D374" s="80">
        <v>1</v>
      </c>
      <c r="E374" s="80">
        <v>3.4</v>
      </c>
      <c r="F374" s="46">
        <v>2.2000000000000002</v>
      </c>
      <c r="G374" s="80">
        <v>3.1</v>
      </c>
      <c r="H374" s="46">
        <v>1</v>
      </c>
      <c r="I374" s="46"/>
      <c r="J374" s="46"/>
      <c r="K374" s="80">
        <f t="shared" si="19"/>
        <v>12.739999999999998</v>
      </c>
      <c r="L374" s="46">
        <f t="shared" si="18"/>
        <v>12.739999999999998</v>
      </c>
    </row>
    <row r="375" spans="1:13">
      <c r="B375" s="401" t="s">
        <v>452</v>
      </c>
      <c r="C375" s="402"/>
      <c r="D375" s="80">
        <v>1</v>
      </c>
      <c r="E375" s="80">
        <v>2.2000000000000002</v>
      </c>
      <c r="F375" s="46"/>
      <c r="G375" s="80">
        <v>1</v>
      </c>
      <c r="H375" s="46"/>
      <c r="I375" s="46"/>
      <c r="J375" s="46"/>
      <c r="K375" s="80">
        <f t="shared" si="19"/>
        <v>2.2000000000000002</v>
      </c>
      <c r="L375" s="46">
        <f t="shared" si="18"/>
        <v>2.2000000000000002</v>
      </c>
    </row>
    <row r="376" spans="1:13">
      <c r="B376" s="401" t="s">
        <v>452</v>
      </c>
      <c r="C376" s="402"/>
      <c r="D376" s="80">
        <v>1</v>
      </c>
      <c r="E376" s="80">
        <v>5.9</v>
      </c>
      <c r="F376" s="46"/>
      <c r="G376" s="80">
        <v>4.5</v>
      </c>
      <c r="H376" s="46"/>
      <c r="I376" s="46"/>
      <c r="J376" s="46"/>
      <c r="K376" s="80">
        <f t="shared" si="19"/>
        <v>26.55</v>
      </c>
      <c r="L376" s="46">
        <f t="shared" si="18"/>
        <v>26.55</v>
      </c>
    </row>
    <row r="377" spans="1:13">
      <c r="B377" s="401" t="s">
        <v>438</v>
      </c>
      <c r="C377" s="402"/>
      <c r="D377" s="80">
        <v>1</v>
      </c>
      <c r="E377" s="80">
        <v>15</v>
      </c>
      <c r="F377" s="46"/>
      <c r="G377" s="80">
        <v>6.6</v>
      </c>
      <c r="H377" s="46"/>
      <c r="I377" s="46"/>
      <c r="J377" s="46"/>
      <c r="K377" s="80">
        <f t="shared" si="19"/>
        <v>99</v>
      </c>
      <c r="L377" s="46">
        <f t="shared" si="18"/>
        <v>99</v>
      </c>
    </row>
    <row r="378" spans="1:13">
      <c r="B378" s="48"/>
      <c r="C378" s="48"/>
      <c r="D378" s="48"/>
      <c r="E378" s="48"/>
      <c r="F378" s="49"/>
      <c r="G378" s="48"/>
      <c r="H378" s="49"/>
      <c r="I378" s="49"/>
      <c r="J378" s="49"/>
      <c r="K378" s="48"/>
      <c r="L378" s="49"/>
    </row>
    <row r="379" spans="1:13" ht="15.75" thickBot="1"/>
    <row r="380" spans="1:13" ht="15.75" thickBot="1">
      <c r="A380" s="93" t="s">
        <v>128</v>
      </c>
      <c r="B380" s="407" t="str">
        <f>BM_06!B131</f>
        <v>SISTEMA PREDIAL DE ÁGUA FRIA - NBR 5626</v>
      </c>
      <c r="C380" s="408"/>
      <c r="D380" s="408"/>
      <c r="E380" s="408"/>
      <c r="F380" s="408"/>
      <c r="G380" s="408"/>
      <c r="H380" s="408"/>
      <c r="I380" s="408"/>
      <c r="J380" s="408"/>
      <c r="K380" s="408"/>
      <c r="L380" s="43"/>
      <c r="M380" s="94"/>
    </row>
    <row r="381" spans="1:13" ht="15.75" thickBot="1">
      <c r="A381" s="83" t="str">
        <f>BM_06!A132</f>
        <v>9.2.1</v>
      </c>
      <c r="B381" s="409" t="str">
        <f>BM_06!B132</f>
        <v>TUBO, PVC, SOLDÁVEL, DN 60MM, INSTALADO EM PRUMADA DE ÁGUA - FORNECIMENTO E INSTALAÇÃO. AF_12/2014</v>
      </c>
      <c r="C381" s="410"/>
      <c r="D381" s="410"/>
      <c r="E381" s="410"/>
      <c r="F381" s="410"/>
      <c r="G381" s="410"/>
      <c r="H381" s="410"/>
      <c r="I381" s="410"/>
      <c r="J381" s="410"/>
      <c r="K381" s="410"/>
      <c r="L381" s="62"/>
      <c r="M381" s="44"/>
    </row>
    <row r="383" spans="1:13">
      <c r="B383" s="415" t="s">
        <v>464</v>
      </c>
      <c r="C383" s="415"/>
      <c r="L383" s="50">
        <v>23</v>
      </c>
    </row>
    <row r="384" spans="1:13" ht="15.75" thickBot="1"/>
    <row r="385" spans="1:13" ht="15.75" thickBot="1">
      <c r="A385" s="83" t="str">
        <f>BM_06!A133</f>
        <v>9.2.2</v>
      </c>
      <c r="B385" s="409" t="str">
        <f>BM_06!B133</f>
        <v>TUBO, PVC, SOLDÁVEL, DN 50MM, INSTALADO EM PRUMADA DE ÁGUA - FORNECIMENTO E INSTALAÇÃO. AF_12/2014</v>
      </c>
      <c r="C385" s="410"/>
      <c r="D385" s="410"/>
      <c r="E385" s="410"/>
      <c r="F385" s="410"/>
      <c r="G385" s="410"/>
      <c r="H385" s="410"/>
      <c r="I385" s="410"/>
      <c r="J385" s="410"/>
      <c r="K385" s="410"/>
      <c r="L385" s="62"/>
      <c r="M385" s="44"/>
    </row>
    <row r="386" spans="1:13">
      <c r="G386" s="77"/>
    </row>
    <row r="387" spans="1:13">
      <c r="B387" s="415" t="s">
        <v>464</v>
      </c>
      <c r="C387" s="415"/>
      <c r="G387" s="77"/>
      <c r="L387" s="50">
        <v>166</v>
      </c>
    </row>
    <row r="388" spans="1:13" ht="15.75" thickBot="1"/>
    <row r="389" spans="1:13" ht="24.6" customHeight="1" thickBot="1">
      <c r="A389" s="83" t="str">
        <f>BM_06!A134</f>
        <v>9.2.3</v>
      </c>
      <c r="B389" s="409" t="str">
        <f>BM_06!B134</f>
        <v>TUBO, PVC, SOLDÁVEL, DN 25MM, INSTALADO EM RAMAL OU SUB-RAMAL DE ÁGUA - FORNECIMENTO E INSTALAÇÃO. AF_12/2014</v>
      </c>
      <c r="C389" s="410"/>
      <c r="D389" s="410"/>
      <c r="E389" s="410"/>
      <c r="F389" s="410"/>
      <c r="G389" s="410"/>
      <c r="H389" s="410"/>
      <c r="I389" s="410"/>
      <c r="J389" s="410"/>
      <c r="K389" s="410"/>
      <c r="L389" s="62"/>
      <c r="M389" s="44"/>
    </row>
    <row r="390" spans="1:13">
      <c r="G390" s="77"/>
      <c r="L390" s="103">
        <f>SUM(L391:L415)</f>
        <v>231.9</v>
      </c>
    </row>
    <row r="391" spans="1:13" ht="23.45" customHeight="1">
      <c r="B391" s="415" t="s">
        <v>465</v>
      </c>
      <c r="C391" s="415"/>
      <c r="D391" s="51">
        <v>1</v>
      </c>
      <c r="E391" s="51">
        <v>7.8</v>
      </c>
      <c r="F391" s="51"/>
      <c r="G391" s="51"/>
      <c r="H391" s="51"/>
      <c r="I391" s="51"/>
      <c r="J391" s="51"/>
      <c r="K391" s="51"/>
      <c r="L391" s="51">
        <f>D391*E391</f>
        <v>7.8</v>
      </c>
    </row>
    <row r="392" spans="1:13">
      <c r="B392" s="415" t="s">
        <v>439</v>
      </c>
      <c r="C392" s="415"/>
      <c r="D392" s="51">
        <v>1</v>
      </c>
      <c r="E392" s="51">
        <v>6.5</v>
      </c>
      <c r="F392" s="51"/>
      <c r="G392" s="51"/>
      <c r="H392" s="51"/>
      <c r="I392" s="51"/>
      <c r="J392" s="51"/>
      <c r="K392" s="51"/>
      <c r="L392" s="51">
        <f t="shared" ref="L392:L415" si="20">D392*E392</f>
        <v>6.5</v>
      </c>
    </row>
    <row r="393" spans="1:13">
      <c r="B393" s="415" t="s">
        <v>437</v>
      </c>
      <c r="C393" s="415"/>
      <c r="D393" s="51">
        <v>1</v>
      </c>
      <c r="E393" s="51">
        <v>13.3</v>
      </c>
      <c r="F393" s="51"/>
      <c r="G393" s="51"/>
      <c r="H393" s="51"/>
      <c r="I393" s="51"/>
      <c r="J393" s="51"/>
      <c r="K393" s="51"/>
      <c r="L393" s="51">
        <f t="shared" si="20"/>
        <v>13.3</v>
      </c>
    </row>
    <row r="394" spans="1:13">
      <c r="B394" s="415" t="s">
        <v>466</v>
      </c>
      <c r="C394" s="415"/>
      <c r="D394" s="51">
        <v>1</v>
      </c>
      <c r="E394" s="51">
        <v>13.3</v>
      </c>
      <c r="F394" s="51"/>
      <c r="G394" s="51"/>
      <c r="H394" s="51"/>
      <c r="I394" s="51"/>
      <c r="J394" s="51"/>
      <c r="K394" s="51"/>
      <c r="L394" s="51">
        <f t="shared" si="20"/>
        <v>13.3</v>
      </c>
    </row>
    <row r="395" spans="1:13">
      <c r="B395" s="415" t="s">
        <v>477</v>
      </c>
      <c r="C395" s="415"/>
      <c r="D395" s="51">
        <v>1</v>
      </c>
      <c r="E395" s="51"/>
      <c r="F395" s="51"/>
      <c r="G395" s="51"/>
      <c r="H395" s="51"/>
      <c r="I395" s="51"/>
      <c r="J395" s="51"/>
      <c r="K395" s="51"/>
      <c r="L395" s="51">
        <f t="shared" si="20"/>
        <v>0</v>
      </c>
    </row>
    <row r="396" spans="1:13">
      <c r="B396" s="415" t="s">
        <v>467</v>
      </c>
      <c r="C396" s="415"/>
      <c r="D396" s="51">
        <v>1</v>
      </c>
      <c r="E396" s="51"/>
      <c r="F396" s="51"/>
      <c r="G396" s="51"/>
      <c r="H396" s="51"/>
      <c r="I396" s="51"/>
      <c r="J396" s="51"/>
      <c r="K396" s="51"/>
      <c r="L396" s="51">
        <f t="shared" si="20"/>
        <v>0</v>
      </c>
    </row>
    <row r="397" spans="1:13">
      <c r="B397" s="415" t="s">
        <v>468</v>
      </c>
      <c r="C397" s="415"/>
      <c r="D397" s="51">
        <v>1</v>
      </c>
      <c r="E397" s="51">
        <v>2.1</v>
      </c>
      <c r="F397" s="51"/>
      <c r="G397" s="51"/>
      <c r="H397" s="51"/>
      <c r="I397" s="51"/>
      <c r="J397" s="51"/>
      <c r="K397" s="51"/>
      <c r="L397" s="51">
        <f t="shared" si="20"/>
        <v>2.1</v>
      </c>
    </row>
    <row r="398" spans="1:13">
      <c r="B398" s="415" t="s">
        <v>469</v>
      </c>
      <c r="C398" s="415"/>
      <c r="D398" s="51">
        <v>1</v>
      </c>
      <c r="E398" s="51">
        <v>6.8</v>
      </c>
      <c r="F398" s="51"/>
      <c r="G398" s="51"/>
      <c r="H398" s="51"/>
      <c r="I398" s="51"/>
      <c r="J398" s="51"/>
      <c r="K398" s="51"/>
      <c r="L398" s="51">
        <f t="shared" si="20"/>
        <v>6.8</v>
      </c>
    </row>
    <row r="399" spans="1:13">
      <c r="B399" s="415" t="s">
        <v>470</v>
      </c>
      <c r="C399" s="415"/>
      <c r="D399" s="51">
        <v>1</v>
      </c>
      <c r="E399" s="51">
        <v>3.6</v>
      </c>
      <c r="F399" s="51"/>
      <c r="G399" s="51"/>
      <c r="H399" s="51"/>
      <c r="I399" s="51"/>
      <c r="J399" s="51"/>
      <c r="K399" s="51"/>
      <c r="L399" s="51">
        <f t="shared" si="20"/>
        <v>3.6</v>
      </c>
    </row>
    <row r="400" spans="1:13">
      <c r="B400" s="415" t="s">
        <v>468</v>
      </c>
      <c r="C400" s="415"/>
      <c r="D400" s="51">
        <v>1</v>
      </c>
      <c r="E400" s="51">
        <v>2.6</v>
      </c>
      <c r="F400" s="51"/>
      <c r="G400" s="51"/>
      <c r="H400" s="51"/>
      <c r="I400" s="51"/>
      <c r="J400" s="51"/>
      <c r="K400" s="51"/>
      <c r="L400" s="51">
        <f t="shared" si="20"/>
        <v>2.6</v>
      </c>
    </row>
    <row r="401" spans="2:12">
      <c r="B401" s="415" t="s">
        <v>445</v>
      </c>
      <c r="C401" s="415"/>
      <c r="D401" s="51">
        <v>1</v>
      </c>
      <c r="E401" s="51">
        <v>2.2999999999999998</v>
      </c>
      <c r="F401" s="51"/>
      <c r="G401" s="51"/>
      <c r="H401" s="51"/>
      <c r="I401" s="51"/>
      <c r="J401" s="51"/>
      <c r="K401" s="51"/>
      <c r="L401" s="51">
        <f t="shared" si="20"/>
        <v>2.2999999999999998</v>
      </c>
    </row>
    <row r="402" spans="2:12">
      <c r="B402" s="415" t="s">
        <v>471</v>
      </c>
      <c r="C402" s="415"/>
      <c r="D402" s="51">
        <v>1</v>
      </c>
      <c r="E402" s="51">
        <v>11</v>
      </c>
      <c r="F402" s="51"/>
      <c r="G402" s="51"/>
      <c r="H402" s="51"/>
      <c r="I402" s="51"/>
      <c r="J402" s="51"/>
      <c r="K402" s="51"/>
      <c r="L402" s="51">
        <f t="shared" si="20"/>
        <v>11</v>
      </c>
    </row>
    <row r="403" spans="2:12">
      <c r="B403" s="415" t="s">
        <v>478</v>
      </c>
      <c r="C403" s="415"/>
      <c r="D403" s="51">
        <v>1</v>
      </c>
      <c r="E403" s="51">
        <v>22</v>
      </c>
      <c r="F403" s="51"/>
      <c r="G403" s="51"/>
      <c r="H403" s="51"/>
      <c r="I403" s="51"/>
      <c r="J403" s="51"/>
      <c r="K403" s="51"/>
      <c r="L403" s="51">
        <f t="shared" si="20"/>
        <v>22</v>
      </c>
    </row>
    <row r="404" spans="2:12">
      <c r="B404" s="415" t="s">
        <v>472</v>
      </c>
      <c r="C404" s="415"/>
      <c r="D404" s="51">
        <v>1</v>
      </c>
      <c r="E404" s="51">
        <v>4</v>
      </c>
      <c r="F404" s="51"/>
      <c r="G404" s="51"/>
      <c r="H404" s="51"/>
      <c r="I404" s="51"/>
      <c r="J404" s="51"/>
      <c r="K404" s="51"/>
      <c r="L404" s="51">
        <f t="shared" si="20"/>
        <v>4</v>
      </c>
    </row>
    <row r="405" spans="2:12">
      <c r="B405" s="415" t="s">
        <v>441</v>
      </c>
      <c r="C405" s="415"/>
      <c r="D405" s="51">
        <v>1</v>
      </c>
      <c r="E405" s="51">
        <v>16</v>
      </c>
      <c r="F405" s="51"/>
      <c r="G405" s="51"/>
      <c r="H405" s="51"/>
      <c r="I405" s="51"/>
      <c r="J405" s="51"/>
      <c r="K405" s="51"/>
      <c r="L405" s="51">
        <f t="shared" si="20"/>
        <v>16</v>
      </c>
    </row>
    <row r="406" spans="2:12">
      <c r="B406" s="415" t="s">
        <v>473</v>
      </c>
      <c r="C406" s="415"/>
      <c r="D406" s="51">
        <v>1</v>
      </c>
      <c r="E406" s="51">
        <v>4.5</v>
      </c>
      <c r="F406" s="51"/>
      <c r="G406" s="51"/>
      <c r="H406" s="51"/>
      <c r="I406" s="51"/>
      <c r="J406" s="51"/>
      <c r="K406" s="51"/>
      <c r="L406" s="51">
        <f t="shared" si="20"/>
        <v>4.5</v>
      </c>
    </row>
    <row r="407" spans="2:12">
      <c r="B407" s="415" t="s">
        <v>446</v>
      </c>
      <c r="C407" s="415"/>
      <c r="D407" s="51">
        <v>1</v>
      </c>
      <c r="E407" s="51">
        <v>4</v>
      </c>
      <c r="F407" s="51"/>
      <c r="G407" s="51"/>
      <c r="H407" s="51"/>
      <c r="I407" s="51"/>
      <c r="J407" s="51"/>
      <c r="K407" s="51"/>
      <c r="L407" s="51">
        <f t="shared" si="20"/>
        <v>4</v>
      </c>
    </row>
    <row r="408" spans="2:12">
      <c r="B408" s="415" t="s">
        <v>474</v>
      </c>
      <c r="C408" s="415"/>
      <c r="D408" s="51">
        <v>1</v>
      </c>
      <c r="E408" s="51">
        <v>8.5</v>
      </c>
      <c r="F408" s="51"/>
      <c r="G408" s="51"/>
      <c r="H408" s="51"/>
      <c r="I408" s="51"/>
      <c r="J408" s="51"/>
      <c r="K408" s="51"/>
      <c r="L408" s="51">
        <f t="shared" si="20"/>
        <v>8.5</v>
      </c>
    </row>
    <row r="409" spans="2:12">
      <c r="B409" s="415" t="s">
        <v>450</v>
      </c>
      <c r="C409" s="415"/>
      <c r="D409" s="51">
        <v>1</v>
      </c>
      <c r="E409" s="51">
        <v>5.6</v>
      </c>
      <c r="F409" s="51"/>
      <c r="G409" s="51"/>
      <c r="H409" s="51"/>
      <c r="I409" s="51"/>
      <c r="J409" s="51"/>
      <c r="K409" s="51"/>
      <c r="L409" s="51">
        <f t="shared" si="20"/>
        <v>5.6</v>
      </c>
    </row>
    <row r="410" spans="2:12">
      <c r="B410" s="415" t="s">
        <v>479</v>
      </c>
      <c r="C410" s="415"/>
      <c r="D410" s="51">
        <v>1</v>
      </c>
      <c r="E410" s="51">
        <v>13</v>
      </c>
      <c r="F410" s="51"/>
      <c r="G410" s="51"/>
      <c r="H410" s="51"/>
      <c r="I410" s="51"/>
      <c r="J410" s="51"/>
      <c r="K410" s="51"/>
      <c r="L410" s="51">
        <f t="shared" si="20"/>
        <v>13</v>
      </c>
    </row>
    <row r="411" spans="2:12">
      <c r="B411" s="415" t="s">
        <v>453</v>
      </c>
      <c r="C411" s="415"/>
      <c r="D411" s="51">
        <v>1</v>
      </c>
      <c r="E411" s="51">
        <v>28</v>
      </c>
      <c r="F411" s="51"/>
      <c r="G411" s="51"/>
      <c r="H411" s="51"/>
      <c r="I411" s="51"/>
      <c r="J411" s="51"/>
      <c r="K411" s="51"/>
      <c r="L411" s="51">
        <f t="shared" si="20"/>
        <v>28</v>
      </c>
    </row>
    <row r="412" spans="2:12">
      <c r="B412" s="415" t="s">
        <v>475</v>
      </c>
      <c r="C412" s="415"/>
      <c r="D412" s="51">
        <v>1</v>
      </c>
      <c r="E412" s="51">
        <v>29</v>
      </c>
      <c r="F412" s="51"/>
      <c r="G412" s="51"/>
      <c r="H412" s="51"/>
      <c r="I412" s="51"/>
      <c r="J412" s="51"/>
      <c r="K412" s="51"/>
      <c r="L412" s="51">
        <f t="shared" si="20"/>
        <v>29</v>
      </c>
    </row>
    <row r="413" spans="2:12">
      <c r="B413" s="415" t="s">
        <v>476</v>
      </c>
      <c r="C413" s="415"/>
      <c r="D413" s="51">
        <v>1</v>
      </c>
      <c r="E413" s="51">
        <v>13</v>
      </c>
      <c r="F413" s="51"/>
      <c r="G413" s="51"/>
      <c r="H413" s="51"/>
      <c r="I413" s="51"/>
      <c r="J413" s="51"/>
      <c r="K413" s="51"/>
      <c r="L413" s="51">
        <f t="shared" si="20"/>
        <v>13</v>
      </c>
    </row>
    <row r="414" spans="2:12">
      <c r="B414" s="415" t="s">
        <v>469</v>
      </c>
      <c r="C414" s="415"/>
      <c r="D414" s="51">
        <v>1</v>
      </c>
      <c r="E414" s="51">
        <v>11</v>
      </c>
      <c r="F414" s="51"/>
      <c r="G414" s="51"/>
      <c r="H414" s="51"/>
      <c r="I414" s="51"/>
      <c r="J414" s="51"/>
      <c r="K414" s="51"/>
      <c r="L414" s="51">
        <f t="shared" si="20"/>
        <v>11</v>
      </c>
    </row>
    <row r="415" spans="2:12">
      <c r="B415" s="415" t="s">
        <v>470</v>
      </c>
      <c r="C415" s="415"/>
      <c r="D415" s="51">
        <v>1</v>
      </c>
      <c r="E415" s="51">
        <v>4</v>
      </c>
      <c r="F415" s="51"/>
      <c r="G415" s="51"/>
      <c r="H415" s="51"/>
      <c r="I415" s="51"/>
      <c r="J415" s="51"/>
      <c r="K415" s="51"/>
      <c r="L415" s="51">
        <f t="shared" si="20"/>
        <v>4</v>
      </c>
    </row>
    <row r="416" spans="2:12" ht="15.75" thickBot="1">
      <c r="B416" s="415"/>
      <c r="C416" s="415"/>
    </row>
    <row r="417" spans="1:13" ht="15.75" thickBot="1">
      <c r="A417" s="83" t="str">
        <f>BM_06!A135</f>
        <v>9.2.4</v>
      </c>
      <c r="B417" s="409" t="str">
        <f>BM_06!B135</f>
        <v>ADAPTADOR CURTO COM BOLSA E ROSCA PARA REGISTRO, PVC, SOLDÁVEL, DN 25MM X 3/4, INSTALADO EM RAMAL OU SUB-RAMAL DE ÁGUA - FORNECIMENTO E INSTALAÇÃO. AF_12/2014</v>
      </c>
      <c r="C417" s="410"/>
      <c r="D417" s="410"/>
      <c r="E417" s="410"/>
      <c r="F417" s="410"/>
      <c r="G417" s="410"/>
      <c r="H417" s="410"/>
      <c r="I417" s="410"/>
      <c r="J417" s="410"/>
      <c r="K417" s="410"/>
      <c r="L417" s="62"/>
      <c r="M417" s="44"/>
    </row>
    <row r="418" spans="1:13">
      <c r="B418" s="415"/>
      <c r="C418" s="415"/>
      <c r="L418" s="52">
        <f>SUM(L419:L438)</f>
        <v>22</v>
      </c>
    </row>
    <row r="419" spans="1:13">
      <c r="B419" s="415" t="s">
        <v>465</v>
      </c>
      <c r="C419" s="415"/>
      <c r="D419" s="51">
        <v>1</v>
      </c>
      <c r="E419" s="51">
        <v>1</v>
      </c>
      <c r="L419" s="99">
        <f>E419*D419</f>
        <v>1</v>
      </c>
    </row>
    <row r="420" spans="1:13">
      <c r="B420" s="415" t="s">
        <v>437</v>
      </c>
      <c r="C420" s="415"/>
      <c r="D420" s="51">
        <v>1</v>
      </c>
      <c r="E420" s="51">
        <v>2</v>
      </c>
      <c r="L420" s="99">
        <f t="shared" ref="L420:L438" si="21">E420*D420</f>
        <v>2</v>
      </c>
    </row>
    <row r="421" spans="1:13">
      <c r="B421" s="415" t="s">
        <v>466</v>
      </c>
      <c r="C421" s="415"/>
      <c r="D421" s="51">
        <v>1</v>
      </c>
      <c r="E421" s="51">
        <v>2</v>
      </c>
      <c r="L421" s="99">
        <f t="shared" si="21"/>
        <v>2</v>
      </c>
    </row>
    <row r="422" spans="1:13">
      <c r="B422" s="415" t="s">
        <v>469</v>
      </c>
      <c r="C422" s="415"/>
      <c r="D422" s="51">
        <v>1</v>
      </c>
      <c r="E422" s="51">
        <v>1</v>
      </c>
      <c r="L422" s="99">
        <f t="shared" si="21"/>
        <v>1</v>
      </c>
    </row>
    <row r="423" spans="1:13">
      <c r="B423" s="415" t="s">
        <v>468</v>
      </c>
      <c r="C423" s="415"/>
      <c r="D423" s="51">
        <v>1</v>
      </c>
      <c r="E423" s="51">
        <v>1</v>
      </c>
      <c r="L423" s="99">
        <f t="shared" si="21"/>
        <v>1</v>
      </c>
    </row>
    <row r="424" spans="1:13">
      <c r="B424" s="415" t="s">
        <v>445</v>
      </c>
      <c r="C424" s="415"/>
      <c r="D424" s="51">
        <v>1</v>
      </c>
      <c r="E424" s="51">
        <v>1</v>
      </c>
      <c r="L424" s="99">
        <f t="shared" si="21"/>
        <v>1</v>
      </c>
    </row>
    <row r="425" spans="1:13" ht="21" customHeight="1">
      <c r="B425" s="415" t="s">
        <v>471</v>
      </c>
      <c r="C425" s="415"/>
      <c r="D425" s="51">
        <v>1</v>
      </c>
      <c r="E425" s="51">
        <v>1</v>
      </c>
      <c r="L425" s="99">
        <f t="shared" si="21"/>
        <v>1</v>
      </c>
    </row>
    <row r="426" spans="1:13">
      <c r="B426" s="415" t="s">
        <v>478</v>
      </c>
      <c r="C426" s="415"/>
      <c r="D426" s="51">
        <v>1</v>
      </c>
      <c r="E426" s="51">
        <v>1</v>
      </c>
      <c r="L426" s="99">
        <f t="shared" si="21"/>
        <v>1</v>
      </c>
    </row>
    <row r="427" spans="1:13">
      <c r="B427" s="415" t="s">
        <v>472</v>
      </c>
      <c r="C427" s="415"/>
      <c r="D427" s="51">
        <v>1</v>
      </c>
      <c r="E427" s="51">
        <v>1</v>
      </c>
      <c r="L427" s="99">
        <f t="shared" si="21"/>
        <v>1</v>
      </c>
    </row>
    <row r="428" spans="1:13">
      <c r="B428" s="415" t="s">
        <v>441</v>
      </c>
      <c r="C428" s="415"/>
      <c r="D428" s="51">
        <v>1</v>
      </c>
      <c r="E428" s="51">
        <v>1</v>
      </c>
      <c r="L428" s="99">
        <f t="shared" si="21"/>
        <v>1</v>
      </c>
    </row>
    <row r="429" spans="1:13">
      <c r="B429" s="415" t="s">
        <v>473</v>
      </c>
      <c r="C429" s="415"/>
      <c r="D429" s="51">
        <v>1</v>
      </c>
      <c r="E429" s="51">
        <v>1</v>
      </c>
      <c r="L429" s="99">
        <f t="shared" si="21"/>
        <v>1</v>
      </c>
    </row>
    <row r="430" spans="1:13">
      <c r="B430" s="415" t="s">
        <v>446</v>
      </c>
      <c r="C430" s="415"/>
      <c r="D430" s="51">
        <v>1</v>
      </c>
      <c r="E430" s="51">
        <v>1</v>
      </c>
      <c r="L430" s="99">
        <f t="shared" si="21"/>
        <v>1</v>
      </c>
    </row>
    <row r="431" spans="1:13">
      <c r="B431" s="415" t="s">
        <v>474</v>
      </c>
      <c r="C431" s="415"/>
      <c r="D431" s="51">
        <v>1</v>
      </c>
      <c r="E431" s="51">
        <v>1</v>
      </c>
      <c r="L431" s="99">
        <f t="shared" si="21"/>
        <v>1</v>
      </c>
    </row>
    <row r="432" spans="1:13">
      <c r="B432" s="415" t="s">
        <v>450</v>
      </c>
      <c r="C432" s="415"/>
      <c r="D432" s="51">
        <v>1</v>
      </c>
      <c r="E432" s="51">
        <v>1</v>
      </c>
      <c r="L432" s="99">
        <f t="shared" si="21"/>
        <v>1</v>
      </c>
    </row>
    <row r="433" spans="1:13">
      <c r="B433" s="415" t="s">
        <v>479</v>
      </c>
      <c r="C433" s="415"/>
      <c r="D433" s="51">
        <v>1</v>
      </c>
      <c r="E433" s="51">
        <v>1</v>
      </c>
      <c r="L433" s="99">
        <f t="shared" si="21"/>
        <v>1</v>
      </c>
    </row>
    <row r="434" spans="1:13">
      <c r="B434" s="415" t="s">
        <v>453</v>
      </c>
      <c r="C434" s="415"/>
      <c r="D434" s="51">
        <v>1</v>
      </c>
      <c r="E434" s="51">
        <v>1</v>
      </c>
      <c r="L434" s="99">
        <f t="shared" si="21"/>
        <v>1</v>
      </c>
    </row>
    <row r="435" spans="1:13">
      <c r="B435" s="415" t="s">
        <v>475</v>
      </c>
      <c r="C435" s="415"/>
      <c r="D435" s="51">
        <v>1</v>
      </c>
      <c r="E435" s="51">
        <v>1</v>
      </c>
      <c r="L435" s="99">
        <f t="shared" si="21"/>
        <v>1</v>
      </c>
    </row>
    <row r="436" spans="1:13">
      <c r="B436" s="415" t="s">
        <v>476</v>
      </c>
      <c r="C436" s="415"/>
      <c r="D436" s="51">
        <v>1</v>
      </c>
      <c r="E436" s="51">
        <v>1</v>
      </c>
      <c r="L436" s="99">
        <f t="shared" si="21"/>
        <v>1</v>
      </c>
    </row>
    <row r="437" spans="1:13">
      <c r="B437" s="415" t="s">
        <v>469</v>
      </c>
      <c r="C437" s="415"/>
      <c r="D437" s="51">
        <v>1</v>
      </c>
      <c r="E437" s="51">
        <v>1</v>
      </c>
      <c r="L437" s="99">
        <f t="shared" si="21"/>
        <v>1</v>
      </c>
    </row>
    <row r="438" spans="1:13">
      <c r="B438" s="415" t="s">
        <v>470</v>
      </c>
      <c r="C438" s="415"/>
      <c r="D438" s="51">
        <v>1</v>
      </c>
      <c r="E438" s="51">
        <v>1</v>
      </c>
      <c r="L438" s="99">
        <f t="shared" si="21"/>
        <v>1</v>
      </c>
    </row>
    <row r="439" spans="1:13" ht="14.45" customHeight="1" thickBot="1">
      <c r="B439" s="415"/>
      <c r="C439" s="415"/>
    </row>
    <row r="440" spans="1:13" ht="15.75" thickBot="1">
      <c r="A440" s="83" t="str">
        <f>BM_06!A136</f>
        <v>9.2.5</v>
      </c>
      <c r="B440" s="409" t="str">
        <f>BM_06!B136</f>
        <v>LUVA DE REDUÇÃO, PVC, SOLDÁVEL, DN 60MM X 50MM, INSTALADO EM PRUMADA DE ÁGUA - FORNECIMENTO E INSTALAÇÃO. AF_12/2014</v>
      </c>
      <c r="C440" s="410"/>
      <c r="D440" s="410"/>
      <c r="E440" s="410"/>
      <c r="F440" s="410"/>
      <c r="G440" s="410"/>
      <c r="H440" s="410"/>
      <c r="I440" s="410"/>
      <c r="J440" s="410"/>
      <c r="K440" s="410"/>
      <c r="L440" s="62"/>
      <c r="M440" s="44"/>
    </row>
    <row r="441" spans="1:13">
      <c r="B441" s="415"/>
      <c r="C441" s="415"/>
    </row>
    <row r="442" spans="1:13">
      <c r="B442" s="415" t="s">
        <v>464</v>
      </c>
      <c r="C442" s="415"/>
      <c r="L442" s="50">
        <v>1</v>
      </c>
    </row>
    <row r="443" spans="1:13" ht="15.75" thickBot="1">
      <c r="B443" s="415"/>
      <c r="C443" s="415"/>
    </row>
    <row r="444" spans="1:13" ht="15.75" thickBot="1">
      <c r="A444" s="83" t="str">
        <f>BM_06!A137</f>
        <v>9.2.6</v>
      </c>
      <c r="B444" s="409" t="str">
        <f>BM_06!B140</f>
        <v>JOELHO 90 GRAUS, PVC, SOLDÁVEL, DN 60MM, INSTALADO EM PRUMADA DE ÁGUA - FORNECIMENTO E INSTALAÇÃO. AF_12/2014</v>
      </c>
      <c r="C444" s="410"/>
      <c r="D444" s="410"/>
      <c r="E444" s="410"/>
      <c r="F444" s="410"/>
      <c r="G444" s="410"/>
      <c r="H444" s="410"/>
      <c r="I444" s="410"/>
      <c r="J444" s="410"/>
      <c r="K444" s="410"/>
      <c r="L444" s="62"/>
      <c r="M444" s="44"/>
    </row>
    <row r="445" spans="1:13">
      <c r="B445" s="415"/>
      <c r="C445" s="415"/>
    </row>
    <row r="446" spans="1:13">
      <c r="B446" s="415" t="s">
        <v>464</v>
      </c>
      <c r="C446" s="415"/>
      <c r="L446" s="50">
        <v>1</v>
      </c>
    </row>
    <row r="447" spans="1:13" ht="15.75" thickBot="1">
      <c r="B447" s="415"/>
      <c r="C447" s="415"/>
    </row>
    <row r="448" spans="1:13" ht="26.45" customHeight="1" thickBot="1">
      <c r="A448" s="83" t="str">
        <f>BM_06!A138</f>
        <v>9.2.7</v>
      </c>
      <c r="B448" s="409" t="str">
        <f>BM_06!B138</f>
        <v>JOELHO 90 GRAUS COM BUCHA DE LATÃO, PVC, SOLDÁVEL, DN 25MM, X 1/2 INSTALADO EM RAMAL OU SUB-RAMAL DE ÁGUA - FORNECIMENTO E INSTALAÇÃO. AF_12/2014</v>
      </c>
      <c r="C448" s="410"/>
      <c r="D448" s="410"/>
      <c r="E448" s="410"/>
      <c r="F448" s="410"/>
      <c r="G448" s="410"/>
      <c r="H448" s="410"/>
      <c r="I448" s="410"/>
      <c r="J448" s="410"/>
      <c r="K448" s="410"/>
      <c r="L448" s="62"/>
      <c r="M448" s="44"/>
    </row>
    <row r="449" spans="2:12">
      <c r="B449" s="415"/>
      <c r="C449" s="415"/>
      <c r="L449" s="52">
        <f>SUM(L450:L473)</f>
        <v>67</v>
      </c>
    </row>
    <row r="450" spans="2:12">
      <c r="B450" s="415" t="s">
        <v>465</v>
      </c>
      <c r="C450" s="415"/>
      <c r="D450" s="51">
        <v>1</v>
      </c>
      <c r="E450" s="51">
        <v>2</v>
      </c>
      <c r="L450" s="51">
        <f>D450*E450</f>
        <v>2</v>
      </c>
    </row>
    <row r="451" spans="2:12">
      <c r="B451" s="415" t="s">
        <v>439</v>
      </c>
      <c r="C451" s="415"/>
      <c r="D451" s="51">
        <v>1</v>
      </c>
      <c r="E451" s="51">
        <v>1</v>
      </c>
      <c r="L451" s="51">
        <f t="shared" ref="L451:L473" si="22">D451*E451</f>
        <v>1</v>
      </c>
    </row>
    <row r="452" spans="2:12">
      <c r="B452" s="415" t="s">
        <v>437</v>
      </c>
      <c r="C452" s="415"/>
      <c r="D452" s="51">
        <v>1</v>
      </c>
      <c r="E452" s="51">
        <v>4</v>
      </c>
      <c r="L452" s="51">
        <f t="shared" si="22"/>
        <v>4</v>
      </c>
    </row>
    <row r="453" spans="2:12">
      <c r="B453" s="415" t="s">
        <v>466</v>
      </c>
      <c r="C453" s="415"/>
      <c r="D453" s="51">
        <v>1</v>
      </c>
      <c r="E453" s="51">
        <v>4</v>
      </c>
      <c r="L453" s="51">
        <f t="shared" si="22"/>
        <v>4</v>
      </c>
    </row>
    <row r="454" spans="2:12">
      <c r="B454" s="415" t="s">
        <v>467</v>
      </c>
      <c r="C454" s="415"/>
      <c r="D454" s="51">
        <v>1</v>
      </c>
      <c r="E454" s="51">
        <v>1</v>
      </c>
      <c r="L454" s="51">
        <f t="shared" si="22"/>
        <v>1</v>
      </c>
    </row>
    <row r="455" spans="2:12">
      <c r="B455" s="415" t="s">
        <v>468</v>
      </c>
      <c r="C455" s="415"/>
      <c r="D455" s="51">
        <v>1</v>
      </c>
      <c r="E455" s="51">
        <v>1</v>
      </c>
      <c r="L455" s="51">
        <f t="shared" si="22"/>
        <v>1</v>
      </c>
    </row>
    <row r="456" spans="2:12">
      <c r="B456" s="415" t="s">
        <v>469</v>
      </c>
      <c r="C456" s="415"/>
      <c r="D456" s="51">
        <v>1</v>
      </c>
      <c r="E456" s="51">
        <v>2</v>
      </c>
      <c r="L456" s="51">
        <f t="shared" si="22"/>
        <v>2</v>
      </c>
    </row>
    <row r="457" spans="2:12">
      <c r="B457" s="415" t="s">
        <v>470</v>
      </c>
      <c r="C457" s="415"/>
      <c r="D457" s="51">
        <v>1</v>
      </c>
      <c r="E457" s="51">
        <v>2</v>
      </c>
      <c r="L457" s="51">
        <f t="shared" si="22"/>
        <v>2</v>
      </c>
    </row>
    <row r="458" spans="2:12">
      <c r="B458" s="415" t="s">
        <v>468</v>
      </c>
      <c r="C458" s="415"/>
      <c r="D458" s="51">
        <v>1</v>
      </c>
      <c r="E458" s="51">
        <v>1</v>
      </c>
      <c r="L458" s="51">
        <f t="shared" si="22"/>
        <v>1</v>
      </c>
    </row>
    <row r="459" spans="2:12">
      <c r="B459" s="415" t="s">
        <v>445</v>
      </c>
      <c r="C459" s="415"/>
      <c r="D459" s="51">
        <v>1</v>
      </c>
      <c r="E459" s="51">
        <v>1</v>
      </c>
      <c r="L459" s="51">
        <f t="shared" si="22"/>
        <v>1</v>
      </c>
    </row>
    <row r="460" spans="2:12">
      <c r="B460" s="415" t="s">
        <v>471</v>
      </c>
      <c r="C460" s="415"/>
      <c r="D460" s="51">
        <v>1</v>
      </c>
      <c r="E460" s="51">
        <v>2</v>
      </c>
      <c r="L460" s="51">
        <f t="shared" si="22"/>
        <v>2</v>
      </c>
    </row>
    <row r="461" spans="2:12">
      <c r="B461" s="415" t="s">
        <v>478</v>
      </c>
      <c r="C461" s="415"/>
      <c r="D461" s="51">
        <v>1</v>
      </c>
      <c r="E461" s="51">
        <v>5</v>
      </c>
      <c r="L461" s="51">
        <f t="shared" si="22"/>
        <v>5</v>
      </c>
    </row>
    <row r="462" spans="2:12">
      <c r="B462" s="415" t="s">
        <v>472</v>
      </c>
      <c r="C462" s="415"/>
      <c r="D462" s="51">
        <v>1</v>
      </c>
      <c r="E462" s="51">
        <v>1</v>
      </c>
      <c r="L462" s="51">
        <f t="shared" si="22"/>
        <v>1</v>
      </c>
    </row>
    <row r="463" spans="2:12">
      <c r="B463" s="415" t="s">
        <v>441</v>
      </c>
      <c r="C463" s="415"/>
      <c r="D463" s="51">
        <v>1</v>
      </c>
      <c r="E463" s="51">
        <v>4</v>
      </c>
      <c r="L463" s="51">
        <f t="shared" si="22"/>
        <v>4</v>
      </c>
    </row>
    <row r="464" spans="2:12">
      <c r="B464" s="415" t="s">
        <v>473</v>
      </c>
      <c r="C464" s="415"/>
      <c r="D464" s="51">
        <v>1</v>
      </c>
      <c r="E464" s="51">
        <v>1</v>
      </c>
      <c r="L464" s="51">
        <f t="shared" si="22"/>
        <v>1</v>
      </c>
    </row>
    <row r="465" spans="1:13">
      <c r="B465" s="415" t="s">
        <v>446</v>
      </c>
      <c r="C465" s="415"/>
      <c r="D465" s="51">
        <v>1</v>
      </c>
      <c r="E465" s="51">
        <v>1</v>
      </c>
      <c r="L465" s="51">
        <f t="shared" si="22"/>
        <v>1</v>
      </c>
    </row>
    <row r="466" spans="1:13">
      <c r="B466" s="415" t="s">
        <v>474</v>
      </c>
      <c r="C466" s="415"/>
      <c r="D466" s="51">
        <v>1</v>
      </c>
      <c r="E466" s="51">
        <v>3</v>
      </c>
      <c r="L466" s="51">
        <f t="shared" si="22"/>
        <v>3</v>
      </c>
    </row>
    <row r="467" spans="1:13">
      <c r="B467" s="415" t="s">
        <v>450</v>
      </c>
      <c r="C467" s="415"/>
      <c r="D467" s="51">
        <v>1</v>
      </c>
      <c r="E467" s="51">
        <v>1</v>
      </c>
      <c r="L467" s="51">
        <f t="shared" si="22"/>
        <v>1</v>
      </c>
    </row>
    <row r="468" spans="1:13">
      <c r="B468" s="415" t="s">
        <v>479</v>
      </c>
      <c r="C468" s="415"/>
      <c r="D468" s="51">
        <v>1</v>
      </c>
      <c r="E468" s="51">
        <v>6</v>
      </c>
      <c r="L468" s="51">
        <f t="shared" si="22"/>
        <v>6</v>
      </c>
    </row>
    <row r="469" spans="1:13">
      <c r="B469" s="415" t="s">
        <v>453</v>
      </c>
      <c r="C469" s="415"/>
      <c r="D469" s="51">
        <v>1</v>
      </c>
      <c r="E469" s="51">
        <v>5</v>
      </c>
      <c r="L469" s="51">
        <f t="shared" si="22"/>
        <v>5</v>
      </c>
    </row>
    <row r="470" spans="1:13" ht="25.9" customHeight="1">
      <c r="B470" s="415" t="s">
        <v>475</v>
      </c>
      <c r="C470" s="415"/>
      <c r="D470" s="51">
        <v>1</v>
      </c>
      <c r="E470" s="51">
        <v>6</v>
      </c>
      <c r="L470" s="51">
        <f t="shared" si="22"/>
        <v>6</v>
      </c>
    </row>
    <row r="471" spans="1:13">
      <c r="B471" s="415" t="s">
        <v>476</v>
      </c>
      <c r="C471" s="415"/>
      <c r="D471" s="51">
        <v>1</v>
      </c>
      <c r="E471" s="51">
        <v>5</v>
      </c>
      <c r="L471" s="51">
        <f t="shared" si="22"/>
        <v>5</v>
      </c>
    </row>
    <row r="472" spans="1:13">
      <c r="B472" s="415" t="s">
        <v>469</v>
      </c>
      <c r="C472" s="415"/>
      <c r="D472" s="51">
        <v>1</v>
      </c>
      <c r="E472" s="51">
        <v>5</v>
      </c>
      <c r="L472" s="51">
        <f t="shared" si="22"/>
        <v>5</v>
      </c>
    </row>
    <row r="473" spans="1:13">
      <c r="B473" s="415" t="s">
        <v>470</v>
      </c>
      <c r="C473" s="415"/>
      <c r="D473" s="51">
        <v>1</v>
      </c>
      <c r="E473" s="51">
        <v>3</v>
      </c>
      <c r="L473" s="51">
        <f t="shared" si="22"/>
        <v>3</v>
      </c>
    </row>
    <row r="474" spans="1:13" ht="15.75" thickBot="1">
      <c r="B474" s="415"/>
      <c r="C474" s="415"/>
    </row>
    <row r="475" spans="1:13" ht="14.45" customHeight="1" thickBot="1">
      <c r="A475" s="83" t="str">
        <f>BM_06!A139</f>
        <v>9.2.8</v>
      </c>
      <c r="B475" s="409" t="str">
        <f>BM_06!B139</f>
        <v>Joelho de 90º pvc rígido soldável c/ bucha de latão, d=20mmx1/2".</v>
      </c>
      <c r="C475" s="410"/>
      <c r="D475" s="410"/>
      <c r="E475" s="410"/>
      <c r="F475" s="410"/>
      <c r="G475" s="410"/>
      <c r="H475" s="410"/>
      <c r="I475" s="410"/>
      <c r="J475" s="410"/>
      <c r="K475" s="410"/>
      <c r="L475" s="62"/>
      <c r="M475" s="44"/>
    </row>
    <row r="476" spans="1:13">
      <c r="B476" s="415"/>
      <c r="C476" s="415"/>
    </row>
    <row r="477" spans="1:13">
      <c r="B477" s="415" t="s">
        <v>464</v>
      </c>
      <c r="C477" s="415"/>
      <c r="L477" s="50">
        <v>1</v>
      </c>
    </row>
    <row r="478" spans="1:13" ht="15.75" thickBot="1"/>
    <row r="479" spans="1:13" ht="18" customHeight="1" thickBot="1">
      <c r="A479" s="83" t="str">
        <f>BM_06!A140</f>
        <v>9.2.9</v>
      </c>
      <c r="B479" s="409" t="str">
        <f>BM_06!B140</f>
        <v>JOELHO 90 GRAUS, PVC, SOLDÁVEL, DN 60MM, INSTALADO EM PRUMADA DE ÁGUA - FORNECIMENTO E INSTALAÇÃO. AF_12/2014</v>
      </c>
      <c r="C479" s="410"/>
      <c r="D479" s="410"/>
      <c r="E479" s="410"/>
      <c r="F479" s="410"/>
      <c r="G479" s="410"/>
      <c r="H479" s="410"/>
      <c r="I479" s="410"/>
      <c r="J479" s="410"/>
      <c r="K479" s="410"/>
      <c r="L479" s="62"/>
      <c r="M479" s="44"/>
    </row>
    <row r="481" spans="1:13">
      <c r="B481" s="415" t="s">
        <v>464</v>
      </c>
      <c r="C481" s="415"/>
      <c r="L481" s="50">
        <v>4</v>
      </c>
    </row>
    <row r="482" spans="1:13" ht="15.75" thickBot="1"/>
    <row r="483" spans="1:13" ht="15.75" thickBot="1">
      <c r="A483" s="83" t="str">
        <f>BM_06!A141</f>
        <v>9.2.10</v>
      </c>
      <c r="B483" s="409" t="str">
        <f>BM_06!B141</f>
        <v>JOELHO 90 GRAUS, PVC, SOLDÁVEL, DN 25MM, INSTALADO EM RAMAL DE DISTRIBUIÇÃO DE ÁGUA - FORNECIMENTO E INSTALAÇÃO. AF_12/2014</v>
      </c>
      <c r="C483" s="410"/>
      <c r="D483" s="410"/>
      <c r="E483" s="410"/>
      <c r="F483" s="410"/>
      <c r="G483" s="410"/>
      <c r="H483" s="410"/>
      <c r="I483" s="410"/>
      <c r="J483" s="410"/>
      <c r="K483" s="410"/>
      <c r="L483" s="62"/>
      <c r="M483" s="44"/>
    </row>
    <row r="484" spans="1:13">
      <c r="L484" s="52">
        <f>SUM(L485:L506)</f>
        <v>46</v>
      </c>
    </row>
    <row r="485" spans="1:13">
      <c r="B485" s="415" t="s">
        <v>465</v>
      </c>
      <c r="C485" s="415"/>
      <c r="D485" s="51">
        <v>1</v>
      </c>
      <c r="E485" s="51">
        <v>2</v>
      </c>
      <c r="G485" s="77"/>
      <c r="L485" s="51">
        <f>D485*E485</f>
        <v>2</v>
      </c>
    </row>
    <row r="486" spans="1:13">
      <c r="B486" s="415" t="s">
        <v>439</v>
      </c>
      <c r="C486" s="415"/>
      <c r="D486" s="51">
        <v>1</v>
      </c>
      <c r="E486" s="51">
        <v>1</v>
      </c>
      <c r="G486" s="77"/>
      <c r="L486" s="51">
        <f t="shared" ref="L486:L506" si="23">D486*E486</f>
        <v>1</v>
      </c>
    </row>
    <row r="487" spans="1:13">
      <c r="B487" s="415" t="s">
        <v>437</v>
      </c>
      <c r="C487" s="415"/>
      <c r="D487" s="51">
        <v>1</v>
      </c>
      <c r="E487" s="51">
        <v>3</v>
      </c>
      <c r="G487" s="77"/>
      <c r="L487" s="51">
        <f t="shared" si="23"/>
        <v>3</v>
      </c>
    </row>
    <row r="488" spans="1:13">
      <c r="B488" s="415" t="s">
        <v>466</v>
      </c>
      <c r="C488" s="415"/>
      <c r="D488" s="51">
        <v>1</v>
      </c>
      <c r="E488" s="51">
        <v>3</v>
      </c>
      <c r="G488" s="77"/>
      <c r="L488" s="51">
        <f t="shared" si="23"/>
        <v>3</v>
      </c>
    </row>
    <row r="489" spans="1:13">
      <c r="B489" s="415" t="s">
        <v>469</v>
      </c>
      <c r="C489" s="415"/>
      <c r="D489" s="51">
        <v>1</v>
      </c>
      <c r="E489" s="51">
        <v>1</v>
      </c>
      <c r="G489" s="77"/>
      <c r="L489" s="51">
        <f t="shared" si="23"/>
        <v>1</v>
      </c>
    </row>
    <row r="490" spans="1:13">
      <c r="B490" s="415" t="s">
        <v>470</v>
      </c>
      <c r="C490" s="415"/>
      <c r="D490" s="51">
        <v>1</v>
      </c>
      <c r="E490" s="51">
        <v>1</v>
      </c>
      <c r="G490" s="77"/>
      <c r="L490" s="51">
        <f t="shared" si="23"/>
        <v>1</v>
      </c>
    </row>
    <row r="491" spans="1:13">
      <c r="B491" s="415" t="s">
        <v>468</v>
      </c>
      <c r="C491" s="415"/>
      <c r="D491" s="51">
        <v>1</v>
      </c>
      <c r="E491" s="51">
        <v>1</v>
      </c>
      <c r="G491" s="77"/>
      <c r="L491" s="51">
        <f t="shared" si="23"/>
        <v>1</v>
      </c>
    </row>
    <row r="492" spans="1:13">
      <c r="B492" s="415" t="s">
        <v>445</v>
      </c>
      <c r="C492" s="415"/>
      <c r="D492" s="51">
        <v>1</v>
      </c>
      <c r="E492" s="51">
        <v>1</v>
      </c>
      <c r="G492" s="77"/>
      <c r="L492" s="51">
        <f t="shared" si="23"/>
        <v>1</v>
      </c>
    </row>
    <row r="493" spans="1:13">
      <c r="B493" s="415" t="s">
        <v>471</v>
      </c>
      <c r="C493" s="415"/>
      <c r="D493" s="51">
        <v>1</v>
      </c>
      <c r="E493" s="51">
        <v>2</v>
      </c>
      <c r="G493" s="77"/>
      <c r="L493" s="51">
        <f t="shared" si="23"/>
        <v>2</v>
      </c>
    </row>
    <row r="494" spans="1:13">
      <c r="B494" s="415" t="s">
        <v>478</v>
      </c>
      <c r="C494" s="415"/>
      <c r="D494" s="51">
        <v>1</v>
      </c>
      <c r="E494" s="51">
        <v>3</v>
      </c>
      <c r="G494" s="77"/>
      <c r="L494" s="51">
        <f t="shared" si="23"/>
        <v>3</v>
      </c>
    </row>
    <row r="495" spans="1:13">
      <c r="B495" s="415" t="s">
        <v>472</v>
      </c>
      <c r="C495" s="415"/>
      <c r="D495" s="51">
        <v>1</v>
      </c>
      <c r="E495" s="51">
        <v>1</v>
      </c>
      <c r="G495" s="77"/>
      <c r="L495" s="51">
        <f t="shared" si="23"/>
        <v>1</v>
      </c>
    </row>
    <row r="496" spans="1:13">
      <c r="B496" s="415" t="s">
        <v>441</v>
      </c>
      <c r="C496" s="415"/>
      <c r="D496" s="51">
        <v>1</v>
      </c>
      <c r="E496" s="51">
        <v>2</v>
      </c>
      <c r="G496" s="77"/>
      <c r="L496" s="51">
        <f t="shared" si="23"/>
        <v>2</v>
      </c>
    </row>
    <row r="497" spans="1:13">
      <c r="B497" s="415" t="s">
        <v>473</v>
      </c>
      <c r="C497" s="415"/>
      <c r="D497" s="51">
        <v>1</v>
      </c>
      <c r="E497" s="51">
        <v>1</v>
      </c>
      <c r="G497" s="77"/>
      <c r="L497" s="51">
        <f t="shared" si="23"/>
        <v>1</v>
      </c>
    </row>
    <row r="498" spans="1:13">
      <c r="B498" s="415" t="s">
        <v>446</v>
      </c>
      <c r="C498" s="415"/>
      <c r="D498" s="51">
        <v>1</v>
      </c>
      <c r="E498" s="51">
        <v>1</v>
      </c>
      <c r="G498" s="77"/>
      <c r="L498" s="51">
        <f t="shared" si="23"/>
        <v>1</v>
      </c>
    </row>
    <row r="499" spans="1:13">
      <c r="B499" s="415" t="s">
        <v>474</v>
      </c>
      <c r="C499" s="415"/>
      <c r="D499" s="51">
        <v>1</v>
      </c>
      <c r="E499" s="51">
        <v>2</v>
      </c>
      <c r="G499" s="77"/>
      <c r="L499" s="51">
        <f t="shared" si="23"/>
        <v>2</v>
      </c>
    </row>
    <row r="500" spans="1:13">
      <c r="B500" s="415" t="s">
        <v>450</v>
      </c>
      <c r="C500" s="415"/>
      <c r="D500" s="51">
        <v>1</v>
      </c>
      <c r="E500" s="51">
        <v>1</v>
      </c>
      <c r="G500" s="77"/>
      <c r="L500" s="51">
        <f t="shared" si="23"/>
        <v>1</v>
      </c>
    </row>
    <row r="501" spans="1:13">
      <c r="B501" s="415" t="s">
        <v>479</v>
      </c>
      <c r="C501" s="415"/>
      <c r="D501" s="51">
        <v>1</v>
      </c>
      <c r="E501" s="51">
        <v>4</v>
      </c>
      <c r="G501" s="77"/>
      <c r="L501" s="51">
        <f t="shared" si="23"/>
        <v>4</v>
      </c>
    </row>
    <row r="502" spans="1:13">
      <c r="B502" s="415" t="s">
        <v>453</v>
      </c>
      <c r="C502" s="415"/>
      <c r="D502" s="51">
        <v>1</v>
      </c>
      <c r="E502" s="51">
        <v>4</v>
      </c>
      <c r="G502" s="77"/>
      <c r="L502" s="51">
        <f t="shared" si="23"/>
        <v>4</v>
      </c>
    </row>
    <row r="503" spans="1:13">
      <c r="B503" s="415" t="s">
        <v>475</v>
      </c>
      <c r="C503" s="415"/>
      <c r="D503" s="51">
        <v>1</v>
      </c>
      <c r="E503" s="51">
        <v>4</v>
      </c>
      <c r="G503" s="77"/>
      <c r="L503" s="51">
        <f t="shared" si="23"/>
        <v>4</v>
      </c>
    </row>
    <row r="504" spans="1:13">
      <c r="B504" s="415" t="s">
        <v>476</v>
      </c>
      <c r="C504" s="415"/>
      <c r="D504" s="51">
        <v>1</v>
      </c>
      <c r="E504" s="51">
        <v>3</v>
      </c>
      <c r="G504" s="77"/>
      <c r="L504" s="51">
        <f t="shared" si="23"/>
        <v>3</v>
      </c>
    </row>
    <row r="505" spans="1:13">
      <c r="B505" s="415" t="s">
        <v>469</v>
      </c>
      <c r="C505" s="415"/>
      <c r="D505" s="51">
        <v>1</v>
      </c>
      <c r="E505" s="51">
        <v>3</v>
      </c>
      <c r="G505" s="77"/>
      <c r="L505" s="51">
        <f t="shared" si="23"/>
        <v>3</v>
      </c>
    </row>
    <row r="506" spans="1:13">
      <c r="B506" s="415" t="s">
        <v>470</v>
      </c>
      <c r="C506" s="415"/>
      <c r="D506" s="51">
        <v>1</v>
      </c>
      <c r="E506" s="51">
        <v>2</v>
      </c>
      <c r="G506" s="77"/>
      <c r="L506" s="51">
        <f t="shared" si="23"/>
        <v>2</v>
      </c>
    </row>
    <row r="507" spans="1:13">
      <c r="G507" s="77"/>
    </row>
    <row r="508" spans="1:13" ht="15.75" thickBot="1"/>
    <row r="509" spans="1:13" ht="24" customHeight="1" thickBot="1">
      <c r="A509" s="83" t="str">
        <f>BM_06!A142</f>
        <v>9.2.11</v>
      </c>
      <c r="B509" s="409" t="str">
        <f>BM_06!B142</f>
        <v>JOELHO 90 GRAUS, PVC, SOLDÁVEL, DN 50MM, INSTALADO EM PRUMADA DE ÁGUA - FORNECIMENTO E INSTALAÇÃO. AF_12/2014</v>
      </c>
      <c r="C509" s="410"/>
      <c r="D509" s="410"/>
      <c r="E509" s="410"/>
      <c r="F509" s="410"/>
      <c r="G509" s="410"/>
      <c r="H509" s="410"/>
      <c r="I509" s="410"/>
      <c r="J509" s="410"/>
      <c r="K509" s="410"/>
      <c r="L509" s="62"/>
      <c r="M509" s="44"/>
    </row>
    <row r="511" spans="1:13">
      <c r="B511" s="415" t="s">
        <v>464</v>
      </c>
      <c r="C511" s="415"/>
      <c r="L511" s="50">
        <v>49</v>
      </c>
    </row>
    <row r="512" spans="1:13" ht="15.75" thickBot="1"/>
    <row r="513" spans="1:13" ht="23.45" customHeight="1" thickBot="1">
      <c r="A513" s="83" t="str">
        <f>BM_06!A144</f>
        <v>9.2.13</v>
      </c>
      <c r="B513" s="409" t="str">
        <f>BM_06!B143</f>
        <v>JOELHO 90 GRAUS, PVC, SOLDÁVEL, DN 20MM, INSTALADO EM RAMAL DE DISTRIBUIÇÃO DE ÁGUA - FORNECIMENTO E INSTALAÇÃO. AF_12/2014</v>
      </c>
      <c r="C513" s="410"/>
      <c r="D513" s="410"/>
      <c r="E513" s="410"/>
      <c r="F513" s="410"/>
      <c r="G513" s="410"/>
      <c r="H513" s="410"/>
      <c r="I513" s="410"/>
      <c r="J513" s="410"/>
      <c r="K513" s="410"/>
      <c r="L513" s="62"/>
      <c r="M513" s="44"/>
    </row>
    <row r="515" spans="1:13">
      <c r="B515" s="415" t="s">
        <v>464</v>
      </c>
      <c r="C515" s="415"/>
      <c r="L515" s="104">
        <v>3</v>
      </c>
    </row>
    <row r="516" spans="1:13" ht="15.75" thickBot="1"/>
    <row r="517" spans="1:13" ht="25.15" customHeight="1" thickBot="1">
      <c r="A517" s="83" t="str">
        <f>BM_06!A145</f>
        <v>9.2.14</v>
      </c>
      <c r="B517" s="409" t="str">
        <f>BM_06!B145</f>
        <v>LUVA, PVC, SOLDÁVEL, DN 25MM, INSTALADO EM RAMAL OU SUB-RAMAL DE ÁGUA - FORNECIMENTO E INSTALAÇÃO. AF_12/2014</v>
      </c>
      <c r="C517" s="410"/>
      <c r="D517" s="410"/>
      <c r="E517" s="410"/>
      <c r="F517" s="410"/>
      <c r="G517" s="410"/>
      <c r="H517" s="410"/>
      <c r="I517" s="410"/>
      <c r="J517" s="410"/>
      <c r="K517" s="410"/>
      <c r="L517" s="62"/>
      <c r="M517" s="44"/>
    </row>
    <row r="518" spans="1:13">
      <c r="B518" s="415"/>
      <c r="C518" s="415"/>
      <c r="G518" s="77"/>
      <c r="L518" s="52">
        <f>SUM(L519:L543)</f>
        <v>63</v>
      </c>
    </row>
    <row r="519" spans="1:13">
      <c r="B519" s="415" t="s">
        <v>465</v>
      </c>
      <c r="C519" s="415"/>
      <c r="D519" s="51">
        <v>1</v>
      </c>
      <c r="E519" s="51">
        <v>2</v>
      </c>
      <c r="G519" s="77"/>
      <c r="L519" s="51">
        <f>D519*E519</f>
        <v>2</v>
      </c>
    </row>
    <row r="520" spans="1:13">
      <c r="B520" s="415" t="s">
        <v>439</v>
      </c>
      <c r="C520" s="415"/>
      <c r="D520" s="51">
        <v>1</v>
      </c>
      <c r="E520" s="51">
        <v>1</v>
      </c>
      <c r="G520" s="77"/>
      <c r="L520" s="51">
        <f t="shared" ref="L520:L543" si="24">D520*E520</f>
        <v>1</v>
      </c>
    </row>
    <row r="521" spans="1:13" ht="14.45" customHeight="1">
      <c r="B521" s="415" t="s">
        <v>437</v>
      </c>
      <c r="C521" s="415"/>
      <c r="D521" s="51">
        <v>1</v>
      </c>
      <c r="E521" s="51">
        <v>4</v>
      </c>
      <c r="G521" s="77"/>
      <c r="L521" s="51">
        <f t="shared" si="24"/>
        <v>4</v>
      </c>
    </row>
    <row r="522" spans="1:13">
      <c r="B522" s="415" t="s">
        <v>466</v>
      </c>
      <c r="C522" s="415"/>
      <c r="D522" s="51">
        <v>1</v>
      </c>
      <c r="E522" s="51">
        <v>4</v>
      </c>
      <c r="G522" s="77"/>
      <c r="L522" s="51">
        <f t="shared" si="24"/>
        <v>4</v>
      </c>
    </row>
    <row r="523" spans="1:13">
      <c r="B523" s="415" t="s">
        <v>477</v>
      </c>
      <c r="C523" s="415"/>
      <c r="D523" s="51">
        <v>1</v>
      </c>
      <c r="E523" s="51"/>
      <c r="G523" s="77"/>
      <c r="L523" s="51">
        <f t="shared" si="24"/>
        <v>0</v>
      </c>
    </row>
    <row r="524" spans="1:13">
      <c r="B524" s="415" t="s">
        <v>467</v>
      </c>
      <c r="C524" s="415"/>
      <c r="D524" s="51">
        <v>1</v>
      </c>
      <c r="E524" s="51">
        <v>1</v>
      </c>
      <c r="G524" s="77"/>
      <c r="L524" s="51">
        <f t="shared" si="24"/>
        <v>1</v>
      </c>
    </row>
    <row r="525" spans="1:13">
      <c r="B525" s="415" t="s">
        <v>468</v>
      </c>
      <c r="C525" s="415"/>
      <c r="D525" s="51">
        <v>1</v>
      </c>
      <c r="E525" s="51">
        <v>1</v>
      </c>
      <c r="G525" s="77"/>
      <c r="L525" s="51">
        <f t="shared" si="24"/>
        <v>1</v>
      </c>
    </row>
    <row r="526" spans="1:13">
      <c r="B526" s="415" t="s">
        <v>469</v>
      </c>
      <c r="C526" s="415"/>
      <c r="D526" s="51">
        <v>1</v>
      </c>
      <c r="E526" s="51">
        <v>2</v>
      </c>
      <c r="G526" s="77"/>
      <c r="L526" s="51">
        <f t="shared" si="24"/>
        <v>2</v>
      </c>
    </row>
    <row r="527" spans="1:13">
      <c r="B527" s="415" t="s">
        <v>470</v>
      </c>
      <c r="C527" s="415"/>
      <c r="D527" s="51">
        <v>1</v>
      </c>
      <c r="E527" s="51">
        <v>2</v>
      </c>
      <c r="G527" s="77"/>
      <c r="L527" s="51">
        <f t="shared" si="24"/>
        <v>2</v>
      </c>
    </row>
    <row r="528" spans="1:13">
      <c r="B528" s="415" t="s">
        <v>468</v>
      </c>
      <c r="C528" s="415"/>
      <c r="D528" s="51">
        <v>1</v>
      </c>
      <c r="E528" s="51">
        <v>1</v>
      </c>
      <c r="G528" s="77"/>
      <c r="L528" s="51">
        <f t="shared" si="24"/>
        <v>1</v>
      </c>
    </row>
    <row r="529" spans="2:12">
      <c r="B529" s="415" t="s">
        <v>445</v>
      </c>
      <c r="C529" s="415"/>
      <c r="D529" s="51">
        <v>1</v>
      </c>
      <c r="E529" s="51">
        <v>1</v>
      </c>
      <c r="G529" s="77"/>
      <c r="L529" s="51">
        <f t="shared" si="24"/>
        <v>1</v>
      </c>
    </row>
    <row r="530" spans="2:12">
      <c r="B530" s="415" t="s">
        <v>471</v>
      </c>
      <c r="C530" s="415"/>
      <c r="D530" s="51">
        <v>1</v>
      </c>
      <c r="E530" s="51">
        <v>2</v>
      </c>
      <c r="G530" s="77"/>
      <c r="L530" s="51">
        <f t="shared" si="24"/>
        <v>2</v>
      </c>
    </row>
    <row r="531" spans="2:12">
      <c r="B531" s="415" t="s">
        <v>478</v>
      </c>
      <c r="C531" s="415"/>
      <c r="D531" s="51">
        <v>1</v>
      </c>
      <c r="E531" s="51">
        <v>5</v>
      </c>
      <c r="G531" s="77"/>
      <c r="L531" s="51">
        <f t="shared" si="24"/>
        <v>5</v>
      </c>
    </row>
    <row r="532" spans="2:12">
      <c r="B532" s="415" t="s">
        <v>472</v>
      </c>
      <c r="C532" s="415"/>
      <c r="D532" s="51">
        <v>1</v>
      </c>
      <c r="E532" s="51">
        <v>1</v>
      </c>
      <c r="G532" s="77"/>
      <c r="L532" s="51">
        <f t="shared" si="24"/>
        <v>1</v>
      </c>
    </row>
    <row r="533" spans="2:12">
      <c r="B533" s="415" t="s">
        <v>441</v>
      </c>
      <c r="C533" s="415"/>
      <c r="D533" s="51">
        <v>1</v>
      </c>
      <c r="E533" s="51">
        <v>4</v>
      </c>
      <c r="G533" s="77"/>
      <c r="L533" s="51">
        <f t="shared" si="24"/>
        <v>4</v>
      </c>
    </row>
    <row r="534" spans="2:12">
      <c r="B534" s="415" t="s">
        <v>473</v>
      </c>
      <c r="C534" s="415"/>
      <c r="D534" s="51">
        <v>1</v>
      </c>
      <c r="E534" s="51">
        <v>1</v>
      </c>
      <c r="G534" s="77"/>
      <c r="L534" s="51">
        <f t="shared" si="24"/>
        <v>1</v>
      </c>
    </row>
    <row r="535" spans="2:12">
      <c r="B535" s="415" t="s">
        <v>446</v>
      </c>
      <c r="C535" s="415"/>
      <c r="D535" s="51">
        <v>1</v>
      </c>
      <c r="E535" s="51">
        <v>1</v>
      </c>
      <c r="G535" s="77"/>
      <c r="L535" s="51">
        <f t="shared" si="24"/>
        <v>1</v>
      </c>
    </row>
    <row r="536" spans="2:12">
      <c r="B536" s="415" t="s">
        <v>474</v>
      </c>
      <c r="C536" s="415"/>
      <c r="D536" s="51">
        <v>1</v>
      </c>
      <c r="E536" s="51">
        <v>3</v>
      </c>
      <c r="G536" s="77"/>
      <c r="L536" s="51">
        <f t="shared" si="24"/>
        <v>3</v>
      </c>
    </row>
    <row r="537" spans="2:12">
      <c r="B537" s="415" t="s">
        <v>450</v>
      </c>
      <c r="C537" s="415"/>
      <c r="D537" s="51">
        <v>1</v>
      </c>
      <c r="E537" s="51">
        <v>1</v>
      </c>
      <c r="G537" s="77"/>
      <c r="L537" s="51">
        <f t="shared" si="24"/>
        <v>1</v>
      </c>
    </row>
    <row r="538" spans="2:12">
      <c r="B538" s="415" t="s">
        <v>479</v>
      </c>
      <c r="C538" s="415"/>
      <c r="D538" s="51">
        <v>1</v>
      </c>
      <c r="E538" s="51">
        <v>5</v>
      </c>
      <c r="G538" s="77"/>
      <c r="L538" s="51">
        <f t="shared" si="24"/>
        <v>5</v>
      </c>
    </row>
    <row r="539" spans="2:12">
      <c r="B539" s="415" t="s">
        <v>453</v>
      </c>
      <c r="C539" s="415"/>
      <c r="D539" s="51">
        <v>1</v>
      </c>
      <c r="E539" s="51">
        <v>4</v>
      </c>
      <c r="G539" s="77"/>
      <c r="L539" s="51">
        <f t="shared" si="24"/>
        <v>4</v>
      </c>
    </row>
    <row r="540" spans="2:12">
      <c r="B540" s="415" t="s">
        <v>475</v>
      </c>
      <c r="C540" s="415"/>
      <c r="D540" s="51">
        <v>1</v>
      </c>
      <c r="E540" s="51">
        <v>5</v>
      </c>
      <c r="G540" s="77"/>
      <c r="L540" s="51">
        <f t="shared" si="24"/>
        <v>5</v>
      </c>
    </row>
    <row r="541" spans="2:12">
      <c r="B541" s="415" t="s">
        <v>476</v>
      </c>
      <c r="C541" s="415"/>
      <c r="D541" s="51">
        <v>1</v>
      </c>
      <c r="E541" s="51">
        <v>4</v>
      </c>
      <c r="G541" s="77"/>
      <c r="L541" s="51">
        <f t="shared" si="24"/>
        <v>4</v>
      </c>
    </row>
    <row r="542" spans="2:12">
      <c r="B542" s="415" t="s">
        <v>469</v>
      </c>
      <c r="C542" s="415"/>
      <c r="D542" s="51">
        <v>1</v>
      </c>
      <c r="E542" s="51">
        <v>5</v>
      </c>
      <c r="G542" s="77"/>
      <c r="L542" s="51">
        <f t="shared" si="24"/>
        <v>5</v>
      </c>
    </row>
    <row r="543" spans="2:12">
      <c r="B543" s="415" t="s">
        <v>470</v>
      </c>
      <c r="C543" s="415"/>
      <c r="D543" s="51">
        <v>1</v>
      </c>
      <c r="E543" s="51">
        <v>3</v>
      </c>
      <c r="G543" s="77"/>
      <c r="L543" s="51">
        <f t="shared" si="24"/>
        <v>3</v>
      </c>
    </row>
    <row r="544" spans="2:12" ht="15.75" thickBot="1"/>
    <row r="545" spans="1:13" ht="15.75" thickBot="1">
      <c r="A545" s="83" t="str">
        <f>BM_06!A146</f>
        <v>9.2.15</v>
      </c>
      <c r="B545" s="409" t="str">
        <f>BM_06!B146</f>
        <v>LUVA, PVC, SOLDÁVEL, DN 60MM, INSTALADO EM PRUMADA DE ÁGUA - FORNECIMENTO E INSTALAÇÃO. AF_12/2014</v>
      </c>
      <c r="C545" s="410"/>
      <c r="D545" s="410"/>
      <c r="E545" s="410"/>
      <c r="F545" s="410"/>
      <c r="G545" s="410"/>
      <c r="H545" s="410"/>
      <c r="I545" s="410"/>
      <c r="J545" s="410"/>
      <c r="K545" s="410"/>
      <c r="L545" s="62"/>
      <c r="M545" s="44"/>
    </row>
    <row r="547" spans="1:13">
      <c r="B547" s="415" t="s">
        <v>464</v>
      </c>
      <c r="C547" s="415"/>
      <c r="L547" s="50">
        <v>1</v>
      </c>
    </row>
    <row r="548" spans="1:13" ht="15.75" thickBot="1"/>
    <row r="549" spans="1:13" ht="22.9" customHeight="1" thickBot="1">
      <c r="A549" s="83" t="str">
        <f>BM_06!A147</f>
        <v>9.2.16</v>
      </c>
      <c r="B549" s="409" t="str">
        <f>BM_06!B147</f>
        <v>LUVA, PVC, SOLDÁVEL, DN 20MM, INSTALADO EM RAMAL OU SUB-RAMAL DE ÁGUA - FORNECIMENTO E INSTALAÇÃO. AF_12/2014</v>
      </c>
      <c r="C549" s="410"/>
      <c r="D549" s="410"/>
      <c r="E549" s="410"/>
      <c r="F549" s="410"/>
      <c r="G549" s="410"/>
      <c r="H549" s="410"/>
      <c r="I549" s="410"/>
      <c r="J549" s="410"/>
      <c r="K549" s="410"/>
      <c r="L549" s="62"/>
      <c r="M549" s="44"/>
    </row>
    <row r="551" spans="1:13">
      <c r="B551" s="415" t="s">
        <v>464</v>
      </c>
      <c r="C551" s="415"/>
      <c r="L551" s="50">
        <v>1</v>
      </c>
    </row>
    <row r="552" spans="1:13" ht="15.75" thickBot="1"/>
    <row r="553" spans="1:13" ht="21" customHeight="1" thickBot="1">
      <c r="A553" s="83" t="str">
        <f>BM_06!A148</f>
        <v>9.2.17</v>
      </c>
      <c r="B553" s="409" t="str">
        <f>BM_06!B148</f>
        <v>TÊ COM BUCHA DE LATÃO NA BOLSA CENTRAL, PVC, SOLDÁVEL, DN 25MM X 1/2, INSTALADO EM RAMAL OU SUB-RAMAL DE ÁGUA - FORNECIMENTO E INSTALAÇÃO. AF_12/2014</v>
      </c>
      <c r="C553" s="410"/>
      <c r="D553" s="410"/>
      <c r="E553" s="410"/>
      <c r="F553" s="410"/>
      <c r="G553" s="410"/>
      <c r="H553" s="410"/>
      <c r="I553" s="410"/>
      <c r="J553" s="410"/>
      <c r="K553" s="410"/>
      <c r="L553" s="62"/>
      <c r="M553" s="44"/>
    </row>
    <row r="555" spans="1:13">
      <c r="B555" s="415"/>
      <c r="C555" s="415"/>
      <c r="L555" s="50">
        <v>7</v>
      </c>
    </row>
    <row r="557" spans="1:13" ht="15.75" thickBot="1"/>
    <row r="558" spans="1:13" ht="15.75" thickBot="1">
      <c r="A558" s="83" t="str">
        <f>BM_06!A149</f>
        <v>9.2.18</v>
      </c>
      <c r="B558" s="409" t="str">
        <f>BM_06!B149</f>
        <v>TE, PVC, SOLDÁVEL, DN 60MM, INSTALADO EM PRUMADA DE ÁGUA - FORNECIMENTO E INSTALAÇÃO. AF_12/2014</v>
      </c>
      <c r="C558" s="410"/>
      <c r="D558" s="410"/>
      <c r="E558" s="410"/>
      <c r="F558" s="410"/>
      <c r="G558" s="410"/>
      <c r="H558" s="410"/>
      <c r="I558" s="410"/>
      <c r="J558" s="410"/>
      <c r="K558" s="410"/>
      <c r="L558" s="62"/>
      <c r="M558" s="44"/>
    </row>
    <row r="560" spans="1:13">
      <c r="B560" s="415" t="s">
        <v>464</v>
      </c>
      <c r="C560" s="415"/>
      <c r="L560" s="50">
        <v>1</v>
      </c>
    </row>
    <row r="562" spans="1:13" ht="15.75" thickBot="1"/>
    <row r="563" spans="1:13" ht="24" customHeight="1" thickBot="1">
      <c r="A563" s="83" t="str">
        <f>BM_06!A150</f>
        <v>9.2.19</v>
      </c>
      <c r="B563" s="409" t="str">
        <f>BM_06!B150</f>
        <v>TE, PVC, SOLDÁVEL, DN 25MM, INSTALADO EM RAMAL DE DISTRIBUIÇÃO DE ÁGUA - FORNECIMENTO E INSTALAÇÃO. AF_12/2014</v>
      </c>
      <c r="C563" s="410"/>
      <c r="D563" s="410"/>
      <c r="E563" s="410"/>
      <c r="F563" s="410"/>
      <c r="G563" s="410"/>
      <c r="H563" s="410"/>
      <c r="I563" s="410"/>
      <c r="J563" s="410"/>
      <c r="K563" s="410"/>
      <c r="L563" s="62"/>
      <c r="M563" s="44"/>
    </row>
    <row r="564" spans="1:13">
      <c r="L564" s="52">
        <f>SUM(L565:L586)</f>
        <v>35</v>
      </c>
    </row>
    <row r="565" spans="1:13">
      <c r="B565" s="415" t="s">
        <v>465</v>
      </c>
      <c r="C565" s="415"/>
      <c r="D565" s="51">
        <v>1</v>
      </c>
      <c r="E565" s="51">
        <v>2</v>
      </c>
      <c r="L565" s="50">
        <f>D565*E565</f>
        <v>2</v>
      </c>
    </row>
    <row r="566" spans="1:13">
      <c r="B566" s="415" t="s">
        <v>439</v>
      </c>
      <c r="C566" s="415"/>
      <c r="D566" s="51">
        <v>1</v>
      </c>
      <c r="E566" s="51">
        <v>1</v>
      </c>
      <c r="L566" s="50">
        <f t="shared" ref="L566:L586" si="25">D566*E566</f>
        <v>1</v>
      </c>
    </row>
    <row r="567" spans="1:13">
      <c r="B567" s="415" t="s">
        <v>437</v>
      </c>
      <c r="C567" s="415"/>
      <c r="D567" s="51">
        <v>1</v>
      </c>
      <c r="E567" s="51">
        <v>2</v>
      </c>
      <c r="L567" s="50">
        <f t="shared" si="25"/>
        <v>2</v>
      </c>
    </row>
    <row r="568" spans="1:13">
      <c r="B568" s="415" t="s">
        <v>466</v>
      </c>
      <c r="C568" s="415"/>
      <c r="D568" s="51">
        <v>1</v>
      </c>
      <c r="E568" s="51">
        <v>2</v>
      </c>
      <c r="L568" s="50">
        <f t="shared" si="25"/>
        <v>2</v>
      </c>
    </row>
    <row r="569" spans="1:13">
      <c r="B569" s="415" t="s">
        <v>469</v>
      </c>
      <c r="C569" s="415"/>
      <c r="D569" s="51">
        <v>1</v>
      </c>
      <c r="E569" s="51">
        <v>1</v>
      </c>
      <c r="L569" s="50">
        <f t="shared" si="25"/>
        <v>1</v>
      </c>
    </row>
    <row r="570" spans="1:13">
      <c r="B570" s="415" t="s">
        <v>470</v>
      </c>
      <c r="C570" s="415"/>
      <c r="D570" s="51">
        <v>1</v>
      </c>
      <c r="E570" s="51">
        <v>1</v>
      </c>
      <c r="L570" s="50">
        <f t="shared" si="25"/>
        <v>1</v>
      </c>
    </row>
    <row r="571" spans="1:13">
      <c r="B571" s="415" t="s">
        <v>468</v>
      </c>
      <c r="C571" s="415"/>
      <c r="D571" s="51">
        <v>1</v>
      </c>
      <c r="E571" s="51">
        <v>1</v>
      </c>
      <c r="L571" s="50">
        <f t="shared" si="25"/>
        <v>1</v>
      </c>
    </row>
    <row r="572" spans="1:13">
      <c r="B572" s="415" t="s">
        <v>445</v>
      </c>
      <c r="C572" s="415"/>
      <c r="D572" s="51">
        <v>1</v>
      </c>
      <c r="E572" s="51">
        <v>1</v>
      </c>
      <c r="L572" s="50">
        <f t="shared" si="25"/>
        <v>1</v>
      </c>
    </row>
    <row r="573" spans="1:13">
      <c r="B573" s="415" t="s">
        <v>471</v>
      </c>
      <c r="C573" s="415"/>
      <c r="D573" s="51">
        <v>1</v>
      </c>
      <c r="E573" s="51">
        <v>2</v>
      </c>
      <c r="L573" s="50">
        <f t="shared" si="25"/>
        <v>2</v>
      </c>
    </row>
    <row r="574" spans="1:13" ht="15" customHeight="1">
      <c r="B574" s="415" t="s">
        <v>478</v>
      </c>
      <c r="C574" s="415"/>
      <c r="D574" s="51">
        <v>1</v>
      </c>
      <c r="E574" s="51">
        <v>2</v>
      </c>
      <c r="L574" s="50">
        <f t="shared" si="25"/>
        <v>2</v>
      </c>
    </row>
    <row r="575" spans="1:13" ht="29.45" customHeight="1">
      <c r="B575" s="415" t="s">
        <v>472</v>
      </c>
      <c r="C575" s="415"/>
      <c r="D575" s="51">
        <v>1</v>
      </c>
      <c r="E575" s="51">
        <v>1</v>
      </c>
      <c r="L575" s="50">
        <f t="shared" si="25"/>
        <v>1</v>
      </c>
    </row>
    <row r="576" spans="1:13">
      <c r="B576" s="415" t="s">
        <v>441</v>
      </c>
      <c r="C576" s="415"/>
      <c r="D576" s="51">
        <v>1</v>
      </c>
      <c r="E576" s="51">
        <v>1</v>
      </c>
      <c r="L576" s="50">
        <f t="shared" si="25"/>
        <v>1</v>
      </c>
    </row>
    <row r="577" spans="1:13">
      <c r="B577" s="415" t="s">
        <v>473</v>
      </c>
      <c r="C577" s="415"/>
      <c r="D577" s="51">
        <v>1</v>
      </c>
      <c r="E577" s="51">
        <v>1</v>
      </c>
      <c r="L577" s="50">
        <f t="shared" si="25"/>
        <v>1</v>
      </c>
    </row>
    <row r="578" spans="1:13">
      <c r="B578" s="415" t="s">
        <v>446</v>
      </c>
      <c r="C578" s="415"/>
      <c r="D578" s="51">
        <v>1</v>
      </c>
      <c r="E578" s="51">
        <v>1</v>
      </c>
      <c r="L578" s="50">
        <f t="shared" si="25"/>
        <v>1</v>
      </c>
    </row>
    <row r="579" spans="1:13">
      <c r="B579" s="415" t="s">
        <v>474</v>
      </c>
      <c r="C579" s="415"/>
      <c r="D579" s="51">
        <v>1</v>
      </c>
      <c r="E579" s="51">
        <v>2</v>
      </c>
      <c r="L579" s="50">
        <f t="shared" si="25"/>
        <v>2</v>
      </c>
    </row>
    <row r="580" spans="1:13">
      <c r="B580" s="415" t="s">
        <v>450</v>
      </c>
      <c r="C580" s="415"/>
      <c r="D580" s="51">
        <v>1</v>
      </c>
      <c r="E580" s="51">
        <v>1</v>
      </c>
      <c r="L580" s="50">
        <f t="shared" si="25"/>
        <v>1</v>
      </c>
    </row>
    <row r="581" spans="1:13">
      <c r="B581" s="415" t="s">
        <v>479</v>
      </c>
      <c r="C581" s="415"/>
      <c r="D581" s="51">
        <v>1</v>
      </c>
      <c r="E581" s="51">
        <v>2</v>
      </c>
      <c r="L581" s="50">
        <f t="shared" si="25"/>
        <v>2</v>
      </c>
    </row>
    <row r="582" spans="1:13">
      <c r="B582" s="415" t="s">
        <v>453</v>
      </c>
      <c r="C582" s="415"/>
      <c r="D582" s="51">
        <v>1</v>
      </c>
      <c r="E582" s="51">
        <v>2</v>
      </c>
      <c r="L582" s="50">
        <f t="shared" si="25"/>
        <v>2</v>
      </c>
    </row>
    <row r="583" spans="1:13">
      <c r="B583" s="415" t="s">
        <v>475</v>
      </c>
      <c r="C583" s="415"/>
      <c r="D583" s="51">
        <v>1</v>
      </c>
      <c r="E583" s="51">
        <v>3</v>
      </c>
      <c r="L583" s="50">
        <f t="shared" si="25"/>
        <v>3</v>
      </c>
    </row>
    <row r="584" spans="1:13">
      <c r="B584" s="415" t="s">
        <v>476</v>
      </c>
      <c r="C584" s="415"/>
      <c r="D584" s="51">
        <v>1</v>
      </c>
      <c r="E584" s="51">
        <v>2</v>
      </c>
      <c r="L584" s="50">
        <f t="shared" si="25"/>
        <v>2</v>
      </c>
    </row>
    <row r="585" spans="1:13">
      <c r="B585" s="415" t="s">
        <v>469</v>
      </c>
      <c r="C585" s="415"/>
      <c r="D585" s="51">
        <v>1</v>
      </c>
      <c r="E585" s="51">
        <v>2</v>
      </c>
      <c r="L585" s="50">
        <f t="shared" si="25"/>
        <v>2</v>
      </c>
    </row>
    <row r="586" spans="1:13">
      <c r="B586" s="415" t="s">
        <v>470</v>
      </c>
      <c r="C586" s="415"/>
      <c r="D586" s="51">
        <v>1</v>
      </c>
      <c r="E586" s="51">
        <v>2</v>
      </c>
      <c r="L586" s="50">
        <f t="shared" si="25"/>
        <v>2</v>
      </c>
    </row>
    <row r="587" spans="1:13" ht="15.75" thickBot="1"/>
    <row r="588" spans="1:13" ht="27" customHeight="1" thickBot="1">
      <c r="A588" s="83" t="str">
        <f>BM_06!A151</f>
        <v>9.2.20</v>
      </c>
      <c r="B588" s="409" t="str">
        <f>BM_06!B151</f>
        <v>TE, PVC, SOLDÁVEL, DN 50MM, INSTALADO EM PRUMADA DE ÁGUA - FORNECIMENTO E INSTALAÇÃO. AF_12/2014</v>
      </c>
      <c r="C588" s="410"/>
      <c r="D588" s="410"/>
      <c r="E588" s="410"/>
      <c r="F588" s="410"/>
      <c r="G588" s="410"/>
      <c r="H588" s="410"/>
      <c r="I588" s="410"/>
      <c r="J588" s="410"/>
      <c r="K588" s="410"/>
      <c r="L588" s="62"/>
      <c r="M588" s="44"/>
    </row>
    <row r="590" spans="1:13">
      <c r="B590" s="415" t="s">
        <v>464</v>
      </c>
      <c r="C590" s="415"/>
      <c r="L590" s="50">
        <v>32</v>
      </c>
    </row>
    <row r="591" spans="1:13" ht="15.75" thickBot="1"/>
    <row r="592" spans="1:13" ht="15.75" thickBot="1">
      <c r="A592" s="83" t="str">
        <f>BM_06!A152</f>
        <v>9.2.21</v>
      </c>
      <c r="B592" s="409" t="str">
        <f>BM_06!B152</f>
        <v>REGISTRO DE GAVETA BRUTO, LATÃO, ROSCÁVEL, 1 1/2", COM ACABAMENTO E CANOPLA CROMADOS - FORNECIMENTO E INSTALAÇÃO. AF_08/2021</v>
      </c>
      <c r="C592" s="410"/>
      <c r="D592" s="410"/>
      <c r="E592" s="410"/>
      <c r="F592" s="410"/>
      <c r="G592" s="410"/>
      <c r="H592" s="410"/>
      <c r="I592" s="410"/>
      <c r="J592" s="410"/>
      <c r="K592" s="410"/>
      <c r="L592" s="62"/>
      <c r="M592" s="44"/>
    </row>
    <row r="594" spans="1:13">
      <c r="B594" s="415" t="s">
        <v>464</v>
      </c>
      <c r="C594" s="415"/>
      <c r="L594" s="50">
        <v>2</v>
      </c>
    </row>
    <row r="596" spans="1:13" ht="15.75" thickBot="1"/>
    <row r="597" spans="1:13" ht="23.45" customHeight="1" thickBot="1">
      <c r="A597" s="83" t="str">
        <f>BM_06!A153</f>
        <v>9.2.22</v>
      </c>
      <c r="B597" s="409" t="str">
        <f>BM_06!B153</f>
        <v>REGISTRO DE GAVETA BRUTO, LATÃO, ROSCÁVEL, 3/4", COM ACABAMENTO E CANOPLA CROMADOS - FORNECIMENTO E INSTALAÇÃO. AF_08/2021</v>
      </c>
      <c r="C597" s="410"/>
      <c r="D597" s="410"/>
      <c r="E597" s="410"/>
      <c r="F597" s="410"/>
      <c r="G597" s="410"/>
      <c r="H597" s="410"/>
      <c r="I597" s="410"/>
      <c r="J597" s="410"/>
      <c r="K597" s="410"/>
      <c r="L597" s="62"/>
      <c r="M597" s="44"/>
    </row>
    <row r="598" spans="1:13">
      <c r="L598" s="52">
        <f>SUM(L599:L622)</f>
        <v>25</v>
      </c>
    </row>
    <row r="599" spans="1:13">
      <c r="B599" s="415" t="s">
        <v>465</v>
      </c>
      <c r="C599" s="415"/>
      <c r="D599" s="51">
        <v>1</v>
      </c>
      <c r="E599">
        <v>1</v>
      </c>
      <c r="L599" s="99">
        <f>D599*E599</f>
        <v>1</v>
      </c>
    </row>
    <row r="600" spans="1:13">
      <c r="B600" s="415" t="s">
        <v>439</v>
      </c>
      <c r="C600" s="415"/>
      <c r="D600" s="51">
        <v>1</v>
      </c>
      <c r="L600" s="99">
        <f t="shared" ref="L600:L622" si="26">D600*E600</f>
        <v>0</v>
      </c>
    </row>
    <row r="601" spans="1:13">
      <c r="B601" s="415" t="s">
        <v>437</v>
      </c>
      <c r="C601" s="415"/>
      <c r="D601" s="51">
        <v>1</v>
      </c>
      <c r="E601">
        <v>1</v>
      </c>
      <c r="L601" s="99">
        <f t="shared" si="26"/>
        <v>1</v>
      </c>
    </row>
    <row r="602" spans="1:13">
      <c r="B602" s="415" t="s">
        <v>466</v>
      </c>
      <c r="C602" s="415"/>
      <c r="D602" s="51">
        <v>1</v>
      </c>
      <c r="E602">
        <v>1</v>
      </c>
      <c r="L602" s="99">
        <f t="shared" si="26"/>
        <v>1</v>
      </c>
    </row>
    <row r="603" spans="1:13">
      <c r="B603" s="415" t="s">
        <v>467</v>
      </c>
      <c r="C603" s="415"/>
      <c r="D603" s="51">
        <v>1</v>
      </c>
      <c r="L603" s="99">
        <f t="shared" si="26"/>
        <v>0</v>
      </c>
    </row>
    <row r="604" spans="1:13">
      <c r="B604" s="415" t="s">
        <v>468</v>
      </c>
      <c r="C604" s="415"/>
      <c r="D604" s="51">
        <v>1</v>
      </c>
      <c r="E604">
        <v>1</v>
      </c>
      <c r="L604" s="99">
        <f t="shared" si="26"/>
        <v>1</v>
      </c>
    </row>
    <row r="605" spans="1:13">
      <c r="B605" s="415" t="s">
        <v>469</v>
      </c>
      <c r="C605" s="415"/>
      <c r="D605" s="51">
        <v>1</v>
      </c>
      <c r="E605">
        <v>1</v>
      </c>
      <c r="L605" s="99">
        <f t="shared" si="26"/>
        <v>1</v>
      </c>
    </row>
    <row r="606" spans="1:13">
      <c r="B606" s="415" t="s">
        <v>470</v>
      </c>
      <c r="C606" s="415"/>
      <c r="D606" s="51">
        <v>1</v>
      </c>
      <c r="E606">
        <v>1</v>
      </c>
      <c r="L606" s="99">
        <f t="shared" si="26"/>
        <v>1</v>
      </c>
    </row>
    <row r="607" spans="1:13">
      <c r="B607" s="415" t="s">
        <v>468</v>
      </c>
      <c r="C607" s="415"/>
      <c r="D607" s="51">
        <v>1</v>
      </c>
      <c r="E607">
        <v>1</v>
      </c>
      <c r="L607" s="99">
        <f t="shared" si="26"/>
        <v>1</v>
      </c>
    </row>
    <row r="608" spans="1:13">
      <c r="B608" s="415" t="s">
        <v>445</v>
      </c>
      <c r="C608" s="415"/>
      <c r="D608" s="51">
        <v>1</v>
      </c>
      <c r="E608">
        <v>1</v>
      </c>
      <c r="L608" s="99">
        <f t="shared" si="26"/>
        <v>1</v>
      </c>
    </row>
    <row r="609" spans="1:13">
      <c r="B609" s="415" t="s">
        <v>471</v>
      </c>
      <c r="C609" s="415"/>
      <c r="D609" s="51">
        <v>1</v>
      </c>
      <c r="E609">
        <v>1</v>
      </c>
      <c r="L609" s="99">
        <f t="shared" si="26"/>
        <v>1</v>
      </c>
    </row>
    <row r="610" spans="1:13" ht="31.15" customHeight="1">
      <c r="B610" s="415" t="s">
        <v>478</v>
      </c>
      <c r="C610" s="415"/>
      <c r="D610" s="51">
        <v>1</v>
      </c>
      <c r="E610">
        <v>2</v>
      </c>
      <c r="L610" s="99">
        <f t="shared" si="26"/>
        <v>2</v>
      </c>
    </row>
    <row r="611" spans="1:13" ht="15" customHeight="1">
      <c r="B611" s="415" t="s">
        <v>472</v>
      </c>
      <c r="C611" s="415"/>
      <c r="D611" s="51">
        <v>1</v>
      </c>
      <c r="E611">
        <v>1</v>
      </c>
      <c r="L611" s="99">
        <f t="shared" si="26"/>
        <v>1</v>
      </c>
    </row>
    <row r="612" spans="1:13" ht="12.6" customHeight="1">
      <c r="B612" s="415" t="s">
        <v>441</v>
      </c>
      <c r="C612" s="415"/>
      <c r="D612" s="51">
        <v>1</v>
      </c>
      <c r="E612">
        <v>1</v>
      </c>
      <c r="L612" s="99">
        <f t="shared" si="26"/>
        <v>1</v>
      </c>
    </row>
    <row r="613" spans="1:13">
      <c r="B613" s="415" t="s">
        <v>473</v>
      </c>
      <c r="C613" s="415"/>
      <c r="D613" s="51">
        <v>1</v>
      </c>
      <c r="E613">
        <v>1</v>
      </c>
      <c r="L613" s="99">
        <f t="shared" si="26"/>
        <v>1</v>
      </c>
    </row>
    <row r="614" spans="1:13">
      <c r="B614" s="415" t="s">
        <v>446</v>
      </c>
      <c r="C614" s="415"/>
      <c r="D614" s="51">
        <v>1</v>
      </c>
      <c r="E614">
        <v>1</v>
      </c>
      <c r="L614" s="99">
        <f t="shared" si="26"/>
        <v>1</v>
      </c>
    </row>
    <row r="615" spans="1:13">
      <c r="B615" s="415" t="s">
        <v>474</v>
      </c>
      <c r="C615" s="415"/>
      <c r="D615" s="51">
        <v>1</v>
      </c>
      <c r="E615">
        <v>1</v>
      </c>
      <c r="L615" s="99">
        <f t="shared" si="26"/>
        <v>1</v>
      </c>
    </row>
    <row r="616" spans="1:13">
      <c r="B616" s="415" t="s">
        <v>450</v>
      </c>
      <c r="C616" s="415"/>
      <c r="D616" s="51">
        <v>1</v>
      </c>
      <c r="E616">
        <v>1</v>
      </c>
      <c r="L616" s="99">
        <f t="shared" si="26"/>
        <v>1</v>
      </c>
    </row>
    <row r="617" spans="1:13">
      <c r="B617" s="415" t="s">
        <v>479</v>
      </c>
      <c r="C617" s="415"/>
      <c r="D617" s="51">
        <v>1</v>
      </c>
      <c r="E617">
        <v>2</v>
      </c>
      <c r="L617" s="99">
        <f t="shared" si="26"/>
        <v>2</v>
      </c>
    </row>
    <row r="618" spans="1:13">
      <c r="B618" s="415" t="s">
        <v>453</v>
      </c>
      <c r="C618" s="415"/>
      <c r="D618" s="51">
        <v>1</v>
      </c>
      <c r="E618">
        <v>2</v>
      </c>
      <c r="L618" s="99">
        <f t="shared" si="26"/>
        <v>2</v>
      </c>
    </row>
    <row r="619" spans="1:13">
      <c r="B619" s="415" t="s">
        <v>475</v>
      </c>
      <c r="C619" s="415"/>
      <c r="D619" s="51">
        <v>1</v>
      </c>
      <c r="E619">
        <v>1</v>
      </c>
      <c r="L619" s="99">
        <f t="shared" si="26"/>
        <v>1</v>
      </c>
    </row>
    <row r="620" spans="1:13" ht="33.6" customHeight="1">
      <c r="B620" s="415" t="s">
        <v>476</v>
      </c>
      <c r="C620" s="415"/>
      <c r="D620" s="51">
        <v>1</v>
      </c>
      <c r="E620">
        <v>1</v>
      </c>
      <c r="L620" s="99">
        <f t="shared" si="26"/>
        <v>1</v>
      </c>
    </row>
    <row r="621" spans="1:13">
      <c r="B621" s="415" t="s">
        <v>469</v>
      </c>
      <c r="C621" s="415"/>
      <c r="D621" s="51">
        <v>1</v>
      </c>
      <c r="E621">
        <v>1</v>
      </c>
      <c r="L621" s="99">
        <f t="shared" si="26"/>
        <v>1</v>
      </c>
    </row>
    <row r="622" spans="1:13">
      <c r="B622" s="415" t="s">
        <v>470</v>
      </c>
      <c r="C622" s="415"/>
      <c r="D622" s="51">
        <v>1</v>
      </c>
      <c r="E622">
        <v>1</v>
      </c>
      <c r="L622" s="99">
        <f t="shared" si="26"/>
        <v>1</v>
      </c>
    </row>
    <row r="623" spans="1:13" ht="15.75" thickBot="1"/>
    <row r="624" spans="1:13" ht="24" customHeight="1" thickBot="1">
      <c r="A624" s="83" t="str">
        <f>BM_06!A154</f>
        <v>9.2.23</v>
      </c>
      <c r="B624" s="409" t="str">
        <f>BM_06!B154</f>
        <v>REGISTRO DE PRESSÃO BRUTO, LATÃO, ROSCÁVEL, 3/4", COM ACABAMENTO E CANOPLA CROMADOS - FORNECIMENTO E INSTALAÇÃO. AF_08/2021</v>
      </c>
      <c r="C624" s="410"/>
      <c r="D624" s="410"/>
      <c r="E624" s="410"/>
      <c r="F624" s="410"/>
      <c r="G624" s="410"/>
      <c r="H624" s="410"/>
      <c r="I624" s="410"/>
      <c r="J624" s="410"/>
      <c r="K624" s="410"/>
      <c r="L624" s="62"/>
      <c r="M624" s="44"/>
    </row>
    <row r="625" spans="2:12">
      <c r="L625" s="52">
        <f>SUM(L626:L628)</f>
        <v>3</v>
      </c>
    </row>
    <row r="626" spans="2:12" ht="24" customHeight="1">
      <c r="B626" s="415" t="s">
        <v>437</v>
      </c>
      <c r="C626" s="415"/>
      <c r="D626" s="51">
        <v>1</v>
      </c>
      <c r="E626" s="50">
        <v>1</v>
      </c>
      <c r="L626" s="99">
        <f>E626*D626</f>
        <v>1</v>
      </c>
    </row>
    <row r="627" spans="2:12">
      <c r="B627" s="415" t="s">
        <v>466</v>
      </c>
      <c r="C627" s="415"/>
      <c r="D627" s="51">
        <v>1</v>
      </c>
      <c r="E627" s="50">
        <v>1</v>
      </c>
      <c r="L627" s="99">
        <f t="shared" ref="L627:L628" si="27">E627*D627</f>
        <v>1</v>
      </c>
    </row>
    <row r="628" spans="2:12">
      <c r="B628" s="415" t="s">
        <v>453</v>
      </c>
      <c r="C628" s="415"/>
      <c r="D628" s="51">
        <v>1</v>
      </c>
      <c r="E628" s="50">
        <v>1</v>
      </c>
      <c r="L628" s="99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6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73" bestFit="1" customWidth="1"/>
  </cols>
  <sheetData>
    <row r="1" spans="1:13" ht="16.5" thickBot="1">
      <c r="A1" s="420"/>
      <c r="B1" s="421"/>
      <c r="C1" s="426" t="s">
        <v>409</v>
      </c>
      <c r="D1" s="427"/>
      <c r="E1" s="427"/>
      <c r="F1" s="427"/>
      <c r="G1" s="427"/>
      <c r="H1" s="427"/>
      <c r="I1" s="427"/>
      <c r="J1" s="427"/>
      <c r="K1" s="427"/>
      <c r="L1" s="427"/>
      <c r="M1" s="428"/>
    </row>
    <row r="2" spans="1:13">
      <c r="A2" s="422"/>
      <c r="B2" s="423"/>
      <c r="C2" s="429" t="s">
        <v>410</v>
      </c>
      <c r="D2" s="430"/>
      <c r="E2" s="430"/>
      <c r="F2" s="430"/>
      <c r="G2" s="431"/>
      <c r="H2" s="429" t="s">
        <v>411</v>
      </c>
      <c r="I2" s="430"/>
      <c r="J2" s="430"/>
      <c r="K2" s="430"/>
      <c r="L2" s="430"/>
      <c r="M2" s="431"/>
    </row>
    <row r="3" spans="1:13" ht="15.75" thickBot="1">
      <c r="A3" s="422"/>
      <c r="B3" s="423"/>
      <c r="C3" s="432" t="s">
        <v>431</v>
      </c>
      <c r="D3" s="433"/>
      <c r="E3" s="433"/>
      <c r="F3" s="433"/>
      <c r="G3" s="434"/>
      <c r="H3" s="435" t="s">
        <v>412</v>
      </c>
      <c r="I3" s="436"/>
      <c r="J3" s="436"/>
      <c r="K3" s="436"/>
      <c r="L3" s="436"/>
      <c r="M3" s="437"/>
    </row>
    <row r="4" spans="1:13">
      <c r="A4" s="422"/>
      <c r="B4" s="423"/>
      <c r="C4" s="429" t="s">
        <v>413</v>
      </c>
      <c r="D4" s="430"/>
      <c r="E4" s="430"/>
      <c r="F4" s="430"/>
      <c r="G4" s="431"/>
      <c r="H4" s="438" t="s">
        <v>414</v>
      </c>
      <c r="I4" s="439"/>
      <c r="J4" s="439"/>
      <c r="K4" s="440"/>
      <c r="L4" s="36"/>
      <c r="M4" s="37"/>
    </row>
    <row r="5" spans="1:13" ht="15.75" thickBot="1">
      <c r="A5" s="424"/>
      <c r="B5" s="425"/>
      <c r="C5" s="441" t="s">
        <v>432</v>
      </c>
      <c r="D5" s="442"/>
      <c r="E5" s="442"/>
      <c r="F5" s="442"/>
      <c r="G5" s="443"/>
      <c r="H5" s="444"/>
      <c r="I5" s="445"/>
      <c r="J5" s="445"/>
      <c r="K5" s="446"/>
      <c r="L5" s="38"/>
      <c r="M5" s="39"/>
    </row>
    <row r="6" spans="1:13" ht="15.75" thickBot="1">
      <c r="A6" s="66"/>
      <c r="B6" s="40"/>
      <c r="C6" s="40"/>
      <c r="D6" s="40"/>
      <c r="E6" s="40"/>
      <c r="F6" s="40"/>
      <c r="G6" s="68"/>
      <c r="H6" s="40"/>
      <c r="I6" s="40"/>
      <c r="J6" s="40"/>
      <c r="K6" s="40"/>
      <c r="L6" s="40"/>
      <c r="M6" s="41"/>
    </row>
    <row r="7" spans="1:13">
      <c r="A7" s="355" t="s">
        <v>415</v>
      </c>
      <c r="B7" s="357" t="s">
        <v>416</v>
      </c>
      <c r="C7" s="358"/>
      <c r="D7" s="361" t="s">
        <v>417</v>
      </c>
      <c r="E7" s="363" t="s">
        <v>418</v>
      </c>
      <c r="F7" s="364"/>
      <c r="G7" s="364"/>
      <c r="H7" s="364"/>
      <c r="I7" s="364"/>
      <c r="J7" s="365"/>
      <c r="K7" s="363" t="s">
        <v>419</v>
      </c>
      <c r="L7" s="365"/>
      <c r="M7" s="366" t="s">
        <v>420</v>
      </c>
    </row>
    <row r="8" spans="1:13" ht="15.75" thickBot="1">
      <c r="A8" s="356"/>
      <c r="B8" s="359"/>
      <c r="C8" s="360"/>
      <c r="D8" s="362"/>
      <c r="E8" s="176" t="s">
        <v>421</v>
      </c>
      <c r="F8" s="176" t="s">
        <v>422</v>
      </c>
      <c r="G8" s="176" t="s">
        <v>423</v>
      </c>
      <c r="H8" s="176" t="s">
        <v>424</v>
      </c>
      <c r="I8" s="176" t="s">
        <v>425</v>
      </c>
      <c r="J8" s="176" t="s">
        <v>426</v>
      </c>
      <c r="K8" s="176" t="s">
        <v>427</v>
      </c>
      <c r="L8" s="176" t="s">
        <v>428</v>
      </c>
      <c r="M8" s="367"/>
    </row>
    <row r="9" spans="1:13" ht="15.75" thickBot="1"/>
    <row r="10" spans="1:13" ht="14.45" customHeight="1" thickBot="1">
      <c r="A10" s="61"/>
      <c r="B10" s="409" t="s">
        <v>333</v>
      </c>
      <c r="C10" s="410"/>
      <c r="D10" s="410"/>
      <c r="E10" s="410"/>
      <c r="F10" s="410"/>
      <c r="G10" s="410"/>
      <c r="H10" s="410"/>
      <c r="I10" s="410"/>
      <c r="J10" s="410"/>
      <c r="K10" s="410"/>
      <c r="L10" s="62"/>
      <c r="M10" s="44"/>
    </row>
    <row r="11" spans="1:13">
      <c r="A11" s="63"/>
      <c r="B11" s="412"/>
      <c r="C11" s="413"/>
      <c r="D11" s="413"/>
      <c r="E11" s="413"/>
      <c r="F11" s="413"/>
      <c r="G11" s="413"/>
      <c r="H11" s="413"/>
      <c r="I11" s="413"/>
      <c r="J11" s="413"/>
      <c r="K11" s="414"/>
      <c r="L11" s="64"/>
      <c r="M11" s="46"/>
    </row>
    <row r="12" spans="1:13">
      <c r="A12" s="91" t="s">
        <v>4</v>
      </c>
      <c r="B12" s="411" t="e">
        <f>#REF!</f>
        <v>#REF!</v>
      </c>
      <c r="C12" s="411"/>
      <c r="D12" s="411"/>
      <c r="E12" s="411"/>
      <c r="F12" s="411"/>
      <c r="G12" s="411"/>
      <c r="H12" s="411"/>
      <c r="I12" s="411"/>
      <c r="J12" s="411"/>
      <c r="K12" s="411"/>
      <c r="L12" s="92"/>
      <c r="M12" s="65" t="s">
        <v>429</v>
      </c>
    </row>
    <row r="13" spans="1:13">
      <c r="A13" s="172"/>
      <c r="B13" s="172"/>
      <c r="C13" s="172"/>
      <c r="D13" s="172"/>
      <c r="E13" s="172"/>
      <c r="F13" s="46" t="s">
        <v>463</v>
      </c>
      <c r="G13" s="172"/>
      <c r="H13" s="46" t="s">
        <v>463</v>
      </c>
      <c r="I13" s="172"/>
      <c r="J13" s="172"/>
      <c r="K13" s="54" t="s">
        <v>454</v>
      </c>
      <c r="L13" s="76">
        <f>SUM(L16:L40)</f>
        <v>736.73</v>
      </c>
      <c r="M13" s="46"/>
    </row>
    <row r="14" spans="1:13">
      <c r="A14" s="172"/>
      <c r="B14" s="172"/>
      <c r="C14" s="172"/>
      <c r="D14" s="172"/>
      <c r="E14" s="172"/>
      <c r="F14" s="46"/>
      <c r="G14" s="172"/>
      <c r="H14" s="46"/>
      <c r="I14" s="172"/>
      <c r="J14" s="172"/>
      <c r="K14" s="54" t="s">
        <v>455</v>
      </c>
      <c r="L14" s="76">
        <v>608.61</v>
      </c>
      <c r="M14" s="46"/>
    </row>
    <row r="15" spans="1:13">
      <c r="A15" s="172"/>
      <c r="B15" s="172"/>
      <c r="C15" s="172"/>
      <c r="D15" s="172"/>
      <c r="E15" s="172"/>
      <c r="F15" s="46"/>
      <c r="G15" s="172"/>
      <c r="H15" s="46"/>
      <c r="I15" s="172"/>
      <c r="J15" s="172"/>
      <c r="K15" s="54" t="s">
        <v>480</v>
      </c>
      <c r="L15" s="76">
        <f>L13-L14</f>
        <v>128.12</v>
      </c>
      <c r="M15" s="46"/>
    </row>
    <row r="16" spans="1:13">
      <c r="A16" s="172"/>
      <c r="B16" s="406" t="s">
        <v>435</v>
      </c>
      <c r="C16" s="406"/>
      <c r="D16" s="172">
        <v>1</v>
      </c>
      <c r="E16" s="172">
        <v>5.2</v>
      </c>
      <c r="F16" s="172"/>
      <c r="G16" s="172">
        <v>5.6</v>
      </c>
      <c r="H16" s="172"/>
      <c r="I16" s="172"/>
      <c r="J16" s="172"/>
      <c r="K16" s="172">
        <f>(E16*G16)+(F16*H16)</f>
        <v>29.119999999999997</v>
      </c>
      <c r="L16" s="46">
        <f t="shared" ref="L16:L40" si="0">K16*D16</f>
        <v>29.119999999999997</v>
      </c>
      <c r="M16" s="46"/>
    </row>
    <row r="17" spans="1:13">
      <c r="A17" s="172"/>
      <c r="B17" s="406" t="s">
        <v>436</v>
      </c>
      <c r="C17" s="406"/>
      <c r="D17" s="172">
        <v>1</v>
      </c>
      <c r="E17" s="172">
        <v>5.2</v>
      </c>
      <c r="F17" s="172"/>
      <c r="G17" s="172">
        <v>5.6</v>
      </c>
      <c r="H17" s="172"/>
      <c r="I17" s="172"/>
      <c r="J17" s="172"/>
      <c r="K17" s="172">
        <f t="shared" ref="K17:K40" si="1">(E17*G17)+(F17*H17)</f>
        <v>29.119999999999997</v>
      </c>
      <c r="L17" s="46">
        <f t="shared" si="0"/>
        <v>29.119999999999997</v>
      </c>
      <c r="M17" s="46"/>
    </row>
    <row r="18" spans="1:13">
      <c r="A18" s="172"/>
      <c r="B18" s="406" t="s">
        <v>437</v>
      </c>
      <c r="C18" s="406"/>
      <c r="D18" s="172">
        <v>1</v>
      </c>
      <c r="E18" s="172">
        <v>5.2</v>
      </c>
      <c r="F18" s="172"/>
      <c r="G18" s="172">
        <v>5.6</v>
      </c>
      <c r="H18" s="172"/>
      <c r="I18" s="172"/>
      <c r="J18" s="172"/>
      <c r="K18" s="172">
        <f t="shared" si="1"/>
        <v>29.119999999999997</v>
      </c>
      <c r="L18" s="46">
        <f t="shared" si="0"/>
        <v>29.119999999999997</v>
      </c>
      <c r="M18" s="46"/>
    </row>
    <row r="19" spans="1:13">
      <c r="A19" s="172"/>
      <c r="B19" s="406" t="s">
        <v>437</v>
      </c>
      <c r="C19" s="406"/>
      <c r="D19" s="172">
        <v>1</v>
      </c>
      <c r="E19" s="172">
        <v>5.2</v>
      </c>
      <c r="F19" s="172"/>
      <c r="G19" s="172">
        <v>5.6</v>
      </c>
      <c r="H19" s="172"/>
      <c r="I19" s="172"/>
      <c r="J19" s="172"/>
      <c r="K19" s="172">
        <f t="shared" si="1"/>
        <v>29.119999999999997</v>
      </c>
      <c r="L19" s="46">
        <f t="shared" si="0"/>
        <v>29.119999999999997</v>
      </c>
      <c r="M19" s="46"/>
    </row>
    <row r="20" spans="1:13">
      <c r="A20" s="172"/>
      <c r="B20" s="406" t="s">
        <v>461</v>
      </c>
      <c r="C20" s="406"/>
      <c r="D20" s="172">
        <v>1</v>
      </c>
      <c r="E20" s="172">
        <v>2</v>
      </c>
      <c r="F20" s="172"/>
      <c r="G20" s="172">
        <v>20</v>
      </c>
      <c r="H20" s="172"/>
      <c r="I20" s="172"/>
      <c r="J20" s="172"/>
      <c r="K20" s="172">
        <f t="shared" si="1"/>
        <v>40</v>
      </c>
      <c r="L20" s="46">
        <f t="shared" si="0"/>
        <v>40</v>
      </c>
      <c r="M20" s="46"/>
    </row>
    <row r="21" spans="1:13" s="49" customFormat="1" ht="14.45" customHeight="1">
      <c r="A21" s="175"/>
      <c r="B21" s="419" t="s">
        <v>440</v>
      </c>
      <c r="C21" s="419"/>
      <c r="D21" s="175">
        <v>1</v>
      </c>
      <c r="E21" s="175">
        <v>2</v>
      </c>
      <c r="F21" s="86"/>
      <c r="G21" s="175">
        <v>34.700000000000003</v>
      </c>
      <c r="H21" s="86"/>
      <c r="I21" s="86"/>
      <c r="J21" s="86"/>
      <c r="K21" s="172">
        <f t="shared" si="1"/>
        <v>69.400000000000006</v>
      </c>
      <c r="L21" s="46">
        <f t="shared" si="0"/>
        <v>69.400000000000006</v>
      </c>
    </row>
    <row r="22" spans="1:13" s="49" customFormat="1" ht="14.45" customHeight="1">
      <c r="A22" s="175"/>
      <c r="B22" s="89"/>
      <c r="C22" s="90"/>
      <c r="D22" s="175"/>
      <c r="E22" s="175"/>
      <c r="F22" s="86"/>
      <c r="G22" s="175"/>
      <c r="H22" s="86"/>
      <c r="I22" s="86"/>
      <c r="J22" s="86"/>
      <c r="K22" s="172">
        <f t="shared" si="1"/>
        <v>0</v>
      </c>
      <c r="L22" s="46">
        <f t="shared" si="0"/>
        <v>0</v>
      </c>
    </row>
    <row r="23" spans="1:13" s="49" customFormat="1" ht="14.45" customHeight="1">
      <c r="A23" s="172"/>
      <c r="B23" s="401" t="s">
        <v>445</v>
      </c>
      <c r="C23" s="402"/>
      <c r="D23" s="172">
        <v>1</v>
      </c>
      <c r="E23" s="172">
        <v>4.3</v>
      </c>
      <c r="F23" s="46"/>
      <c r="G23" s="172">
        <v>3</v>
      </c>
      <c r="H23" s="46"/>
      <c r="I23" s="46"/>
      <c r="J23" s="46"/>
      <c r="K23" s="172">
        <f t="shared" si="1"/>
        <v>12.899999999999999</v>
      </c>
      <c r="L23" s="46">
        <f t="shared" si="0"/>
        <v>12.899999999999999</v>
      </c>
      <c r="M23" s="46"/>
    </row>
    <row r="24" spans="1:13" s="49" customFormat="1" ht="14.45" customHeight="1">
      <c r="A24" s="172"/>
      <c r="B24" s="401" t="s">
        <v>451</v>
      </c>
      <c r="C24" s="402"/>
      <c r="D24" s="172">
        <v>1</v>
      </c>
      <c r="E24" s="172">
        <v>8.6999999999999993</v>
      </c>
      <c r="F24" s="46"/>
      <c r="G24" s="172">
        <v>6</v>
      </c>
      <c r="H24" s="46"/>
      <c r="I24" s="46"/>
      <c r="J24" s="46"/>
      <c r="K24" s="172">
        <f t="shared" si="1"/>
        <v>52.199999999999996</v>
      </c>
      <c r="L24" s="46">
        <f t="shared" si="0"/>
        <v>52.199999999999996</v>
      </c>
      <c r="M24" s="46"/>
    </row>
    <row r="25" spans="1:13" s="49" customFormat="1" ht="14.45" customHeight="1">
      <c r="A25" s="172"/>
      <c r="B25" s="401" t="s">
        <v>456</v>
      </c>
      <c r="C25" s="402"/>
      <c r="D25" s="172">
        <v>1</v>
      </c>
      <c r="E25" s="172">
        <v>7.5</v>
      </c>
      <c r="F25" s="46"/>
      <c r="G25" s="172">
        <v>4</v>
      </c>
      <c r="H25" s="46"/>
      <c r="I25" s="46"/>
      <c r="J25" s="46"/>
      <c r="K25" s="172">
        <f t="shared" si="1"/>
        <v>30</v>
      </c>
      <c r="L25" s="46">
        <f t="shared" si="0"/>
        <v>30</v>
      </c>
      <c r="M25" s="46"/>
    </row>
    <row r="26" spans="1:13" s="49" customFormat="1" ht="14.45" customHeight="1">
      <c r="A26" s="172"/>
      <c r="B26" s="401" t="s">
        <v>444</v>
      </c>
      <c r="C26" s="402"/>
      <c r="D26" s="172">
        <v>1</v>
      </c>
      <c r="E26" s="172">
        <v>14.6</v>
      </c>
      <c r="F26" s="46"/>
      <c r="G26" s="172">
        <v>2.7</v>
      </c>
      <c r="H26" s="46"/>
      <c r="I26" s="46"/>
      <c r="J26" s="46"/>
      <c r="K26" s="172">
        <f t="shared" si="1"/>
        <v>39.42</v>
      </c>
      <c r="L26" s="46">
        <f t="shared" si="0"/>
        <v>39.42</v>
      </c>
      <c r="M26" s="46"/>
    </row>
    <row r="27" spans="1:13" s="49" customFormat="1" ht="14.45" customHeight="1">
      <c r="A27" s="172"/>
      <c r="B27" s="401" t="s">
        <v>443</v>
      </c>
      <c r="C27" s="402"/>
      <c r="D27" s="172">
        <v>1</v>
      </c>
      <c r="E27" s="172">
        <v>6.3</v>
      </c>
      <c r="F27" s="46">
        <v>3.9</v>
      </c>
      <c r="G27" s="172">
        <v>3.9</v>
      </c>
      <c r="H27" s="46">
        <v>1.4</v>
      </c>
      <c r="I27" s="46"/>
      <c r="J27" s="46"/>
      <c r="K27" s="172">
        <f t="shared" si="1"/>
        <v>30.03</v>
      </c>
      <c r="L27" s="46">
        <f t="shared" si="0"/>
        <v>30.03</v>
      </c>
      <c r="M27" s="46"/>
    </row>
    <row r="28" spans="1:13" s="49" customFormat="1" ht="14.45" customHeight="1">
      <c r="A28" s="172"/>
      <c r="B28" s="401" t="s">
        <v>442</v>
      </c>
      <c r="C28" s="402"/>
      <c r="D28" s="172">
        <v>1</v>
      </c>
      <c r="E28" s="172">
        <v>6.3</v>
      </c>
      <c r="F28" s="46"/>
      <c r="G28" s="172">
        <v>3.9</v>
      </c>
      <c r="H28" s="46"/>
      <c r="I28" s="46"/>
      <c r="J28" s="46"/>
      <c r="K28" s="172">
        <f t="shared" si="1"/>
        <v>24.57</v>
      </c>
      <c r="L28" s="46">
        <f t="shared" si="0"/>
        <v>24.57</v>
      </c>
      <c r="M28" s="46"/>
    </row>
    <row r="29" spans="1:13" s="49" customFormat="1" ht="14.45" customHeight="1">
      <c r="A29" s="172"/>
      <c r="B29" s="401" t="s">
        <v>457</v>
      </c>
      <c r="C29" s="402"/>
      <c r="D29" s="172">
        <v>1</v>
      </c>
      <c r="E29" s="172">
        <v>3.2</v>
      </c>
      <c r="F29" s="46"/>
      <c r="G29" s="172">
        <v>3.5</v>
      </c>
      <c r="H29" s="46"/>
      <c r="I29" s="46"/>
      <c r="J29" s="46"/>
      <c r="K29" s="172">
        <f t="shared" si="1"/>
        <v>11.200000000000001</v>
      </c>
      <c r="L29" s="46">
        <f t="shared" si="0"/>
        <v>11.200000000000001</v>
      </c>
      <c r="M29" s="46"/>
    </row>
    <row r="30" spans="1:13" s="49" customFormat="1" ht="14.45" customHeight="1">
      <c r="A30" s="172"/>
      <c r="B30" s="401" t="s">
        <v>458</v>
      </c>
      <c r="C30" s="402"/>
      <c r="D30" s="172">
        <v>1</v>
      </c>
      <c r="E30" s="172">
        <v>5</v>
      </c>
      <c r="F30" s="46"/>
      <c r="G30" s="172">
        <v>4.2</v>
      </c>
      <c r="H30" s="46"/>
      <c r="I30" s="46"/>
      <c r="J30" s="46"/>
      <c r="K30" s="172">
        <f t="shared" si="1"/>
        <v>21</v>
      </c>
      <c r="L30" s="46">
        <f t="shared" si="0"/>
        <v>21</v>
      </c>
      <c r="M30" s="46"/>
    </row>
    <row r="31" spans="1:13" s="49" customFormat="1" ht="14.45" customHeight="1">
      <c r="A31" s="172"/>
      <c r="B31" s="401" t="s">
        <v>447</v>
      </c>
      <c r="C31" s="402"/>
      <c r="D31" s="172">
        <v>1</v>
      </c>
      <c r="E31" s="172">
        <v>3.5</v>
      </c>
      <c r="F31" s="46">
        <v>1.5</v>
      </c>
      <c r="G31" s="172">
        <v>3</v>
      </c>
      <c r="H31" s="46">
        <v>1.6</v>
      </c>
      <c r="I31" s="46"/>
      <c r="J31" s="46"/>
      <c r="K31" s="172">
        <f t="shared" si="1"/>
        <v>12.9</v>
      </c>
      <c r="L31" s="46">
        <f t="shared" si="0"/>
        <v>12.9</v>
      </c>
      <c r="M31" s="46"/>
    </row>
    <row r="32" spans="1:13" s="49" customFormat="1" ht="14.45" customHeight="1">
      <c r="A32" s="172"/>
      <c r="B32" s="401" t="s">
        <v>453</v>
      </c>
      <c r="C32" s="402"/>
      <c r="D32" s="172">
        <v>1</v>
      </c>
      <c r="E32" s="172">
        <v>4.2</v>
      </c>
      <c r="F32" s="46"/>
      <c r="G32" s="172">
        <v>3.1</v>
      </c>
      <c r="H32" s="46"/>
      <c r="I32" s="46"/>
      <c r="J32" s="46"/>
      <c r="K32" s="172">
        <f t="shared" si="1"/>
        <v>13.020000000000001</v>
      </c>
      <c r="L32" s="46">
        <f t="shared" si="0"/>
        <v>13.020000000000001</v>
      </c>
      <c r="M32" s="46"/>
    </row>
    <row r="33" spans="1:13" s="49" customFormat="1" ht="14.45" customHeight="1">
      <c r="A33" s="172"/>
      <c r="B33" s="401" t="s">
        <v>459</v>
      </c>
      <c r="C33" s="402"/>
      <c r="D33" s="172">
        <v>1</v>
      </c>
      <c r="E33" s="172">
        <v>7</v>
      </c>
      <c r="F33" s="46"/>
      <c r="G33" s="172">
        <v>4.5999999999999996</v>
      </c>
      <c r="H33" s="46"/>
      <c r="I33" s="46"/>
      <c r="J33" s="46"/>
      <c r="K33" s="172">
        <f t="shared" si="1"/>
        <v>32.199999999999996</v>
      </c>
      <c r="L33" s="46">
        <f t="shared" si="0"/>
        <v>32.199999999999996</v>
      </c>
      <c r="M33" s="46"/>
    </row>
    <row r="34" spans="1:13" s="49" customFormat="1" ht="14.45" customHeight="1">
      <c r="A34" s="172"/>
      <c r="B34" s="401" t="s">
        <v>460</v>
      </c>
      <c r="C34" s="402"/>
      <c r="D34" s="172">
        <v>1</v>
      </c>
      <c r="E34" s="172">
        <v>3.7</v>
      </c>
      <c r="F34" s="46"/>
      <c r="G34" s="172">
        <v>4.2</v>
      </c>
      <c r="H34" s="46"/>
      <c r="I34" s="46"/>
      <c r="J34" s="46"/>
      <c r="K34" s="172">
        <f t="shared" si="1"/>
        <v>15.540000000000001</v>
      </c>
      <c r="L34" s="46">
        <f t="shared" si="0"/>
        <v>15.540000000000001</v>
      </c>
      <c r="M34" s="46"/>
    </row>
    <row r="35" spans="1:13" s="49" customFormat="1" ht="14.45" customHeight="1">
      <c r="A35" s="172"/>
      <c r="B35" s="401" t="s">
        <v>449</v>
      </c>
      <c r="C35" s="402"/>
      <c r="D35" s="172">
        <v>1</v>
      </c>
      <c r="E35" s="172">
        <v>34.700000000000003</v>
      </c>
      <c r="F35" s="46"/>
      <c r="G35" s="172">
        <v>1.9</v>
      </c>
      <c r="H35" s="46"/>
      <c r="I35" s="46"/>
      <c r="J35" s="46"/>
      <c r="K35" s="172">
        <f t="shared" si="1"/>
        <v>65.930000000000007</v>
      </c>
      <c r="L35" s="46">
        <f t="shared" si="0"/>
        <v>65.930000000000007</v>
      </c>
      <c r="M35" s="46"/>
    </row>
    <row r="36" spans="1:13" s="49" customFormat="1" ht="14.45" customHeight="1">
      <c r="A36" s="172"/>
      <c r="B36" s="401" t="s">
        <v>462</v>
      </c>
      <c r="C36" s="402"/>
      <c r="D36" s="172">
        <v>1</v>
      </c>
      <c r="E36" s="172">
        <v>3.5</v>
      </c>
      <c r="F36" s="46"/>
      <c r="G36" s="172">
        <v>2.7</v>
      </c>
      <c r="H36" s="46"/>
      <c r="I36" s="46"/>
      <c r="J36" s="46"/>
      <c r="K36" s="172">
        <f t="shared" si="1"/>
        <v>9.4500000000000011</v>
      </c>
      <c r="L36" s="46">
        <f t="shared" si="0"/>
        <v>9.4500000000000011</v>
      </c>
      <c r="M36" s="46"/>
    </row>
    <row r="37" spans="1:13" s="49" customFormat="1" ht="14.45" customHeight="1">
      <c r="A37" s="172"/>
      <c r="B37" s="401" t="s">
        <v>448</v>
      </c>
      <c r="C37" s="402"/>
      <c r="D37" s="172">
        <v>1</v>
      </c>
      <c r="E37" s="172">
        <v>3.4</v>
      </c>
      <c r="F37" s="46">
        <v>2.2000000000000002</v>
      </c>
      <c r="G37" s="172">
        <v>3.1</v>
      </c>
      <c r="H37" s="46">
        <v>1</v>
      </c>
      <c r="I37" s="46"/>
      <c r="J37" s="46"/>
      <c r="K37" s="172">
        <f t="shared" si="1"/>
        <v>12.739999999999998</v>
      </c>
      <c r="L37" s="46">
        <f t="shared" si="0"/>
        <v>12.739999999999998</v>
      </c>
      <c r="M37" s="46"/>
    </row>
    <row r="38" spans="1:13" s="49" customFormat="1" ht="14.45" customHeight="1">
      <c r="A38" s="172"/>
      <c r="B38" s="401" t="s">
        <v>452</v>
      </c>
      <c r="C38" s="402"/>
      <c r="D38" s="172">
        <v>1</v>
      </c>
      <c r="E38" s="172">
        <v>2.2000000000000002</v>
      </c>
      <c r="F38" s="46"/>
      <c r="G38" s="172">
        <v>1</v>
      </c>
      <c r="H38" s="46"/>
      <c r="I38" s="46"/>
      <c r="J38" s="46"/>
      <c r="K38" s="172">
        <f t="shared" si="1"/>
        <v>2.2000000000000002</v>
      </c>
      <c r="L38" s="46">
        <f t="shared" si="0"/>
        <v>2.2000000000000002</v>
      </c>
      <c r="M38" s="46"/>
    </row>
    <row r="39" spans="1:13" s="49" customFormat="1" ht="14.45" customHeight="1">
      <c r="A39" s="172"/>
      <c r="B39" s="401" t="s">
        <v>452</v>
      </c>
      <c r="C39" s="402"/>
      <c r="D39" s="172">
        <v>1</v>
      </c>
      <c r="E39" s="172">
        <v>5.9</v>
      </c>
      <c r="F39" s="46"/>
      <c r="G39" s="172">
        <v>4.5</v>
      </c>
      <c r="H39" s="46"/>
      <c r="I39" s="46"/>
      <c r="J39" s="46"/>
      <c r="K39" s="172">
        <f t="shared" si="1"/>
        <v>26.55</v>
      </c>
      <c r="L39" s="46">
        <f t="shared" si="0"/>
        <v>26.55</v>
      </c>
      <c r="M39" s="46"/>
    </row>
    <row r="40" spans="1:13" s="49" customFormat="1" ht="14.45" customHeight="1">
      <c r="A40" s="172"/>
      <c r="B40" s="401" t="s">
        <v>438</v>
      </c>
      <c r="C40" s="402"/>
      <c r="D40" s="172">
        <v>1</v>
      </c>
      <c r="E40" s="172">
        <v>15</v>
      </c>
      <c r="F40" s="46"/>
      <c r="G40" s="172">
        <v>6.6</v>
      </c>
      <c r="H40" s="46"/>
      <c r="I40" s="46"/>
      <c r="J40" s="46"/>
      <c r="K40" s="172">
        <f t="shared" si="1"/>
        <v>99</v>
      </c>
      <c r="L40" s="46">
        <f t="shared" si="0"/>
        <v>99</v>
      </c>
      <c r="M40" s="46"/>
    </row>
    <row r="41" spans="1:13" s="49" customFormat="1" ht="14.45" customHeight="1">
      <c r="A41" s="172"/>
      <c r="B41" s="170"/>
      <c r="C41" s="171"/>
      <c r="D41" s="172"/>
      <c r="E41" s="172"/>
      <c r="F41" s="46"/>
      <c r="G41" s="172"/>
      <c r="H41" s="46"/>
      <c r="I41" s="46"/>
      <c r="J41" s="46"/>
      <c r="K41" s="172"/>
      <c r="L41" s="46"/>
      <c r="M41" s="46"/>
    </row>
    <row r="42" spans="1:13" ht="15" customHeight="1">
      <c r="D42" s="51"/>
      <c r="E42" s="51"/>
      <c r="F42" s="51"/>
      <c r="G42" s="51"/>
      <c r="H42" s="51"/>
      <c r="I42" s="51"/>
      <c r="J42" s="51"/>
      <c r="K42" s="51"/>
      <c r="L42" s="51"/>
    </row>
    <row r="43" spans="1:13" ht="15.75" thickBot="1"/>
    <row r="44" spans="1:13">
      <c r="A44" s="93" t="e">
        <f>#REF!</f>
        <v>#REF!</v>
      </c>
      <c r="B44" s="407" t="e">
        <f>#REF!</f>
        <v>#REF!</v>
      </c>
      <c r="C44" s="408"/>
      <c r="D44" s="408"/>
      <c r="E44" s="408"/>
      <c r="F44" s="408"/>
      <c r="G44" s="408"/>
      <c r="H44" s="408"/>
      <c r="I44" s="408"/>
      <c r="J44" s="408"/>
      <c r="K44" s="408"/>
      <c r="L44" s="43"/>
      <c r="M44" s="94"/>
    </row>
    <row r="45" spans="1:13" ht="25.15" customHeight="1" thickBot="1">
      <c r="I45" s="48"/>
    </row>
    <row r="46" spans="1:13" ht="24.6" customHeight="1">
      <c r="A46" s="93" t="e">
        <f>#REF!</f>
        <v>#REF!</v>
      </c>
      <c r="B46" s="417" t="e">
        <f>#REF!</f>
        <v>#REF!</v>
      </c>
      <c r="C46" s="418"/>
      <c r="D46" s="418"/>
      <c r="E46" s="418"/>
      <c r="F46" s="418"/>
      <c r="G46" s="418"/>
      <c r="H46" s="418"/>
      <c r="I46" s="418"/>
      <c r="J46" s="418"/>
      <c r="K46" s="418"/>
      <c r="L46" s="43"/>
      <c r="M46" s="94"/>
    </row>
    <row r="47" spans="1:13">
      <c r="A47" s="74"/>
      <c r="B47" s="55"/>
      <c r="C47" s="55"/>
      <c r="D47" s="55"/>
      <c r="E47" s="55"/>
      <c r="F47" s="55"/>
      <c r="G47" s="177"/>
      <c r="H47" s="55"/>
      <c r="I47" s="55"/>
      <c r="J47" s="55"/>
      <c r="K47" s="73" t="s">
        <v>480</v>
      </c>
      <c r="L47" s="71">
        <f>SUM(L48:L51)</f>
        <v>150.02999999999997</v>
      </c>
    </row>
    <row r="48" spans="1:13">
      <c r="A48" s="74"/>
      <c r="B48" s="416" t="s">
        <v>481</v>
      </c>
      <c r="C48" s="416"/>
      <c r="D48" s="174">
        <v>1</v>
      </c>
      <c r="E48" s="174">
        <v>8.6</v>
      </c>
      <c r="F48" s="174"/>
      <c r="G48" s="174">
        <v>13.2</v>
      </c>
      <c r="H48" s="174"/>
      <c r="I48" s="174"/>
      <c r="J48" s="174"/>
      <c r="K48" s="174">
        <f>E48*G48</f>
        <v>113.52</v>
      </c>
      <c r="L48" s="174">
        <f>K48*D48</f>
        <v>113.52</v>
      </c>
    </row>
    <row r="49" spans="1:13">
      <c r="A49" s="74"/>
      <c r="B49" s="416" t="s">
        <v>471</v>
      </c>
      <c r="C49" s="416"/>
      <c r="D49" s="174">
        <v>1</v>
      </c>
      <c r="E49" s="174">
        <v>1.6</v>
      </c>
      <c r="F49" s="174"/>
      <c r="G49" s="174">
        <v>2.2000000000000002</v>
      </c>
      <c r="H49" s="174"/>
      <c r="I49" s="174"/>
      <c r="J49" s="174"/>
      <c r="K49" s="174">
        <f>E49*G49</f>
        <v>3.5200000000000005</v>
      </c>
      <c r="L49" s="174">
        <f>K49*D49</f>
        <v>3.5200000000000005</v>
      </c>
    </row>
    <row r="50" spans="1:13">
      <c r="A50" s="74"/>
      <c r="B50" s="416" t="s">
        <v>482</v>
      </c>
      <c r="C50" s="416"/>
      <c r="D50" s="174">
        <v>1</v>
      </c>
      <c r="E50" s="174">
        <v>4.4000000000000004</v>
      </c>
      <c r="F50" s="174"/>
      <c r="G50" s="174">
        <v>2.8</v>
      </c>
      <c r="H50" s="174"/>
      <c r="I50" s="174"/>
      <c r="J50" s="174"/>
      <c r="K50" s="174">
        <f>E50*G50</f>
        <v>12.32</v>
      </c>
      <c r="L50" s="174">
        <f>K50*D50</f>
        <v>12.32</v>
      </c>
    </row>
    <row r="51" spans="1:13">
      <c r="A51" s="74"/>
      <c r="B51" s="416" t="s">
        <v>483</v>
      </c>
      <c r="C51" s="416"/>
      <c r="D51" s="174">
        <v>1</v>
      </c>
      <c r="E51" s="174">
        <v>5.3</v>
      </c>
      <c r="F51" s="55"/>
      <c r="G51" s="174">
        <v>3.9</v>
      </c>
      <c r="H51" s="55"/>
      <c r="I51" s="55"/>
      <c r="J51" s="55"/>
      <c r="K51" s="174">
        <f>E51*G51</f>
        <v>20.669999999999998</v>
      </c>
      <c r="L51" s="174">
        <f>K51*D51</f>
        <v>20.669999999999998</v>
      </c>
    </row>
    <row r="52" spans="1:13" ht="15.75" thickBot="1">
      <c r="A52" s="100"/>
      <c r="B52" s="101"/>
      <c r="C52" s="101"/>
      <c r="D52" s="101"/>
      <c r="E52" s="101"/>
      <c r="F52" s="101"/>
      <c r="G52" s="102"/>
      <c r="H52" s="101"/>
      <c r="I52" s="101"/>
      <c r="J52" s="101"/>
      <c r="K52" s="101"/>
      <c r="L52" s="101"/>
    </row>
    <row r="53" spans="1:13" ht="21.6" customHeight="1">
      <c r="A53" s="93" t="s">
        <v>58</v>
      </c>
      <c r="B53" s="417" t="e">
        <f>#REF!</f>
        <v>#REF!</v>
      </c>
      <c r="C53" s="418"/>
      <c r="D53" s="418"/>
      <c r="E53" s="418"/>
      <c r="F53" s="418"/>
      <c r="G53" s="418"/>
      <c r="H53" s="418"/>
      <c r="I53" s="418"/>
      <c r="J53" s="418"/>
      <c r="K53" s="418"/>
      <c r="L53" s="43"/>
      <c r="M53" s="94"/>
    </row>
    <row r="54" spans="1:13">
      <c r="A54" s="74"/>
      <c r="B54" s="55"/>
      <c r="C54" s="55"/>
      <c r="D54" s="55"/>
      <c r="E54" s="55"/>
      <c r="F54" s="55"/>
      <c r="G54" s="177"/>
      <c r="H54" s="55"/>
      <c r="I54" s="55"/>
      <c r="J54" s="55"/>
      <c r="K54" s="73" t="s">
        <v>480</v>
      </c>
      <c r="L54" s="71">
        <f>SUM(L55:L58)</f>
        <v>150.02999999999997</v>
      </c>
    </row>
    <row r="55" spans="1:13">
      <c r="A55" s="74"/>
      <c r="B55" s="416" t="s">
        <v>481</v>
      </c>
      <c r="C55" s="416"/>
      <c r="D55" s="174">
        <v>1</v>
      </c>
      <c r="E55" s="174">
        <v>8.6</v>
      </c>
      <c r="F55" s="174"/>
      <c r="G55" s="174">
        <v>13.2</v>
      </c>
      <c r="H55" s="174"/>
      <c r="I55" s="174"/>
      <c r="J55" s="174"/>
      <c r="K55" s="174">
        <f>E55*G55</f>
        <v>113.52</v>
      </c>
      <c r="L55" s="174">
        <f>K55*D55</f>
        <v>113.52</v>
      </c>
    </row>
    <row r="56" spans="1:13">
      <c r="A56" s="74"/>
      <c r="B56" s="416" t="s">
        <v>471</v>
      </c>
      <c r="C56" s="416"/>
      <c r="D56" s="174">
        <v>1</v>
      </c>
      <c r="E56" s="174">
        <v>1.6</v>
      </c>
      <c r="F56" s="174"/>
      <c r="G56" s="174">
        <v>2.2000000000000002</v>
      </c>
      <c r="H56" s="174"/>
      <c r="I56" s="174"/>
      <c r="J56" s="174"/>
      <c r="K56" s="174">
        <f>E56*G56</f>
        <v>3.5200000000000005</v>
      </c>
      <c r="L56" s="174">
        <f>K56*D56</f>
        <v>3.5200000000000005</v>
      </c>
    </row>
    <row r="57" spans="1:13">
      <c r="A57" s="74"/>
      <c r="B57" s="416" t="s">
        <v>482</v>
      </c>
      <c r="C57" s="416"/>
      <c r="D57" s="174">
        <v>1</v>
      </c>
      <c r="E57" s="174">
        <v>4.4000000000000004</v>
      </c>
      <c r="F57" s="174"/>
      <c r="G57" s="174">
        <v>2.8</v>
      </c>
      <c r="H57" s="174"/>
      <c r="I57" s="174"/>
      <c r="J57" s="174"/>
      <c r="K57" s="174">
        <f>E57*G57</f>
        <v>12.32</v>
      </c>
      <c r="L57" s="174">
        <f>K57*D57</f>
        <v>12.32</v>
      </c>
    </row>
    <row r="58" spans="1:13">
      <c r="A58" s="74"/>
      <c r="B58" s="416" t="s">
        <v>483</v>
      </c>
      <c r="C58" s="416"/>
      <c r="D58" s="174">
        <v>1</v>
      </c>
      <c r="E58" s="174">
        <v>5.3</v>
      </c>
      <c r="F58" s="55"/>
      <c r="G58" s="174">
        <v>3.9</v>
      </c>
      <c r="H58" s="55"/>
      <c r="I58" s="55"/>
      <c r="J58" s="55"/>
      <c r="K58" s="174">
        <f>E58*G58</f>
        <v>20.669999999999998</v>
      </c>
      <c r="L58" s="174">
        <f>K58*D58</f>
        <v>20.669999999999998</v>
      </c>
    </row>
    <row r="59" spans="1:13">
      <c r="A59" s="100"/>
      <c r="B59" s="101"/>
      <c r="C59" s="101"/>
      <c r="D59" s="101"/>
      <c r="E59" s="101"/>
      <c r="F59" s="101"/>
      <c r="G59" s="102"/>
      <c r="H59" s="101"/>
      <c r="I59" s="101"/>
      <c r="J59" s="101"/>
      <c r="K59" s="101"/>
      <c r="L59" s="101"/>
    </row>
    <row r="60" spans="1:13" ht="14.45" customHeight="1" thickBot="1"/>
    <row r="61" spans="1:13" ht="15.75" thickBot="1">
      <c r="A61" s="93" t="e">
        <f>#REF!</f>
        <v>#REF!</v>
      </c>
      <c r="B61" s="407" t="e">
        <f>#REF!</f>
        <v>#REF!</v>
      </c>
      <c r="C61" s="408"/>
      <c r="D61" s="408"/>
      <c r="E61" s="408"/>
      <c r="F61" s="408"/>
      <c r="G61" s="408"/>
      <c r="H61" s="408"/>
      <c r="I61" s="408"/>
      <c r="J61" s="408"/>
      <c r="K61" s="408"/>
      <c r="L61" s="43"/>
      <c r="M61" s="94"/>
    </row>
    <row r="62" spans="1:13" ht="21.6" customHeight="1" thickBot="1">
      <c r="A62" s="83" t="e">
        <f>#REF!</f>
        <v>#REF!</v>
      </c>
      <c r="B62" s="409" t="e">
        <f>#REF!</f>
        <v>#REF!</v>
      </c>
      <c r="C62" s="410"/>
      <c r="D62" s="410"/>
      <c r="E62" s="410"/>
      <c r="F62" s="410"/>
      <c r="G62" s="410"/>
      <c r="H62" s="410"/>
      <c r="I62" s="410"/>
      <c r="J62" s="410"/>
      <c r="K62" s="410"/>
      <c r="L62" s="62"/>
      <c r="M62" s="44"/>
    </row>
    <row r="63" spans="1:13">
      <c r="L63" s="52"/>
    </row>
    <row r="64" spans="1:13">
      <c r="B64" s="172"/>
      <c r="C64" s="172"/>
      <c r="D64" s="172"/>
      <c r="E64" s="172"/>
      <c r="F64" s="46" t="s">
        <v>463</v>
      </c>
      <c r="G64" s="172"/>
      <c r="H64" s="46" t="s">
        <v>463</v>
      </c>
      <c r="I64" s="172"/>
      <c r="J64" s="172"/>
      <c r="K64" s="54" t="s">
        <v>454</v>
      </c>
      <c r="L64" s="76">
        <f>SUM(L67:L91)</f>
        <v>736.73</v>
      </c>
    </row>
    <row r="65" spans="2:12">
      <c r="B65" s="172"/>
      <c r="C65" s="172"/>
      <c r="D65" s="172"/>
      <c r="E65" s="172"/>
      <c r="F65" s="46"/>
      <c r="G65" s="172"/>
      <c r="H65" s="46"/>
      <c r="I65" s="172"/>
      <c r="J65" s="172"/>
      <c r="K65" s="54" t="s">
        <v>455</v>
      </c>
      <c r="L65" s="76">
        <v>231.18</v>
      </c>
    </row>
    <row r="66" spans="2:12">
      <c r="B66" s="172"/>
      <c r="C66" s="172"/>
      <c r="D66" s="172"/>
      <c r="E66" s="172"/>
      <c r="F66" s="46"/>
      <c r="G66" s="172"/>
      <c r="H66" s="46"/>
      <c r="I66" s="172"/>
      <c r="J66" s="172"/>
      <c r="K66" s="54" t="s">
        <v>480</v>
      </c>
      <c r="L66" s="76">
        <f>L64-L65</f>
        <v>505.55</v>
      </c>
    </row>
    <row r="67" spans="2:12">
      <c r="B67" s="406" t="s">
        <v>435</v>
      </c>
      <c r="C67" s="406"/>
      <c r="D67" s="172">
        <v>1</v>
      </c>
      <c r="E67" s="172">
        <v>5.2</v>
      </c>
      <c r="F67" s="172"/>
      <c r="G67" s="172">
        <v>5.6</v>
      </c>
      <c r="H67" s="172"/>
      <c r="I67" s="172"/>
      <c r="J67" s="172"/>
      <c r="K67" s="172">
        <f>(E67*G67)+(F67*H67)</f>
        <v>29.119999999999997</v>
      </c>
      <c r="L67" s="46">
        <f t="shared" ref="L67:L91" si="2">K67*D67</f>
        <v>29.119999999999997</v>
      </c>
    </row>
    <row r="68" spans="2:12">
      <c r="B68" s="406" t="s">
        <v>436</v>
      </c>
      <c r="C68" s="406"/>
      <c r="D68" s="172">
        <v>1</v>
      </c>
      <c r="E68" s="172">
        <v>5.2</v>
      </c>
      <c r="F68" s="172"/>
      <c r="G68" s="172">
        <v>5.6</v>
      </c>
      <c r="H68" s="172"/>
      <c r="I68" s="172"/>
      <c r="J68" s="172"/>
      <c r="K68" s="172">
        <f t="shared" ref="K68:K91" si="3">(E68*G68)+(F68*H68)</f>
        <v>29.119999999999997</v>
      </c>
      <c r="L68" s="46">
        <f t="shared" si="2"/>
        <v>29.119999999999997</v>
      </c>
    </row>
    <row r="69" spans="2:12">
      <c r="B69" s="406" t="s">
        <v>437</v>
      </c>
      <c r="C69" s="406"/>
      <c r="D69" s="172">
        <v>1</v>
      </c>
      <c r="E69" s="172">
        <v>5.2</v>
      </c>
      <c r="F69" s="172"/>
      <c r="G69" s="172">
        <v>5.6</v>
      </c>
      <c r="H69" s="172"/>
      <c r="I69" s="172"/>
      <c r="J69" s="172"/>
      <c r="K69" s="172">
        <f t="shared" si="3"/>
        <v>29.119999999999997</v>
      </c>
      <c r="L69" s="46">
        <f t="shared" si="2"/>
        <v>29.119999999999997</v>
      </c>
    </row>
    <row r="70" spans="2:12">
      <c r="B70" s="406" t="s">
        <v>437</v>
      </c>
      <c r="C70" s="406"/>
      <c r="D70" s="172">
        <v>1</v>
      </c>
      <c r="E70" s="172">
        <v>5.2</v>
      </c>
      <c r="F70" s="172"/>
      <c r="G70" s="172">
        <v>5.6</v>
      </c>
      <c r="H70" s="172"/>
      <c r="I70" s="172"/>
      <c r="J70" s="172"/>
      <c r="K70" s="172">
        <f t="shared" si="3"/>
        <v>29.119999999999997</v>
      </c>
      <c r="L70" s="46">
        <f t="shared" si="2"/>
        <v>29.119999999999997</v>
      </c>
    </row>
    <row r="71" spans="2:12">
      <c r="B71" s="406" t="s">
        <v>461</v>
      </c>
      <c r="C71" s="406"/>
      <c r="D71" s="172">
        <v>1</v>
      </c>
      <c r="E71" s="172">
        <v>2</v>
      </c>
      <c r="F71" s="172"/>
      <c r="G71" s="172">
        <v>20</v>
      </c>
      <c r="H71" s="172"/>
      <c r="I71" s="172"/>
      <c r="J71" s="172"/>
      <c r="K71" s="172">
        <f t="shared" si="3"/>
        <v>40</v>
      </c>
      <c r="L71" s="46">
        <f t="shared" si="2"/>
        <v>40</v>
      </c>
    </row>
    <row r="72" spans="2:12">
      <c r="B72" s="419" t="s">
        <v>440</v>
      </c>
      <c r="C72" s="419"/>
      <c r="D72" s="175">
        <v>1</v>
      </c>
      <c r="E72" s="175">
        <v>2</v>
      </c>
      <c r="F72" s="86"/>
      <c r="G72" s="175">
        <v>34.700000000000003</v>
      </c>
      <c r="H72" s="86"/>
      <c r="I72" s="86"/>
      <c r="J72" s="86"/>
      <c r="K72" s="172">
        <f t="shared" si="3"/>
        <v>69.400000000000006</v>
      </c>
      <c r="L72" s="46">
        <f t="shared" si="2"/>
        <v>69.400000000000006</v>
      </c>
    </row>
    <row r="73" spans="2:12">
      <c r="B73" s="89"/>
      <c r="C73" s="90"/>
      <c r="D73" s="175"/>
      <c r="E73" s="175"/>
      <c r="F73" s="86"/>
      <c r="G73" s="175"/>
      <c r="H73" s="86"/>
      <c r="I73" s="86"/>
      <c r="J73" s="86"/>
      <c r="K73" s="172">
        <f t="shared" si="3"/>
        <v>0</v>
      </c>
      <c r="L73" s="46">
        <f t="shared" si="2"/>
        <v>0</v>
      </c>
    </row>
    <row r="74" spans="2:12">
      <c r="B74" s="401" t="s">
        <v>445</v>
      </c>
      <c r="C74" s="402"/>
      <c r="D74" s="172">
        <v>1</v>
      </c>
      <c r="E74" s="172">
        <v>4.3</v>
      </c>
      <c r="F74" s="46"/>
      <c r="G74" s="172">
        <v>3</v>
      </c>
      <c r="H74" s="46"/>
      <c r="I74" s="46"/>
      <c r="J74" s="46"/>
      <c r="K74" s="172">
        <f t="shared" si="3"/>
        <v>12.899999999999999</v>
      </c>
      <c r="L74" s="46">
        <f t="shared" si="2"/>
        <v>12.899999999999999</v>
      </c>
    </row>
    <row r="75" spans="2:12">
      <c r="B75" s="401" t="s">
        <v>451</v>
      </c>
      <c r="C75" s="402"/>
      <c r="D75" s="172">
        <v>1</v>
      </c>
      <c r="E75" s="172">
        <v>8.6999999999999993</v>
      </c>
      <c r="F75" s="46"/>
      <c r="G75" s="172">
        <v>6</v>
      </c>
      <c r="H75" s="46"/>
      <c r="I75" s="46"/>
      <c r="J75" s="46"/>
      <c r="K75" s="172">
        <f t="shared" si="3"/>
        <v>52.199999999999996</v>
      </c>
      <c r="L75" s="46">
        <f t="shared" si="2"/>
        <v>52.199999999999996</v>
      </c>
    </row>
    <row r="76" spans="2:12">
      <c r="B76" s="401" t="s">
        <v>456</v>
      </c>
      <c r="C76" s="402"/>
      <c r="D76" s="172">
        <v>1</v>
      </c>
      <c r="E76" s="172">
        <v>7.5</v>
      </c>
      <c r="F76" s="46"/>
      <c r="G76" s="172">
        <v>4</v>
      </c>
      <c r="H76" s="46"/>
      <c r="I76" s="46"/>
      <c r="J76" s="46"/>
      <c r="K76" s="172">
        <f t="shared" si="3"/>
        <v>30</v>
      </c>
      <c r="L76" s="46">
        <f t="shared" si="2"/>
        <v>30</v>
      </c>
    </row>
    <row r="77" spans="2:12">
      <c r="B77" s="401" t="s">
        <v>444</v>
      </c>
      <c r="C77" s="402"/>
      <c r="D77" s="172">
        <v>1</v>
      </c>
      <c r="E77" s="172">
        <v>14.6</v>
      </c>
      <c r="F77" s="46"/>
      <c r="G77" s="172">
        <v>2.7</v>
      </c>
      <c r="H77" s="46"/>
      <c r="I77" s="46"/>
      <c r="J77" s="46"/>
      <c r="K77" s="172">
        <f t="shared" si="3"/>
        <v>39.42</v>
      </c>
      <c r="L77" s="46">
        <f t="shared" si="2"/>
        <v>39.42</v>
      </c>
    </row>
    <row r="78" spans="2:12">
      <c r="B78" s="401" t="s">
        <v>443</v>
      </c>
      <c r="C78" s="402"/>
      <c r="D78" s="172">
        <v>1</v>
      </c>
      <c r="E78" s="172">
        <v>6.3</v>
      </c>
      <c r="F78" s="46">
        <v>3.9</v>
      </c>
      <c r="G78" s="172">
        <v>3.9</v>
      </c>
      <c r="H78" s="46">
        <v>1.4</v>
      </c>
      <c r="I78" s="46"/>
      <c r="J78" s="46"/>
      <c r="K78" s="172">
        <f t="shared" si="3"/>
        <v>30.03</v>
      </c>
      <c r="L78" s="46">
        <f t="shared" si="2"/>
        <v>30.03</v>
      </c>
    </row>
    <row r="79" spans="2:12">
      <c r="B79" s="401" t="s">
        <v>442</v>
      </c>
      <c r="C79" s="402"/>
      <c r="D79" s="172">
        <v>1</v>
      </c>
      <c r="E79" s="172">
        <v>6.3</v>
      </c>
      <c r="F79" s="46"/>
      <c r="G79" s="172">
        <v>3.9</v>
      </c>
      <c r="H79" s="46"/>
      <c r="I79" s="46"/>
      <c r="J79" s="46"/>
      <c r="K79" s="172">
        <f t="shared" si="3"/>
        <v>24.57</v>
      </c>
      <c r="L79" s="46">
        <f t="shared" si="2"/>
        <v>24.57</v>
      </c>
    </row>
    <row r="80" spans="2:12">
      <c r="B80" s="401" t="s">
        <v>457</v>
      </c>
      <c r="C80" s="402"/>
      <c r="D80" s="172">
        <v>1</v>
      </c>
      <c r="E80" s="172">
        <v>3.2</v>
      </c>
      <c r="F80" s="46"/>
      <c r="G80" s="172">
        <v>3.5</v>
      </c>
      <c r="H80" s="46"/>
      <c r="I80" s="46"/>
      <c r="J80" s="46"/>
      <c r="K80" s="172">
        <f t="shared" si="3"/>
        <v>11.200000000000001</v>
      </c>
      <c r="L80" s="46">
        <f t="shared" si="2"/>
        <v>11.200000000000001</v>
      </c>
    </row>
    <row r="81" spans="1:13">
      <c r="B81" s="401" t="s">
        <v>458</v>
      </c>
      <c r="C81" s="402"/>
      <c r="D81" s="172">
        <v>1</v>
      </c>
      <c r="E81" s="172">
        <v>5</v>
      </c>
      <c r="F81" s="46"/>
      <c r="G81" s="172">
        <v>4.2</v>
      </c>
      <c r="H81" s="46"/>
      <c r="I81" s="46"/>
      <c r="J81" s="46"/>
      <c r="K81" s="172">
        <f t="shared" si="3"/>
        <v>21</v>
      </c>
      <c r="L81" s="46">
        <f t="shared" si="2"/>
        <v>21</v>
      </c>
    </row>
    <row r="82" spans="1:13">
      <c r="B82" s="401" t="s">
        <v>447</v>
      </c>
      <c r="C82" s="402"/>
      <c r="D82" s="172">
        <v>1</v>
      </c>
      <c r="E82" s="172">
        <v>3.5</v>
      </c>
      <c r="F82" s="46">
        <v>1.5</v>
      </c>
      <c r="G82" s="172">
        <v>3</v>
      </c>
      <c r="H82" s="46">
        <v>1.6</v>
      </c>
      <c r="I82" s="46"/>
      <c r="J82" s="46"/>
      <c r="K82" s="172">
        <f t="shared" si="3"/>
        <v>12.9</v>
      </c>
      <c r="L82" s="46">
        <f t="shared" si="2"/>
        <v>12.9</v>
      </c>
    </row>
    <row r="83" spans="1:13">
      <c r="B83" s="401" t="s">
        <v>453</v>
      </c>
      <c r="C83" s="402"/>
      <c r="D83" s="172">
        <v>1</v>
      </c>
      <c r="E83" s="172">
        <v>4.2</v>
      </c>
      <c r="F83" s="46"/>
      <c r="G83" s="172">
        <v>3.1</v>
      </c>
      <c r="H83" s="46"/>
      <c r="I83" s="46"/>
      <c r="J83" s="46"/>
      <c r="K83" s="172">
        <f t="shared" si="3"/>
        <v>13.020000000000001</v>
      </c>
      <c r="L83" s="46">
        <f t="shared" si="2"/>
        <v>13.020000000000001</v>
      </c>
    </row>
    <row r="84" spans="1:13">
      <c r="B84" s="401" t="s">
        <v>459</v>
      </c>
      <c r="C84" s="402"/>
      <c r="D84" s="172">
        <v>1</v>
      </c>
      <c r="E84" s="172">
        <v>7</v>
      </c>
      <c r="F84" s="46"/>
      <c r="G84" s="172">
        <v>4.5999999999999996</v>
      </c>
      <c r="H84" s="46"/>
      <c r="I84" s="46"/>
      <c r="J84" s="46"/>
      <c r="K84" s="172">
        <f t="shared" si="3"/>
        <v>32.199999999999996</v>
      </c>
      <c r="L84" s="46">
        <f t="shared" si="2"/>
        <v>32.199999999999996</v>
      </c>
    </row>
    <row r="85" spans="1:13">
      <c r="B85" s="401" t="s">
        <v>460</v>
      </c>
      <c r="C85" s="402"/>
      <c r="D85" s="172">
        <v>1</v>
      </c>
      <c r="E85" s="172">
        <v>3.7</v>
      </c>
      <c r="F85" s="46"/>
      <c r="G85" s="172">
        <v>4.2</v>
      </c>
      <c r="H85" s="46"/>
      <c r="I85" s="46"/>
      <c r="J85" s="46"/>
      <c r="K85" s="172">
        <f t="shared" si="3"/>
        <v>15.540000000000001</v>
      </c>
      <c r="L85" s="46">
        <f t="shared" si="2"/>
        <v>15.540000000000001</v>
      </c>
    </row>
    <row r="86" spans="1:13">
      <c r="B86" s="401" t="s">
        <v>449</v>
      </c>
      <c r="C86" s="402"/>
      <c r="D86" s="172">
        <v>1</v>
      </c>
      <c r="E86" s="172">
        <v>34.700000000000003</v>
      </c>
      <c r="F86" s="46"/>
      <c r="G86" s="172">
        <v>1.9</v>
      </c>
      <c r="H86" s="46"/>
      <c r="I86" s="46"/>
      <c r="J86" s="46"/>
      <c r="K86" s="172">
        <f t="shared" si="3"/>
        <v>65.930000000000007</v>
      </c>
      <c r="L86" s="46">
        <f t="shared" si="2"/>
        <v>65.930000000000007</v>
      </c>
    </row>
    <row r="87" spans="1:13">
      <c r="B87" s="401" t="s">
        <v>462</v>
      </c>
      <c r="C87" s="402"/>
      <c r="D87" s="172">
        <v>1</v>
      </c>
      <c r="E87" s="172">
        <v>3.5</v>
      </c>
      <c r="F87" s="46"/>
      <c r="G87" s="172">
        <v>2.7</v>
      </c>
      <c r="H87" s="46"/>
      <c r="I87" s="46"/>
      <c r="J87" s="46"/>
      <c r="K87" s="172">
        <f t="shared" si="3"/>
        <v>9.4500000000000011</v>
      </c>
      <c r="L87" s="46">
        <f t="shared" si="2"/>
        <v>9.4500000000000011</v>
      </c>
    </row>
    <row r="88" spans="1:13">
      <c r="B88" s="401" t="s">
        <v>448</v>
      </c>
      <c r="C88" s="402"/>
      <c r="D88" s="172">
        <v>1</v>
      </c>
      <c r="E88" s="172">
        <v>3.4</v>
      </c>
      <c r="F88" s="46">
        <v>2.2000000000000002</v>
      </c>
      <c r="G88" s="172">
        <v>3.1</v>
      </c>
      <c r="H88" s="46">
        <v>1</v>
      </c>
      <c r="I88" s="46"/>
      <c r="J88" s="46"/>
      <c r="K88" s="172">
        <f t="shared" si="3"/>
        <v>12.739999999999998</v>
      </c>
      <c r="L88" s="46">
        <f t="shared" si="2"/>
        <v>12.739999999999998</v>
      </c>
    </row>
    <row r="89" spans="1:13">
      <c r="B89" s="401" t="s">
        <v>452</v>
      </c>
      <c r="C89" s="402"/>
      <c r="D89" s="172">
        <v>1</v>
      </c>
      <c r="E89" s="172">
        <v>2.2000000000000002</v>
      </c>
      <c r="F89" s="46"/>
      <c r="G89" s="172">
        <v>1</v>
      </c>
      <c r="H89" s="46"/>
      <c r="I89" s="46"/>
      <c r="J89" s="46"/>
      <c r="K89" s="172">
        <f t="shared" si="3"/>
        <v>2.2000000000000002</v>
      </c>
      <c r="L89" s="46">
        <f t="shared" si="2"/>
        <v>2.2000000000000002</v>
      </c>
    </row>
    <row r="90" spans="1:13">
      <c r="B90" s="401" t="s">
        <v>452</v>
      </c>
      <c r="C90" s="402"/>
      <c r="D90" s="172">
        <v>1</v>
      </c>
      <c r="E90" s="172">
        <v>5.9</v>
      </c>
      <c r="F90" s="46"/>
      <c r="G90" s="172">
        <v>4.5</v>
      </c>
      <c r="H90" s="46"/>
      <c r="I90" s="46"/>
      <c r="J90" s="46"/>
      <c r="K90" s="172">
        <f t="shared" si="3"/>
        <v>26.55</v>
      </c>
      <c r="L90" s="46">
        <f t="shared" si="2"/>
        <v>26.55</v>
      </c>
    </row>
    <row r="91" spans="1:13">
      <c r="B91" s="401" t="s">
        <v>438</v>
      </c>
      <c r="C91" s="402"/>
      <c r="D91" s="172">
        <v>1</v>
      </c>
      <c r="E91" s="172">
        <v>15</v>
      </c>
      <c r="F91" s="46"/>
      <c r="G91" s="172">
        <v>6.6</v>
      </c>
      <c r="H91" s="46"/>
      <c r="I91" s="46"/>
      <c r="J91" s="46"/>
      <c r="K91" s="172">
        <f t="shared" si="3"/>
        <v>99</v>
      </c>
      <c r="L91" s="46">
        <f t="shared" si="2"/>
        <v>99</v>
      </c>
    </row>
    <row r="92" spans="1:13">
      <c r="B92" s="48"/>
      <c r="C92" s="48"/>
      <c r="D92" s="48"/>
      <c r="E92" s="48"/>
      <c r="F92" s="49"/>
      <c r="G92" s="48"/>
      <c r="H92" s="49"/>
      <c r="I92" s="49"/>
      <c r="J92" s="49"/>
      <c r="K92" s="48"/>
      <c r="L92" s="49"/>
    </row>
    <row r="93" spans="1:13" ht="15.75" thickBot="1"/>
    <row r="94" spans="1:13" ht="15.75" thickBot="1">
      <c r="A94" s="93" t="s">
        <v>128</v>
      </c>
      <c r="B94" s="407" t="e">
        <f>#REF!</f>
        <v>#REF!</v>
      </c>
      <c r="C94" s="408"/>
      <c r="D94" s="408"/>
      <c r="E94" s="408"/>
      <c r="F94" s="408"/>
      <c r="G94" s="408"/>
      <c r="H94" s="408"/>
      <c r="I94" s="408"/>
      <c r="J94" s="408"/>
      <c r="K94" s="408"/>
      <c r="L94" s="43"/>
      <c r="M94" s="94"/>
    </row>
    <row r="95" spans="1:13" ht="15.75" thickBot="1">
      <c r="A95" s="83" t="e">
        <f>#REF!</f>
        <v>#REF!</v>
      </c>
      <c r="B95" s="409" t="e">
        <f>#REF!</f>
        <v>#REF!</v>
      </c>
      <c r="C95" s="410"/>
      <c r="D95" s="410"/>
      <c r="E95" s="410"/>
      <c r="F95" s="410"/>
      <c r="G95" s="410"/>
      <c r="H95" s="410"/>
      <c r="I95" s="410"/>
      <c r="J95" s="410"/>
      <c r="K95" s="410"/>
      <c r="L95" s="62"/>
      <c r="M95" s="44"/>
    </row>
    <row r="97" spans="1:13">
      <c r="B97" s="415" t="s">
        <v>464</v>
      </c>
      <c r="C97" s="415"/>
      <c r="L97" s="50">
        <v>23</v>
      </c>
    </row>
    <row r="98" spans="1:13" ht="15.75" thickBot="1"/>
    <row r="99" spans="1:13" ht="15.75" thickBot="1">
      <c r="A99" s="83" t="e">
        <f>#REF!</f>
        <v>#REF!</v>
      </c>
      <c r="B99" s="409" t="e">
        <f>#REF!</f>
        <v>#REF!</v>
      </c>
      <c r="C99" s="410"/>
      <c r="D99" s="410"/>
      <c r="E99" s="410"/>
      <c r="F99" s="410"/>
      <c r="G99" s="410"/>
      <c r="H99" s="410"/>
      <c r="I99" s="410"/>
      <c r="J99" s="410"/>
      <c r="K99" s="410"/>
      <c r="L99" s="62"/>
      <c r="M99" s="44"/>
    </row>
    <row r="101" spans="1:13">
      <c r="B101" s="415" t="s">
        <v>464</v>
      </c>
      <c r="C101" s="415"/>
      <c r="L101" s="50">
        <v>166</v>
      </c>
    </row>
    <row r="102" spans="1:13" ht="15.75" thickBot="1"/>
    <row r="103" spans="1:13" ht="24.6" customHeight="1" thickBot="1">
      <c r="A103" s="83" t="e">
        <f>#REF!</f>
        <v>#REF!</v>
      </c>
      <c r="B103" s="409" t="e">
        <f>#REF!</f>
        <v>#REF!</v>
      </c>
      <c r="C103" s="410"/>
      <c r="D103" s="410"/>
      <c r="E103" s="410"/>
      <c r="F103" s="410"/>
      <c r="G103" s="410"/>
      <c r="H103" s="410"/>
      <c r="I103" s="410"/>
      <c r="J103" s="410"/>
      <c r="K103" s="410"/>
      <c r="L103" s="62"/>
      <c r="M103" s="44"/>
    </row>
    <row r="104" spans="1:13">
      <c r="L104" s="103">
        <f>SUM(L105:L129)</f>
        <v>231.9</v>
      </c>
    </row>
    <row r="105" spans="1:13" ht="23.45" customHeight="1">
      <c r="B105" s="415" t="s">
        <v>465</v>
      </c>
      <c r="C105" s="415"/>
      <c r="D105" s="51">
        <v>1</v>
      </c>
      <c r="E105" s="51">
        <v>7.8</v>
      </c>
      <c r="F105" s="51"/>
      <c r="G105" s="51"/>
      <c r="H105" s="51"/>
      <c r="I105" s="51"/>
      <c r="J105" s="51"/>
      <c r="K105" s="51"/>
      <c r="L105" s="51">
        <f>D105*E105</f>
        <v>7.8</v>
      </c>
    </row>
    <row r="106" spans="1:13">
      <c r="B106" s="415" t="s">
        <v>439</v>
      </c>
      <c r="C106" s="415"/>
      <c r="D106" s="51">
        <v>1</v>
      </c>
      <c r="E106" s="51">
        <v>6.5</v>
      </c>
      <c r="F106" s="51"/>
      <c r="G106" s="51"/>
      <c r="H106" s="51"/>
      <c r="I106" s="51"/>
      <c r="J106" s="51"/>
      <c r="K106" s="51"/>
      <c r="L106" s="51">
        <f t="shared" ref="L106:L129" si="4">D106*E106</f>
        <v>6.5</v>
      </c>
    </row>
    <row r="107" spans="1:13">
      <c r="B107" s="415" t="s">
        <v>437</v>
      </c>
      <c r="C107" s="415"/>
      <c r="D107" s="51">
        <v>1</v>
      </c>
      <c r="E107" s="51">
        <v>13.3</v>
      </c>
      <c r="F107" s="51"/>
      <c r="G107" s="51"/>
      <c r="H107" s="51"/>
      <c r="I107" s="51"/>
      <c r="J107" s="51"/>
      <c r="K107" s="51"/>
      <c r="L107" s="51">
        <f t="shared" si="4"/>
        <v>13.3</v>
      </c>
    </row>
    <row r="108" spans="1:13">
      <c r="B108" s="415" t="s">
        <v>466</v>
      </c>
      <c r="C108" s="415"/>
      <c r="D108" s="51">
        <v>1</v>
      </c>
      <c r="E108" s="51">
        <v>13.3</v>
      </c>
      <c r="F108" s="51"/>
      <c r="G108" s="51"/>
      <c r="H108" s="51"/>
      <c r="I108" s="51"/>
      <c r="J108" s="51"/>
      <c r="K108" s="51"/>
      <c r="L108" s="51">
        <f t="shared" si="4"/>
        <v>13.3</v>
      </c>
    </row>
    <row r="109" spans="1:13">
      <c r="B109" s="415" t="s">
        <v>477</v>
      </c>
      <c r="C109" s="415"/>
      <c r="D109" s="51">
        <v>1</v>
      </c>
      <c r="E109" s="51"/>
      <c r="F109" s="51"/>
      <c r="G109" s="51"/>
      <c r="H109" s="51"/>
      <c r="I109" s="51"/>
      <c r="J109" s="51"/>
      <c r="K109" s="51"/>
      <c r="L109" s="51">
        <f t="shared" si="4"/>
        <v>0</v>
      </c>
    </row>
    <row r="110" spans="1:13">
      <c r="B110" s="415" t="s">
        <v>467</v>
      </c>
      <c r="C110" s="415"/>
      <c r="D110" s="51">
        <v>1</v>
      </c>
      <c r="E110" s="51"/>
      <c r="F110" s="51"/>
      <c r="G110" s="51"/>
      <c r="H110" s="51"/>
      <c r="I110" s="51"/>
      <c r="J110" s="51"/>
      <c r="K110" s="51"/>
      <c r="L110" s="51">
        <f t="shared" si="4"/>
        <v>0</v>
      </c>
    </row>
    <row r="111" spans="1:13">
      <c r="B111" s="415" t="s">
        <v>468</v>
      </c>
      <c r="C111" s="415"/>
      <c r="D111" s="51">
        <v>1</v>
      </c>
      <c r="E111" s="51">
        <v>2.1</v>
      </c>
      <c r="F111" s="51"/>
      <c r="G111" s="51"/>
      <c r="H111" s="51"/>
      <c r="I111" s="51"/>
      <c r="J111" s="51"/>
      <c r="K111" s="51"/>
      <c r="L111" s="51">
        <f t="shared" si="4"/>
        <v>2.1</v>
      </c>
    </row>
    <row r="112" spans="1:13">
      <c r="B112" s="415" t="s">
        <v>469</v>
      </c>
      <c r="C112" s="415"/>
      <c r="D112" s="51">
        <v>1</v>
      </c>
      <c r="E112" s="51">
        <v>6.8</v>
      </c>
      <c r="F112" s="51"/>
      <c r="G112" s="51"/>
      <c r="H112" s="51"/>
      <c r="I112" s="51"/>
      <c r="J112" s="51"/>
      <c r="K112" s="51"/>
      <c r="L112" s="51">
        <f t="shared" si="4"/>
        <v>6.8</v>
      </c>
    </row>
    <row r="113" spans="2:12">
      <c r="B113" s="415" t="s">
        <v>470</v>
      </c>
      <c r="C113" s="415"/>
      <c r="D113" s="51">
        <v>1</v>
      </c>
      <c r="E113" s="51">
        <v>3.6</v>
      </c>
      <c r="F113" s="51"/>
      <c r="G113" s="51"/>
      <c r="H113" s="51"/>
      <c r="I113" s="51"/>
      <c r="J113" s="51"/>
      <c r="K113" s="51"/>
      <c r="L113" s="51">
        <f t="shared" si="4"/>
        <v>3.6</v>
      </c>
    </row>
    <row r="114" spans="2:12">
      <c r="B114" s="415" t="s">
        <v>468</v>
      </c>
      <c r="C114" s="415"/>
      <c r="D114" s="51">
        <v>1</v>
      </c>
      <c r="E114" s="51">
        <v>2.6</v>
      </c>
      <c r="F114" s="51"/>
      <c r="G114" s="51"/>
      <c r="H114" s="51"/>
      <c r="I114" s="51"/>
      <c r="J114" s="51"/>
      <c r="K114" s="51"/>
      <c r="L114" s="51">
        <f t="shared" si="4"/>
        <v>2.6</v>
      </c>
    </row>
    <row r="115" spans="2:12">
      <c r="B115" s="415" t="s">
        <v>445</v>
      </c>
      <c r="C115" s="415"/>
      <c r="D115" s="51">
        <v>1</v>
      </c>
      <c r="E115" s="51">
        <v>2.2999999999999998</v>
      </c>
      <c r="F115" s="51"/>
      <c r="G115" s="51"/>
      <c r="H115" s="51"/>
      <c r="I115" s="51"/>
      <c r="J115" s="51"/>
      <c r="K115" s="51"/>
      <c r="L115" s="51">
        <f t="shared" si="4"/>
        <v>2.2999999999999998</v>
      </c>
    </row>
    <row r="116" spans="2:12">
      <c r="B116" s="415" t="s">
        <v>471</v>
      </c>
      <c r="C116" s="415"/>
      <c r="D116" s="51">
        <v>1</v>
      </c>
      <c r="E116" s="51">
        <v>11</v>
      </c>
      <c r="F116" s="51"/>
      <c r="G116" s="51"/>
      <c r="H116" s="51"/>
      <c r="I116" s="51"/>
      <c r="J116" s="51"/>
      <c r="K116" s="51"/>
      <c r="L116" s="51">
        <f t="shared" si="4"/>
        <v>11</v>
      </c>
    </row>
    <row r="117" spans="2:12">
      <c r="B117" s="415" t="s">
        <v>478</v>
      </c>
      <c r="C117" s="415"/>
      <c r="D117" s="51">
        <v>1</v>
      </c>
      <c r="E117" s="51">
        <v>22</v>
      </c>
      <c r="F117" s="51"/>
      <c r="G117" s="51"/>
      <c r="H117" s="51"/>
      <c r="I117" s="51"/>
      <c r="J117" s="51"/>
      <c r="K117" s="51"/>
      <c r="L117" s="51">
        <f t="shared" si="4"/>
        <v>22</v>
      </c>
    </row>
    <row r="118" spans="2:12">
      <c r="B118" s="415" t="s">
        <v>472</v>
      </c>
      <c r="C118" s="415"/>
      <c r="D118" s="51">
        <v>1</v>
      </c>
      <c r="E118" s="51">
        <v>4</v>
      </c>
      <c r="F118" s="51"/>
      <c r="G118" s="51"/>
      <c r="H118" s="51"/>
      <c r="I118" s="51"/>
      <c r="J118" s="51"/>
      <c r="K118" s="51"/>
      <c r="L118" s="51">
        <f t="shared" si="4"/>
        <v>4</v>
      </c>
    </row>
    <row r="119" spans="2:12">
      <c r="B119" s="415" t="s">
        <v>441</v>
      </c>
      <c r="C119" s="415"/>
      <c r="D119" s="51">
        <v>1</v>
      </c>
      <c r="E119" s="51">
        <v>16</v>
      </c>
      <c r="F119" s="51"/>
      <c r="G119" s="51"/>
      <c r="H119" s="51"/>
      <c r="I119" s="51"/>
      <c r="J119" s="51"/>
      <c r="K119" s="51"/>
      <c r="L119" s="51">
        <f t="shared" si="4"/>
        <v>16</v>
      </c>
    </row>
    <row r="120" spans="2:12">
      <c r="B120" s="415" t="s">
        <v>473</v>
      </c>
      <c r="C120" s="415"/>
      <c r="D120" s="51">
        <v>1</v>
      </c>
      <c r="E120" s="51">
        <v>4.5</v>
      </c>
      <c r="F120" s="51"/>
      <c r="G120" s="51"/>
      <c r="H120" s="51"/>
      <c r="I120" s="51"/>
      <c r="J120" s="51"/>
      <c r="K120" s="51"/>
      <c r="L120" s="51">
        <f t="shared" si="4"/>
        <v>4.5</v>
      </c>
    </row>
    <row r="121" spans="2:12">
      <c r="B121" s="415" t="s">
        <v>446</v>
      </c>
      <c r="C121" s="415"/>
      <c r="D121" s="51">
        <v>1</v>
      </c>
      <c r="E121" s="51">
        <v>4</v>
      </c>
      <c r="F121" s="51"/>
      <c r="G121" s="51"/>
      <c r="H121" s="51"/>
      <c r="I121" s="51"/>
      <c r="J121" s="51"/>
      <c r="K121" s="51"/>
      <c r="L121" s="51">
        <f t="shared" si="4"/>
        <v>4</v>
      </c>
    </row>
    <row r="122" spans="2:12">
      <c r="B122" s="415" t="s">
        <v>474</v>
      </c>
      <c r="C122" s="415"/>
      <c r="D122" s="51">
        <v>1</v>
      </c>
      <c r="E122" s="51">
        <v>8.5</v>
      </c>
      <c r="F122" s="51"/>
      <c r="G122" s="51"/>
      <c r="H122" s="51"/>
      <c r="I122" s="51"/>
      <c r="J122" s="51"/>
      <c r="K122" s="51"/>
      <c r="L122" s="51">
        <f t="shared" si="4"/>
        <v>8.5</v>
      </c>
    </row>
    <row r="123" spans="2:12">
      <c r="B123" s="415" t="s">
        <v>450</v>
      </c>
      <c r="C123" s="415"/>
      <c r="D123" s="51">
        <v>1</v>
      </c>
      <c r="E123" s="51">
        <v>5.6</v>
      </c>
      <c r="F123" s="51"/>
      <c r="G123" s="51"/>
      <c r="H123" s="51"/>
      <c r="I123" s="51"/>
      <c r="J123" s="51"/>
      <c r="K123" s="51"/>
      <c r="L123" s="51">
        <f t="shared" si="4"/>
        <v>5.6</v>
      </c>
    </row>
    <row r="124" spans="2:12">
      <c r="B124" s="415" t="s">
        <v>479</v>
      </c>
      <c r="C124" s="415"/>
      <c r="D124" s="51">
        <v>1</v>
      </c>
      <c r="E124" s="51">
        <v>13</v>
      </c>
      <c r="F124" s="51"/>
      <c r="G124" s="51"/>
      <c r="H124" s="51"/>
      <c r="I124" s="51"/>
      <c r="J124" s="51"/>
      <c r="K124" s="51"/>
      <c r="L124" s="51">
        <f t="shared" si="4"/>
        <v>13</v>
      </c>
    </row>
    <row r="125" spans="2:12">
      <c r="B125" s="415" t="s">
        <v>453</v>
      </c>
      <c r="C125" s="415"/>
      <c r="D125" s="51">
        <v>1</v>
      </c>
      <c r="E125" s="51">
        <v>28</v>
      </c>
      <c r="F125" s="51"/>
      <c r="G125" s="51"/>
      <c r="H125" s="51"/>
      <c r="I125" s="51"/>
      <c r="J125" s="51"/>
      <c r="K125" s="51"/>
      <c r="L125" s="51">
        <f t="shared" si="4"/>
        <v>28</v>
      </c>
    </row>
    <row r="126" spans="2:12">
      <c r="B126" s="415" t="s">
        <v>475</v>
      </c>
      <c r="C126" s="415"/>
      <c r="D126" s="51">
        <v>1</v>
      </c>
      <c r="E126" s="51">
        <v>29</v>
      </c>
      <c r="F126" s="51"/>
      <c r="G126" s="51"/>
      <c r="H126" s="51"/>
      <c r="I126" s="51"/>
      <c r="J126" s="51"/>
      <c r="K126" s="51"/>
      <c r="L126" s="51">
        <f t="shared" si="4"/>
        <v>29</v>
      </c>
    </row>
    <row r="127" spans="2:12">
      <c r="B127" s="415" t="s">
        <v>476</v>
      </c>
      <c r="C127" s="415"/>
      <c r="D127" s="51">
        <v>1</v>
      </c>
      <c r="E127" s="51">
        <v>13</v>
      </c>
      <c r="F127" s="51"/>
      <c r="G127" s="51"/>
      <c r="H127" s="51"/>
      <c r="I127" s="51"/>
      <c r="J127" s="51"/>
      <c r="K127" s="51"/>
      <c r="L127" s="51">
        <f t="shared" si="4"/>
        <v>13</v>
      </c>
    </row>
    <row r="128" spans="2:12">
      <c r="B128" s="415" t="s">
        <v>469</v>
      </c>
      <c r="C128" s="415"/>
      <c r="D128" s="51">
        <v>1</v>
      </c>
      <c r="E128" s="51">
        <v>11</v>
      </c>
      <c r="F128" s="51"/>
      <c r="G128" s="51"/>
      <c r="H128" s="51"/>
      <c r="I128" s="51"/>
      <c r="J128" s="51"/>
      <c r="K128" s="51"/>
      <c r="L128" s="51">
        <f t="shared" si="4"/>
        <v>11</v>
      </c>
    </row>
    <row r="129" spans="1:13">
      <c r="B129" s="415" t="s">
        <v>470</v>
      </c>
      <c r="C129" s="415"/>
      <c r="D129" s="51">
        <v>1</v>
      </c>
      <c r="E129" s="51">
        <v>4</v>
      </c>
      <c r="F129" s="51"/>
      <c r="G129" s="51"/>
      <c r="H129" s="51"/>
      <c r="I129" s="51"/>
      <c r="J129" s="51"/>
      <c r="K129" s="51"/>
      <c r="L129" s="51">
        <f t="shared" si="4"/>
        <v>4</v>
      </c>
    </row>
    <row r="130" spans="1:13" ht="15.75" thickBot="1">
      <c r="B130" s="415"/>
      <c r="C130" s="415"/>
    </row>
    <row r="131" spans="1:13" ht="15.75" thickBot="1">
      <c r="A131" s="83" t="e">
        <f>#REF!</f>
        <v>#REF!</v>
      </c>
      <c r="B131" s="409" t="e">
        <f>#REF!</f>
        <v>#REF!</v>
      </c>
      <c r="C131" s="410"/>
      <c r="D131" s="410"/>
      <c r="E131" s="410"/>
      <c r="F131" s="410"/>
      <c r="G131" s="410"/>
      <c r="H131" s="410"/>
      <c r="I131" s="410"/>
      <c r="J131" s="410"/>
      <c r="K131" s="410"/>
      <c r="L131" s="62"/>
      <c r="M131" s="44"/>
    </row>
    <row r="132" spans="1:13">
      <c r="B132" s="415"/>
      <c r="C132" s="415"/>
      <c r="L132" s="52">
        <f>SUM(L133:L152)</f>
        <v>22</v>
      </c>
    </row>
    <row r="133" spans="1:13">
      <c r="B133" s="415" t="s">
        <v>465</v>
      </c>
      <c r="C133" s="415"/>
      <c r="D133" s="51">
        <v>1</v>
      </c>
      <c r="E133" s="51">
        <v>1</v>
      </c>
      <c r="L133" s="99">
        <f>E133*D133</f>
        <v>1</v>
      </c>
    </row>
    <row r="134" spans="1:13">
      <c r="B134" s="415" t="s">
        <v>437</v>
      </c>
      <c r="C134" s="415"/>
      <c r="D134" s="51">
        <v>1</v>
      </c>
      <c r="E134" s="51">
        <v>2</v>
      </c>
      <c r="L134" s="99">
        <f t="shared" ref="L134:L152" si="5">E134*D134</f>
        <v>2</v>
      </c>
    </row>
    <row r="135" spans="1:13">
      <c r="B135" s="415" t="s">
        <v>466</v>
      </c>
      <c r="C135" s="415"/>
      <c r="D135" s="51">
        <v>1</v>
      </c>
      <c r="E135" s="51">
        <v>2</v>
      </c>
      <c r="L135" s="99">
        <f t="shared" si="5"/>
        <v>2</v>
      </c>
    </row>
    <row r="136" spans="1:13">
      <c r="B136" s="415" t="s">
        <v>469</v>
      </c>
      <c r="C136" s="415"/>
      <c r="D136" s="51">
        <v>1</v>
      </c>
      <c r="E136" s="51">
        <v>1</v>
      </c>
      <c r="L136" s="99">
        <f t="shared" si="5"/>
        <v>1</v>
      </c>
    </row>
    <row r="137" spans="1:13">
      <c r="B137" s="415" t="s">
        <v>468</v>
      </c>
      <c r="C137" s="415"/>
      <c r="D137" s="51">
        <v>1</v>
      </c>
      <c r="E137" s="51">
        <v>1</v>
      </c>
      <c r="L137" s="99">
        <f t="shared" si="5"/>
        <v>1</v>
      </c>
    </row>
    <row r="138" spans="1:13">
      <c r="B138" s="415" t="s">
        <v>445</v>
      </c>
      <c r="C138" s="415"/>
      <c r="D138" s="51">
        <v>1</v>
      </c>
      <c r="E138" s="51">
        <v>1</v>
      </c>
      <c r="L138" s="99">
        <f t="shared" si="5"/>
        <v>1</v>
      </c>
    </row>
    <row r="139" spans="1:13" ht="21" customHeight="1">
      <c r="B139" s="415" t="s">
        <v>471</v>
      </c>
      <c r="C139" s="415"/>
      <c r="D139" s="51">
        <v>1</v>
      </c>
      <c r="E139" s="51">
        <v>1</v>
      </c>
      <c r="L139" s="99">
        <f t="shared" si="5"/>
        <v>1</v>
      </c>
    </row>
    <row r="140" spans="1:13">
      <c r="B140" s="415" t="s">
        <v>478</v>
      </c>
      <c r="C140" s="415"/>
      <c r="D140" s="51">
        <v>1</v>
      </c>
      <c r="E140" s="51">
        <v>1</v>
      </c>
      <c r="L140" s="99">
        <f t="shared" si="5"/>
        <v>1</v>
      </c>
    </row>
    <row r="141" spans="1:13">
      <c r="B141" s="415" t="s">
        <v>472</v>
      </c>
      <c r="C141" s="415"/>
      <c r="D141" s="51">
        <v>1</v>
      </c>
      <c r="E141" s="51">
        <v>1</v>
      </c>
      <c r="L141" s="99">
        <f t="shared" si="5"/>
        <v>1</v>
      </c>
    </row>
    <row r="142" spans="1:13">
      <c r="B142" s="415" t="s">
        <v>441</v>
      </c>
      <c r="C142" s="415"/>
      <c r="D142" s="51">
        <v>1</v>
      </c>
      <c r="E142" s="51">
        <v>1</v>
      </c>
      <c r="L142" s="99">
        <f t="shared" si="5"/>
        <v>1</v>
      </c>
    </row>
    <row r="143" spans="1:13">
      <c r="B143" s="415" t="s">
        <v>473</v>
      </c>
      <c r="C143" s="415"/>
      <c r="D143" s="51">
        <v>1</v>
      </c>
      <c r="E143" s="51">
        <v>1</v>
      </c>
      <c r="L143" s="99">
        <f t="shared" si="5"/>
        <v>1</v>
      </c>
    </row>
    <row r="144" spans="1:13">
      <c r="B144" s="415" t="s">
        <v>446</v>
      </c>
      <c r="C144" s="415"/>
      <c r="D144" s="51">
        <v>1</v>
      </c>
      <c r="E144" s="51">
        <v>1</v>
      </c>
      <c r="L144" s="99">
        <f t="shared" si="5"/>
        <v>1</v>
      </c>
    </row>
    <row r="145" spans="1:13">
      <c r="B145" s="415" t="s">
        <v>474</v>
      </c>
      <c r="C145" s="415"/>
      <c r="D145" s="51">
        <v>1</v>
      </c>
      <c r="E145" s="51">
        <v>1</v>
      </c>
      <c r="L145" s="99">
        <f t="shared" si="5"/>
        <v>1</v>
      </c>
    </row>
    <row r="146" spans="1:13">
      <c r="B146" s="415" t="s">
        <v>450</v>
      </c>
      <c r="C146" s="415"/>
      <c r="D146" s="51">
        <v>1</v>
      </c>
      <c r="E146" s="51">
        <v>1</v>
      </c>
      <c r="L146" s="99">
        <f t="shared" si="5"/>
        <v>1</v>
      </c>
    </row>
    <row r="147" spans="1:13">
      <c r="B147" s="415" t="s">
        <v>479</v>
      </c>
      <c r="C147" s="415"/>
      <c r="D147" s="51">
        <v>1</v>
      </c>
      <c r="E147" s="51">
        <v>1</v>
      </c>
      <c r="L147" s="99">
        <f t="shared" si="5"/>
        <v>1</v>
      </c>
    </row>
    <row r="148" spans="1:13">
      <c r="B148" s="415" t="s">
        <v>453</v>
      </c>
      <c r="C148" s="415"/>
      <c r="D148" s="51">
        <v>1</v>
      </c>
      <c r="E148" s="51">
        <v>1</v>
      </c>
      <c r="L148" s="99">
        <f t="shared" si="5"/>
        <v>1</v>
      </c>
    </row>
    <row r="149" spans="1:13">
      <c r="B149" s="415" t="s">
        <v>475</v>
      </c>
      <c r="C149" s="415"/>
      <c r="D149" s="51">
        <v>1</v>
      </c>
      <c r="E149" s="51">
        <v>1</v>
      </c>
      <c r="L149" s="99">
        <f t="shared" si="5"/>
        <v>1</v>
      </c>
    </row>
    <row r="150" spans="1:13">
      <c r="B150" s="415" t="s">
        <v>476</v>
      </c>
      <c r="C150" s="415"/>
      <c r="D150" s="51">
        <v>1</v>
      </c>
      <c r="E150" s="51">
        <v>1</v>
      </c>
      <c r="L150" s="99">
        <f t="shared" si="5"/>
        <v>1</v>
      </c>
    </row>
    <row r="151" spans="1:13">
      <c r="B151" s="415" t="s">
        <v>469</v>
      </c>
      <c r="C151" s="415"/>
      <c r="D151" s="51">
        <v>1</v>
      </c>
      <c r="E151" s="51">
        <v>1</v>
      </c>
      <c r="L151" s="99">
        <f t="shared" si="5"/>
        <v>1</v>
      </c>
    </row>
    <row r="152" spans="1:13">
      <c r="B152" s="415" t="s">
        <v>470</v>
      </c>
      <c r="C152" s="415"/>
      <c r="D152" s="51">
        <v>1</v>
      </c>
      <c r="E152" s="51">
        <v>1</v>
      </c>
      <c r="L152" s="99">
        <f t="shared" si="5"/>
        <v>1</v>
      </c>
    </row>
    <row r="153" spans="1:13" ht="14.45" customHeight="1" thickBot="1">
      <c r="B153" s="415"/>
      <c r="C153" s="415"/>
    </row>
    <row r="154" spans="1:13" ht="15.75" thickBot="1">
      <c r="A154" s="83" t="e">
        <f>#REF!</f>
        <v>#REF!</v>
      </c>
      <c r="B154" s="409" t="e">
        <f>#REF!</f>
        <v>#REF!</v>
      </c>
      <c r="C154" s="410"/>
      <c r="D154" s="410"/>
      <c r="E154" s="410"/>
      <c r="F154" s="410"/>
      <c r="G154" s="410"/>
      <c r="H154" s="410"/>
      <c r="I154" s="410"/>
      <c r="J154" s="410"/>
      <c r="K154" s="410"/>
      <c r="L154" s="62"/>
      <c r="M154" s="44"/>
    </row>
    <row r="155" spans="1:13">
      <c r="B155" s="415"/>
      <c r="C155" s="415"/>
    </row>
    <row r="156" spans="1:13">
      <c r="B156" s="415" t="s">
        <v>464</v>
      </c>
      <c r="C156" s="415"/>
      <c r="L156" s="50">
        <v>1</v>
      </c>
    </row>
    <row r="157" spans="1:13" ht="15.75" thickBot="1">
      <c r="B157" s="415"/>
      <c r="C157" s="415"/>
    </row>
    <row r="158" spans="1:13" ht="15.75" thickBot="1">
      <c r="A158" s="83" t="e">
        <f>#REF!</f>
        <v>#REF!</v>
      </c>
      <c r="B158" s="409" t="e">
        <f>#REF!</f>
        <v>#REF!</v>
      </c>
      <c r="C158" s="410"/>
      <c r="D158" s="410"/>
      <c r="E158" s="410"/>
      <c r="F158" s="410"/>
      <c r="G158" s="410"/>
      <c r="H158" s="410"/>
      <c r="I158" s="410"/>
      <c r="J158" s="410"/>
      <c r="K158" s="410"/>
      <c r="L158" s="62"/>
      <c r="M158" s="44"/>
    </row>
    <row r="159" spans="1:13">
      <c r="B159" s="415"/>
      <c r="C159" s="415"/>
    </row>
    <row r="160" spans="1:13">
      <c r="B160" s="415" t="s">
        <v>464</v>
      </c>
      <c r="C160" s="415"/>
      <c r="L160" s="50">
        <v>1</v>
      </c>
    </row>
    <row r="161" spans="1:13" ht="15.75" thickBot="1">
      <c r="B161" s="415"/>
      <c r="C161" s="415"/>
    </row>
    <row r="162" spans="1:13" ht="26.45" customHeight="1" thickBot="1">
      <c r="A162" s="83" t="e">
        <f>#REF!</f>
        <v>#REF!</v>
      </c>
      <c r="B162" s="409" t="e">
        <f>#REF!</f>
        <v>#REF!</v>
      </c>
      <c r="C162" s="410"/>
      <c r="D162" s="410"/>
      <c r="E162" s="410"/>
      <c r="F162" s="410"/>
      <c r="G162" s="410"/>
      <c r="H162" s="410"/>
      <c r="I162" s="410"/>
      <c r="J162" s="410"/>
      <c r="K162" s="410"/>
      <c r="L162" s="62"/>
      <c r="M162" s="44"/>
    </row>
    <row r="163" spans="1:13">
      <c r="B163" s="415"/>
      <c r="C163" s="415"/>
      <c r="L163" s="52">
        <f>SUM(L164:L187)</f>
        <v>67</v>
      </c>
    </row>
    <row r="164" spans="1:13">
      <c r="B164" s="415" t="s">
        <v>465</v>
      </c>
      <c r="C164" s="415"/>
      <c r="D164" s="51">
        <v>1</v>
      </c>
      <c r="E164" s="51">
        <v>2</v>
      </c>
      <c r="L164" s="51">
        <f>D164*E164</f>
        <v>2</v>
      </c>
    </row>
    <row r="165" spans="1:13">
      <c r="B165" s="415" t="s">
        <v>439</v>
      </c>
      <c r="C165" s="415"/>
      <c r="D165" s="51">
        <v>1</v>
      </c>
      <c r="E165" s="51">
        <v>1</v>
      </c>
      <c r="L165" s="51">
        <f t="shared" ref="L165:L187" si="6">D165*E165</f>
        <v>1</v>
      </c>
    </row>
    <row r="166" spans="1:13">
      <c r="B166" s="415" t="s">
        <v>437</v>
      </c>
      <c r="C166" s="415"/>
      <c r="D166" s="51">
        <v>1</v>
      </c>
      <c r="E166" s="51">
        <v>4</v>
      </c>
      <c r="L166" s="51">
        <f t="shared" si="6"/>
        <v>4</v>
      </c>
    </row>
    <row r="167" spans="1:13">
      <c r="B167" s="415" t="s">
        <v>466</v>
      </c>
      <c r="C167" s="415"/>
      <c r="D167" s="51">
        <v>1</v>
      </c>
      <c r="E167" s="51">
        <v>4</v>
      </c>
      <c r="L167" s="51">
        <f t="shared" si="6"/>
        <v>4</v>
      </c>
    </row>
    <row r="168" spans="1:13">
      <c r="B168" s="415" t="s">
        <v>467</v>
      </c>
      <c r="C168" s="415"/>
      <c r="D168" s="51">
        <v>1</v>
      </c>
      <c r="E168" s="51">
        <v>1</v>
      </c>
      <c r="L168" s="51">
        <f t="shared" si="6"/>
        <v>1</v>
      </c>
    </row>
    <row r="169" spans="1:13">
      <c r="B169" s="415" t="s">
        <v>468</v>
      </c>
      <c r="C169" s="415"/>
      <c r="D169" s="51">
        <v>1</v>
      </c>
      <c r="E169" s="51">
        <v>1</v>
      </c>
      <c r="L169" s="51">
        <f t="shared" si="6"/>
        <v>1</v>
      </c>
    </row>
    <row r="170" spans="1:13">
      <c r="B170" s="415" t="s">
        <v>469</v>
      </c>
      <c r="C170" s="415"/>
      <c r="D170" s="51">
        <v>1</v>
      </c>
      <c r="E170" s="51">
        <v>2</v>
      </c>
      <c r="L170" s="51">
        <f t="shared" si="6"/>
        <v>2</v>
      </c>
    </row>
    <row r="171" spans="1:13">
      <c r="B171" s="415" t="s">
        <v>470</v>
      </c>
      <c r="C171" s="415"/>
      <c r="D171" s="51">
        <v>1</v>
      </c>
      <c r="E171" s="51">
        <v>2</v>
      </c>
      <c r="L171" s="51">
        <f t="shared" si="6"/>
        <v>2</v>
      </c>
    </row>
    <row r="172" spans="1:13">
      <c r="B172" s="415" t="s">
        <v>468</v>
      </c>
      <c r="C172" s="415"/>
      <c r="D172" s="51">
        <v>1</v>
      </c>
      <c r="E172" s="51">
        <v>1</v>
      </c>
      <c r="L172" s="51">
        <f t="shared" si="6"/>
        <v>1</v>
      </c>
    </row>
    <row r="173" spans="1:13">
      <c r="B173" s="415" t="s">
        <v>445</v>
      </c>
      <c r="C173" s="415"/>
      <c r="D173" s="51">
        <v>1</v>
      </c>
      <c r="E173" s="51">
        <v>1</v>
      </c>
      <c r="L173" s="51">
        <f t="shared" si="6"/>
        <v>1</v>
      </c>
    </row>
    <row r="174" spans="1:13">
      <c r="B174" s="415" t="s">
        <v>471</v>
      </c>
      <c r="C174" s="415"/>
      <c r="D174" s="51">
        <v>1</v>
      </c>
      <c r="E174" s="51">
        <v>2</v>
      </c>
      <c r="L174" s="51">
        <f t="shared" si="6"/>
        <v>2</v>
      </c>
    </row>
    <row r="175" spans="1:13">
      <c r="B175" s="415" t="s">
        <v>478</v>
      </c>
      <c r="C175" s="415"/>
      <c r="D175" s="51">
        <v>1</v>
      </c>
      <c r="E175" s="51">
        <v>5</v>
      </c>
      <c r="L175" s="51">
        <f t="shared" si="6"/>
        <v>5</v>
      </c>
    </row>
    <row r="176" spans="1:13">
      <c r="B176" s="415" t="s">
        <v>472</v>
      </c>
      <c r="C176" s="415"/>
      <c r="D176" s="51">
        <v>1</v>
      </c>
      <c r="E176" s="51">
        <v>1</v>
      </c>
      <c r="L176" s="51">
        <f t="shared" si="6"/>
        <v>1</v>
      </c>
    </row>
    <row r="177" spans="1:13">
      <c r="B177" s="415" t="s">
        <v>441</v>
      </c>
      <c r="C177" s="415"/>
      <c r="D177" s="51">
        <v>1</v>
      </c>
      <c r="E177" s="51">
        <v>4</v>
      </c>
      <c r="L177" s="51">
        <f t="shared" si="6"/>
        <v>4</v>
      </c>
    </row>
    <row r="178" spans="1:13">
      <c r="B178" s="415" t="s">
        <v>473</v>
      </c>
      <c r="C178" s="415"/>
      <c r="D178" s="51">
        <v>1</v>
      </c>
      <c r="E178" s="51">
        <v>1</v>
      </c>
      <c r="L178" s="51">
        <f t="shared" si="6"/>
        <v>1</v>
      </c>
    </row>
    <row r="179" spans="1:13">
      <c r="B179" s="415" t="s">
        <v>446</v>
      </c>
      <c r="C179" s="415"/>
      <c r="D179" s="51">
        <v>1</v>
      </c>
      <c r="E179" s="51">
        <v>1</v>
      </c>
      <c r="L179" s="51">
        <f t="shared" si="6"/>
        <v>1</v>
      </c>
    </row>
    <row r="180" spans="1:13">
      <c r="B180" s="415" t="s">
        <v>474</v>
      </c>
      <c r="C180" s="415"/>
      <c r="D180" s="51">
        <v>1</v>
      </c>
      <c r="E180" s="51">
        <v>3</v>
      </c>
      <c r="L180" s="51">
        <f t="shared" si="6"/>
        <v>3</v>
      </c>
    </row>
    <row r="181" spans="1:13">
      <c r="B181" s="415" t="s">
        <v>450</v>
      </c>
      <c r="C181" s="415"/>
      <c r="D181" s="51">
        <v>1</v>
      </c>
      <c r="E181" s="51">
        <v>1</v>
      </c>
      <c r="L181" s="51">
        <f t="shared" si="6"/>
        <v>1</v>
      </c>
    </row>
    <row r="182" spans="1:13">
      <c r="B182" s="415" t="s">
        <v>479</v>
      </c>
      <c r="C182" s="415"/>
      <c r="D182" s="51">
        <v>1</v>
      </c>
      <c r="E182" s="51">
        <v>6</v>
      </c>
      <c r="L182" s="51">
        <f t="shared" si="6"/>
        <v>6</v>
      </c>
    </row>
    <row r="183" spans="1:13">
      <c r="B183" s="415" t="s">
        <v>453</v>
      </c>
      <c r="C183" s="415"/>
      <c r="D183" s="51">
        <v>1</v>
      </c>
      <c r="E183" s="51">
        <v>5</v>
      </c>
      <c r="L183" s="51">
        <f t="shared" si="6"/>
        <v>5</v>
      </c>
    </row>
    <row r="184" spans="1:13" ht="25.9" customHeight="1">
      <c r="B184" s="415" t="s">
        <v>475</v>
      </c>
      <c r="C184" s="415"/>
      <c r="D184" s="51">
        <v>1</v>
      </c>
      <c r="E184" s="51">
        <v>6</v>
      </c>
      <c r="L184" s="51">
        <f t="shared" si="6"/>
        <v>6</v>
      </c>
    </row>
    <row r="185" spans="1:13">
      <c r="B185" s="415" t="s">
        <v>476</v>
      </c>
      <c r="C185" s="415"/>
      <c r="D185" s="51">
        <v>1</v>
      </c>
      <c r="E185" s="51">
        <v>5</v>
      </c>
      <c r="L185" s="51">
        <f t="shared" si="6"/>
        <v>5</v>
      </c>
    </row>
    <row r="186" spans="1:13">
      <c r="B186" s="415" t="s">
        <v>469</v>
      </c>
      <c r="C186" s="415"/>
      <c r="D186" s="51">
        <v>1</v>
      </c>
      <c r="E186" s="51">
        <v>5</v>
      </c>
      <c r="L186" s="51">
        <f t="shared" si="6"/>
        <v>5</v>
      </c>
    </row>
    <row r="187" spans="1:13">
      <c r="B187" s="415" t="s">
        <v>470</v>
      </c>
      <c r="C187" s="415"/>
      <c r="D187" s="51">
        <v>1</v>
      </c>
      <c r="E187" s="51">
        <v>3</v>
      </c>
      <c r="L187" s="51">
        <f t="shared" si="6"/>
        <v>3</v>
      </c>
    </row>
    <row r="188" spans="1:13" ht="15.75" thickBot="1">
      <c r="B188" s="415"/>
      <c r="C188" s="415"/>
    </row>
    <row r="189" spans="1:13" ht="14.45" customHeight="1" thickBot="1">
      <c r="A189" s="83" t="e">
        <f>#REF!</f>
        <v>#REF!</v>
      </c>
      <c r="B189" s="409" t="e">
        <f>#REF!</f>
        <v>#REF!</v>
      </c>
      <c r="C189" s="410"/>
      <c r="D189" s="410"/>
      <c r="E189" s="410"/>
      <c r="F189" s="410"/>
      <c r="G189" s="410"/>
      <c r="H189" s="410"/>
      <c r="I189" s="410"/>
      <c r="J189" s="410"/>
      <c r="K189" s="410"/>
      <c r="L189" s="62"/>
      <c r="M189" s="44"/>
    </row>
    <row r="190" spans="1:13">
      <c r="B190" s="415"/>
      <c r="C190" s="415"/>
    </row>
    <row r="191" spans="1:13">
      <c r="B191" s="415" t="s">
        <v>464</v>
      </c>
      <c r="C191" s="415"/>
      <c r="L191" s="50">
        <v>1</v>
      </c>
    </row>
    <row r="192" spans="1:13" ht="15.75" thickBot="1"/>
    <row r="193" spans="1:13" ht="18" customHeight="1" thickBot="1">
      <c r="A193" s="83" t="e">
        <f>#REF!</f>
        <v>#REF!</v>
      </c>
      <c r="B193" s="409" t="e">
        <f>#REF!</f>
        <v>#REF!</v>
      </c>
      <c r="C193" s="410"/>
      <c r="D193" s="410"/>
      <c r="E193" s="410"/>
      <c r="F193" s="410"/>
      <c r="G193" s="410"/>
      <c r="H193" s="410"/>
      <c r="I193" s="410"/>
      <c r="J193" s="410"/>
      <c r="K193" s="410"/>
      <c r="L193" s="62"/>
      <c r="M193" s="44"/>
    </row>
    <row r="195" spans="1:13">
      <c r="B195" s="415" t="s">
        <v>464</v>
      </c>
      <c r="C195" s="415"/>
      <c r="L195" s="50">
        <v>4</v>
      </c>
    </row>
    <row r="196" spans="1:13" ht="15.75" thickBot="1"/>
    <row r="197" spans="1:13" ht="15.75" thickBot="1">
      <c r="A197" s="83" t="e">
        <f>#REF!</f>
        <v>#REF!</v>
      </c>
      <c r="B197" s="409" t="e">
        <f>#REF!</f>
        <v>#REF!</v>
      </c>
      <c r="C197" s="410"/>
      <c r="D197" s="410"/>
      <c r="E197" s="410"/>
      <c r="F197" s="410"/>
      <c r="G197" s="410"/>
      <c r="H197" s="410"/>
      <c r="I197" s="410"/>
      <c r="J197" s="410"/>
      <c r="K197" s="410"/>
      <c r="L197" s="62"/>
      <c r="M197" s="44"/>
    </row>
    <row r="198" spans="1:13">
      <c r="L198" s="52">
        <f>SUM(L199:L220)</f>
        <v>46</v>
      </c>
    </row>
    <row r="199" spans="1:13">
      <c r="B199" s="415" t="s">
        <v>465</v>
      </c>
      <c r="C199" s="415"/>
      <c r="D199" s="51">
        <v>1</v>
      </c>
      <c r="E199" s="51">
        <v>2</v>
      </c>
      <c r="L199" s="51">
        <f>D199*E199</f>
        <v>2</v>
      </c>
    </row>
    <row r="200" spans="1:13">
      <c r="B200" s="415" t="s">
        <v>439</v>
      </c>
      <c r="C200" s="415"/>
      <c r="D200" s="51">
        <v>1</v>
      </c>
      <c r="E200" s="51">
        <v>1</v>
      </c>
      <c r="L200" s="51">
        <f t="shared" ref="L200:L220" si="7">D200*E200</f>
        <v>1</v>
      </c>
    </row>
    <row r="201" spans="1:13">
      <c r="B201" s="415" t="s">
        <v>437</v>
      </c>
      <c r="C201" s="415"/>
      <c r="D201" s="51">
        <v>1</v>
      </c>
      <c r="E201" s="51">
        <v>3</v>
      </c>
      <c r="L201" s="51">
        <f t="shared" si="7"/>
        <v>3</v>
      </c>
    </row>
    <row r="202" spans="1:13">
      <c r="B202" s="415" t="s">
        <v>466</v>
      </c>
      <c r="C202" s="415"/>
      <c r="D202" s="51">
        <v>1</v>
      </c>
      <c r="E202" s="51">
        <v>3</v>
      </c>
      <c r="L202" s="51">
        <f t="shared" si="7"/>
        <v>3</v>
      </c>
    </row>
    <row r="203" spans="1:13">
      <c r="B203" s="415" t="s">
        <v>469</v>
      </c>
      <c r="C203" s="415"/>
      <c r="D203" s="51">
        <v>1</v>
      </c>
      <c r="E203" s="51">
        <v>1</v>
      </c>
      <c r="L203" s="51">
        <f t="shared" si="7"/>
        <v>1</v>
      </c>
    </row>
    <row r="204" spans="1:13">
      <c r="B204" s="415" t="s">
        <v>470</v>
      </c>
      <c r="C204" s="415"/>
      <c r="D204" s="51">
        <v>1</v>
      </c>
      <c r="E204" s="51">
        <v>1</v>
      </c>
      <c r="L204" s="51">
        <f t="shared" si="7"/>
        <v>1</v>
      </c>
    </row>
    <row r="205" spans="1:13">
      <c r="B205" s="415" t="s">
        <v>468</v>
      </c>
      <c r="C205" s="415"/>
      <c r="D205" s="51">
        <v>1</v>
      </c>
      <c r="E205" s="51">
        <v>1</v>
      </c>
      <c r="L205" s="51">
        <f t="shared" si="7"/>
        <v>1</v>
      </c>
    </row>
    <row r="206" spans="1:13">
      <c r="B206" s="415" t="s">
        <v>445</v>
      </c>
      <c r="C206" s="415"/>
      <c r="D206" s="51">
        <v>1</v>
      </c>
      <c r="E206" s="51">
        <v>1</v>
      </c>
      <c r="L206" s="51">
        <f t="shared" si="7"/>
        <v>1</v>
      </c>
    </row>
    <row r="207" spans="1:13">
      <c r="B207" s="415" t="s">
        <v>471</v>
      </c>
      <c r="C207" s="415"/>
      <c r="D207" s="51">
        <v>1</v>
      </c>
      <c r="E207" s="51">
        <v>2</v>
      </c>
      <c r="L207" s="51">
        <f t="shared" si="7"/>
        <v>2</v>
      </c>
    </row>
    <row r="208" spans="1:13">
      <c r="B208" s="415" t="s">
        <v>478</v>
      </c>
      <c r="C208" s="415"/>
      <c r="D208" s="51">
        <v>1</v>
      </c>
      <c r="E208" s="51">
        <v>3</v>
      </c>
      <c r="L208" s="51">
        <f t="shared" si="7"/>
        <v>3</v>
      </c>
    </row>
    <row r="209" spans="1:13">
      <c r="B209" s="415" t="s">
        <v>472</v>
      </c>
      <c r="C209" s="415"/>
      <c r="D209" s="51">
        <v>1</v>
      </c>
      <c r="E209" s="51">
        <v>1</v>
      </c>
      <c r="L209" s="51">
        <f t="shared" si="7"/>
        <v>1</v>
      </c>
    </row>
    <row r="210" spans="1:13">
      <c r="B210" s="415" t="s">
        <v>441</v>
      </c>
      <c r="C210" s="415"/>
      <c r="D210" s="51">
        <v>1</v>
      </c>
      <c r="E210" s="51">
        <v>2</v>
      </c>
      <c r="L210" s="51">
        <f t="shared" si="7"/>
        <v>2</v>
      </c>
    </row>
    <row r="211" spans="1:13">
      <c r="B211" s="415" t="s">
        <v>473</v>
      </c>
      <c r="C211" s="415"/>
      <c r="D211" s="51">
        <v>1</v>
      </c>
      <c r="E211" s="51">
        <v>1</v>
      </c>
      <c r="L211" s="51">
        <f t="shared" si="7"/>
        <v>1</v>
      </c>
    </row>
    <row r="212" spans="1:13">
      <c r="B212" s="415" t="s">
        <v>446</v>
      </c>
      <c r="C212" s="415"/>
      <c r="D212" s="51">
        <v>1</v>
      </c>
      <c r="E212" s="51">
        <v>1</v>
      </c>
      <c r="L212" s="51">
        <f t="shared" si="7"/>
        <v>1</v>
      </c>
    </row>
    <row r="213" spans="1:13">
      <c r="B213" s="415" t="s">
        <v>474</v>
      </c>
      <c r="C213" s="415"/>
      <c r="D213" s="51">
        <v>1</v>
      </c>
      <c r="E213" s="51">
        <v>2</v>
      </c>
      <c r="L213" s="51">
        <f t="shared" si="7"/>
        <v>2</v>
      </c>
    </row>
    <row r="214" spans="1:13">
      <c r="B214" s="415" t="s">
        <v>450</v>
      </c>
      <c r="C214" s="415"/>
      <c r="D214" s="51">
        <v>1</v>
      </c>
      <c r="E214" s="51">
        <v>1</v>
      </c>
      <c r="L214" s="51">
        <f t="shared" si="7"/>
        <v>1</v>
      </c>
    </row>
    <row r="215" spans="1:13">
      <c r="B215" s="415" t="s">
        <v>479</v>
      </c>
      <c r="C215" s="415"/>
      <c r="D215" s="51">
        <v>1</v>
      </c>
      <c r="E215" s="51">
        <v>4</v>
      </c>
      <c r="L215" s="51">
        <f t="shared" si="7"/>
        <v>4</v>
      </c>
    </row>
    <row r="216" spans="1:13">
      <c r="B216" s="415" t="s">
        <v>453</v>
      </c>
      <c r="C216" s="415"/>
      <c r="D216" s="51">
        <v>1</v>
      </c>
      <c r="E216" s="51">
        <v>4</v>
      </c>
      <c r="L216" s="51">
        <f t="shared" si="7"/>
        <v>4</v>
      </c>
    </row>
    <row r="217" spans="1:13">
      <c r="B217" s="415" t="s">
        <v>475</v>
      </c>
      <c r="C217" s="415"/>
      <c r="D217" s="51">
        <v>1</v>
      </c>
      <c r="E217" s="51">
        <v>4</v>
      </c>
      <c r="L217" s="51">
        <f t="shared" si="7"/>
        <v>4</v>
      </c>
    </row>
    <row r="218" spans="1:13">
      <c r="B218" s="415" t="s">
        <v>476</v>
      </c>
      <c r="C218" s="415"/>
      <c r="D218" s="51">
        <v>1</v>
      </c>
      <c r="E218" s="51">
        <v>3</v>
      </c>
      <c r="L218" s="51">
        <f t="shared" si="7"/>
        <v>3</v>
      </c>
    </row>
    <row r="219" spans="1:13">
      <c r="B219" s="415" t="s">
        <v>469</v>
      </c>
      <c r="C219" s="415"/>
      <c r="D219" s="51">
        <v>1</v>
      </c>
      <c r="E219" s="51">
        <v>3</v>
      </c>
      <c r="L219" s="51">
        <f t="shared" si="7"/>
        <v>3</v>
      </c>
    </row>
    <row r="220" spans="1:13">
      <c r="B220" s="415" t="s">
        <v>470</v>
      </c>
      <c r="C220" s="415"/>
      <c r="D220" s="51">
        <v>1</v>
      </c>
      <c r="E220" s="51">
        <v>2</v>
      </c>
      <c r="L220" s="51">
        <f t="shared" si="7"/>
        <v>2</v>
      </c>
    </row>
    <row r="222" spans="1:13" ht="15.75" thickBot="1"/>
    <row r="223" spans="1:13" ht="24" customHeight="1" thickBot="1">
      <c r="A223" s="83" t="e">
        <f>#REF!</f>
        <v>#REF!</v>
      </c>
      <c r="B223" s="409" t="e">
        <f>#REF!</f>
        <v>#REF!</v>
      </c>
      <c r="C223" s="410"/>
      <c r="D223" s="410"/>
      <c r="E223" s="410"/>
      <c r="F223" s="410"/>
      <c r="G223" s="410"/>
      <c r="H223" s="410"/>
      <c r="I223" s="410"/>
      <c r="J223" s="410"/>
      <c r="K223" s="410"/>
      <c r="L223" s="62"/>
      <c r="M223" s="44"/>
    </row>
    <row r="225" spans="1:13">
      <c r="B225" s="415" t="s">
        <v>464</v>
      </c>
      <c r="C225" s="415"/>
      <c r="L225" s="50">
        <v>49</v>
      </c>
    </row>
    <row r="226" spans="1:13" ht="15.75" thickBot="1"/>
    <row r="227" spans="1:13" ht="23.45" customHeight="1" thickBot="1">
      <c r="A227" s="83" t="e">
        <f>#REF!</f>
        <v>#REF!</v>
      </c>
      <c r="B227" s="409" t="e">
        <f>#REF!</f>
        <v>#REF!</v>
      </c>
      <c r="C227" s="410"/>
      <c r="D227" s="410"/>
      <c r="E227" s="410"/>
      <c r="F227" s="410"/>
      <c r="G227" s="410"/>
      <c r="H227" s="410"/>
      <c r="I227" s="410"/>
      <c r="J227" s="410"/>
      <c r="K227" s="410"/>
      <c r="L227" s="62"/>
      <c r="M227" s="44"/>
    </row>
    <row r="229" spans="1:13">
      <c r="B229" s="415" t="s">
        <v>464</v>
      </c>
      <c r="C229" s="415"/>
      <c r="L229" s="104">
        <v>3</v>
      </c>
    </row>
    <row r="230" spans="1:13" ht="15.75" thickBot="1"/>
    <row r="231" spans="1:13" ht="25.15" customHeight="1" thickBot="1">
      <c r="A231" s="83" t="e">
        <f>#REF!</f>
        <v>#REF!</v>
      </c>
      <c r="B231" s="409" t="e">
        <f>#REF!</f>
        <v>#REF!</v>
      </c>
      <c r="C231" s="410"/>
      <c r="D231" s="410"/>
      <c r="E231" s="410"/>
      <c r="F231" s="410"/>
      <c r="G231" s="410"/>
      <c r="H231" s="410"/>
      <c r="I231" s="410"/>
      <c r="J231" s="410"/>
      <c r="K231" s="410"/>
      <c r="L231" s="62"/>
      <c r="M231" s="44"/>
    </row>
    <row r="232" spans="1:13">
      <c r="B232" s="415"/>
      <c r="C232" s="415"/>
      <c r="L232" s="52">
        <f>SUM(L233:L257)</f>
        <v>63</v>
      </c>
    </row>
    <row r="233" spans="1:13">
      <c r="B233" s="415" t="s">
        <v>465</v>
      </c>
      <c r="C233" s="415"/>
      <c r="D233" s="51">
        <v>1</v>
      </c>
      <c r="E233" s="51">
        <v>2</v>
      </c>
      <c r="L233" s="51">
        <f>D233*E233</f>
        <v>2</v>
      </c>
    </row>
    <row r="234" spans="1:13">
      <c r="B234" s="415" t="s">
        <v>439</v>
      </c>
      <c r="C234" s="415"/>
      <c r="D234" s="51">
        <v>1</v>
      </c>
      <c r="E234" s="51">
        <v>1</v>
      </c>
      <c r="L234" s="51">
        <f t="shared" ref="L234:L257" si="8">D234*E234</f>
        <v>1</v>
      </c>
    </row>
    <row r="235" spans="1:13" ht="14.45" customHeight="1">
      <c r="B235" s="415" t="s">
        <v>437</v>
      </c>
      <c r="C235" s="415"/>
      <c r="D235" s="51">
        <v>1</v>
      </c>
      <c r="E235" s="51">
        <v>4</v>
      </c>
      <c r="L235" s="51">
        <f t="shared" si="8"/>
        <v>4</v>
      </c>
    </row>
    <row r="236" spans="1:13">
      <c r="B236" s="415" t="s">
        <v>466</v>
      </c>
      <c r="C236" s="415"/>
      <c r="D236" s="51">
        <v>1</v>
      </c>
      <c r="E236" s="51">
        <v>4</v>
      </c>
      <c r="L236" s="51">
        <f t="shared" si="8"/>
        <v>4</v>
      </c>
    </row>
    <row r="237" spans="1:13">
      <c r="B237" s="415" t="s">
        <v>477</v>
      </c>
      <c r="C237" s="415"/>
      <c r="D237" s="51">
        <v>1</v>
      </c>
      <c r="E237" s="51"/>
      <c r="L237" s="51">
        <f t="shared" si="8"/>
        <v>0</v>
      </c>
    </row>
    <row r="238" spans="1:13">
      <c r="B238" s="415" t="s">
        <v>467</v>
      </c>
      <c r="C238" s="415"/>
      <c r="D238" s="51">
        <v>1</v>
      </c>
      <c r="E238" s="51">
        <v>1</v>
      </c>
      <c r="L238" s="51">
        <f t="shared" si="8"/>
        <v>1</v>
      </c>
    </row>
    <row r="239" spans="1:13">
      <c r="B239" s="415" t="s">
        <v>468</v>
      </c>
      <c r="C239" s="415"/>
      <c r="D239" s="51">
        <v>1</v>
      </c>
      <c r="E239" s="51">
        <v>1</v>
      </c>
      <c r="L239" s="51">
        <f t="shared" si="8"/>
        <v>1</v>
      </c>
    </row>
    <row r="240" spans="1:13">
      <c r="B240" s="415" t="s">
        <v>469</v>
      </c>
      <c r="C240" s="415"/>
      <c r="D240" s="51">
        <v>1</v>
      </c>
      <c r="E240" s="51">
        <v>2</v>
      </c>
      <c r="L240" s="51">
        <f t="shared" si="8"/>
        <v>2</v>
      </c>
    </row>
    <row r="241" spans="2:12">
      <c r="B241" s="415" t="s">
        <v>470</v>
      </c>
      <c r="C241" s="415"/>
      <c r="D241" s="51">
        <v>1</v>
      </c>
      <c r="E241" s="51">
        <v>2</v>
      </c>
      <c r="L241" s="51">
        <f t="shared" si="8"/>
        <v>2</v>
      </c>
    </row>
    <row r="242" spans="2:12">
      <c r="B242" s="415" t="s">
        <v>468</v>
      </c>
      <c r="C242" s="415"/>
      <c r="D242" s="51">
        <v>1</v>
      </c>
      <c r="E242" s="51">
        <v>1</v>
      </c>
      <c r="L242" s="51">
        <f t="shared" si="8"/>
        <v>1</v>
      </c>
    </row>
    <row r="243" spans="2:12">
      <c r="B243" s="415" t="s">
        <v>445</v>
      </c>
      <c r="C243" s="415"/>
      <c r="D243" s="51">
        <v>1</v>
      </c>
      <c r="E243" s="51">
        <v>1</v>
      </c>
      <c r="L243" s="51">
        <f t="shared" si="8"/>
        <v>1</v>
      </c>
    </row>
    <row r="244" spans="2:12">
      <c r="B244" s="415" t="s">
        <v>471</v>
      </c>
      <c r="C244" s="415"/>
      <c r="D244" s="51">
        <v>1</v>
      </c>
      <c r="E244" s="51">
        <v>2</v>
      </c>
      <c r="L244" s="51">
        <f t="shared" si="8"/>
        <v>2</v>
      </c>
    </row>
    <row r="245" spans="2:12">
      <c r="B245" s="415" t="s">
        <v>478</v>
      </c>
      <c r="C245" s="415"/>
      <c r="D245" s="51">
        <v>1</v>
      </c>
      <c r="E245" s="51">
        <v>5</v>
      </c>
      <c r="L245" s="51">
        <f t="shared" si="8"/>
        <v>5</v>
      </c>
    </row>
    <row r="246" spans="2:12">
      <c r="B246" s="415" t="s">
        <v>472</v>
      </c>
      <c r="C246" s="415"/>
      <c r="D246" s="51">
        <v>1</v>
      </c>
      <c r="E246" s="51">
        <v>1</v>
      </c>
      <c r="L246" s="51">
        <f t="shared" si="8"/>
        <v>1</v>
      </c>
    </row>
    <row r="247" spans="2:12">
      <c r="B247" s="415" t="s">
        <v>441</v>
      </c>
      <c r="C247" s="415"/>
      <c r="D247" s="51">
        <v>1</v>
      </c>
      <c r="E247" s="51">
        <v>4</v>
      </c>
      <c r="L247" s="51">
        <f t="shared" si="8"/>
        <v>4</v>
      </c>
    </row>
    <row r="248" spans="2:12">
      <c r="B248" s="415" t="s">
        <v>473</v>
      </c>
      <c r="C248" s="415"/>
      <c r="D248" s="51">
        <v>1</v>
      </c>
      <c r="E248" s="51">
        <v>1</v>
      </c>
      <c r="L248" s="51">
        <f t="shared" si="8"/>
        <v>1</v>
      </c>
    </row>
    <row r="249" spans="2:12">
      <c r="B249" s="415" t="s">
        <v>446</v>
      </c>
      <c r="C249" s="415"/>
      <c r="D249" s="51">
        <v>1</v>
      </c>
      <c r="E249" s="51">
        <v>1</v>
      </c>
      <c r="L249" s="51">
        <f t="shared" si="8"/>
        <v>1</v>
      </c>
    </row>
    <row r="250" spans="2:12">
      <c r="B250" s="415" t="s">
        <v>474</v>
      </c>
      <c r="C250" s="415"/>
      <c r="D250" s="51">
        <v>1</v>
      </c>
      <c r="E250" s="51">
        <v>3</v>
      </c>
      <c r="L250" s="51">
        <f t="shared" si="8"/>
        <v>3</v>
      </c>
    </row>
    <row r="251" spans="2:12">
      <c r="B251" s="415" t="s">
        <v>450</v>
      </c>
      <c r="C251" s="415"/>
      <c r="D251" s="51">
        <v>1</v>
      </c>
      <c r="E251" s="51">
        <v>1</v>
      </c>
      <c r="L251" s="51">
        <f t="shared" si="8"/>
        <v>1</v>
      </c>
    </row>
    <row r="252" spans="2:12">
      <c r="B252" s="415" t="s">
        <v>479</v>
      </c>
      <c r="C252" s="415"/>
      <c r="D252" s="51">
        <v>1</v>
      </c>
      <c r="E252" s="51">
        <v>5</v>
      </c>
      <c r="L252" s="51">
        <f t="shared" si="8"/>
        <v>5</v>
      </c>
    </row>
    <row r="253" spans="2:12">
      <c r="B253" s="415" t="s">
        <v>453</v>
      </c>
      <c r="C253" s="415"/>
      <c r="D253" s="51">
        <v>1</v>
      </c>
      <c r="E253" s="51">
        <v>4</v>
      </c>
      <c r="L253" s="51">
        <f t="shared" si="8"/>
        <v>4</v>
      </c>
    </row>
    <row r="254" spans="2:12">
      <c r="B254" s="415" t="s">
        <v>475</v>
      </c>
      <c r="C254" s="415"/>
      <c r="D254" s="51">
        <v>1</v>
      </c>
      <c r="E254" s="51">
        <v>5</v>
      </c>
      <c r="L254" s="51">
        <f t="shared" si="8"/>
        <v>5</v>
      </c>
    </row>
    <row r="255" spans="2:12">
      <c r="B255" s="415" t="s">
        <v>476</v>
      </c>
      <c r="C255" s="415"/>
      <c r="D255" s="51">
        <v>1</v>
      </c>
      <c r="E255" s="51">
        <v>4</v>
      </c>
      <c r="L255" s="51">
        <f t="shared" si="8"/>
        <v>4</v>
      </c>
    </row>
    <row r="256" spans="2:12">
      <c r="B256" s="415" t="s">
        <v>469</v>
      </c>
      <c r="C256" s="415"/>
      <c r="D256" s="51">
        <v>1</v>
      </c>
      <c r="E256" s="51">
        <v>5</v>
      </c>
      <c r="L256" s="51">
        <f t="shared" si="8"/>
        <v>5</v>
      </c>
    </row>
    <row r="257" spans="1:13">
      <c r="B257" s="415" t="s">
        <v>470</v>
      </c>
      <c r="C257" s="415"/>
      <c r="D257" s="51">
        <v>1</v>
      </c>
      <c r="E257" s="51">
        <v>3</v>
      </c>
      <c r="L257" s="51">
        <f t="shared" si="8"/>
        <v>3</v>
      </c>
    </row>
    <row r="258" spans="1:13" ht="15.75" thickBot="1"/>
    <row r="259" spans="1:13" ht="15.75" thickBot="1">
      <c r="A259" s="83" t="e">
        <f>#REF!</f>
        <v>#REF!</v>
      </c>
      <c r="B259" s="409" t="e">
        <f>#REF!</f>
        <v>#REF!</v>
      </c>
      <c r="C259" s="410"/>
      <c r="D259" s="410"/>
      <c r="E259" s="410"/>
      <c r="F259" s="410"/>
      <c r="G259" s="410"/>
      <c r="H259" s="410"/>
      <c r="I259" s="410"/>
      <c r="J259" s="410"/>
      <c r="K259" s="410"/>
      <c r="L259" s="62"/>
      <c r="M259" s="44"/>
    </row>
    <row r="261" spans="1:13">
      <c r="B261" s="415" t="s">
        <v>464</v>
      </c>
      <c r="C261" s="415"/>
      <c r="L261" s="50">
        <v>1</v>
      </c>
    </row>
    <row r="262" spans="1:13" ht="15.75" thickBot="1"/>
    <row r="263" spans="1:13" ht="22.9" customHeight="1" thickBot="1">
      <c r="A263" s="83" t="e">
        <f>#REF!</f>
        <v>#REF!</v>
      </c>
      <c r="B263" s="409" t="e">
        <f>#REF!</f>
        <v>#REF!</v>
      </c>
      <c r="C263" s="410"/>
      <c r="D263" s="410"/>
      <c r="E263" s="410"/>
      <c r="F263" s="410"/>
      <c r="G263" s="410"/>
      <c r="H263" s="410"/>
      <c r="I263" s="410"/>
      <c r="J263" s="410"/>
      <c r="K263" s="410"/>
      <c r="L263" s="62"/>
      <c r="M263" s="44"/>
    </row>
    <row r="265" spans="1:13">
      <c r="B265" s="415" t="s">
        <v>464</v>
      </c>
      <c r="C265" s="415"/>
      <c r="L265" s="50">
        <v>1</v>
      </c>
    </row>
    <row r="266" spans="1:13" ht="15.75" thickBot="1"/>
    <row r="267" spans="1:13" ht="21" customHeight="1" thickBot="1">
      <c r="A267" s="83" t="e">
        <f>#REF!</f>
        <v>#REF!</v>
      </c>
      <c r="B267" s="409" t="e">
        <f>#REF!</f>
        <v>#REF!</v>
      </c>
      <c r="C267" s="410"/>
      <c r="D267" s="410"/>
      <c r="E267" s="410"/>
      <c r="F267" s="410"/>
      <c r="G267" s="410"/>
      <c r="H267" s="410"/>
      <c r="I267" s="410"/>
      <c r="J267" s="410"/>
      <c r="K267" s="410"/>
      <c r="L267" s="62"/>
      <c r="M267" s="44"/>
    </row>
    <row r="269" spans="1:13">
      <c r="B269" s="415"/>
      <c r="C269" s="415"/>
      <c r="L269" s="50">
        <v>7</v>
      </c>
    </row>
    <row r="271" spans="1:13" ht="15.75" thickBot="1"/>
    <row r="272" spans="1:13" ht="15.75" thickBot="1">
      <c r="A272" s="83" t="e">
        <f>#REF!</f>
        <v>#REF!</v>
      </c>
      <c r="B272" s="409" t="e">
        <f>#REF!</f>
        <v>#REF!</v>
      </c>
      <c r="C272" s="410"/>
      <c r="D272" s="410"/>
      <c r="E272" s="410"/>
      <c r="F272" s="410"/>
      <c r="G272" s="410"/>
      <c r="H272" s="410"/>
      <c r="I272" s="410"/>
      <c r="J272" s="410"/>
      <c r="K272" s="410"/>
      <c r="L272" s="62"/>
      <c r="M272" s="44"/>
    </row>
    <row r="274" spans="1:13">
      <c r="B274" s="415" t="s">
        <v>464</v>
      </c>
      <c r="C274" s="415"/>
      <c r="L274" s="50">
        <v>1</v>
      </c>
    </row>
    <row r="276" spans="1:13" ht="15.75" thickBot="1"/>
    <row r="277" spans="1:13" ht="24" customHeight="1" thickBot="1">
      <c r="A277" s="83" t="e">
        <f>#REF!</f>
        <v>#REF!</v>
      </c>
      <c r="B277" s="409" t="e">
        <f>#REF!</f>
        <v>#REF!</v>
      </c>
      <c r="C277" s="410"/>
      <c r="D277" s="410"/>
      <c r="E277" s="410"/>
      <c r="F277" s="410"/>
      <c r="G277" s="410"/>
      <c r="H277" s="410"/>
      <c r="I277" s="410"/>
      <c r="J277" s="410"/>
      <c r="K277" s="410"/>
      <c r="L277" s="62"/>
      <c r="M277" s="44"/>
    </row>
    <row r="278" spans="1:13">
      <c r="L278" s="52">
        <f>SUM(L279:L300)</f>
        <v>35</v>
      </c>
    </row>
    <row r="279" spans="1:13">
      <c r="B279" s="415" t="s">
        <v>465</v>
      </c>
      <c r="C279" s="415"/>
      <c r="D279" s="51">
        <v>1</v>
      </c>
      <c r="E279" s="51">
        <v>2</v>
      </c>
      <c r="L279" s="50">
        <f>D279*E279</f>
        <v>2</v>
      </c>
    </row>
    <row r="280" spans="1:13">
      <c r="B280" s="415" t="s">
        <v>439</v>
      </c>
      <c r="C280" s="415"/>
      <c r="D280" s="51">
        <v>1</v>
      </c>
      <c r="E280" s="51">
        <v>1</v>
      </c>
      <c r="L280" s="50">
        <f t="shared" ref="L280:L300" si="9">D280*E280</f>
        <v>1</v>
      </c>
    </row>
    <row r="281" spans="1:13">
      <c r="B281" s="415" t="s">
        <v>437</v>
      </c>
      <c r="C281" s="415"/>
      <c r="D281" s="51">
        <v>1</v>
      </c>
      <c r="E281" s="51">
        <v>2</v>
      </c>
      <c r="L281" s="50">
        <f t="shared" si="9"/>
        <v>2</v>
      </c>
    </row>
    <row r="282" spans="1:13">
      <c r="B282" s="415" t="s">
        <v>466</v>
      </c>
      <c r="C282" s="415"/>
      <c r="D282" s="51">
        <v>1</v>
      </c>
      <c r="E282" s="51">
        <v>2</v>
      </c>
      <c r="L282" s="50">
        <f t="shared" si="9"/>
        <v>2</v>
      </c>
    </row>
    <row r="283" spans="1:13">
      <c r="B283" s="415" t="s">
        <v>469</v>
      </c>
      <c r="C283" s="415"/>
      <c r="D283" s="51">
        <v>1</v>
      </c>
      <c r="E283" s="51">
        <v>1</v>
      </c>
      <c r="L283" s="50">
        <f t="shared" si="9"/>
        <v>1</v>
      </c>
    </row>
    <row r="284" spans="1:13">
      <c r="B284" s="415" t="s">
        <v>470</v>
      </c>
      <c r="C284" s="415"/>
      <c r="D284" s="51">
        <v>1</v>
      </c>
      <c r="E284" s="51">
        <v>1</v>
      </c>
      <c r="L284" s="50">
        <f t="shared" si="9"/>
        <v>1</v>
      </c>
    </row>
    <row r="285" spans="1:13">
      <c r="B285" s="415" t="s">
        <v>468</v>
      </c>
      <c r="C285" s="415"/>
      <c r="D285" s="51">
        <v>1</v>
      </c>
      <c r="E285" s="51">
        <v>1</v>
      </c>
      <c r="L285" s="50">
        <f t="shared" si="9"/>
        <v>1</v>
      </c>
    </row>
    <row r="286" spans="1:13">
      <c r="B286" s="415" t="s">
        <v>445</v>
      </c>
      <c r="C286" s="415"/>
      <c r="D286" s="51">
        <v>1</v>
      </c>
      <c r="E286" s="51">
        <v>1</v>
      </c>
      <c r="L286" s="50">
        <f t="shared" si="9"/>
        <v>1</v>
      </c>
    </row>
    <row r="287" spans="1:13">
      <c r="B287" s="415" t="s">
        <v>471</v>
      </c>
      <c r="C287" s="415"/>
      <c r="D287" s="51">
        <v>1</v>
      </c>
      <c r="E287" s="51">
        <v>2</v>
      </c>
      <c r="L287" s="50">
        <f t="shared" si="9"/>
        <v>2</v>
      </c>
    </row>
    <row r="288" spans="1:13" ht="15" customHeight="1">
      <c r="B288" s="415" t="s">
        <v>478</v>
      </c>
      <c r="C288" s="415"/>
      <c r="D288" s="51">
        <v>1</v>
      </c>
      <c r="E288" s="51">
        <v>2</v>
      </c>
      <c r="L288" s="50">
        <f t="shared" si="9"/>
        <v>2</v>
      </c>
    </row>
    <row r="289" spans="1:13" ht="29.45" customHeight="1">
      <c r="B289" s="415" t="s">
        <v>472</v>
      </c>
      <c r="C289" s="415"/>
      <c r="D289" s="51">
        <v>1</v>
      </c>
      <c r="E289" s="51">
        <v>1</v>
      </c>
      <c r="L289" s="50">
        <f t="shared" si="9"/>
        <v>1</v>
      </c>
    </row>
    <row r="290" spans="1:13">
      <c r="B290" s="415" t="s">
        <v>441</v>
      </c>
      <c r="C290" s="415"/>
      <c r="D290" s="51">
        <v>1</v>
      </c>
      <c r="E290" s="51">
        <v>1</v>
      </c>
      <c r="L290" s="50">
        <f t="shared" si="9"/>
        <v>1</v>
      </c>
    </row>
    <row r="291" spans="1:13">
      <c r="B291" s="415" t="s">
        <v>473</v>
      </c>
      <c r="C291" s="415"/>
      <c r="D291" s="51">
        <v>1</v>
      </c>
      <c r="E291" s="51">
        <v>1</v>
      </c>
      <c r="L291" s="50">
        <f t="shared" si="9"/>
        <v>1</v>
      </c>
    </row>
    <row r="292" spans="1:13">
      <c r="B292" s="415" t="s">
        <v>446</v>
      </c>
      <c r="C292" s="415"/>
      <c r="D292" s="51">
        <v>1</v>
      </c>
      <c r="E292" s="51">
        <v>1</v>
      </c>
      <c r="L292" s="50">
        <f t="shared" si="9"/>
        <v>1</v>
      </c>
    </row>
    <row r="293" spans="1:13">
      <c r="B293" s="415" t="s">
        <v>474</v>
      </c>
      <c r="C293" s="415"/>
      <c r="D293" s="51">
        <v>1</v>
      </c>
      <c r="E293" s="51">
        <v>2</v>
      </c>
      <c r="L293" s="50">
        <f t="shared" si="9"/>
        <v>2</v>
      </c>
    </row>
    <row r="294" spans="1:13">
      <c r="B294" s="415" t="s">
        <v>450</v>
      </c>
      <c r="C294" s="415"/>
      <c r="D294" s="51">
        <v>1</v>
      </c>
      <c r="E294" s="51">
        <v>1</v>
      </c>
      <c r="L294" s="50">
        <f t="shared" si="9"/>
        <v>1</v>
      </c>
    </row>
    <row r="295" spans="1:13">
      <c r="B295" s="415" t="s">
        <v>479</v>
      </c>
      <c r="C295" s="415"/>
      <c r="D295" s="51">
        <v>1</v>
      </c>
      <c r="E295" s="51">
        <v>2</v>
      </c>
      <c r="L295" s="50">
        <f t="shared" si="9"/>
        <v>2</v>
      </c>
    </row>
    <row r="296" spans="1:13">
      <c r="B296" s="415" t="s">
        <v>453</v>
      </c>
      <c r="C296" s="415"/>
      <c r="D296" s="51">
        <v>1</v>
      </c>
      <c r="E296" s="51">
        <v>2</v>
      </c>
      <c r="L296" s="50">
        <f t="shared" si="9"/>
        <v>2</v>
      </c>
    </row>
    <row r="297" spans="1:13">
      <c r="B297" s="415" t="s">
        <v>475</v>
      </c>
      <c r="C297" s="415"/>
      <c r="D297" s="51">
        <v>1</v>
      </c>
      <c r="E297" s="51">
        <v>3</v>
      </c>
      <c r="L297" s="50">
        <f t="shared" si="9"/>
        <v>3</v>
      </c>
    </row>
    <row r="298" spans="1:13">
      <c r="B298" s="415" t="s">
        <v>476</v>
      </c>
      <c r="C298" s="415"/>
      <c r="D298" s="51">
        <v>1</v>
      </c>
      <c r="E298" s="51">
        <v>2</v>
      </c>
      <c r="L298" s="50">
        <f t="shared" si="9"/>
        <v>2</v>
      </c>
    </row>
    <row r="299" spans="1:13">
      <c r="B299" s="415" t="s">
        <v>469</v>
      </c>
      <c r="C299" s="415"/>
      <c r="D299" s="51">
        <v>1</v>
      </c>
      <c r="E299" s="51">
        <v>2</v>
      </c>
      <c r="L299" s="50">
        <f t="shared" si="9"/>
        <v>2</v>
      </c>
    </row>
    <row r="300" spans="1:13">
      <c r="B300" s="415" t="s">
        <v>470</v>
      </c>
      <c r="C300" s="415"/>
      <c r="D300" s="51">
        <v>1</v>
      </c>
      <c r="E300" s="51">
        <v>2</v>
      </c>
      <c r="L300" s="50">
        <f t="shared" si="9"/>
        <v>2</v>
      </c>
    </row>
    <row r="301" spans="1:13" ht="15.75" thickBot="1"/>
    <row r="302" spans="1:13" ht="27" customHeight="1" thickBot="1">
      <c r="A302" s="83" t="e">
        <f>#REF!</f>
        <v>#REF!</v>
      </c>
      <c r="B302" s="409" t="e">
        <f>#REF!</f>
        <v>#REF!</v>
      </c>
      <c r="C302" s="410"/>
      <c r="D302" s="410"/>
      <c r="E302" s="410"/>
      <c r="F302" s="410"/>
      <c r="G302" s="410"/>
      <c r="H302" s="410"/>
      <c r="I302" s="410"/>
      <c r="J302" s="410"/>
      <c r="K302" s="410"/>
      <c r="L302" s="62"/>
      <c r="M302" s="44"/>
    </row>
    <row r="304" spans="1:13">
      <c r="B304" s="415" t="s">
        <v>464</v>
      </c>
      <c r="C304" s="415"/>
      <c r="L304" s="50">
        <v>32</v>
      </c>
    </row>
    <row r="305" spans="1:13" ht="15.75" thickBot="1"/>
    <row r="306" spans="1:13" ht="15.75" thickBot="1">
      <c r="A306" s="83" t="e">
        <f>#REF!</f>
        <v>#REF!</v>
      </c>
      <c r="B306" s="409" t="e">
        <f>#REF!</f>
        <v>#REF!</v>
      </c>
      <c r="C306" s="410"/>
      <c r="D306" s="410"/>
      <c r="E306" s="410"/>
      <c r="F306" s="410"/>
      <c r="G306" s="410"/>
      <c r="H306" s="410"/>
      <c r="I306" s="410"/>
      <c r="J306" s="410"/>
      <c r="K306" s="410"/>
      <c r="L306" s="62"/>
      <c r="M306" s="44"/>
    </row>
    <row r="308" spans="1:13">
      <c r="B308" s="415" t="s">
        <v>464</v>
      </c>
      <c r="C308" s="415"/>
      <c r="L308" s="50">
        <v>2</v>
      </c>
    </row>
    <row r="310" spans="1:13" ht="15.75" thickBot="1"/>
    <row r="311" spans="1:13" ht="23.45" customHeight="1" thickBot="1">
      <c r="A311" s="83" t="e">
        <f>#REF!</f>
        <v>#REF!</v>
      </c>
      <c r="B311" s="409" t="e">
        <f>#REF!</f>
        <v>#REF!</v>
      </c>
      <c r="C311" s="410"/>
      <c r="D311" s="410"/>
      <c r="E311" s="410"/>
      <c r="F311" s="410"/>
      <c r="G311" s="410"/>
      <c r="H311" s="410"/>
      <c r="I311" s="410"/>
      <c r="J311" s="410"/>
      <c r="K311" s="410"/>
      <c r="L311" s="62"/>
      <c r="M311" s="44"/>
    </row>
    <row r="312" spans="1:13">
      <c r="L312" s="52">
        <f>SUM(L313:L336)</f>
        <v>25</v>
      </c>
    </row>
    <row r="313" spans="1:13">
      <c r="B313" s="415" t="s">
        <v>465</v>
      </c>
      <c r="C313" s="415"/>
      <c r="D313" s="51">
        <v>1</v>
      </c>
      <c r="E313">
        <v>1</v>
      </c>
      <c r="L313" s="99">
        <f>D313*E313</f>
        <v>1</v>
      </c>
    </row>
    <row r="314" spans="1:13">
      <c r="B314" s="415" t="s">
        <v>439</v>
      </c>
      <c r="C314" s="415"/>
      <c r="D314" s="51">
        <v>1</v>
      </c>
      <c r="L314" s="99">
        <f t="shared" ref="L314:L336" si="10">D314*E314</f>
        <v>0</v>
      </c>
    </row>
    <row r="315" spans="1:13">
      <c r="B315" s="415" t="s">
        <v>437</v>
      </c>
      <c r="C315" s="415"/>
      <c r="D315" s="51">
        <v>1</v>
      </c>
      <c r="E315">
        <v>1</v>
      </c>
      <c r="L315" s="99">
        <f t="shared" si="10"/>
        <v>1</v>
      </c>
    </row>
    <row r="316" spans="1:13">
      <c r="B316" s="415" t="s">
        <v>466</v>
      </c>
      <c r="C316" s="415"/>
      <c r="D316" s="51">
        <v>1</v>
      </c>
      <c r="E316">
        <v>1</v>
      </c>
      <c r="L316" s="99">
        <f t="shared" si="10"/>
        <v>1</v>
      </c>
    </row>
    <row r="317" spans="1:13">
      <c r="B317" s="415" t="s">
        <v>467</v>
      </c>
      <c r="C317" s="415"/>
      <c r="D317" s="51">
        <v>1</v>
      </c>
      <c r="L317" s="99">
        <f t="shared" si="10"/>
        <v>0</v>
      </c>
    </row>
    <row r="318" spans="1:13">
      <c r="B318" s="415" t="s">
        <v>468</v>
      </c>
      <c r="C318" s="415"/>
      <c r="D318" s="51">
        <v>1</v>
      </c>
      <c r="E318">
        <v>1</v>
      </c>
      <c r="L318" s="99">
        <f t="shared" si="10"/>
        <v>1</v>
      </c>
    </row>
    <row r="319" spans="1:13">
      <c r="B319" s="415" t="s">
        <v>469</v>
      </c>
      <c r="C319" s="415"/>
      <c r="D319" s="51">
        <v>1</v>
      </c>
      <c r="E319">
        <v>1</v>
      </c>
      <c r="L319" s="99">
        <f t="shared" si="10"/>
        <v>1</v>
      </c>
    </row>
    <row r="320" spans="1:13">
      <c r="B320" s="415" t="s">
        <v>470</v>
      </c>
      <c r="C320" s="415"/>
      <c r="D320" s="51">
        <v>1</v>
      </c>
      <c r="E320">
        <v>1</v>
      </c>
      <c r="L320" s="99">
        <f t="shared" si="10"/>
        <v>1</v>
      </c>
    </row>
    <row r="321" spans="2:12">
      <c r="B321" s="415" t="s">
        <v>468</v>
      </c>
      <c r="C321" s="415"/>
      <c r="D321" s="51">
        <v>1</v>
      </c>
      <c r="E321">
        <v>1</v>
      </c>
      <c r="L321" s="99">
        <f t="shared" si="10"/>
        <v>1</v>
      </c>
    </row>
    <row r="322" spans="2:12">
      <c r="B322" s="415" t="s">
        <v>445</v>
      </c>
      <c r="C322" s="415"/>
      <c r="D322" s="51">
        <v>1</v>
      </c>
      <c r="E322">
        <v>1</v>
      </c>
      <c r="L322" s="99">
        <f t="shared" si="10"/>
        <v>1</v>
      </c>
    </row>
    <row r="323" spans="2:12">
      <c r="B323" s="415" t="s">
        <v>471</v>
      </c>
      <c r="C323" s="415"/>
      <c r="D323" s="51">
        <v>1</v>
      </c>
      <c r="E323">
        <v>1</v>
      </c>
      <c r="L323" s="99">
        <f t="shared" si="10"/>
        <v>1</v>
      </c>
    </row>
    <row r="324" spans="2:12" ht="31.15" customHeight="1">
      <c r="B324" s="415" t="s">
        <v>478</v>
      </c>
      <c r="C324" s="415"/>
      <c r="D324" s="51">
        <v>1</v>
      </c>
      <c r="E324">
        <v>2</v>
      </c>
      <c r="L324" s="99">
        <f t="shared" si="10"/>
        <v>2</v>
      </c>
    </row>
    <row r="325" spans="2:12" ht="15" customHeight="1">
      <c r="B325" s="415" t="s">
        <v>472</v>
      </c>
      <c r="C325" s="415"/>
      <c r="D325" s="51">
        <v>1</v>
      </c>
      <c r="E325">
        <v>1</v>
      </c>
      <c r="L325" s="99">
        <f t="shared" si="10"/>
        <v>1</v>
      </c>
    </row>
    <row r="326" spans="2:12" ht="12.6" customHeight="1">
      <c r="B326" s="415" t="s">
        <v>441</v>
      </c>
      <c r="C326" s="415"/>
      <c r="D326" s="51">
        <v>1</v>
      </c>
      <c r="E326">
        <v>1</v>
      </c>
      <c r="L326" s="99">
        <f t="shared" si="10"/>
        <v>1</v>
      </c>
    </row>
    <row r="327" spans="2:12">
      <c r="B327" s="415" t="s">
        <v>473</v>
      </c>
      <c r="C327" s="415"/>
      <c r="D327" s="51">
        <v>1</v>
      </c>
      <c r="E327">
        <v>1</v>
      </c>
      <c r="L327" s="99">
        <f t="shared" si="10"/>
        <v>1</v>
      </c>
    </row>
    <row r="328" spans="2:12">
      <c r="B328" s="415" t="s">
        <v>446</v>
      </c>
      <c r="C328" s="415"/>
      <c r="D328" s="51">
        <v>1</v>
      </c>
      <c r="E328">
        <v>1</v>
      </c>
      <c r="L328" s="99">
        <f t="shared" si="10"/>
        <v>1</v>
      </c>
    </row>
    <row r="329" spans="2:12">
      <c r="B329" s="415" t="s">
        <v>474</v>
      </c>
      <c r="C329" s="415"/>
      <c r="D329" s="51">
        <v>1</v>
      </c>
      <c r="E329">
        <v>1</v>
      </c>
      <c r="L329" s="99">
        <f t="shared" si="10"/>
        <v>1</v>
      </c>
    </row>
    <row r="330" spans="2:12">
      <c r="B330" s="415" t="s">
        <v>450</v>
      </c>
      <c r="C330" s="415"/>
      <c r="D330" s="51">
        <v>1</v>
      </c>
      <c r="E330">
        <v>1</v>
      </c>
      <c r="L330" s="99">
        <f t="shared" si="10"/>
        <v>1</v>
      </c>
    </row>
    <row r="331" spans="2:12">
      <c r="B331" s="415" t="s">
        <v>479</v>
      </c>
      <c r="C331" s="415"/>
      <c r="D331" s="51">
        <v>1</v>
      </c>
      <c r="E331">
        <v>2</v>
      </c>
      <c r="L331" s="99">
        <f t="shared" si="10"/>
        <v>2</v>
      </c>
    </row>
    <row r="332" spans="2:12">
      <c r="B332" s="415" t="s">
        <v>453</v>
      </c>
      <c r="C332" s="415"/>
      <c r="D332" s="51">
        <v>1</v>
      </c>
      <c r="E332">
        <v>2</v>
      </c>
      <c r="L332" s="99">
        <f t="shared" si="10"/>
        <v>2</v>
      </c>
    </row>
    <row r="333" spans="2:12">
      <c r="B333" s="415" t="s">
        <v>475</v>
      </c>
      <c r="C333" s="415"/>
      <c r="D333" s="51">
        <v>1</v>
      </c>
      <c r="E333">
        <v>1</v>
      </c>
      <c r="L333" s="99">
        <f t="shared" si="10"/>
        <v>1</v>
      </c>
    </row>
    <row r="334" spans="2:12" ht="33.6" customHeight="1">
      <c r="B334" s="415" t="s">
        <v>476</v>
      </c>
      <c r="C334" s="415"/>
      <c r="D334" s="51">
        <v>1</v>
      </c>
      <c r="E334">
        <v>1</v>
      </c>
      <c r="L334" s="99">
        <f t="shared" si="10"/>
        <v>1</v>
      </c>
    </row>
    <row r="335" spans="2:12">
      <c r="B335" s="415" t="s">
        <v>469</v>
      </c>
      <c r="C335" s="415"/>
      <c r="D335" s="51">
        <v>1</v>
      </c>
      <c r="E335">
        <v>1</v>
      </c>
      <c r="L335" s="99">
        <f t="shared" si="10"/>
        <v>1</v>
      </c>
    </row>
    <row r="336" spans="2:12">
      <c r="B336" s="415" t="s">
        <v>470</v>
      </c>
      <c r="C336" s="415"/>
      <c r="D336" s="51">
        <v>1</v>
      </c>
      <c r="E336">
        <v>1</v>
      </c>
      <c r="L336" s="99">
        <f t="shared" si="10"/>
        <v>1</v>
      </c>
    </row>
    <row r="337" spans="1:13" ht="15.75" thickBot="1"/>
    <row r="338" spans="1:13" ht="24" customHeight="1" thickBot="1">
      <c r="A338" s="83" t="e">
        <f>#REF!</f>
        <v>#REF!</v>
      </c>
      <c r="B338" s="409" t="e">
        <f>#REF!</f>
        <v>#REF!</v>
      </c>
      <c r="C338" s="410"/>
      <c r="D338" s="410"/>
      <c r="E338" s="410"/>
      <c r="F338" s="410"/>
      <c r="G338" s="410"/>
      <c r="H338" s="410"/>
      <c r="I338" s="410"/>
      <c r="J338" s="410"/>
      <c r="K338" s="410"/>
      <c r="L338" s="62"/>
      <c r="M338" s="44"/>
    </row>
    <row r="339" spans="1:13">
      <c r="L339" s="52">
        <f>SUM(L340:L342)</f>
        <v>3</v>
      </c>
    </row>
    <row r="340" spans="1:13" ht="24" customHeight="1">
      <c r="B340" s="415" t="s">
        <v>437</v>
      </c>
      <c r="C340" s="415"/>
      <c r="D340" s="51">
        <v>1</v>
      </c>
      <c r="E340" s="50">
        <v>1</v>
      </c>
      <c r="L340" s="99">
        <f>E340*D340</f>
        <v>1</v>
      </c>
    </row>
    <row r="341" spans="1:13">
      <c r="B341" s="415" t="s">
        <v>466</v>
      </c>
      <c r="C341" s="415"/>
      <c r="D341" s="51">
        <v>1</v>
      </c>
      <c r="E341" s="50">
        <v>1</v>
      </c>
      <c r="L341" s="99">
        <f t="shared" ref="L341:L342" si="11">E341*D341</f>
        <v>1</v>
      </c>
    </row>
    <row r="342" spans="1:13">
      <c r="B342" s="415" t="s">
        <v>453</v>
      </c>
      <c r="C342" s="415"/>
      <c r="D342" s="51">
        <v>1</v>
      </c>
      <c r="E342" s="50">
        <v>1</v>
      </c>
      <c r="L342" s="99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ORÇAMENTO</vt:lpstr>
      <vt:lpstr>REPROGRAMAÇÃO</vt:lpstr>
      <vt:lpstr>BM_06</vt:lpstr>
      <vt:lpstr>MEM</vt:lpstr>
      <vt:lpstr>relatório fotográfico</vt:lpstr>
      <vt:lpstr>MEM_</vt:lpstr>
      <vt:lpstr>MEM_05</vt:lpstr>
      <vt:lpstr>BM_06!Area_de_impressao</vt:lpstr>
      <vt:lpstr>MEM!Area_de_impressao</vt:lpstr>
      <vt:lpstr>MEM_!Area_de_impressao</vt:lpstr>
      <vt:lpstr>MEM_05!Area_de_impressao</vt:lpstr>
      <vt:lpstr>'relatório fotográfico'!Area_de_impressao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2023-11-10T16:40:23Z</cp:lastPrinted>
  <dcterms:created xsi:type="dcterms:W3CDTF">2015-06-05T18:19:34Z</dcterms:created>
  <dcterms:modified xsi:type="dcterms:W3CDTF">2023-12-28T14:55:33Z</dcterms:modified>
</cp:coreProperties>
</file>