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PREFEITURA\HELDER 2025-2028\CENTRO DE ONCOLOGIA\BMS\"/>
    </mc:Choice>
  </mc:AlternateContent>
  <xr:revisionPtr revIDLastSave="0" documentId="13_ncr:1_{CAD5CAFB-A07D-461B-A4A9-83C37FF6FA11}" xr6:coauthVersionLast="47" xr6:coauthVersionMax="47" xr10:uidLastSave="{00000000-0000-0000-0000-000000000000}"/>
  <bookViews>
    <workbookView xWindow="-120" yWindow="-120" windowWidth="20730" windowHeight="11040" firstSheet="2" activeTab="2" xr2:uid="{00000000-000D-0000-FFFF-FFFF00000000}"/>
  </bookViews>
  <sheets>
    <sheet name="ORÇAMENTO" sheetId="3" state="hidden" r:id="rId1"/>
    <sheet name="REPROGRAMAÇÃO" sheetId="14" state="hidden" r:id="rId2"/>
    <sheet name="BM_15" sheetId="11" r:id="rId3"/>
    <sheet name="MEMORIA DE CALCULO" sheetId="21" r:id="rId4"/>
    <sheet name="RELATORIO FOTO" sheetId="22" r:id="rId5"/>
    <sheet name="RELATÓRIO FOTOGRÁFICO" sheetId="20" state="hidden" r:id="rId6"/>
    <sheet name="MEM" sheetId="15" state="hidden" r:id="rId7"/>
    <sheet name="BM10" sheetId="19" state="hidden" r:id="rId8"/>
    <sheet name="BM09" sheetId="18" state="hidden" r:id="rId9"/>
    <sheet name="PLANILHA PÓS ADITIVO" sheetId="17" state="hidden" r:id="rId10"/>
    <sheet name="MEM_" sheetId="13" state="hidden" r:id="rId11"/>
    <sheet name="MEM_05" sheetId="16" state="hidden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2">BM_15!$A$1:$M$264</definedName>
    <definedName name="_xlnm.Print_Area" localSheetId="10">MEM_!$A$1:$M$636</definedName>
    <definedName name="_xlnm.Print_Area" localSheetId="11">MEM_05!$A$1:$M$350</definedName>
    <definedName name="_xlnm.Print_Area" localSheetId="3">'MEMORIA DE CALCULO'!$A$1:$V$435</definedName>
    <definedName name="_xlnm.Print_Area" localSheetId="9">'PLANILHA PÓS ADITIVO'!$A$1:$I$240</definedName>
    <definedName name="_xlnm.Print_Area" localSheetId="4">'RELATORIO FOTO'!$A$1:$L$118</definedName>
    <definedName name="_xlnm.Print_Area" localSheetId="5">'RELATÓRIO FOTOGRÁFICO'!$A$1:$L$120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1" l="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19" i="11"/>
  <c r="G207" i="11" l="1"/>
  <c r="G208" i="11"/>
  <c r="G206" i="11"/>
  <c r="L280" i="21"/>
  <c r="L278" i="21" s="1"/>
  <c r="G92" i="11" s="1"/>
  <c r="G201" i="11"/>
  <c r="L246" i="21"/>
  <c r="L241" i="21"/>
  <c r="L414" i="21"/>
  <c r="L411" i="21"/>
  <c r="L412" i="21"/>
  <c r="L413" i="21"/>
  <c r="L410" i="21"/>
  <c r="L288" i="21"/>
  <c r="L257" i="21"/>
  <c r="L253" i="21"/>
  <c r="L249" i="21"/>
  <c r="H414" i="21"/>
  <c r="G193" i="11"/>
  <c r="K413" i="21"/>
  <c r="G192" i="11"/>
  <c r="I411" i="21"/>
  <c r="G191" i="11" s="1"/>
  <c r="K411" i="21"/>
  <c r="J411" i="21"/>
  <c r="G190" i="11"/>
  <c r="D271" i="21"/>
  <c r="K349" i="21"/>
  <c r="L349" i="21" s="1"/>
  <c r="K350" i="21"/>
  <c r="L350" i="21" s="1"/>
  <c r="K351" i="21"/>
  <c r="L351" i="21" s="1"/>
  <c r="K352" i="21"/>
  <c r="L352" i="21" s="1"/>
  <c r="K353" i="21"/>
  <c r="L353" i="21" s="1"/>
  <c r="K354" i="21"/>
  <c r="L354" i="21" s="1"/>
  <c r="K355" i="21"/>
  <c r="L355" i="21" s="1"/>
  <c r="K356" i="21"/>
  <c r="L356" i="21" s="1"/>
  <c r="K357" i="21"/>
  <c r="L357" i="21" s="1"/>
  <c r="K358" i="21"/>
  <c r="L358" i="21" s="1"/>
  <c r="K359" i="21"/>
  <c r="L359" i="21" s="1"/>
  <c r="K360" i="21"/>
  <c r="L360" i="21" s="1"/>
  <c r="K361" i="21"/>
  <c r="L361" i="21" s="1"/>
  <c r="K362" i="21"/>
  <c r="L362" i="21" s="1"/>
  <c r="K363" i="21"/>
  <c r="L363" i="21" s="1"/>
  <c r="K364" i="21"/>
  <c r="L364" i="21" s="1"/>
  <c r="K365" i="21"/>
  <c r="L365" i="21" s="1"/>
  <c r="K366" i="21"/>
  <c r="L366" i="21" s="1"/>
  <c r="K367" i="21"/>
  <c r="L367" i="21" s="1"/>
  <c r="K368" i="21"/>
  <c r="L368" i="21" s="1"/>
  <c r="K369" i="21"/>
  <c r="L369" i="21" s="1"/>
  <c r="K370" i="21"/>
  <c r="L370" i="21" s="1"/>
  <c r="K371" i="21"/>
  <c r="L371" i="21" s="1"/>
  <c r="K372" i="21"/>
  <c r="L372" i="21" s="1"/>
  <c r="K373" i="21"/>
  <c r="L373" i="21" s="1"/>
  <c r="K374" i="21"/>
  <c r="L374" i="21" s="1"/>
  <c r="K375" i="21"/>
  <c r="L375" i="21" s="1"/>
  <c r="K376" i="21"/>
  <c r="L376" i="21" s="1"/>
  <c r="K377" i="21"/>
  <c r="L377" i="21" s="1"/>
  <c r="K378" i="21"/>
  <c r="L378" i="21" s="1"/>
  <c r="K379" i="21"/>
  <c r="L379" i="21" s="1"/>
  <c r="K380" i="21"/>
  <c r="L380" i="21" s="1"/>
  <c r="K381" i="21"/>
  <c r="L381" i="21" s="1"/>
  <c r="K382" i="21"/>
  <c r="L382" i="21" s="1"/>
  <c r="K383" i="21"/>
  <c r="L383" i="21" s="1"/>
  <c r="K384" i="21"/>
  <c r="L384" i="21" s="1"/>
  <c r="K385" i="21"/>
  <c r="L385" i="21" s="1"/>
  <c r="K386" i="21"/>
  <c r="L386" i="21" s="1"/>
  <c r="K387" i="21"/>
  <c r="L387" i="21" s="1"/>
  <c r="K388" i="21"/>
  <c r="L388" i="21" s="1"/>
  <c r="K389" i="21"/>
  <c r="L389" i="21" s="1"/>
  <c r="K390" i="21"/>
  <c r="L390" i="21" s="1"/>
  <c r="K391" i="21"/>
  <c r="L391" i="21" s="1"/>
  <c r="K392" i="21"/>
  <c r="L392" i="21" s="1"/>
  <c r="K393" i="21"/>
  <c r="L393" i="21" s="1"/>
  <c r="K394" i="21"/>
  <c r="L394" i="21" s="1"/>
  <c r="K395" i="21"/>
  <c r="L395" i="21" s="1"/>
  <c r="K396" i="21"/>
  <c r="L396" i="21" s="1"/>
  <c r="K397" i="21"/>
  <c r="L397" i="21" s="1"/>
  <c r="K398" i="21"/>
  <c r="L398" i="21" s="1"/>
  <c r="K399" i="21"/>
  <c r="L399" i="21"/>
  <c r="K400" i="21"/>
  <c r="L400" i="21" s="1"/>
  <c r="K401" i="21"/>
  <c r="L401" i="21" s="1"/>
  <c r="K402" i="21"/>
  <c r="L402" i="21" s="1"/>
  <c r="K403" i="21"/>
  <c r="L403" i="21"/>
  <c r="K404" i="21"/>
  <c r="L404" i="21" s="1"/>
  <c r="K405" i="21"/>
  <c r="L405" i="21" s="1"/>
  <c r="K406" i="21"/>
  <c r="L406" i="21" s="1"/>
  <c r="K407" i="21"/>
  <c r="L407" i="21" s="1"/>
  <c r="K408" i="21"/>
  <c r="L408" i="21" s="1"/>
  <c r="K348" i="21"/>
  <c r="L348" i="21" s="1"/>
  <c r="K291" i="21"/>
  <c r="L291" i="21" s="1"/>
  <c r="K292" i="21"/>
  <c r="L292" i="21" s="1"/>
  <c r="K293" i="21"/>
  <c r="L293" i="21" s="1"/>
  <c r="K294" i="21"/>
  <c r="L294" i="21" s="1"/>
  <c r="K295" i="21"/>
  <c r="L295" i="21" s="1"/>
  <c r="K296" i="21"/>
  <c r="L296" i="21" s="1"/>
  <c r="K297" i="21"/>
  <c r="L297" i="21" s="1"/>
  <c r="K298" i="21"/>
  <c r="L298" i="21" s="1"/>
  <c r="K299" i="21"/>
  <c r="L299" i="21" s="1"/>
  <c r="K300" i="21"/>
  <c r="L300" i="21" s="1"/>
  <c r="K301" i="21"/>
  <c r="L301" i="21" s="1"/>
  <c r="K302" i="21"/>
  <c r="L302" i="21" s="1"/>
  <c r="K303" i="21"/>
  <c r="L303" i="21" s="1"/>
  <c r="K304" i="21"/>
  <c r="L304" i="21" s="1"/>
  <c r="K305" i="21"/>
  <c r="L305" i="21" s="1"/>
  <c r="K306" i="21"/>
  <c r="L306" i="21" s="1"/>
  <c r="K307" i="21"/>
  <c r="L307" i="21" s="1"/>
  <c r="K308" i="21"/>
  <c r="L308" i="21" s="1"/>
  <c r="K309" i="21"/>
  <c r="L309" i="21" s="1"/>
  <c r="K310" i="21"/>
  <c r="L310" i="21" s="1"/>
  <c r="L311" i="21"/>
  <c r="K312" i="21"/>
  <c r="L312" i="21" s="1"/>
  <c r="K313" i="21"/>
  <c r="L313" i="21" s="1"/>
  <c r="K314" i="21"/>
  <c r="L314" i="21" s="1"/>
  <c r="K315" i="21"/>
  <c r="L315" i="21" s="1"/>
  <c r="K316" i="21"/>
  <c r="L316" i="21" s="1"/>
  <c r="K317" i="21"/>
  <c r="L317" i="21" s="1"/>
  <c r="K318" i="21"/>
  <c r="L318" i="21" s="1"/>
  <c r="K319" i="21"/>
  <c r="L319" i="21" s="1"/>
  <c r="K320" i="21"/>
  <c r="L320" i="21" s="1"/>
  <c r="K321" i="21"/>
  <c r="L321" i="21"/>
  <c r="K322" i="21"/>
  <c r="L322" i="21" s="1"/>
  <c r="K323" i="21"/>
  <c r="L323" i="21" s="1"/>
  <c r="K324" i="21"/>
  <c r="L324" i="21"/>
  <c r="K325" i="21"/>
  <c r="L325" i="21" s="1"/>
  <c r="K326" i="21"/>
  <c r="L326" i="21" s="1"/>
  <c r="K327" i="21"/>
  <c r="L327" i="21" s="1"/>
  <c r="K328" i="21"/>
  <c r="L328" i="21" s="1"/>
  <c r="K329" i="21"/>
  <c r="L329" i="21" s="1"/>
  <c r="K330" i="21"/>
  <c r="L330" i="21" s="1"/>
  <c r="K331" i="21"/>
  <c r="L331" i="21" s="1"/>
  <c r="K332" i="21"/>
  <c r="L332" i="21" s="1"/>
  <c r="K333" i="21"/>
  <c r="L333" i="21" s="1"/>
  <c r="K334" i="21"/>
  <c r="L334" i="21"/>
  <c r="K335" i="21"/>
  <c r="L335" i="21" s="1"/>
  <c r="K336" i="21"/>
  <c r="L336" i="21" s="1"/>
  <c r="K337" i="21"/>
  <c r="L337" i="21" s="1"/>
  <c r="K338" i="21"/>
  <c r="L338" i="21" s="1"/>
  <c r="K339" i="21"/>
  <c r="L339" i="21" s="1"/>
  <c r="K340" i="21"/>
  <c r="L340" i="21"/>
  <c r="K341" i="21"/>
  <c r="L341" i="21" s="1"/>
  <c r="K342" i="21"/>
  <c r="L342" i="21"/>
  <c r="K343" i="21"/>
  <c r="L343" i="21" s="1"/>
  <c r="K344" i="21"/>
  <c r="L344" i="21" s="1"/>
  <c r="K290" i="21"/>
  <c r="L290" i="21" s="1"/>
  <c r="K272" i="21"/>
  <c r="L273" i="21"/>
  <c r="L274" i="21"/>
  <c r="L275" i="21"/>
  <c r="K271" i="21"/>
  <c r="L271" i="21" s="1"/>
  <c r="L267" i="21"/>
  <c r="L265" i="21" s="1"/>
  <c r="G87" i="11" s="1"/>
  <c r="L263" i="21"/>
  <c r="L261" i="21" s="1"/>
  <c r="G86" i="11" s="1"/>
  <c r="L259" i="21"/>
  <c r="L255" i="21"/>
  <c r="L235" i="21"/>
  <c r="G85" i="11" l="1"/>
  <c r="G77" i="11"/>
  <c r="D272" i="21"/>
  <c r="L272" i="21" s="1"/>
  <c r="L269" i="21" s="1"/>
  <c r="G82" i="11" s="1"/>
  <c r="J410" i="21"/>
  <c r="K410" i="21"/>
  <c r="K412" i="21"/>
  <c r="J413" i="21"/>
  <c r="J412" i="21"/>
  <c r="G54" i="11"/>
  <c r="G216" i="11"/>
  <c r="B285" i="21" l="1"/>
  <c r="L251" i="21"/>
  <c r="G76" i="11" s="1"/>
  <c r="K247" i="21"/>
  <c r="K246" i="21"/>
  <c r="K245" i="21"/>
  <c r="L245" i="21" s="1"/>
  <c r="K244" i="21"/>
  <c r="L244" i="21" s="1"/>
  <c r="K243" i="21"/>
  <c r="B239" i="21"/>
  <c r="K229" i="21"/>
  <c r="L229" i="21" s="1"/>
  <c r="K228" i="21"/>
  <c r="L228" i="21" s="1"/>
  <c r="K227" i="21"/>
  <c r="L227" i="21" s="1"/>
  <c r="K226" i="21"/>
  <c r="L226" i="21" s="1"/>
  <c r="K225" i="21"/>
  <c r="L225" i="21" s="1"/>
  <c r="K224" i="21"/>
  <c r="L224" i="21" s="1"/>
  <c r="K223" i="21"/>
  <c r="L223" i="21" s="1"/>
  <c r="B220" i="21"/>
  <c r="K218" i="21"/>
  <c r="L218" i="21" s="1"/>
  <c r="K217" i="21"/>
  <c r="L217" i="21" s="1"/>
  <c r="K216" i="21"/>
  <c r="L216" i="21" s="1"/>
  <c r="K215" i="21"/>
  <c r="L215" i="21" s="1"/>
  <c r="K214" i="21"/>
  <c r="L214" i="21" s="1"/>
  <c r="K213" i="21"/>
  <c r="L213" i="21" s="1"/>
  <c r="K212" i="21"/>
  <c r="L212" i="21" s="1"/>
  <c r="K211" i="21"/>
  <c r="L211" i="21" s="1"/>
  <c r="K210" i="21"/>
  <c r="L210" i="21" s="1"/>
  <c r="K209" i="21"/>
  <c r="L209" i="21" s="1"/>
  <c r="K208" i="21"/>
  <c r="L208" i="21" s="1"/>
  <c r="K207" i="21"/>
  <c r="L207" i="21" s="1"/>
  <c r="B205" i="21"/>
  <c r="B203" i="21"/>
  <c r="K198" i="21"/>
  <c r="L198" i="21" s="1"/>
  <c r="K197" i="21"/>
  <c r="L197" i="21" s="1"/>
  <c r="K196" i="21"/>
  <c r="L196" i="21" s="1"/>
  <c r="K195" i="21"/>
  <c r="L195" i="21" s="1"/>
  <c r="K194" i="21"/>
  <c r="L194" i="21" s="1"/>
  <c r="B191" i="21"/>
  <c r="A191" i="21"/>
  <c r="K189" i="21"/>
  <c r="L189" i="21" s="1"/>
  <c r="K187" i="21"/>
  <c r="L187" i="21" s="1"/>
  <c r="K186" i="21"/>
  <c r="L186" i="21" s="1"/>
  <c r="K185" i="21"/>
  <c r="L185" i="21" s="1"/>
  <c r="K184" i="21"/>
  <c r="L184" i="21" s="1"/>
  <c r="K183" i="21"/>
  <c r="L183" i="21" s="1"/>
  <c r="K182" i="21"/>
  <c r="L182" i="21" s="1"/>
  <c r="K181" i="21"/>
  <c r="L181" i="21" s="1"/>
  <c r="B178" i="21"/>
  <c r="K176" i="21"/>
  <c r="L176" i="21" s="1"/>
  <c r="K174" i="21"/>
  <c r="L174" i="21" s="1"/>
  <c r="K173" i="21"/>
  <c r="L173" i="21" s="1"/>
  <c r="K172" i="21"/>
  <c r="L172" i="21" s="1"/>
  <c r="K171" i="21"/>
  <c r="L171" i="21" s="1"/>
  <c r="K170" i="21"/>
  <c r="L170" i="21" s="1"/>
  <c r="K169" i="21"/>
  <c r="L169" i="21" s="1"/>
  <c r="K168" i="21"/>
  <c r="L168" i="21" s="1"/>
  <c r="K167" i="21"/>
  <c r="L167" i="21" s="1"/>
  <c r="K166" i="21"/>
  <c r="L166" i="21" s="1"/>
  <c r="K165" i="21"/>
  <c r="L165" i="21" s="1"/>
  <c r="K164" i="21"/>
  <c r="L164" i="21" s="1"/>
  <c r="K163" i="21"/>
  <c r="L163" i="21" s="1"/>
  <c r="B160" i="21"/>
  <c r="K157" i="21"/>
  <c r="L157" i="21" s="1"/>
  <c r="K155" i="21"/>
  <c r="L155" i="21" s="1"/>
  <c r="K154" i="21"/>
  <c r="L154" i="21" s="1"/>
  <c r="K153" i="21"/>
  <c r="L153" i="21" s="1"/>
  <c r="K152" i="21"/>
  <c r="L152" i="21" s="1"/>
  <c r="K151" i="21"/>
  <c r="L151" i="21" s="1"/>
  <c r="K150" i="21"/>
  <c r="L150" i="21" s="1"/>
  <c r="K149" i="21"/>
  <c r="L149" i="21" s="1"/>
  <c r="B146" i="21"/>
  <c r="K144" i="21"/>
  <c r="L144" i="21" s="1"/>
  <c r="K143" i="21"/>
  <c r="L143" i="21" s="1"/>
  <c r="K142" i="21"/>
  <c r="L142" i="21" s="1"/>
  <c r="K141" i="21"/>
  <c r="L141" i="21" s="1"/>
  <c r="K140" i="21"/>
  <c r="L140" i="21" s="1"/>
  <c r="B137" i="21"/>
  <c r="A137" i="21"/>
  <c r="K135" i="21"/>
  <c r="L135" i="21" s="1"/>
  <c r="G133" i="21"/>
  <c r="K133" i="21" s="1"/>
  <c r="L133" i="21" s="1"/>
  <c r="G132" i="21"/>
  <c r="K132" i="21" s="1"/>
  <c r="L132" i="21" s="1"/>
  <c r="G131" i="21"/>
  <c r="K131" i="21" s="1"/>
  <c r="L131" i="21" s="1"/>
  <c r="G130" i="21"/>
  <c r="K130" i="21" s="1"/>
  <c r="L130" i="21" s="1"/>
  <c r="G129" i="21"/>
  <c r="K129" i="21" s="1"/>
  <c r="L129" i="21" s="1"/>
  <c r="G128" i="21"/>
  <c r="K128" i="21" s="1"/>
  <c r="L128" i="21" s="1"/>
  <c r="G127" i="21"/>
  <c r="K127" i="21" s="1"/>
  <c r="L127" i="21" s="1"/>
  <c r="G126" i="21"/>
  <c r="K126" i="21" s="1"/>
  <c r="L126" i="21" s="1"/>
  <c r="G125" i="21"/>
  <c r="K125" i="21" s="1"/>
  <c r="L125" i="21" s="1"/>
  <c r="G124" i="21"/>
  <c r="K124" i="21" s="1"/>
  <c r="L124" i="21" s="1"/>
  <c r="G123" i="21"/>
  <c r="K123" i="21" s="1"/>
  <c r="L123" i="21" s="1"/>
  <c r="G122" i="21"/>
  <c r="K122" i="21" s="1"/>
  <c r="L122" i="21" s="1"/>
  <c r="B119" i="21"/>
  <c r="E117" i="21"/>
  <c r="K117" i="21" s="1"/>
  <c r="L117" i="21" s="1"/>
  <c r="E116" i="21"/>
  <c r="K116" i="21" s="1"/>
  <c r="L116" i="21" s="1"/>
  <c r="E115" i="21"/>
  <c r="K115" i="21" s="1"/>
  <c r="L115" i="21" s="1"/>
  <c r="E114" i="21"/>
  <c r="K114" i="21" s="1"/>
  <c r="L114" i="21" s="1"/>
  <c r="E113" i="21"/>
  <c r="K113" i="21" s="1"/>
  <c r="L113" i="21" s="1"/>
  <c r="E112" i="21"/>
  <c r="K112" i="21" s="1"/>
  <c r="L112" i="21" s="1"/>
  <c r="E111" i="21"/>
  <c r="K111" i="21" s="1"/>
  <c r="L111" i="21" s="1"/>
  <c r="E110" i="21"/>
  <c r="K110" i="21" s="1"/>
  <c r="L110" i="21" s="1"/>
  <c r="E109" i="21"/>
  <c r="K109" i="21" s="1"/>
  <c r="L109" i="21" s="1"/>
  <c r="B107" i="21"/>
  <c r="K105" i="21"/>
  <c r="L105" i="21" s="1"/>
  <c r="K103" i="21"/>
  <c r="L103" i="21" s="1"/>
  <c r="K102" i="21"/>
  <c r="L102" i="21" s="1"/>
  <c r="K101" i="21"/>
  <c r="L101" i="21" s="1"/>
  <c r="K100" i="21"/>
  <c r="L100" i="21" s="1"/>
  <c r="K99" i="21"/>
  <c r="L99" i="21" s="1"/>
  <c r="K98" i="21"/>
  <c r="L98" i="21" s="1"/>
  <c r="K97" i="21"/>
  <c r="L97" i="21" s="1"/>
  <c r="K96" i="21"/>
  <c r="L96" i="21" s="1"/>
  <c r="K95" i="21"/>
  <c r="L95" i="21" s="1"/>
  <c r="K94" i="21"/>
  <c r="L94" i="21" s="1"/>
  <c r="K93" i="21"/>
  <c r="L93" i="21" s="1"/>
  <c r="K92" i="21"/>
  <c r="L92" i="21" s="1"/>
  <c r="B89" i="21"/>
  <c r="K87" i="21"/>
  <c r="L87" i="21" s="1"/>
  <c r="K85" i="21"/>
  <c r="L85" i="21" s="1"/>
  <c r="K84" i="21"/>
  <c r="L84" i="21" s="1"/>
  <c r="K83" i="21"/>
  <c r="L83" i="21" s="1"/>
  <c r="K82" i="21"/>
  <c r="L82" i="21" s="1"/>
  <c r="K81" i="21"/>
  <c r="L81" i="21" s="1"/>
  <c r="K80" i="21"/>
  <c r="L80" i="21" s="1"/>
  <c r="K79" i="21"/>
  <c r="L79" i="21" s="1"/>
  <c r="K78" i="21"/>
  <c r="L78" i="21" s="1"/>
  <c r="K77" i="21"/>
  <c r="L77" i="21" s="1"/>
  <c r="K76" i="21"/>
  <c r="L76" i="21" s="1"/>
  <c r="K75" i="21"/>
  <c r="L75" i="21" s="1"/>
  <c r="K74" i="21"/>
  <c r="L74" i="21" s="1"/>
  <c r="B71" i="21"/>
  <c r="K69" i="21"/>
  <c r="L69" i="21" s="1"/>
  <c r="K68" i="21"/>
  <c r="L68" i="21" s="1"/>
  <c r="K67" i="21"/>
  <c r="L67" i="21" s="1"/>
  <c r="K66" i="21"/>
  <c r="L66" i="21" s="1"/>
  <c r="K65" i="21"/>
  <c r="L65" i="21" s="1"/>
  <c r="K64" i="21"/>
  <c r="L64" i="21" s="1"/>
  <c r="K63" i="21"/>
  <c r="L63" i="21" s="1"/>
  <c r="K62" i="21"/>
  <c r="L62" i="21" s="1"/>
  <c r="K61" i="21"/>
  <c r="L61" i="21" s="1"/>
  <c r="B58" i="21"/>
  <c r="K56" i="21"/>
  <c r="L56" i="21" s="1"/>
  <c r="K55" i="21"/>
  <c r="L55" i="21" s="1"/>
  <c r="K54" i="21"/>
  <c r="L54" i="21" s="1"/>
  <c r="K53" i="21"/>
  <c r="L53" i="21" s="1"/>
  <c r="K52" i="21"/>
  <c r="L52" i="21" s="1"/>
  <c r="K51" i="21"/>
  <c r="L51" i="21" s="1"/>
  <c r="K50" i="21"/>
  <c r="L50" i="21" s="1"/>
  <c r="K49" i="21"/>
  <c r="L49" i="21" s="1"/>
  <c r="K48" i="21"/>
  <c r="L48" i="21" s="1"/>
  <c r="B45" i="21"/>
  <c r="K43" i="21"/>
  <c r="L43" i="21" s="1"/>
  <c r="L41" i="21" s="1"/>
  <c r="B41" i="21"/>
  <c r="K39" i="21"/>
  <c r="L39" i="21" s="1"/>
  <c r="K38" i="21"/>
  <c r="L38" i="21" s="1"/>
  <c r="K37" i="21"/>
  <c r="L37" i="21" s="1"/>
  <c r="K36" i="21"/>
  <c r="L36" i="21" s="1"/>
  <c r="K35" i="21"/>
  <c r="L35" i="21" s="1"/>
  <c r="K34" i="21"/>
  <c r="L34" i="21" s="1"/>
  <c r="K33" i="21"/>
  <c r="L33" i="21" s="1"/>
  <c r="K32" i="21"/>
  <c r="L32" i="21" s="1"/>
  <c r="K31" i="21"/>
  <c r="L31" i="21" s="1"/>
  <c r="B28" i="21"/>
  <c r="B26" i="21"/>
  <c r="K24" i="21"/>
  <c r="L24" i="21" s="1"/>
  <c r="K23" i="21"/>
  <c r="L23" i="21" s="1"/>
  <c r="K22" i="21"/>
  <c r="L22" i="21" s="1"/>
  <c r="K21" i="21"/>
  <c r="L21" i="21" s="1"/>
  <c r="K20" i="21"/>
  <c r="L20" i="21" s="1"/>
  <c r="K19" i="21"/>
  <c r="L19" i="21" s="1"/>
  <c r="K18" i="21"/>
  <c r="L18" i="21" s="1"/>
  <c r="K17" i="21"/>
  <c r="L17" i="21" s="1"/>
  <c r="K16" i="21"/>
  <c r="L16" i="21" s="1"/>
  <c r="K15" i="21"/>
  <c r="L15" i="21" s="1"/>
  <c r="K14" i="21"/>
  <c r="L14" i="21" s="1"/>
  <c r="B12" i="21"/>
  <c r="B10" i="21"/>
  <c r="G71" i="11" l="1"/>
  <c r="L220" i="21"/>
  <c r="L28" i="21"/>
  <c r="L107" i="21"/>
  <c r="L89" i="21"/>
  <c r="L160" i="21"/>
  <c r="L191" i="21"/>
  <c r="L58" i="21"/>
  <c r="L205" i="21"/>
  <c r="L178" i="21"/>
  <c r="L146" i="21"/>
  <c r="L119" i="21"/>
  <c r="L137" i="21"/>
  <c r="L12" i="21"/>
  <c r="L45" i="21"/>
  <c r="L71" i="21"/>
  <c r="K250" i="15"/>
  <c r="L256" i="15" l="1"/>
  <c r="L264" i="15"/>
  <c r="K248" i="15"/>
  <c r="L248" i="15" s="1"/>
  <c r="K249" i="15"/>
  <c r="L249" i="15" s="1"/>
  <c r="L250" i="15"/>
  <c r="K251" i="15"/>
  <c r="L251" i="15" s="1"/>
  <c r="K252" i="15"/>
  <c r="L252" i="15" s="1"/>
  <c r="K253" i="15"/>
  <c r="L253" i="15" s="1"/>
  <c r="K254" i="15"/>
  <c r="L254" i="15" s="1"/>
  <c r="K255" i="15"/>
  <c r="L255" i="15" s="1"/>
  <c r="K256" i="15"/>
  <c r="K257" i="15"/>
  <c r="L257" i="15" s="1"/>
  <c r="K258" i="15"/>
  <c r="L258" i="15" s="1"/>
  <c r="K259" i="15"/>
  <c r="L259" i="15" s="1"/>
  <c r="K260" i="15"/>
  <c r="L260" i="15" s="1"/>
  <c r="K261" i="15"/>
  <c r="L261" i="15" s="1"/>
  <c r="K262" i="15"/>
  <c r="L262" i="15" s="1"/>
  <c r="K263" i="15"/>
  <c r="L263" i="15" s="1"/>
  <c r="K264" i="15"/>
  <c r="K265" i="15"/>
  <c r="L265" i="15" s="1"/>
  <c r="K247" i="15"/>
  <c r="L247" i="15" s="1"/>
  <c r="L351" i="15"/>
  <c r="K346" i="15"/>
  <c r="L346" i="15" s="1"/>
  <c r="K347" i="15"/>
  <c r="L347" i="15" s="1"/>
  <c r="K348" i="15"/>
  <c r="L348" i="15" s="1"/>
  <c r="K349" i="15"/>
  <c r="L349" i="15" s="1"/>
  <c r="K350" i="15"/>
  <c r="L350" i="15" s="1"/>
  <c r="K351" i="15"/>
  <c r="K352" i="15"/>
  <c r="L352" i="15" s="1"/>
  <c r="K353" i="15"/>
  <c r="L353" i="15" s="1"/>
  <c r="K354" i="15"/>
  <c r="L354" i="15" s="1"/>
  <c r="K355" i="15"/>
  <c r="L355" i="15" s="1"/>
  <c r="K356" i="15"/>
  <c r="L356" i="15" s="1"/>
  <c r="K357" i="15"/>
  <c r="L357" i="15" s="1"/>
  <c r="K358" i="15"/>
  <c r="L358" i="15" s="1"/>
  <c r="K359" i="15"/>
  <c r="L359" i="15" s="1"/>
  <c r="K360" i="15"/>
  <c r="L360" i="15" s="1"/>
  <c r="K361" i="15"/>
  <c r="L361" i="15" s="1"/>
  <c r="K362" i="15"/>
  <c r="L362" i="15" s="1"/>
  <c r="K363" i="15"/>
  <c r="L363" i="15" s="1"/>
  <c r="K364" i="15"/>
  <c r="L364" i="15" s="1"/>
  <c r="K365" i="15"/>
  <c r="L365" i="15" s="1"/>
  <c r="K366" i="15"/>
  <c r="L366" i="15" s="1"/>
  <c r="K367" i="15"/>
  <c r="L367" i="15" s="1"/>
  <c r="K368" i="15"/>
  <c r="L368" i="15" s="1"/>
  <c r="K369" i="15"/>
  <c r="L369" i="15" s="1"/>
  <c r="K370" i="15"/>
  <c r="L370" i="15" s="1"/>
  <c r="K371" i="15"/>
  <c r="L371" i="15" s="1"/>
  <c r="K372" i="15"/>
  <c r="L372" i="15" s="1"/>
  <c r="K345" i="15"/>
  <c r="L345" i="15" s="1"/>
  <c r="K340" i="15"/>
  <c r="L340" i="15" s="1"/>
  <c r="K339" i="15"/>
  <c r="L339" i="15" s="1"/>
  <c r="K338" i="15"/>
  <c r="L338" i="15" s="1"/>
  <c r="K337" i="15"/>
  <c r="L337" i="15" s="1"/>
  <c r="K336" i="15"/>
  <c r="L336" i="15" s="1"/>
  <c r="K335" i="15"/>
  <c r="L335" i="15" s="1"/>
  <c r="K334" i="15"/>
  <c r="L334" i="15" s="1"/>
  <c r="K333" i="15"/>
  <c r="L333" i="15" s="1"/>
  <c r="K332" i="15"/>
  <c r="L332" i="15" s="1"/>
  <c r="K331" i="15"/>
  <c r="L331" i="15" s="1"/>
  <c r="K330" i="15"/>
  <c r="L330" i="15" s="1"/>
  <c r="K329" i="15"/>
  <c r="L329" i="15" s="1"/>
  <c r="K328" i="15"/>
  <c r="L328" i="15" s="1"/>
  <c r="K327" i="15"/>
  <c r="L327" i="15" s="1"/>
  <c r="K326" i="15"/>
  <c r="L326" i="15" s="1"/>
  <c r="K325" i="15"/>
  <c r="L325" i="15" s="1"/>
  <c r="K324" i="15"/>
  <c r="L324" i="15" s="1"/>
  <c r="K323" i="15"/>
  <c r="L323" i="15" s="1"/>
  <c r="K322" i="15"/>
  <c r="L322" i="15" s="1"/>
  <c r="K321" i="15"/>
  <c r="L321" i="15" s="1"/>
  <c r="K320" i="15"/>
  <c r="L320" i="15" s="1"/>
  <c r="K297" i="15"/>
  <c r="L297" i="15" s="1"/>
  <c r="K298" i="15"/>
  <c r="L298" i="15" s="1"/>
  <c r="K299" i="15"/>
  <c r="L299" i="15" s="1"/>
  <c r="K300" i="15"/>
  <c r="L300" i="15" s="1"/>
  <c r="K301" i="15"/>
  <c r="L301" i="15" s="1"/>
  <c r="K302" i="15"/>
  <c r="L302" i="15" s="1"/>
  <c r="K303" i="15"/>
  <c r="L303" i="15" s="1"/>
  <c r="K304" i="15"/>
  <c r="L304" i="15" s="1"/>
  <c r="K305" i="15"/>
  <c r="L305" i="15" s="1"/>
  <c r="K306" i="15"/>
  <c r="L306" i="15" s="1"/>
  <c r="K307" i="15"/>
  <c r="L307" i="15" s="1"/>
  <c r="K308" i="15"/>
  <c r="L308" i="15" s="1"/>
  <c r="K309" i="15"/>
  <c r="L309" i="15" s="1"/>
  <c r="K310" i="15"/>
  <c r="L310" i="15" s="1"/>
  <c r="K311" i="15"/>
  <c r="L311" i="15" s="1"/>
  <c r="K312" i="15"/>
  <c r="L312" i="15" s="1"/>
  <c r="K313" i="15"/>
  <c r="L313" i="15" s="1"/>
  <c r="K314" i="15"/>
  <c r="L314" i="15" s="1"/>
  <c r="K315" i="15"/>
  <c r="L315" i="15" s="1"/>
  <c r="K316" i="15"/>
  <c r="L316" i="15" s="1"/>
  <c r="L274" i="15"/>
  <c r="K271" i="15"/>
  <c r="L271" i="15" s="1"/>
  <c r="L269" i="15" s="1"/>
  <c r="J59" i="19"/>
  <c r="J58" i="19"/>
  <c r="J57" i="19"/>
  <c r="J56" i="19"/>
  <c r="J55" i="19"/>
  <c r="J54" i="19"/>
  <c r="J53" i="19"/>
  <c r="J52" i="19"/>
  <c r="J51" i="19"/>
  <c r="J50" i="19"/>
  <c r="J49" i="19"/>
  <c r="J48" i="19"/>
  <c r="J47" i="19"/>
  <c r="J46" i="19"/>
  <c r="J45" i="19"/>
  <c r="J44" i="19"/>
  <c r="J43" i="19"/>
  <c r="J42" i="19"/>
  <c r="J41" i="19"/>
  <c r="D41" i="19"/>
  <c r="J40" i="19"/>
  <c r="D40" i="19"/>
  <c r="J39" i="19"/>
  <c r="D39" i="19"/>
  <c r="J38" i="19"/>
  <c r="D38" i="19"/>
  <c r="J37" i="19"/>
  <c r="D37" i="19"/>
  <c r="J36" i="19"/>
  <c r="D36" i="19"/>
  <c r="J35" i="19"/>
  <c r="D35" i="19"/>
  <c r="J34" i="19"/>
  <c r="J33" i="19"/>
  <c r="J32" i="19"/>
  <c r="E30" i="19"/>
  <c r="E29" i="19"/>
  <c r="E28" i="19"/>
  <c r="E27" i="19"/>
  <c r="E26" i="19"/>
  <c r="J25" i="19"/>
  <c r="E25" i="19"/>
  <c r="J24" i="19"/>
  <c r="E24" i="19"/>
  <c r="J23" i="19"/>
  <c r="E23" i="19"/>
  <c r="J22" i="19"/>
  <c r="E22" i="19"/>
  <c r="J21" i="19"/>
  <c r="E21" i="19"/>
  <c r="J20" i="19"/>
  <c r="E20" i="19"/>
  <c r="J19" i="19"/>
  <c r="E19" i="19"/>
  <c r="J18" i="19"/>
  <c r="E18" i="19"/>
  <c r="J17" i="19"/>
  <c r="E17" i="19"/>
  <c r="J16" i="19"/>
  <c r="E16" i="19"/>
  <c r="J15" i="19"/>
  <c r="E15" i="19"/>
  <c r="J14" i="19"/>
  <c r="E14" i="19"/>
  <c r="J13" i="19"/>
  <c r="E13" i="19"/>
  <c r="J12" i="19"/>
  <c r="E12" i="19"/>
  <c r="J11" i="19"/>
  <c r="J10" i="19"/>
  <c r="J9" i="19"/>
  <c r="J8" i="19"/>
  <c r="E8" i="19"/>
  <c r="J7" i="19"/>
  <c r="E7" i="19"/>
  <c r="J6" i="19"/>
  <c r="E6" i="19"/>
  <c r="J5" i="19"/>
  <c r="E5" i="19"/>
  <c r="J26" i="19" l="1"/>
  <c r="L343" i="15"/>
  <c r="L244" i="15"/>
  <c r="E31" i="19"/>
  <c r="D42" i="19"/>
  <c r="J60" i="19"/>
  <c r="L318" i="15"/>
  <c r="K296" i="15" l="1"/>
  <c r="L296" i="15" s="1"/>
  <c r="L294" i="15" s="1"/>
  <c r="K287" i="15"/>
  <c r="L287" i="15" s="1"/>
  <c r="K288" i="15"/>
  <c r="L288" i="15" s="1"/>
  <c r="K289" i="15"/>
  <c r="L289" i="15" s="1"/>
  <c r="K290" i="15"/>
  <c r="L290" i="15" s="1"/>
  <c r="K286" i="15"/>
  <c r="L286" i="15" s="1"/>
  <c r="K285" i="15"/>
  <c r="L285" i="15" s="1"/>
  <c r="K284" i="15"/>
  <c r="L284" i="15" s="1"/>
  <c r="B36" i="18"/>
  <c r="C36" i="18" s="1"/>
  <c r="B35" i="18"/>
  <c r="C35" i="18" s="1"/>
  <c r="B34" i="18"/>
  <c r="C34" i="18" s="1"/>
  <c r="B33" i="18"/>
  <c r="C33" i="18" s="1"/>
  <c r="B32" i="18"/>
  <c r="C32" i="18" s="1"/>
  <c r="B31" i="18"/>
  <c r="C31" i="18" s="1"/>
  <c r="B30" i="18"/>
  <c r="C30" i="18" s="1"/>
  <c r="B27" i="18"/>
  <c r="C27" i="18" s="1"/>
  <c r="B26" i="18"/>
  <c r="C26" i="18" s="1"/>
  <c r="B22" i="18"/>
  <c r="C22" i="18" s="1"/>
  <c r="B21" i="18"/>
  <c r="C21" i="18" s="1"/>
  <c r="B20" i="18"/>
  <c r="C20" i="18" s="1"/>
  <c r="C58" i="18"/>
  <c r="C57" i="18"/>
  <c r="C56" i="18"/>
  <c r="C55" i="18"/>
  <c r="C54" i="18"/>
  <c r="C53" i="18"/>
  <c r="C52" i="18"/>
  <c r="K51" i="18"/>
  <c r="C51" i="18"/>
  <c r="K50" i="18"/>
  <c r="C50" i="18"/>
  <c r="C49" i="18"/>
  <c r="C48" i="18"/>
  <c r="C47" i="18"/>
  <c r="C46" i="18"/>
  <c r="K45" i="18"/>
  <c r="C45" i="18"/>
  <c r="K44" i="18"/>
  <c r="C44" i="18"/>
  <c r="K43" i="18"/>
  <c r="C43" i="18"/>
  <c r="K42" i="18"/>
  <c r="C42" i="18"/>
  <c r="K41" i="18"/>
  <c r="C41" i="18"/>
  <c r="K40" i="18"/>
  <c r="K39" i="18"/>
  <c r="K38" i="18"/>
  <c r="K37" i="18"/>
  <c r="K36" i="18"/>
  <c r="K31" i="18"/>
  <c r="C29" i="18"/>
  <c r="C28" i="18"/>
  <c r="L26" i="18"/>
  <c r="L25" i="18"/>
  <c r="C25" i="18"/>
  <c r="C24" i="18"/>
  <c r="C23" i="18"/>
  <c r="K21" i="18"/>
  <c r="K17" i="18"/>
  <c r="C15" i="18"/>
  <c r="K12" i="18"/>
  <c r="K11" i="18"/>
  <c r="K10" i="18"/>
  <c r="K5" i="18"/>
  <c r="C5" i="18"/>
  <c r="K4" i="18"/>
  <c r="K3" i="18"/>
  <c r="L27" i="18" l="1"/>
  <c r="K46" i="18"/>
  <c r="K13" i="18"/>
  <c r="K52" i="18"/>
  <c r="K6" i="18"/>
  <c r="C59" i="18"/>
  <c r="L282" i="15"/>
  <c r="C37" i="18"/>
  <c r="K157" i="15" l="1"/>
  <c r="L157" i="15" s="1"/>
  <c r="K155" i="15"/>
  <c r="L155" i="15" s="1"/>
  <c r="K154" i="15"/>
  <c r="L154" i="15" s="1"/>
  <c r="K153" i="15"/>
  <c r="L153" i="15" s="1"/>
  <c r="K152" i="15"/>
  <c r="L152" i="15" s="1"/>
  <c r="K151" i="15"/>
  <c r="L151" i="15" s="1"/>
  <c r="K150" i="15"/>
  <c r="L150" i="15" s="1"/>
  <c r="K149" i="15"/>
  <c r="L149" i="15" s="1"/>
  <c r="K144" i="15"/>
  <c r="L144" i="15" s="1"/>
  <c r="K143" i="15"/>
  <c r="L143" i="15" s="1"/>
  <c r="K142" i="15"/>
  <c r="L142" i="15" s="1"/>
  <c r="K141" i="15"/>
  <c r="L141" i="15" s="1"/>
  <c r="K140" i="15"/>
  <c r="L140" i="15" s="1"/>
  <c r="K135" i="15"/>
  <c r="L135" i="15" s="1"/>
  <c r="G133" i="15"/>
  <c r="K133" i="15" s="1"/>
  <c r="L133" i="15" s="1"/>
  <c r="G132" i="15"/>
  <c r="K132" i="15" s="1"/>
  <c r="L132" i="15" s="1"/>
  <c r="G131" i="15"/>
  <c r="K131" i="15" s="1"/>
  <c r="L131" i="15" s="1"/>
  <c r="G130" i="15"/>
  <c r="K130" i="15" s="1"/>
  <c r="L130" i="15" s="1"/>
  <c r="G129" i="15"/>
  <c r="K129" i="15" s="1"/>
  <c r="L129" i="15" s="1"/>
  <c r="G128" i="15"/>
  <c r="K128" i="15" s="1"/>
  <c r="L128" i="15" s="1"/>
  <c r="G127" i="15"/>
  <c r="K127" i="15" s="1"/>
  <c r="L127" i="15" s="1"/>
  <c r="G126" i="15"/>
  <c r="K126" i="15" s="1"/>
  <c r="L126" i="15" s="1"/>
  <c r="G125" i="15"/>
  <c r="K125" i="15" s="1"/>
  <c r="L125" i="15" s="1"/>
  <c r="G124" i="15"/>
  <c r="K124" i="15" s="1"/>
  <c r="L124" i="15" s="1"/>
  <c r="G123" i="15"/>
  <c r="K123" i="15" s="1"/>
  <c r="L123" i="15" s="1"/>
  <c r="G122" i="15"/>
  <c r="K122" i="15" s="1"/>
  <c r="L122" i="15" s="1"/>
  <c r="E117" i="15"/>
  <c r="K117" i="15" s="1"/>
  <c r="L117" i="15" s="1"/>
  <c r="E116" i="15"/>
  <c r="K116" i="15" s="1"/>
  <c r="L116" i="15" s="1"/>
  <c r="E115" i="15"/>
  <c r="K115" i="15" s="1"/>
  <c r="L115" i="15" s="1"/>
  <c r="E114" i="15"/>
  <c r="K114" i="15" s="1"/>
  <c r="L114" i="15" s="1"/>
  <c r="E113" i="15"/>
  <c r="K113" i="15" s="1"/>
  <c r="L113" i="15" s="1"/>
  <c r="E112" i="15"/>
  <c r="K112" i="15" s="1"/>
  <c r="L112" i="15" s="1"/>
  <c r="E111" i="15"/>
  <c r="K111" i="15" s="1"/>
  <c r="L111" i="15" s="1"/>
  <c r="E110" i="15"/>
  <c r="K110" i="15" s="1"/>
  <c r="L110" i="15" s="1"/>
  <c r="E109" i="15"/>
  <c r="K109" i="15" s="1"/>
  <c r="L109" i="15" s="1"/>
  <c r="K105" i="15"/>
  <c r="L105" i="15" s="1"/>
  <c r="K103" i="15"/>
  <c r="L103" i="15" s="1"/>
  <c r="K102" i="15"/>
  <c r="L102" i="15" s="1"/>
  <c r="K101" i="15"/>
  <c r="L101" i="15" s="1"/>
  <c r="K100" i="15"/>
  <c r="L100" i="15" s="1"/>
  <c r="K99" i="15"/>
  <c r="L99" i="15" s="1"/>
  <c r="K98" i="15"/>
  <c r="L98" i="15" s="1"/>
  <c r="K97" i="15"/>
  <c r="L97" i="15" s="1"/>
  <c r="K96" i="15"/>
  <c r="L96" i="15" s="1"/>
  <c r="K95" i="15"/>
  <c r="L95" i="15" s="1"/>
  <c r="K94" i="15"/>
  <c r="L94" i="15" s="1"/>
  <c r="K93" i="15"/>
  <c r="L93" i="15" s="1"/>
  <c r="K92" i="15"/>
  <c r="L92" i="15" s="1"/>
  <c r="K87" i="15"/>
  <c r="L87" i="15" s="1"/>
  <c r="K85" i="15"/>
  <c r="L85" i="15" s="1"/>
  <c r="K84" i="15"/>
  <c r="L84" i="15" s="1"/>
  <c r="K83" i="15"/>
  <c r="L83" i="15" s="1"/>
  <c r="K82" i="15"/>
  <c r="L82" i="15" s="1"/>
  <c r="K81" i="15"/>
  <c r="L81" i="15" s="1"/>
  <c r="K80" i="15"/>
  <c r="L80" i="15" s="1"/>
  <c r="K79" i="15"/>
  <c r="L79" i="15" s="1"/>
  <c r="K78" i="15"/>
  <c r="L78" i="15" s="1"/>
  <c r="K77" i="15"/>
  <c r="L77" i="15" s="1"/>
  <c r="K76" i="15"/>
  <c r="L76" i="15" s="1"/>
  <c r="K75" i="15"/>
  <c r="L75" i="15" s="1"/>
  <c r="K74" i="15"/>
  <c r="L74" i="15" s="1"/>
  <c r="K32" i="15"/>
  <c r="L32" i="15" s="1"/>
  <c r="K33" i="15"/>
  <c r="L33" i="15" s="1"/>
  <c r="K34" i="15"/>
  <c r="L34" i="15" s="1"/>
  <c r="K35" i="15"/>
  <c r="L35" i="15" s="1"/>
  <c r="K36" i="15"/>
  <c r="L36" i="15" s="1"/>
  <c r="K37" i="15"/>
  <c r="L37" i="15" s="1"/>
  <c r="K38" i="15"/>
  <c r="L38" i="15" s="1"/>
  <c r="K39" i="15"/>
  <c r="L39" i="15" s="1"/>
  <c r="K31" i="15"/>
  <c r="L31" i="15" s="1"/>
  <c r="F216" i="11"/>
  <c r="F19" i="11"/>
  <c r="F20" i="11"/>
  <c r="F21" i="11"/>
  <c r="F22" i="11"/>
  <c r="F23" i="11"/>
  <c r="F24" i="11"/>
  <c r="F25" i="11"/>
  <c r="F26" i="11"/>
  <c r="F27" i="11"/>
  <c r="F28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9" i="11"/>
  <c r="F50" i="11"/>
  <c r="F51" i="11"/>
  <c r="F54" i="11"/>
  <c r="F55" i="11"/>
  <c r="F58" i="11"/>
  <c r="F59" i="11"/>
  <c r="F60" i="11"/>
  <c r="F61" i="11"/>
  <c r="F62" i="11"/>
  <c r="F63" i="11"/>
  <c r="F64" i="11"/>
  <c r="F65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90" i="11"/>
  <c r="F91" i="11"/>
  <c r="F92" i="11"/>
  <c r="F95" i="11"/>
  <c r="F96" i="11"/>
  <c r="F99" i="11"/>
  <c r="F100" i="11"/>
  <c r="F101" i="11"/>
  <c r="F102" i="11"/>
  <c r="F103" i="11"/>
  <c r="F104" i="11"/>
  <c r="F107" i="11"/>
  <c r="F108" i="11"/>
  <c r="F109" i="11"/>
  <c r="F110" i="11"/>
  <c r="F111" i="11"/>
  <c r="F112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7" i="11"/>
  <c r="F218" i="11"/>
  <c r="F219" i="11"/>
  <c r="F220" i="11"/>
  <c r="F221" i="11"/>
  <c r="F224" i="11"/>
  <c r="F225" i="11"/>
  <c r="F226" i="11"/>
  <c r="F227" i="11"/>
  <c r="F228" i="11"/>
  <c r="F229" i="11"/>
  <c r="F230" i="11"/>
  <c r="F231" i="11"/>
  <c r="F232" i="11"/>
  <c r="F233" i="11"/>
  <c r="F234" i="11"/>
  <c r="F235" i="11"/>
  <c r="F238" i="11"/>
  <c r="F239" i="11"/>
  <c r="F240" i="11"/>
  <c r="F241" i="11"/>
  <c r="F242" i="11"/>
  <c r="F243" i="11"/>
  <c r="F244" i="11"/>
  <c r="E19" i="11"/>
  <c r="E20" i="11"/>
  <c r="I20" i="11" s="1"/>
  <c r="E21" i="11"/>
  <c r="I21" i="11" s="1"/>
  <c r="E22" i="11"/>
  <c r="I22" i="11" s="1"/>
  <c r="E23" i="11"/>
  <c r="I23" i="11" s="1"/>
  <c r="E31" i="11"/>
  <c r="E32" i="11"/>
  <c r="E33" i="11"/>
  <c r="E34" i="11"/>
  <c r="E35" i="11"/>
  <c r="E36" i="11"/>
  <c r="E37" i="11"/>
  <c r="E38" i="11"/>
  <c r="I38" i="11" s="1"/>
  <c r="E39" i="11"/>
  <c r="E40" i="11"/>
  <c r="E41" i="11"/>
  <c r="E42" i="11"/>
  <c r="E43" i="11"/>
  <c r="E44" i="11"/>
  <c r="E45" i="11"/>
  <c r="E46" i="11"/>
  <c r="I46" i="11" s="1"/>
  <c r="E49" i="11"/>
  <c r="E50" i="11"/>
  <c r="E54" i="11"/>
  <c r="E55" i="11"/>
  <c r="E58" i="11"/>
  <c r="E59" i="11"/>
  <c r="E60" i="11"/>
  <c r="E69" i="11"/>
  <c r="E70" i="11"/>
  <c r="E71" i="11"/>
  <c r="I71" i="11" s="1"/>
  <c r="E72" i="11"/>
  <c r="I72" i="11" s="1"/>
  <c r="E73" i="11"/>
  <c r="E74" i="11"/>
  <c r="E75" i="11"/>
  <c r="E76" i="11"/>
  <c r="E77" i="11"/>
  <c r="E78" i="11"/>
  <c r="E79" i="11"/>
  <c r="E80" i="11"/>
  <c r="I80" i="11" s="1"/>
  <c r="E81" i="11"/>
  <c r="E82" i="11"/>
  <c r="E83" i="11"/>
  <c r="J83" i="11" s="1"/>
  <c r="E84" i="11"/>
  <c r="E85" i="11"/>
  <c r="E86" i="11"/>
  <c r="E87" i="11"/>
  <c r="I87" i="11" s="1"/>
  <c r="E90" i="11"/>
  <c r="I90" i="11" s="1"/>
  <c r="E91" i="11"/>
  <c r="E95" i="11"/>
  <c r="E96" i="11"/>
  <c r="E99" i="11"/>
  <c r="E100" i="11"/>
  <c r="E101" i="11"/>
  <c r="I101" i="11" s="1"/>
  <c r="E102" i="11"/>
  <c r="I102" i="11" s="1"/>
  <c r="C24" i="11"/>
  <c r="C25" i="11"/>
  <c r="C26" i="11"/>
  <c r="C27" i="11"/>
  <c r="C28" i="11"/>
  <c r="C51" i="11"/>
  <c r="C61" i="11"/>
  <c r="C62" i="11"/>
  <c r="C63" i="11"/>
  <c r="C64" i="11"/>
  <c r="C65" i="11"/>
  <c r="C79" i="11"/>
  <c r="C80" i="11"/>
  <c r="C81" i="11"/>
  <c r="C82" i="11"/>
  <c r="C83" i="11"/>
  <c r="C84" i="11"/>
  <c r="C85" i="11"/>
  <c r="C86" i="11"/>
  <c r="C87" i="11"/>
  <c r="C92" i="11"/>
  <c r="C103" i="11"/>
  <c r="C104" i="11"/>
  <c r="C111" i="11"/>
  <c r="C112" i="11"/>
  <c r="C243" i="11"/>
  <c r="C244" i="11"/>
  <c r="A24" i="11"/>
  <c r="A25" i="11"/>
  <c r="A26" i="11"/>
  <c r="A27" i="11"/>
  <c r="A28" i="11"/>
  <c r="A51" i="11"/>
  <c r="A61" i="11"/>
  <c r="A62" i="11"/>
  <c r="A63" i="11"/>
  <c r="A64" i="11"/>
  <c r="A65" i="11"/>
  <c r="A79" i="11"/>
  <c r="A274" i="15" s="1"/>
  <c r="A80" i="11"/>
  <c r="A81" i="11"/>
  <c r="A82" i="11"/>
  <c r="A269" i="21" s="1"/>
  <c r="A83" i="11"/>
  <c r="A84" i="11"/>
  <c r="A85" i="11"/>
  <c r="A257" i="21" s="1"/>
  <c r="A86" i="11"/>
  <c r="A261" i="21" s="1"/>
  <c r="A87" i="11"/>
  <c r="A265" i="21" s="1"/>
  <c r="A92" i="11"/>
  <c r="A278" i="21" s="1"/>
  <c r="A103" i="11"/>
  <c r="A104" i="11"/>
  <c r="A282" i="15" s="1"/>
  <c r="A111" i="11"/>
  <c r="A243" i="11"/>
  <c r="A244" i="11"/>
  <c r="B243" i="11"/>
  <c r="B244" i="11"/>
  <c r="B24" i="11"/>
  <c r="B25" i="11"/>
  <c r="B26" i="11"/>
  <c r="B27" i="11"/>
  <c r="B28" i="11"/>
  <c r="B51" i="11"/>
  <c r="B61" i="11"/>
  <c r="B62" i="11"/>
  <c r="B63" i="11"/>
  <c r="B64" i="11"/>
  <c r="B65" i="11"/>
  <c r="B79" i="11"/>
  <c r="B274" i="15" s="1"/>
  <c r="B80" i="11"/>
  <c r="B81" i="11"/>
  <c r="B82" i="11"/>
  <c r="B269" i="21" s="1"/>
  <c r="B83" i="11"/>
  <c r="B84" i="11"/>
  <c r="B85" i="11"/>
  <c r="B257" i="21" s="1"/>
  <c r="B86" i="11"/>
  <c r="B261" i="21" s="1"/>
  <c r="B87" i="11"/>
  <c r="B265" i="21" s="1"/>
  <c r="B92" i="11"/>
  <c r="B278" i="21" s="1"/>
  <c r="B102" i="11"/>
  <c r="B103" i="11"/>
  <c r="B104" i="11"/>
  <c r="B282" i="15" s="1"/>
  <c r="B111" i="11"/>
  <c r="B112" i="11"/>
  <c r="G235" i="17"/>
  <c r="G234" i="17"/>
  <c r="G233" i="17"/>
  <c r="E233" i="17"/>
  <c r="C242" i="11" s="1"/>
  <c r="D233" i="17"/>
  <c r="C233" i="17"/>
  <c r="B242" i="11" s="1"/>
  <c r="B233" i="17"/>
  <c r="A233" i="17"/>
  <c r="A242" i="11" s="1"/>
  <c r="G232" i="17"/>
  <c r="E241" i="11" s="1"/>
  <c r="E232" i="17"/>
  <c r="C241" i="11" s="1"/>
  <c r="D232" i="17"/>
  <c r="C232" i="17"/>
  <c r="B241" i="11" s="1"/>
  <c r="B232" i="17"/>
  <c r="A232" i="17"/>
  <c r="A241" i="11" s="1"/>
  <c r="G231" i="17"/>
  <c r="E240" i="11" s="1"/>
  <c r="K240" i="11" s="1"/>
  <c r="E231" i="17"/>
  <c r="C240" i="11" s="1"/>
  <c r="D231" i="17"/>
  <c r="C231" i="17"/>
  <c r="B240" i="11" s="1"/>
  <c r="B231" i="17"/>
  <c r="A231" i="17"/>
  <c r="A240" i="11" s="1"/>
  <c r="G230" i="17"/>
  <c r="E239" i="11" s="1"/>
  <c r="E230" i="17"/>
  <c r="C239" i="11" s="1"/>
  <c r="D230" i="17"/>
  <c r="C230" i="17"/>
  <c r="B239" i="11" s="1"/>
  <c r="B230" i="17"/>
  <c r="A230" i="17"/>
  <c r="A239" i="11" s="1"/>
  <c r="G229" i="17"/>
  <c r="E229" i="17"/>
  <c r="C238" i="11" s="1"/>
  <c r="D229" i="17"/>
  <c r="C229" i="17"/>
  <c r="B238" i="11" s="1"/>
  <c r="B229" i="17"/>
  <c r="A229" i="17"/>
  <c r="A238" i="11" s="1"/>
  <c r="H228" i="17"/>
  <c r="C228" i="17"/>
  <c r="B237" i="11" s="1"/>
  <c r="A228" i="17"/>
  <c r="A237" i="11" s="1"/>
  <c r="H227" i="17"/>
  <c r="G226" i="17"/>
  <c r="H226" i="17" s="1"/>
  <c r="E226" i="17"/>
  <c r="C235" i="11" s="1"/>
  <c r="D226" i="17"/>
  <c r="C226" i="17"/>
  <c r="B235" i="11" s="1"/>
  <c r="B226" i="17"/>
  <c r="A226" i="17"/>
  <c r="A235" i="11" s="1"/>
  <c r="G225" i="17"/>
  <c r="E234" i="11" s="1"/>
  <c r="E225" i="17"/>
  <c r="C234" i="11" s="1"/>
  <c r="D225" i="17"/>
  <c r="C225" i="17"/>
  <c r="B234" i="11" s="1"/>
  <c r="B225" i="17"/>
  <c r="A225" i="17"/>
  <c r="A234" i="11" s="1"/>
  <c r="G224" i="17"/>
  <c r="E233" i="11" s="1"/>
  <c r="E224" i="17"/>
  <c r="C233" i="11" s="1"/>
  <c r="D224" i="17"/>
  <c r="C224" i="17"/>
  <c r="B233" i="11" s="1"/>
  <c r="B224" i="17"/>
  <c r="A224" i="17"/>
  <c r="A233" i="11" s="1"/>
  <c r="G223" i="17"/>
  <c r="E223" i="17"/>
  <c r="C232" i="11" s="1"/>
  <c r="D223" i="17"/>
  <c r="C223" i="17"/>
  <c r="B232" i="11" s="1"/>
  <c r="B423" i="21" s="1"/>
  <c r="B223" i="17"/>
  <c r="A223" i="17"/>
  <c r="A232" i="11" s="1"/>
  <c r="A423" i="21" s="1"/>
  <c r="G222" i="17"/>
  <c r="E222" i="17"/>
  <c r="C231" i="11" s="1"/>
  <c r="D222" i="17"/>
  <c r="C222" i="17"/>
  <c r="B231" i="11" s="1"/>
  <c r="B422" i="21" s="1"/>
  <c r="B222" i="17"/>
  <c r="A222" i="17"/>
  <c r="A231" i="11" s="1"/>
  <c r="A422" i="21" s="1"/>
  <c r="G221" i="17"/>
  <c r="E230" i="11" s="1"/>
  <c r="E221" i="17"/>
  <c r="C230" i="11" s="1"/>
  <c r="D221" i="17"/>
  <c r="C221" i="17"/>
  <c r="B230" i="11" s="1"/>
  <c r="B421" i="21" s="1"/>
  <c r="B221" i="17"/>
  <c r="A221" i="17"/>
  <c r="A230" i="11" s="1"/>
  <c r="A421" i="21" s="1"/>
  <c r="G220" i="17"/>
  <c r="E229" i="11" s="1"/>
  <c r="I229" i="11" s="1"/>
  <c r="E220" i="17"/>
  <c r="C229" i="11" s="1"/>
  <c r="D220" i="17"/>
  <c r="C220" i="17"/>
  <c r="B229" i="11" s="1"/>
  <c r="B220" i="17"/>
  <c r="A220" i="17"/>
  <c r="A229" i="11" s="1"/>
  <c r="G219" i="17"/>
  <c r="E228" i="11" s="1"/>
  <c r="I228" i="11" s="1"/>
  <c r="E219" i="17"/>
  <c r="C228" i="11" s="1"/>
  <c r="D219" i="17"/>
  <c r="C219" i="17"/>
  <c r="B228" i="11" s="1"/>
  <c r="B219" i="17"/>
  <c r="A219" i="17"/>
  <c r="A228" i="11" s="1"/>
  <c r="G218" i="17"/>
  <c r="E227" i="11" s="1"/>
  <c r="I227" i="11" s="1"/>
  <c r="E218" i="17"/>
  <c r="C227" i="11" s="1"/>
  <c r="D218" i="17"/>
  <c r="C218" i="17"/>
  <c r="B227" i="11" s="1"/>
  <c r="B218" i="17"/>
  <c r="A218" i="17"/>
  <c r="A227" i="11" s="1"/>
  <c r="G217" i="17"/>
  <c r="E226" i="11" s="1"/>
  <c r="E217" i="17"/>
  <c r="C226" i="11" s="1"/>
  <c r="D217" i="17"/>
  <c r="C217" i="17"/>
  <c r="B226" i="11" s="1"/>
  <c r="B217" i="17"/>
  <c r="A217" i="17"/>
  <c r="A226" i="11" s="1"/>
  <c r="G216" i="17"/>
  <c r="E225" i="11" s="1"/>
  <c r="E216" i="17"/>
  <c r="C225" i="11" s="1"/>
  <c r="D216" i="17"/>
  <c r="C216" i="17"/>
  <c r="B225" i="11" s="1"/>
  <c r="B216" i="17"/>
  <c r="A216" i="17"/>
  <c r="A225" i="11" s="1"/>
  <c r="G215" i="17"/>
  <c r="E224" i="11" s="1"/>
  <c r="I224" i="11" s="1"/>
  <c r="E215" i="17"/>
  <c r="C224" i="11" s="1"/>
  <c r="D215" i="17"/>
  <c r="C215" i="17"/>
  <c r="B224" i="11" s="1"/>
  <c r="B215" i="17"/>
  <c r="A215" i="17"/>
  <c r="A224" i="11" s="1"/>
  <c r="H214" i="17"/>
  <c r="C214" i="17"/>
  <c r="B223" i="11" s="1"/>
  <c r="A214" i="17"/>
  <c r="A223" i="11" s="1"/>
  <c r="H213" i="17"/>
  <c r="G212" i="17"/>
  <c r="E221" i="11" s="1"/>
  <c r="E212" i="17"/>
  <c r="C221" i="11" s="1"/>
  <c r="D212" i="17"/>
  <c r="C212" i="17"/>
  <c r="B221" i="11" s="1"/>
  <c r="B212" i="17"/>
  <c r="A212" i="17"/>
  <c r="A221" i="11" s="1"/>
  <c r="G211" i="17"/>
  <c r="E220" i="11" s="1"/>
  <c r="I220" i="11" s="1"/>
  <c r="E211" i="17"/>
  <c r="C220" i="11" s="1"/>
  <c r="D211" i="17"/>
  <c r="C211" i="17"/>
  <c r="B220" i="11" s="1"/>
  <c r="B211" i="17"/>
  <c r="A211" i="17"/>
  <c r="A220" i="11" s="1"/>
  <c r="G210" i="17"/>
  <c r="E219" i="11" s="1"/>
  <c r="I219" i="11" s="1"/>
  <c r="E210" i="17"/>
  <c r="C219" i="11" s="1"/>
  <c r="D210" i="17"/>
  <c r="C210" i="17"/>
  <c r="B219" i="11" s="1"/>
  <c r="B343" i="15" s="1"/>
  <c r="B210" i="17"/>
  <c r="A210" i="17"/>
  <c r="A219" i="11" s="1"/>
  <c r="A343" i="15" s="1"/>
  <c r="G209" i="17"/>
  <c r="E218" i="11" s="1"/>
  <c r="I218" i="11" s="1"/>
  <c r="E209" i="17"/>
  <c r="C218" i="11" s="1"/>
  <c r="D209" i="17"/>
  <c r="C209" i="17"/>
  <c r="B218" i="11" s="1"/>
  <c r="B209" i="17"/>
  <c r="A209" i="17"/>
  <c r="A218" i="11" s="1"/>
  <c r="G208" i="17"/>
  <c r="E217" i="11" s="1"/>
  <c r="I217" i="11" s="1"/>
  <c r="E208" i="17"/>
  <c r="C217" i="11" s="1"/>
  <c r="D208" i="17"/>
  <c r="C208" i="17"/>
  <c r="B217" i="11" s="1"/>
  <c r="B318" i="15" s="1"/>
  <c r="B208" i="17"/>
  <c r="A208" i="17"/>
  <c r="A217" i="11" s="1"/>
  <c r="A318" i="15" s="1"/>
  <c r="G207" i="17"/>
  <c r="E216" i="11" s="1"/>
  <c r="E207" i="17"/>
  <c r="C216" i="11" s="1"/>
  <c r="D207" i="17"/>
  <c r="C207" i="17"/>
  <c r="B216" i="11" s="1"/>
  <c r="B207" i="17"/>
  <c r="A207" i="17"/>
  <c r="A216" i="11" s="1"/>
  <c r="H206" i="17"/>
  <c r="C206" i="17"/>
  <c r="B215" i="11" s="1"/>
  <c r="B292" i="15" s="1"/>
  <c r="A206" i="17"/>
  <c r="A215" i="11" s="1"/>
  <c r="H205" i="17"/>
  <c r="G204" i="17"/>
  <c r="E213" i="11" s="1"/>
  <c r="E204" i="17"/>
  <c r="C213" i="11" s="1"/>
  <c r="D204" i="17"/>
  <c r="C204" i="17"/>
  <c r="B213" i="11" s="1"/>
  <c r="B204" i="17"/>
  <c r="A204" i="17"/>
  <c r="A213" i="11" s="1"/>
  <c r="G203" i="17"/>
  <c r="E212" i="11" s="1"/>
  <c r="E203" i="17"/>
  <c r="C212" i="11" s="1"/>
  <c r="D203" i="17"/>
  <c r="C203" i="17"/>
  <c r="B212" i="11" s="1"/>
  <c r="B203" i="17"/>
  <c r="A203" i="17"/>
  <c r="A212" i="11" s="1"/>
  <c r="G202" i="17"/>
  <c r="E211" i="11" s="1"/>
  <c r="I211" i="11" s="1"/>
  <c r="E202" i="17"/>
  <c r="C211" i="11" s="1"/>
  <c r="D202" i="17"/>
  <c r="C202" i="17"/>
  <c r="B211" i="11" s="1"/>
  <c r="B202" i="17"/>
  <c r="A202" i="17"/>
  <c r="A211" i="11" s="1"/>
  <c r="G201" i="17"/>
  <c r="E210" i="11" s="1"/>
  <c r="I210" i="11" s="1"/>
  <c r="E201" i="17"/>
  <c r="C210" i="11" s="1"/>
  <c r="D201" i="17"/>
  <c r="C201" i="17"/>
  <c r="B210" i="11" s="1"/>
  <c r="B201" i="17"/>
  <c r="A201" i="17"/>
  <c r="A210" i="11" s="1"/>
  <c r="G200" i="17"/>
  <c r="E209" i="11" s="1"/>
  <c r="E200" i="17"/>
  <c r="C209" i="11" s="1"/>
  <c r="D200" i="17"/>
  <c r="C200" i="17"/>
  <c r="B209" i="11" s="1"/>
  <c r="B419" i="21" s="1"/>
  <c r="B200" i="17"/>
  <c r="A200" i="17"/>
  <c r="A209" i="11" s="1"/>
  <c r="A419" i="21" s="1"/>
  <c r="G199" i="17"/>
  <c r="E208" i="11" s="1"/>
  <c r="I208" i="11" s="1"/>
  <c r="E199" i="17"/>
  <c r="C208" i="11" s="1"/>
  <c r="D199" i="17"/>
  <c r="C199" i="17"/>
  <c r="B208" i="11" s="1"/>
  <c r="B418" i="21" s="1"/>
  <c r="B199" i="17"/>
  <c r="A199" i="17"/>
  <c r="A208" i="11" s="1"/>
  <c r="A418" i="21" s="1"/>
  <c r="G198" i="17"/>
  <c r="E207" i="11" s="1"/>
  <c r="I207" i="11" s="1"/>
  <c r="E198" i="17"/>
  <c r="C207" i="11" s="1"/>
  <c r="D198" i="17"/>
  <c r="C198" i="17"/>
  <c r="B207" i="11" s="1"/>
  <c r="B417" i="21" s="1"/>
  <c r="B198" i="17"/>
  <c r="A198" i="17"/>
  <c r="A207" i="11" s="1"/>
  <c r="A417" i="21" s="1"/>
  <c r="G197" i="17"/>
  <c r="E206" i="11" s="1"/>
  <c r="I206" i="11" s="1"/>
  <c r="E197" i="17"/>
  <c r="C206" i="11" s="1"/>
  <c r="D197" i="17"/>
  <c r="C197" i="17"/>
  <c r="B206" i="11" s="1"/>
  <c r="B416" i="21" s="1"/>
  <c r="B197" i="17"/>
  <c r="A197" i="17"/>
  <c r="A206" i="11" s="1"/>
  <c r="A416" i="21" s="1"/>
  <c r="G196" i="17"/>
  <c r="E205" i="11" s="1"/>
  <c r="E196" i="17"/>
  <c r="C205" i="11" s="1"/>
  <c r="D196" i="17"/>
  <c r="C196" i="17"/>
  <c r="B205" i="11" s="1"/>
  <c r="B196" i="17"/>
  <c r="A196" i="17"/>
  <c r="A205" i="11" s="1"/>
  <c r="G195" i="17"/>
  <c r="E204" i="11" s="1"/>
  <c r="E195" i="17"/>
  <c r="C204" i="11" s="1"/>
  <c r="D195" i="17"/>
  <c r="C195" i="17"/>
  <c r="B204" i="11" s="1"/>
  <c r="B195" i="17"/>
  <c r="A195" i="17"/>
  <c r="A204" i="11" s="1"/>
  <c r="G194" i="17"/>
  <c r="E203" i="11" s="1"/>
  <c r="E194" i="17"/>
  <c r="C203" i="11" s="1"/>
  <c r="D194" i="17"/>
  <c r="C194" i="17"/>
  <c r="B203" i="11" s="1"/>
  <c r="B194" i="17"/>
  <c r="A194" i="17"/>
  <c r="A203" i="11" s="1"/>
  <c r="G193" i="17"/>
  <c r="E202" i="11" s="1"/>
  <c r="I202" i="11" s="1"/>
  <c r="E193" i="17"/>
  <c r="C202" i="11" s="1"/>
  <c r="D193" i="17"/>
  <c r="C193" i="17"/>
  <c r="B202" i="11" s="1"/>
  <c r="B193" i="17"/>
  <c r="A193" i="17"/>
  <c r="A202" i="11" s="1"/>
  <c r="G192" i="17"/>
  <c r="E201" i="11" s="1"/>
  <c r="E192" i="17"/>
  <c r="C201" i="11" s="1"/>
  <c r="D192" i="17"/>
  <c r="C192" i="17"/>
  <c r="B201" i="11" s="1"/>
  <c r="B414" i="21" s="1"/>
  <c r="B192" i="17"/>
  <c r="A192" i="17"/>
  <c r="A201" i="11" s="1"/>
  <c r="A414" i="21" s="1"/>
  <c r="G191" i="17"/>
  <c r="E200" i="11" s="1"/>
  <c r="E191" i="17"/>
  <c r="C200" i="11" s="1"/>
  <c r="D191" i="17"/>
  <c r="C191" i="17"/>
  <c r="B200" i="11" s="1"/>
  <c r="B191" i="17"/>
  <c r="A191" i="17"/>
  <c r="A200" i="11" s="1"/>
  <c r="G190" i="17"/>
  <c r="E199" i="11" s="1"/>
  <c r="E190" i="17"/>
  <c r="C199" i="11" s="1"/>
  <c r="D190" i="17"/>
  <c r="C190" i="17"/>
  <c r="B199" i="11" s="1"/>
  <c r="B190" i="17"/>
  <c r="A190" i="17"/>
  <c r="A199" i="11" s="1"/>
  <c r="G189" i="17"/>
  <c r="E198" i="11" s="1"/>
  <c r="E189" i="17"/>
  <c r="C198" i="11" s="1"/>
  <c r="D189" i="17"/>
  <c r="C189" i="17"/>
  <c r="B198" i="11" s="1"/>
  <c r="B189" i="17"/>
  <c r="A189" i="17"/>
  <c r="A198" i="11" s="1"/>
  <c r="G188" i="17"/>
  <c r="E197" i="11" s="1"/>
  <c r="J197" i="11" s="1"/>
  <c r="E188" i="17"/>
  <c r="C197" i="11" s="1"/>
  <c r="D188" i="17"/>
  <c r="C188" i="17"/>
  <c r="B197" i="11" s="1"/>
  <c r="B188" i="17"/>
  <c r="A188" i="17"/>
  <c r="A197" i="11" s="1"/>
  <c r="G187" i="17"/>
  <c r="E196" i="11" s="1"/>
  <c r="J196" i="11" s="1"/>
  <c r="E187" i="17"/>
  <c r="C196" i="11" s="1"/>
  <c r="D187" i="17"/>
  <c r="C187" i="17"/>
  <c r="B196" i="11" s="1"/>
  <c r="B187" i="17"/>
  <c r="A187" i="17"/>
  <c r="A196" i="11" s="1"/>
  <c r="G186" i="17"/>
  <c r="E195" i="11" s="1"/>
  <c r="J195" i="11" s="1"/>
  <c r="E186" i="17"/>
  <c r="C195" i="11" s="1"/>
  <c r="D186" i="17"/>
  <c r="C186" i="17"/>
  <c r="B195" i="11" s="1"/>
  <c r="B186" i="17"/>
  <c r="A186" i="17"/>
  <c r="A195" i="11" s="1"/>
  <c r="G185" i="17"/>
  <c r="E194" i="11" s="1"/>
  <c r="J194" i="11" s="1"/>
  <c r="E185" i="17"/>
  <c r="C194" i="11" s="1"/>
  <c r="D185" i="17"/>
  <c r="C185" i="17"/>
  <c r="B194" i="11" s="1"/>
  <c r="B185" i="17"/>
  <c r="A185" i="17"/>
  <c r="A194" i="11" s="1"/>
  <c r="G184" i="17"/>
  <c r="E193" i="11" s="1"/>
  <c r="I193" i="11" s="1"/>
  <c r="E184" i="17"/>
  <c r="C193" i="11" s="1"/>
  <c r="D184" i="17"/>
  <c r="C184" i="17"/>
  <c r="B193" i="11" s="1"/>
  <c r="B413" i="21" s="1"/>
  <c r="B184" i="17"/>
  <c r="A184" i="17"/>
  <c r="A193" i="11" s="1"/>
  <c r="A413" i="21" s="1"/>
  <c r="G183" i="17"/>
  <c r="E192" i="11" s="1"/>
  <c r="I192" i="11" s="1"/>
  <c r="E183" i="17"/>
  <c r="C192" i="11" s="1"/>
  <c r="D183" i="17"/>
  <c r="C183" i="17"/>
  <c r="B192" i="11" s="1"/>
  <c r="B412" i="21" s="1"/>
  <c r="B183" i="17"/>
  <c r="A183" i="17"/>
  <c r="A192" i="11" s="1"/>
  <c r="A412" i="21" s="1"/>
  <c r="G182" i="17"/>
  <c r="E191" i="11" s="1"/>
  <c r="I191" i="11" s="1"/>
  <c r="E182" i="17"/>
  <c r="C191" i="11" s="1"/>
  <c r="D182" i="17"/>
  <c r="C182" i="17"/>
  <c r="B191" i="11" s="1"/>
  <c r="B411" i="21" s="1"/>
  <c r="B182" i="17"/>
  <c r="A182" i="17"/>
  <c r="A191" i="11" s="1"/>
  <c r="A411" i="21" s="1"/>
  <c r="G181" i="17"/>
  <c r="E190" i="11" s="1"/>
  <c r="I190" i="11" s="1"/>
  <c r="E181" i="17"/>
  <c r="C190" i="11" s="1"/>
  <c r="D181" i="17"/>
  <c r="C181" i="17"/>
  <c r="B190" i="11" s="1"/>
  <c r="B410" i="21" s="1"/>
  <c r="B181" i="17"/>
  <c r="A181" i="17"/>
  <c r="A190" i="11" s="1"/>
  <c r="A410" i="21" s="1"/>
  <c r="G180" i="17"/>
  <c r="E189" i="11" s="1"/>
  <c r="E180" i="17"/>
  <c r="C189" i="11" s="1"/>
  <c r="D180" i="17"/>
  <c r="C180" i="17"/>
  <c r="B189" i="11" s="1"/>
  <c r="B180" i="17"/>
  <c r="A180" i="17"/>
  <c r="A189" i="11" s="1"/>
  <c r="H179" i="17"/>
  <c r="C179" i="17"/>
  <c r="B188" i="11" s="1"/>
  <c r="B409" i="21" s="1"/>
  <c r="A179" i="17"/>
  <c r="A188" i="11" s="1"/>
  <c r="A409" i="21" s="1"/>
  <c r="H178" i="17"/>
  <c r="G177" i="17"/>
  <c r="E186" i="11" s="1"/>
  <c r="E177" i="17"/>
  <c r="C186" i="11" s="1"/>
  <c r="D177" i="17"/>
  <c r="C177" i="17"/>
  <c r="B186" i="11" s="1"/>
  <c r="B177" i="17"/>
  <c r="A177" i="17"/>
  <c r="A186" i="11" s="1"/>
  <c r="G176" i="17"/>
  <c r="E185" i="11" s="1"/>
  <c r="E176" i="17"/>
  <c r="C185" i="11" s="1"/>
  <c r="D176" i="17"/>
  <c r="C176" i="17"/>
  <c r="B185" i="11" s="1"/>
  <c r="B176" i="17"/>
  <c r="A176" i="17"/>
  <c r="A185" i="11" s="1"/>
  <c r="G175" i="17"/>
  <c r="E184" i="11" s="1"/>
  <c r="E175" i="17"/>
  <c r="C184" i="11" s="1"/>
  <c r="D175" i="17"/>
  <c r="C175" i="17"/>
  <c r="B184" i="11" s="1"/>
  <c r="B175" i="17"/>
  <c r="A175" i="17"/>
  <c r="A184" i="11" s="1"/>
  <c r="G174" i="17"/>
  <c r="E183" i="11" s="1"/>
  <c r="E174" i="17"/>
  <c r="C183" i="11" s="1"/>
  <c r="D174" i="17"/>
  <c r="C174" i="17"/>
  <c r="B183" i="11" s="1"/>
  <c r="B174" i="17"/>
  <c r="A174" i="17"/>
  <c r="A183" i="11" s="1"/>
  <c r="G173" i="17"/>
  <c r="E182" i="11" s="1"/>
  <c r="I182" i="11" s="1"/>
  <c r="E173" i="17"/>
  <c r="C182" i="11" s="1"/>
  <c r="D173" i="17"/>
  <c r="C173" i="17"/>
  <c r="B182" i="11" s="1"/>
  <c r="B173" i="17"/>
  <c r="A173" i="17"/>
  <c r="A182" i="11" s="1"/>
  <c r="G172" i="17"/>
  <c r="E181" i="11" s="1"/>
  <c r="I181" i="11" s="1"/>
  <c r="E172" i="17"/>
  <c r="C181" i="11" s="1"/>
  <c r="D172" i="17"/>
  <c r="C172" i="17"/>
  <c r="B181" i="11" s="1"/>
  <c r="B172" i="17"/>
  <c r="A172" i="17"/>
  <c r="A181" i="11" s="1"/>
  <c r="G171" i="17"/>
  <c r="E180" i="11" s="1"/>
  <c r="I180" i="11" s="1"/>
  <c r="E171" i="17"/>
  <c r="C180" i="11" s="1"/>
  <c r="D171" i="17"/>
  <c r="C171" i="17"/>
  <c r="B180" i="11" s="1"/>
  <c r="B171" i="17"/>
  <c r="A171" i="17"/>
  <c r="A180" i="11" s="1"/>
  <c r="G170" i="17"/>
  <c r="E179" i="11" s="1"/>
  <c r="I179" i="11" s="1"/>
  <c r="E170" i="17"/>
  <c r="C179" i="11" s="1"/>
  <c r="D170" i="17"/>
  <c r="C170" i="17"/>
  <c r="B179" i="11" s="1"/>
  <c r="B170" i="17"/>
  <c r="A170" i="17"/>
  <c r="A179" i="11" s="1"/>
  <c r="G169" i="17"/>
  <c r="E178" i="11" s="1"/>
  <c r="E169" i="17"/>
  <c r="C178" i="11" s="1"/>
  <c r="D169" i="17"/>
  <c r="C169" i="17"/>
  <c r="B178" i="11" s="1"/>
  <c r="B169" i="17"/>
  <c r="A169" i="17"/>
  <c r="A178" i="11" s="1"/>
  <c r="G168" i="17"/>
  <c r="E177" i="11" s="1"/>
  <c r="E168" i="17"/>
  <c r="C177" i="11" s="1"/>
  <c r="D168" i="17"/>
  <c r="C168" i="17"/>
  <c r="B177" i="11" s="1"/>
  <c r="B168" i="17"/>
  <c r="A168" i="17"/>
  <c r="A177" i="11" s="1"/>
  <c r="G167" i="17"/>
  <c r="E176" i="11" s="1"/>
  <c r="E167" i="17"/>
  <c r="C176" i="11" s="1"/>
  <c r="D167" i="17"/>
  <c r="C167" i="17"/>
  <c r="B176" i="11" s="1"/>
  <c r="B167" i="17"/>
  <c r="A167" i="17"/>
  <c r="A176" i="11" s="1"/>
  <c r="G166" i="17"/>
  <c r="E175" i="11" s="1"/>
  <c r="E166" i="17"/>
  <c r="C175" i="11" s="1"/>
  <c r="D166" i="17"/>
  <c r="C166" i="17"/>
  <c r="B175" i="11" s="1"/>
  <c r="B166" i="17"/>
  <c r="A166" i="17"/>
  <c r="A175" i="11" s="1"/>
  <c r="G165" i="17"/>
  <c r="E174" i="11" s="1"/>
  <c r="I174" i="11" s="1"/>
  <c r="E165" i="17"/>
  <c r="C174" i="11" s="1"/>
  <c r="D165" i="17"/>
  <c r="C165" i="17"/>
  <c r="B174" i="11" s="1"/>
  <c r="B165" i="17"/>
  <c r="A165" i="17"/>
  <c r="A174" i="11" s="1"/>
  <c r="G164" i="17"/>
  <c r="E173" i="11" s="1"/>
  <c r="I173" i="11" s="1"/>
  <c r="E164" i="17"/>
  <c r="C173" i="11" s="1"/>
  <c r="D164" i="17"/>
  <c r="C164" i="17"/>
  <c r="B173" i="11" s="1"/>
  <c r="B164" i="17"/>
  <c r="A164" i="17"/>
  <c r="A173" i="11" s="1"/>
  <c r="G163" i="17"/>
  <c r="E172" i="11" s="1"/>
  <c r="I172" i="11" s="1"/>
  <c r="E163" i="17"/>
  <c r="C172" i="11" s="1"/>
  <c r="D163" i="17"/>
  <c r="C163" i="17"/>
  <c r="B172" i="11" s="1"/>
  <c r="B163" i="17"/>
  <c r="A163" i="17"/>
  <c r="A172" i="11" s="1"/>
  <c r="G162" i="17"/>
  <c r="E171" i="11" s="1"/>
  <c r="E162" i="17"/>
  <c r="C171" i="11" s="1"/>
  <c r="D162" i="17"/>
  <c r="C162" i="17"/>
  <c r="B171" i="11" s="1"/>
  <c r="B162" i="17"/>
  <c r="A162" i="17"/>
  <c r="A171" i="11" s="1"/>
  <c r="H161" i="17"/>
  <c r="C161" i="17"/>
  <c r="B170" i="11" s="1"/>
  <c r="A161" i="17"/>
  <c r="A170" i="11" s="1"/>
  <c r="H160" i="17"/>
  <c r="G159" i="17"/>
  <c r="E168" i="11" s="1"/>
  <c r="E159" i="17"/>
  <c r="C168" i="11" s="1"/>
  <c r="D159" i="17"/>
  <c r="C159" i="17"/>
  <c r="B168" i="11" s="1"/>
  <c r="B159" i="17"/>
  <c r="A159" i="17"/>
  <c r="A168" i="11" s="1"/>
  <c r="G158" i="17"/>
  <c r="E167" i="11" s="1"/>
  <c r="E158" i="17"/>
  <c r="C167" i="11" s="1"/>
  <c r="D158" i="17"/>
  <c r="C158" i="17"/>
  <c r="B167" i="11" s="1"/>
  <c r="B158" i="17"/>
  <c r="A158" i="17"/>
  <c r="A167" i="11" s="1"/>
  <c r="G157" i="17"/>
  <c r="E166" i="11" s="1"/>
  <c r="E157" i="17"/>
  <c r="C166" i="11" s="1"/>
  <c r="D157" i="17"/>
  <c r="C157" i="17"/>
  <c r="B166" i="11" s="1"/>
  <c r="B157" i="17"/>
  <c r="A157" i="17"/>
  <c r="A166" i="11" s="1"/>
  <c r="G156" i="17"/>
  <c r="E165" i="11" s="1"/>
  <c r="I165" i="11" s="1"/>
  <c r="E156" i="17"/>
  <c r="C165" i="11" s="1"/>
  <c r="D156" i="17"/>
  <c r="C156" i="17"/>
  <c r="B165" i="11" s="1"/>
  <c r="B156" i="17"/>
  <c r="A156" i="17"/>
  <c r="A165" i="11" s="1"/>
  <c r="G155" i="17"/>
  <c r="E164" i="11" s="1"/>
  <c r="I164" i="11" s="1"/>
  <c r="E155" i="17"/>
  <c r="C164" i="11" s="1"/>
  <c r="D155" i="17"/>
  <c r="C155" i="17"/>
  <c r="B164" i="11" s="1"/>
  <c r="B155" i="17"/>
  <c r="A155" i="17"/>
  <c r="A164" i="11" s="1"/>
  <c r="G154" i="17"/>
  <c r="E163" i="11" s="1"/>
  <c r="I163" i="11" s="1"/>
  <c r="E154" i="17"/>
  <c r="C163" i="11" s="1"/>
  <c r="D154" i="17"/>
  <c r="C154" i="17"/>
  <c r="B163" i="11" s="1"/>
  <c r="B154" i="17"/>
  <c r="A154" i="17"/>
  <c r="A163" i="11" s="1"/>
  <c r="G153" i="17"/>
  <c r="H153" i="17" s="1"/>
  <c r="E153" i="17"/>
  <c r="C162" i="11" s="1"/>
  <c r="D153" i="17"/>
  <c r="C153" i="17"/>
  <c r="B162" i="11" s="1"/>
  <c r="B153" i="17"/>
  <c r="A153" i="17"/>
  <c r="A162" i="11" s="1"/>
  <c r="G152" i="17"/>
  <c r="E161" i="11" s="1"/>
  <c r="I161" i="11" s="1"/>
  <c r="E152" i="17"/>
  <c r="C161" i="11" s="1"/>
  <c r="D152" i="17"/>
  <c r="C152" i="17"/>
  <c r="B161" i="11" s="1"/>
  <c r="B152" i="17"/>
  <c r="A152" i="17"/>
  <c r="A161" i="11" s="1"/>
  <c r="G151" i="17"/>
  <c r="E160" i="11" s="1"/>
  <c r="E151" i="17"/>
  <c r="C160" i="11" s="1"/>
  <c r="D151" i="17"/>
  <c r="C151" i="17"/>
  <c r="B160" i="11" s="1"/>
  <c r="B151" i="17"/>
  <c r="A151" i="17"/>
  <c r="A160" i="11" s="1"/>
  <c r="G150" i="17"/>
  <c r="E159" i="11" s="1"/>
  <c r="E150" i="17"/>
  <c r="C159" i="11" s="1"/>
  <c r="D150" i="17"/>
  <c r="C150" i="17"/>
  <c r="B159" i="11" s="1"/>
  <c r="B150" i="17"/>
  <c r="A150" i="17"/>
  <c r="A159" i="11" s="1"/>
  <c r="G149" i="17"/>
  <c r="E158" i="11" s="1"/>
  <c r="E149" i="17"/>
  <c r="C158" i="11" s="1"/>
  <c r="D149" i="17"/>
  <c r="C149" i="17"/>
  <c r="B158" i="11" s="1"/>
  <c r="B149" i="17"/>
  <c r="A149" i="17"/>
  <c r="A158" i="11" s="1"/>
  <c r="G148" i="17"/>
  <c r="E157" i="11" s="1"/>
  <c r="E148" i="17"/>
  <c r="C157" i="11" s="1"/>
  <c r="D148" i="17"/>
  <c r="C148" i="17"/>
  <c r="B157" i="11" s="1"/>
  <c r="B148" i="17"/>
  <c r="A148" i="17"/>
  <c r="A157" i="11" s="1"/>
  <c r="G147" i="17"/>
  <c r="E156" i="11" s="1"/>
  <c r="E147" i="17"/>
  <c r="C156" i="11" s="1"/>
  <c r="D147" i="17"/>
  <c r="C147" i="17"/>
  <c r="B156" i="11" s="1"/>
  <c r="B147" i="17"/>
  <c r="A147" i="17"/>
  <c r="A156" i="11" s="1"/>
  <c r="G146" i="17"/>
  <c r="E155" i="11" s="1"/>
  <c r="I155" i="11" s="1"/>
  <c r="E146" i="17"/>
  <c r="C155" i="11" s="1"/>
  <c r="D146" i="17"/>
  <c r="C146" i="17"/>
  <c r="B155" i="11" s="1"/>
  <c r="B146" i="17"/>
  <c r="A146" i="17"/>
  <c r="A155" i="11" s="1"/>
  <c r="G145" i="17"/>
  <c r="E154" i="11" s="1"/>
  <c r="I154" i="11" s="1"/>
  <c r="E145" i="17"/>
  <c r="C154" i="11" s="1"/>
  <c r="D145" i="17"/>
  <c r="C145" i="17"/>
  <c r="B154" i="11" s="1"/>
  <c r="B145" i="17"/>
  <c r="A145" i="17"/>
  <c r="A154" i="11" s="1"/>
  <c r="G144" i="17"/>
  <c r="E153" i="11" s="1"/>
  <c r="E144" i="17"/>
  <c r="C153" i="11" s="1"/>
  <c r="D144" i="17"/>
  <c r="C144" i="17"/>
  <c r="B153" i="11" s="1"/>
  <c r="B144" i="17"/>
  <c r="A144" i="17"/>
  <c r="A153" i="11" s="1"/>
  <c r="G143" i="17"/>
  <c r="E152" i="11" s="1"/>
  <c r="E143" i="17"/>
  <c r="C152" i="11" s="1"/>
  <c r="D143" i="17"/>
  <c r="C143" i="17"/>
  <c r="B152" i="11" s="1"/>
  <c r="B143" i="17"/>
  <c r="A143" i="17"/>
  <c r="A152" i="11" s="1"/>
  <c r="G142" i="17"/>
  <c r="E151" i="11" s="1"/>
  <c r="I151" i="11" s="1"/>
  <c r="E142" i="17"/>
  <c r="C151" i="11" s="1"/>
  <c r="D142" i="17"/>
  <c r="C142" i="17"/>
  <c r="B151" i="11" s="1"/>
  <c r="B142" i="17"/>
  <c r="A142" i="17"/>
  <c r="A151" i="11" s="1"/>
  <c r="G141" i="17"/>
  <c r="E150" i="11" s="1"/>
  <c r="I150" i="11" s="1"/>
  <c r="E141" i="17"/>
  <c r="C150" i="11" s="1"/>
  <c r="D141" i="17"/>
  <c r="C141" i="17"/>
  <c r="B150" i="11" s="1"/>
  <c r="B141" i="17"/>
  <c r="A141" i="17"/>
  <c r="A150" i="11" s="1"/>
  <c r="G140" i="17"/>
  <c r="E149" i="11" s="1"/>
  <c r="E140" i="17"/>
  <c r="C149" i="11" s="1"/>
  <c r="D140" i="17"/>
  <c r="C140" i="17"/>
  <c r="B149" i="11" s="1"/>
  <c r="B140" i="17"/>
  <c r="A140" i="17"/>
  <c r="A149" i="11" s="1"/>
  <c r="G139" i="17"/>
  <c r="E148" i="11" s="1"/>
  <c r="I148" i="11" s="1"/>
  <c r="E139" i="17"/>
  <c r="C148" i="11" s="1"/>
  <c r="D139" i="17"/>
  <c r="C139" i="17"/>
  <c r="B148" i="11" s="1"/>
  <c r="B139" i="17"/>
  <c r="A139" i="17"/>
  <c r="A148" i="11" s="1"/>
  <c r="G138" i="17"/>
  <c r="E147" i="11" s="1"/>
  <c r="I147" i="11" s="1"/>
  <c r="E138" i="17"/>
  <c r="C147" i="11" s="1"/>
  <c r="D138" i="17"/>
  <c r="C138" i="17"/>
  <c r="B147" i="11" s="1"/>
  <c r="B138" i="17"/>
  <c r="A138" i="17"/>
  <c r="A147" i="11" s="1"/>
  <c r="G137" i="17"/>
  <c r="E146" i="11" s="1"/>
  <c r="I146" i="11" s="1"/>
  <c r="E137" i="17"/>
  <c r="C146" i="11" s="1"/>
  <c r="D137" i="17"/>
  <c r="C137" i="17"/>
  <c r="B146" i="11" s="1"/>
  <c r="B137" i="17"/>
  <c r="A137" i="17"/>
  <c r="A146" i="11" s="1"/>
  <c r="G136" i="17"/>
  <c r="E145" i="11" s="1"/>
  <c r="E136" i="17"/>
  <c r="C145" i="11" s="1"/>
  <c r="D136" i="17"/>
  <c r="C136" i="17"/>
  <c r="B145" i="11" s="1"/>
  <c r="B136" i="17"/>
  <c r="A136" i="17"/>
  <c r="A145" i="11" s="1"/>
  <c r="H135" i="17"/>
  <c r="C135" i="17"/>
  <c r="B144" i="11" s="1"/>
  <c r="A135" i="17"/>
  <c r="A144" i="11" s="1"/>
  <c r="H134" i="17"/>
  <c r="G133" i="17"/>
  <c r="E142" i="11" s="1"/>
  <c r="E133" i="17"/>
  <c r="C142" i="11" s="1"/>
  <c r="D133" i="17"/>
  <c r="C133" i="17"/>
  <c r="B142" i="11" s="1"/>
  <c r="B133" i="17"/>
  <c r="A133" i="17"/>
  <c r="A142" i="11" s="1"/>
  <c r="G132" i="17"/>
  <c r="E141" i="11" s="1"/>
  <c r="E132" i="17"/>
  <c r="C141" i="11" s="1"/>
  <c r="D132" i="17"/>
  <c r="C132" i="17"/>
  <c r="B141" i="11" s="1"/>
  <c r="B132" i="17"/>
  <c r="A132" i="17"/>
  <c r="A141" i="11" s="1"/>
  <c r="G131" i="17"/>
  <c r="E140" i="11" s="1"/>
  <c r="E131" i="17"/>
  <c r="C140" i="11" s="1"/>
  <c r="D131" i="17"/>
  <c r="C131" i="17"/>
  <c r="B140" i="11" s="1"/>
  <c r="B131" i="17"/>
  <c r="A131" i="17"/>
  <c r="A140" i="11" s="1"/>
  <c r="G130" i="17"/>
  <c r="E139" i="11" s="1"/>
  <c r="I139" i="11" s="1"/>
  <c r="E130" i="17"/>
  <c r="C139" i="11" s="1"/>
  <c r="D130" i="17"/>
  <c r="C130" i="17"/>
  <c r="B139" i="11" s="1"/>
  <c r="B130" i="17"/>
  <c r="A130" i="17"/>
  <c r="A139" i="11" s="1"/>
  <c r="G129" i="17"/>
  <c r="E138" i="11" s="1"/>
  <c r="I138" i="11" s="1"/>
  <c r="E129" i="17"/>
  <c r="C138" i="11" s="1"/>
  <c r="D129" i="17"/>
  <c r="C129" i="17"/>
  <c r="B138" i="11" s="1"/>
  <c r="B129" i="17"/>
  <c r="A129" i="17"/>
  <c r="A138" i="11" s="1"/>
  <c r="G128" i="17"/>
  <c r="E137" i="11" s="1"/>
  <c r="I137" i="11" s="1"/>
  <c r="E128" i="17"/>
  <c r="C137" i="11" s="1"/>
  <c r="D128" i="17"/>
  <c r="C128" i="17"/>
  <c r="B137" i="11" s="1"/>
  <c r="B128" i="17"/>
  <c r="A128" i="17"/>
  <c r="A137" i="11" s="1"/>
  <c r="G127" i="17"/>
  <c r="E136" i="11" s="1"/>
  <c r="I136" i="11" s="1"/>
  <c r="E127" i="17"/>
  <c r="C136" i="11" s="1"/>
  <c r="D127" i="17"/>
  <c r="C127" i="17"/>
  <c r="B136" i="11" s="1"/>
  <c r="B127" i="17"/>
  <c r="A127" i="17"/>
  <c r="A136" i="11" s="1"/>
  <c r="G126" i="17"/>
  <c r="E135" i="11" s="1"/>
  <c r="E126" i="17"/>
  <c r="C135" i="11" s="1"/>
  <c r="D126" i="17"/>
  <c r="C126" i="17"/>
  <c r="B135" i="11" s="1"/>
  <c r="B126" i="17"/>
  <c r="A126" i="17"/>
  <c r="A135" i="11" s="1"/>
  <c r="G125" i="17"/>
  <c r="E134" i="11" s="1"/>
  <c r="E125" i="17"/>
  <c r="C134" i="11" s="1"/>
  <c r="D125" i="17"/>
  <c r="C125" i="17"/>
  <c r="B134" i="11" s="1"/>
  <c r="B125" i="17"/>
  <c r="A125" i="17"/>
  <c r="A134" i="11" s="1"/>
  <c r="G124" i="17"/>
  <c r="E133" i="11" s="1"/>
  <c r="I133" i="11" s="1"/>
  <c r="E124" i="17"/>
  <c r="C133" i="11" s="1"/>
  <c r="D124" i="17"/>
  <c r="C124" i="17"/>
  <c r="B133" i="11" s="1"/>
  <c r="B124" i="17"/>
  <c r="A124" i="17"/>
  <c r="A133" i="11" s="1"/>
  <c r="G123" i="17"/>
  <c r="E132" i="11" s="1"/>
  <c r="E123" i="17"/>
  <c r="C132" i="11" s="1"/>
  <c r="D123" i="17"/>
  <c r="C123" i="17"/>
  <c r="B132" i="11" s="1"/>
  <c r="B123" i="17"/>
  <c r="A123" i="17"/>
  <c r="A132" i="11" s="1"/>
  <c r="G122" i="17"/>
  <c r="E131" i="11" s="1"/>
  <c r="E122" i="17"/>
  <c r="C131" i="11" s="1"/>
  <c r="D122" i="17"/>
  <c r="C122" i="17"/>
  <c r="B131" i="11" s="1"/>
  <c r="B122" i="17"/>
  <c r="A122" i="17"/>
  <c r="A131" i="11" s="1"/>
  <c r="G121" i="17"/>
  <c r="E130" i="11" s="1"/>
  <c r="E121" i="17"/>
  <c r="C130" i="11" s="1"/>
  <c r="D121" i="17"/>
  <c r="C121" i="17"/>
  <c r="B130" i="11" s="1"/>
  <c r="B121" i="17"/>
  <c r="A121" i="17"/>
  <c r="A130" i="11" s="1"/>
  <c r="G120" i="17"/>
  <c r="E129" i="11" s="1"/>
  <c r="I129" i="11" s="1"/>
  <c r="E120" i="17"/>
  <c r="C129" i="11" s="1"/>
  <c r="D120" i="17"/>
  <c r="C120" i="17"/>
  <c r="B129" i="11" s="1"/>
  <c r="B120" i="17"/>
  <c r="A120" i="17"/>
  <c r="A129" i="11" s="1"/>
  <c r="G119" i="17"/>
  <c r="E128" i="11" s="1"/>
  <c r="I128" i="11" s="1"/>
  <c r="E119" i="17"/>
  <c r="C128" i="11" s="1"/>
  <c r="D119" i="17"/>
  <c r="C119" i="17"/>
  <c r="B128" i="11" s="1"/>
  <c r="B119" i="17"/>
  <c r="A119" i="17"/>
  <c r="A128" i="11" s="1"/>
  <c r="G118" i="17"/>
  <c r="E127" i="11" s="1"/>
  <c r="E118" i="17"/>
  <c r="C127" i="11" s="1"/>
  <c r="D118" i="17"/>
  <c r="C118" i="17"/>
  <c r="B127" i="11" s="1"/>
  <c r="B118" i="17"/>
  <c r="A118" i="17"/>
  <c r="A127" i="11" s="1"/>
  <c r="G117" i="17"/>
  <c r="E126" i="11" s="1"/>
  <c r="E117" i="17"/>
  <c r="C126" i="11" s="1"/>
  <c r="D117" i="17"/>
  <c r="C117" i="17"/>
  <c r="B126" i="11" s="1"/>
  <c r="B117" i="17"/>
  <c r="A117" i="17"/>
  <c r="A126" i="11" s="1"/>
  <c r="G116" i="17"/>
  <c r="E125" i="11" s="1"/>
  <c r="I125" i="11" s="1"/>
  <c r="E116" i="17"/>
  <c r="C125" i="11" s="1"/>
  <c r="D116" i="17"/>
  <c r="C116" i="17"/>
  <c r="B125" i="11" s="1"/>
  <c r="B116" i="17"/>
  <c r="A116" i="17"/>
  <c r="A125" i="11" s="1"/>
  <c r="G115" i="17"/>
  <c r="E124" i="11" s="1"/>
  <c r="I124" i="11" s="1"/>
  <c r="E115" i="17"/>
  <c r="C124" i="11" s="1"/>
  <c r="D115" i="17"/>
  <c r="C115" i="17"/>
  <c r="B124" i="11" s="1"/>
  <c r="B115" i="17"/>
  <c r="A115" i="17"/>
  <c r="A124" i="11" s="1"/>
  <c r="G114" i="17"/>
  <c r="E123" i="11" s="1"/>
  <c r="I123" i="11" s="1"/>
  <c r="E114" i="17"/>
  <c r="C123" i="11" s="1"/>
  <c r="D114" i="17"/>
  <c r="C114" i="17"/>
  <c r="B123" i="11" s="1"/>
  <c r="B114" i="17"/>
  <c r="A114" i="17"/>
  <c r="A123" i="11" s="1"/>
  <c r="G113" i="17"/>
  <c r="E122" i="11" s="1"/>
  <c r="I122" i="11" s="1"/>
  <c r="E113" i="17"/>
  <c r="C122" i="11" s="1"/>
  <c r="D113" i="17"/>
  <c r="C113" i="17"/>
  <c r="B122" i="11" s="1"/>
  <c r="B113" i="17"/>
  <c r="A113" i="17"/>
  <c r="A122" i="11" s="1"/>
  <c r="G112" i="17"/>
  <c r="E121" i="11" s="1"/>
  <c r="I121" i="11" s="1"/>
  <c r="E112" i="17"/>
  <c r="C121" i="11" s="1"/>
  <c r="D112" i="17"/>
  <c r="C112" i="17"/>
  <c r="B121" i="11" s="1"/>
  <c r="B112" i="17"/>
  <c r="A112" i="17"/>
  <c r="A121" i="11" s="1"/>
  <c r="G111" i="17"/>
  <c r="E120" i="11" s="1"/>
  <c r="I120" i="11" s="1"/>
  <c r="E111" i="17"/>
  <c r="C120" i="11" s="1"/>
  <c r="D111" i="17"/>
  <c r="C111" i="17"/>
  <c r="B120" i="11" s="1"/>
  <c r="B111" i="17"/>
  <c r="A111" i="17"/>
  <c r="A120" i="11" s="1"/>
  <c r="G110" i="17"/>
  <c r="E119" i="11" s="1"/>
  <c r="E110" i="17"/>
  <c r="C119" i="11" s="1"/>
  <c r="D110" i="17"/>
  <c r="C110" i="17"/>
  <c r="B119" i="11" s="1"/>
  <c r="B110" i="17"/>
  <c r="A110" i="17"/>
  <c r="A119" i="11" s="1"/>
  <c r="G109" i="17"/>
  <c r="E118" i="11" s="1"/>
  <c r="E109" i="17"/>
  <c r="C118" i="11" s="1"/>
  <c r="D109" i="17"/>
  <c r="C109" i="17"/>
  <c r="B118" i="11" s="1"/>
  <c r="B109" i="17"/>
  <c r="A109" i="17"/>
  <c r="A118" i="11" s="1"/>
  <c r="G108" i="17"/>
  <c r="E117" i="11" s="1"/>
  <c r="E108" i="17"/>
  <c r="C117" i="11" s="1"/>
  <c r="D108" i="17"/>
  <c r="C108" i="17"/>
  <c r="B117" i="11" s="1"/>
  <c r="B108" i="17"/>
  <c r="A108" i="17"/>
  <c r="A117" i="11" s="1"/>
  <c r="G107" i="17"/>
  <c r="E116" i="11" s="1"/>
  <c r="I116" i="11" s="1"/>
  <c r="E107" i="17"/>
  <c r="C116" i="11" s="1"/>
  <c r="D107" i="17"/>
  <c r="C107" i="17"/>
  <c r="B116" i="11" s="1"/>
  <c r="B107" i="17"/>
  <c r="A107" i="17"/>
  <c r="A116" i="11" s="1"/>
  <c r="G106" i="17"/>
  <c r="E115" i="11" s="1"/>
  <c r="E106" i="17"/>
  <c r="C115" i="11" s="1"/>
  <c r="D106" i="17"/>
  <c r="C106" i="17"/>
  <c r="B115" i="11" s="1"/>
  <c r="B106" i="17"/>
  <c r="A106" i="17"/>
  <c r="A115" i="11" s="1"/>
  <c r="H105" i="17"/>
  <c r="C105" i="17"/>
  <c r="B114" i="11" s="1"/>
  <c r="A105" i="17"/>
  <c r="A114" i="11" s="1"/>
  <c r="H104" i="17"/>
  <c r="C104" i="17"/>
  <c r="B113" i="11" s="1"/>
  <c r="A104" i="17"/>
  <c r="A113" i="11" s="1"/>
  <c r="G103" i="17"/>
  <c r="E112" i="11" s="1"/>
  <c r="I112" i="11" s="1"/>
  <c r="G102" i="17"/>
  <c r="G101" i="17"/>
  <c r="E110" i="11" s="1"/>
  <c r="I110" i="11" s="1"/>
  <c r="E101" i="17"/>
  <c r="C110" i="11" s="1"/>
  <c r="D101" i="17"/>
  <c r="C101" i="17"/>
  <c r="B110" i="11" s="1"/>
  <c r="B101" i="17"/>
  <c r="A101" i="17"/>
  <c r="A110" i="11" s="1"/>
  <c r="G100" i="17"/>
  <c r="E109" i="11" s="1"/>
  <c r="E100" i="17"/>
  <c r="C109" i="11" s="1"/>
  <c r="D100" i="17"/>
  <c r="C100" i="17"/>
  <c r="B109" i="11" s="1"/>
  <c r="B100" i="17"/>
  <c r="A100" i="17"/>
  <c r="A109" i="11" s="1"/>
  <c r="G99" i="17"/>
  <c r="E108" i="11" s="1"/>
  <c r="E99" i="17"/>
  <c r="C108" i="11" s="1"/>
  <c r="D99" i="17"/>
  <c r="C99" i="17"/>
  <c r="B108" i="11" s="1"/>
  <c r="B99" i="17"/>
  <c r="A99" i="17"/>
  <c r="A108" i="11" s="1"/>
  <c r="G98" i="17"/>
  <c r="E107" i="11" s="1"/>
  <c r="I107" i="11" s="1"/>
  <c r="E98" i="17"/>
  <c r="C107" i="11" s="1"/>
  <c r="D98" i="17"/>
  <c r="C98" i="17"/>
  <c r="B107" i="11" s="1"/>
  <c r="B98" i="17"/>
  <c r="A98" i="17"/>
  <c r="A107" i="11" s="1"/>
  <c r="H97" i="17"/>
  <c r="C97" i="17"/>
  <c r="B106" i="11" s="1"/>
  <c r="A97" i="17"/>
  <c r="A106" i="11" s="1"/>
  <c r="H96" i="17"/>
  <c r="G95" i="17"/>
  <c r="E104" i="11" s="1"/>
  <c r="G94" i="17"/>
  <c r="H93" i="17"/>
  <c r="E93" i="17"/>
  <c r="C102" i="11" s="1"/>
  <c r="D93" i="17"/>
  <c r="B93" i="17"/>
  <c r="A93" i="17"/>
  <c r="A102" i="11" s="1"/>
  <c r="H92" i="17"/>
  <c r="E92" i="17"/>
  <c r="C101" i="11" s="1"/>
  <c r="D92" i="17"/>
  <c r="C92" i="17"/>
  <c r="B101" i="11" s="1"/>
  <c r="B92" i="17"/>
  <c r="A92" i="17"/>
  <c r="A101" i="11" s="1"/>
  <c r="H91" i="17"/>
  <c r="E91" i="17"/>
  <c r="C100" i="11" s="1"/>
  <c r="D91" i="17"/>
  <c r="C91" i="17"/>
  <c r="B100" i="11" s="1"/>
  <c r="B91" i="17"/>
  <c r="A91" i="17"/>
  <c r="A100" i="11" s="1"/>
  <c r="H90" i="17"/>
  <c r="E90" i="17"/>
  <c r="C99" i="11" s="1"/>
  <c r="D90" i="17"/>
  <c r="C90" i="17"/>
  <c r="B99" i="11" s="1"/>
  <c r="B90" i="17"/>
  <c r="A90" i="17"/>
  <c r="A99" i="11" s="1"/>
  <c r="H89" i="17"/>
  <c r="C89" i="17"/>
  <c r="B98" i="11" s="1"/>
  <c r="A89" i="17"/>
  <c r="A98" i="11" s="1"/>
  <c r="H88" i="17"/>
  <c r="H87" i="17"/>
  <c r="E87" i="17"/>
  <c r="C96" i="11" s="1"/>
  <c r="D87" i="17"/>
  <c r="C87" i="17"/>
  <c r="B96" i="11" s="1"/>
  <c r="B87" i="17"/>
  <c r="A87" i="17"/>
  <c r="A96" i="11" s="1"/>
  <c r="H86" i="17"/>
  <c r="E86" i="17"/>
  <c r="C95" i="11" s="1"/>
  <c r="D86" i="17"/>
  <c r="C86" i="17"/>
  <c r="B95" i="11" s="1"/>
  <c r="B86" i="17"/>
  <c r="A86" i="17"/>
  <c r="A95" i="11" s="1"/>
  <c r="H85" i="17"/>
  <c r="C85" i="17"/>
  <c r="B94" i="11" s="1"/>
  <c r="A85" i="17"/>
  <c r="A94" i="11" s="1"/>
  <c r="H84" i="17"/>
  <c r="G83" i="17"/>
  <c r="H82" i="17"/>
  <c r="E82" i="17"/>
  <c r="C91" i="11" s="1"/>
  <c r="D82" i="17"/>
  <c r="C82" i="17"/>
  <c r="B91" i="11" s="1"/>
  <c r="B82" i="17"/>
  <c r="A82" i="17"/>
  <c r="A91" i="11" s="1"/>
  <c r="H81" i="17"/>
  <c r="E81" i="17"/>
  <c r="C90" i="11" s="1"/>
  <c r="D81" i="17"/>
  <c r="C81" i="17"/>
  <c r="B90" i="11" s="1"/>
  <c r="B81" i="17"/>
  <c r="A81" i="17"/>
  <c r="A90" i="11" s="1"/>
  <c r="H80" i="17"/>
  <c r="C80" i="17"/>
  <c r="B89" i="11" s="1"/>
  <c r="A80" i="17"/>
  <c r="A89" i="11" s="1"/>
  <c r="H79" i="17"/>
  <c r="H78" i="17"/>
  <c r="H77" i="17"/>
  <c r="H76" i="17"/>
  <c r="H75" i="17"/>
  <c r="H74" i="17"/>
  <c r="H73" i="17"/>
  <c r="H72" i="17"/>
  <c r="H71" i="17"/>
  <c r="H70" i="17"/>
  <c r="H69" i="17"/>
  <c r="E69" i="17"/>
  <c r="C78" i="11" s="1"/>
  <c r="D69" i="17"/>
  <c r="C69" i="17"/>
  <c r="B78" i="11" s="1"/>
  <c r="B69" i="17"/>
  <c r="A69" i="17"/>
  <c r="A78" i="11" s="1"/>
  <c r="H68" i="17"/>
  <c r="E68" i="17"/>
  <c r="C77" i="11" s="1"/>
  <c r="D68" i="17"/>
  <c r="C68" i="17"/>
  <c r="B77" i="11" s="1"/>
  <c r="B253" i="21" s="1"/>
  <c r="B68" i="17"/>
  <c r="A68" i="17"/>
  <c r="A77" i="11" s="1"/>
  <c r="A253" i="21" s="1"/>
  <c r="H67" i="17"/>
  <c r="E67" i="17"/>
  <c r="C76" i="11" s="1"/>
  <c r="D67" i="17"/>
  <c r="C67" i="17"/>
  <c r="B76" i="11" s="1"/>
  <c r="B249" i="21" s="1"/>
  <c r="B67" i="17"/>
  <c r="A67" i="17"/>
  <c r="A76" i="11" s="1"/>
  <c r="A249" i="21" s="1"/>
  <c r="H66" i="17"/>
  <c r="E66" i="17"/>
  <c r="C75" i="11" s="1"/>
  <c r="D66" i="17"/>
  <c r="C66" i="17"/>
  <c r="B75" i="11" s="1"/>
  <c r="B66" i="17"/>
  <c r="A66" i="17"/>
  <c r="A75" i="11" s="1"/>
  <c r="H65" i="17"/>
  <c r="E65" i="17"/>
  <c r="C74" i="11" s="1"/>
  <c r="D65" i="17"/>
  <c r="C65" i="17"/>
  <c r="B74" i="11" s="1"/>
  <c r="B65" i="17"/>
  <c r="A65" i="17"/>
  <c r="A74" i="11" s="1"/>
  <c r="H64" i="17"/>
  <c r="E64" i="17"/>
  <c r="C73" i="11" s="1"/>
  <c r="D64" i="17"/>
  <c r="C64" i="17"/>
  <c r="B73" i="11" s="1"/>
  <c r="B64" i="17"/>
  <c r="A64" i="17"/>
  <c r="A73" i="11" s="1"/>
  <c r="H63" i="17"/>
  <c r="E63" i="17"/>
  <c r="C72" i="11" s="1"/>
  <c r="D63" i="17"/>
  <c r="C63" i="17"/>
  <c r="B72" i="11" s="1"/>
  <c r="B63" i="17"/>
  <c r="A63" i="17"/>
  <c r="A72" i="11" s="1"/>
  <c r="H62" i="17"/>
  <c r="E62" i="17"/>
  <c r="C71" i="11" s="1"/>
  <c r="D62" i="17"/>
  <c r="C62" i="17"/>
  <c r="B71" i="11" s="1"/>
  <c r="B241" i="21" s="1"/>
  <c r="B62" i="17"/>
  <c r="A62" i="17"/>
  <c r="A71" i="11" s="1"/>
  <c r="A241" i="21" s="1"/>
  <c r="H61" i="17"/>
  <c r="E61" i="17"/>
  <c r="C70" i="11" s="1"/>
  <c r="D61" i="17"/>
  <c r="C61" i="17"/>
  <c r="B70" i="11" s="1"/>
  <c r="B269" i="15" s="1"/>
  <c r="B61" i="17"/>
  <c r="A61" i="17"/>
  <c r="A70" i="11" s="1"/>
  <c r="A269" i="15" s="1"/>
  <c r="H60" i="17"/>
  <c r="E60" i="17"/>
  <c r="C69" i="11" s="1"/>
  <c r="D60" i="17"/>
  <c r="C60" i="17"/>
  <c r="B69" i="11" s="1"/>
  <c r="B60" i="17"/>
  <c r="A60" i="17"/>
  <c r="A69" i="11" s="1"/>
  <c r="H59" i="17"/>
  <c r="C59" i="17"/>
  <c r="B68" i="11" s="1"/>
  <c r="A59" i="17"/>
  <c r="A68" i="11" s="1"/>
  <c r="H58" i="17"/>
  <c r="C58" i="17"/>
  <c r="B67" i="11" s="1"/>
  <c r="B267" i="15" s="1"/>
  <c r="A58" i="17"/>
  <c r="A67" i="11" s="1"/>
  <c r="H57" i="17"/>
  <c r="G56" i="17"/>
  <c r="E65" i="11" s="1"/>
  <c r="G55" i="17"/>
  <c r="G54" i="17"/>
  <c r="E63" i="11" s="1"/>
  <c r="I63" i="11" s="1"/>
  <c r="G53" i="17"/>
  <c r="G52" i="17"/>
  <c r="E61" i="11" s="1"/>
  <c r="I61" i="11" s="1"/>
  <c r="H51" i="17"/>
  <c r="E51" i="17"/>
  <c r="C60" i="11" s="1"/>
  <c r="D51" i="17"/>
  <c r="C51" i="17"/>
  <c r="B60" i="11" s="1"/>
  <c r="B244" i="15" s="1"/>
  <c r="B51" i="17"/>
  <c r="A51" i="17"/>
  <c r="A60" i="11" s="1"/>
  <c r="H50" i="17"/>
  <c r="E50" i="17"/>
  <c r="C59" i="11" s="1"/>
  <c r="D50" i="17"/>
  <c r="C50" i="17"/>
  <c r="B59" i="11" s="1"/>
  <c r="B240" i="15" s="1"/>
  <c r="B50" i="17"/>
  <c r="A50" i="17"/>
  <c r="A59" i="11" s="1"/>
  <c r="H49" i="17"/>
  <c r="E49" i="17"/>
  <c r="C58" i="11" s="1"/>
  <c r="D49" i="17"/>
  <c r="C49" i="17"/>
  <c r="B58" i="11" s="1"/>
  <c r="B235" i="15" s="1"/>
  <c r="B49" i="17"/>
  <c r="A49" i="17"/>
  <c r="A58" i="11" s="1"/>
  <c r="H48" i="17"/>
  <c r="C48" i="17"/>
  <c r="B57" i="11" s="1"/>
  <c r="A48" i="17"/>
  <c r="A57" i="11" s="1"/>
  <c r="H47" i="17"/>
  <c r="H46" i="17"/>
  <c r="E46" i="17"/>
  <c r="C55" i="11" s="1"/>
  <c r="D46" i="17"/>
  <c r="C46" i="17"/>
  <c r="B55" i="11" s="1"/>
  <c r="B46" i="17"/>
  <c r="A46" i="17"/>
  <c r="A55" i="11" s="1"/>
  <c r="H45" i="17"/>
  <c r="E45" i="17"/>
  <c r="C54" i="11" s="1"/>
  <c r="D45" i="17"/>
  <c r="C45" i="17"/>
  <c r="B54" i="11" s="1"/>
  <c r="B235" i="21" s="1"/>
  <c r="B45" i="17"/>
  <c r="A45" i="17"/>
  <c r="A54" i="11" s="1"/>
  <c r="A235" i="21" s="1"/>
  <c r="H44" i="17"/>
  <c r="C44" i="17"/>
  <c r="B53" i="11" s="1"/>
  <c r="B233" i="21" s="1"/>
  <c r="A44" i="17"/>
  <c r="A53" i="11" s="1"/>
  <c r="A233" i="21" s="1"/>
  <c r="H43" i="17"/>
  <c r="G42" i="17"/>
  <c r="E51" i="11" s="1"/>
  <c r="H41" i="17"/>
  <c r="E41" i="17"/>
  <c r="C50" i="11" s="1"/>
  <c r="D41" i="17"/>
  <c r="C41" i="17"/>
  <c r="B50" i="11" s="1"/>
  <c r="B41" i="17"/>
  <c r="A41" i="17"/>
  <c r="A50" i="11" s="1"/>
  <c r="H40" i="17"/>
  <c r="E40" i="17"/>
  <c r="C49" i="11" s="1"/>
  <c r="D40" i="17"/>
  <c r="C40" i="17"/>
  <c r="B49" i="11" s="1"/>
  <c r="B40" i="17"/>
  <c r="A40" i="17"/>
  <c r="A49" i="11" s="1"/>
  <c r="H39" i="17"/>
  <c r="C39" i="17"/>
  <c r="B48" i="11" s="1"/>
  <c r="A39" i="17"/>
  <c r="A48" i="11" s="1"/>
  <c r="H38" i="17"/>
  <c r="H37" i="17"/>
  <c r="E37" i="17"/>
  <c r="C46" i="11" s="1"/>
  <c r="D37" i="17"/>
  <c r="C37" i="17"/>
  <c r="B46" i="11" s="1"/>
  <c r="B37" i="17"/>
  <c r="A37" i="17"/>
  <c r="A46" i="11" s="1"/>
  <c r="H36" i="17"/>
  <c r="E36" i="17"/>
  <c r="C45" i="11" s="1"/>
  <c r="D36" i="17"/>
  <c r="C36" i="17"/>
  <c r="B45" i="11" s="1"/>
  <c r="B36" i="17"/>
  <c r="A36" i="17"/>
  <c r="A45" i="11" s="1"/>
  <c r="H35" i="17"/>
  <c r="E35" i="17"/>
  <c r="C44" i="11" s="1"/>
  <c r="D35" i="17"/>
  <c r="C35" i="17"/>
  <c r="B44" i="11" s="1"/>
  <c r="B35" i="17"/>
  <c r="A35" i="17"/>
  <c r="A44" i="11" s="1"/>
  <c r="H34" i="17"/>
  <c r="E34" i="17"/>
  <c r="C43" i="11" s="1"/>
  <c r="D34" i="17"/>
  <c r="C34" i="17"/>
  <c r="B43" i="11" s="1"/>
  <c r="B34" i="17"/>
  <c r="A34" i="17"/>
  <c r="A43" i="11" s="1"/>
  <c r="H33" i="17"/>
  <c r="E33" i="17"/>
  <c r="C42" i="11" s="1"/>
  <c r="D33" i="17"/>
  <c r="C33" i="17"/>
  <c r="B42" i="11" s="1"/>
  <c r="B160" i="15" s="1"/>
  <c r="B33" i="17"/>
  <c r="A33" i="17"/>
  <c r="A42" i="11" s="1"/>
  <c r="H32" i="17"/>
  <c r="E32" i="17"/>
  <c r="C41" i="11" s="1"/>
  <c r="D32" i="17"/>
  <c r="C32" i="17"/>
  <c r="B41" i="11" s="1"/>
  <c r="B32" i="17"/>
  <c r="A32" i="17"/>
  <c r="A41" i="11" s="1"/>
  <c r="H31" i="17"/>
  <c r="E31" i="17"/>
  <c r="C40" i="11" s="1"/>
  <c r="D31" i="17"/>
  <c r="C31" i="17"/>
  <c r="B40" i="11" s="1"/>
  <c r="B146" i="15" s="1"/>
  <c r="B31" i="17"/>
  <c r="A31" i="17"/>
  <c r="A40" i="11" s="1"/>
  <c r="H30" i="17"/>
  <c r="E30" i="17"/>
  <c r="C39" i="11" s="1"/>
  <c r="D30" i="17"/>
  <c r="C30" i="17"/>
  <c r="B39" i="11" s="1"/>
  <c r="B137" i="15" s="1"/>
  <c r="B30" i="17"/>
  <c r="A30" i="17"/>
  <c r="A39" i="11" s="1"/>
  <c r="A137" i="15" s="1"/>
  <c r="H29" i="17"/>
  <c r="E29" i="17"/>
  <c r="C38" i="11" s="1"/>
  <c r="D29" i="17"/>
  <c r="C29" i="17"/>
  <c r="B38" i="11" s="1"/>
  <c r="B119" i="15" s="1"/>
  <c r="B29" i="17"/>
  <c r="A29" i="17"/>
  <c r="A38" i="11" s="1"/>
  <c r="H28" i="17"/>
  <c r="E28" i="17"/>
  <c r="C37" i="11" s="1"/>
  <c r="D28" i="17"/>
  <c r="C28" i="17"/>
  <c r="B37" i="11" s="1"/>
  <c r="B107" i="15" s="1"/>
  <c r="B28" i="17"/>
  <c r="A28" i="17"/>
  <c r="A37" i="11" s="1"/>
  <c r="H27" i="17"/>
  <c r="E27" i="17"/>
  <c r="C36" i="11" s="1"/>
  <c r="D27" i="17"/>
  <c r="C27" i="17"/>
  <c r="B36" i="11" s="1"/>
  <c r="B89" i="15" s="1"/>
  <c r="B27" i="17"/>
  <c r="A27" i="17"/>
  <c r="A36" i="11" s="1"/>
  <c r="H26" i="17"/>
  <c r="E26" i="17"/>
  <c r="C35" i="11" s="1"/>
  <c r="D26" i="17"/>
  <c r="C26" i="17"/>
  <c r="B35" i="11" s="1"/>
  <c r="B71" i="15" s="1"/>
  <c r="B26" i="17"/>
  <c r="A26" i="17"/>
  <c r="A35" i="11" s="1"/>
  <c r="H25" i="17"/>
  <c r="E25" i="17"/>
  <c r="C34" i="11" s="1"/>
  <c r="D25" i="17"/>
  <c r="C25" i="17"/>
  <c r="B34" i="11" s="1"/>
  <c r="B58" i="15" s="1"/>
  <c r="B25" i="17"/>
  <c r="A25" i="17"/>
  <c r="A34" i="11" s="1"/>
  <c r="H24" i="17"/>
  <c r="E24" i="17"/>
  <c r="C33" i="11" s="1"/>
  <c r="D24" i="17"/>
  <c r="C24" i="17"/>
  <c r="B33" i="11" s="1"/>
  <c r="B45" i="15" s="1"/>
  <c r="B24" i="17"/>
  <c r="A24" i="17"/>
  <c r="A33" i="11" s="1"/>
  <c r="H23" i="17"/>
  <c r="E23" i="17"/>
  <c r="C32" i="11" s="1"/>
  <c r="D23" i="17"/>
  <c r="C23" i="17"/>
  <c r="B32" i="11" s="1"/>
  <c r="B41" i="15" s="1"/>
  <c r="B23" i="17"/>
  <c r="A23" i="17"/>
  <c r="A32" i="11" s="1"/>
  <c r="H22" i="17"/>
  <c r="E22" i="17"/>
  <c r="C31" i="11" s="1"/>
  <c r="D22" i="17"/>
  <c r="C22" i="17"/>
  <c r="B31" i="11" s="1"/>
  <c r="B28" i="15" s="1"/>
  <c r="B22" i="17"/>
  <c r="A22" i="17"/>
  <c r="A31" i="11" s="1"/>
  <c r="H21" i="17"/>
  <c r="C21" i="17"/>
  <c r="B30" i="11" s="1"/>
  <c r="A21" i="17"/>
  <c r="A30" i="11" s="1"/>
  <c r="H20" i="17"/>
  <c r="G19" i="17"/>
  <c r="G18" i="17"/>
  <c r="E27" i="11" s="1"/>
  <c r="I27" i="11" s="1"/>
  <c r="G17" i="17"/>
  <c r="G16" i="17"/>
  <c r="E25" i="11" s="1"/>
  <c r="G15" i="17"/>
  <c r="H14" i="17"/>
  <c r="E14" i="17"/>
  <c r="C23" i="11" s="1"/>
  <c r="D14" i="17"/>
  <c r="C14" i="17"/>
  <c r="B23" i="11" s="1"/>
  <c r="B14" i="17"/>
  <c r="A14" i="17"/>
  <c r="A23" i="11" s="1"/>
  <c r="H13" i="17"/>
  <c r="E13" i="17"/>
  <c r="C22" i="11" s="1"/>
  <c r="D13" i="17"/>
  <c r="C13" i="17"/>
  <c r="B22" i="11" s="1"/>
  <c r="B13" i="17"/>
  <c r="A13" i="17"/>
  <c r="A22" i="11" s="1"/>
  <c r="H12" i="17"/>
  <c r="E12" i="17"/>
  <c r="C21" i="11" s="1"/>
  <c r="D12" i="17"/>
  <c r="C12" i="17"/>
  <c r="B21" i="11" s="1"/>
  <c r="B12" i="17"/>
  <c r="A12" i="17"/>
  <c r="A21" i="11" s="1"/>
  <c r="H11" i="17"/>
  <c r="E11" i="17"/>
  <c r="C20" i="11" s="1"/>
  <c r="D11" i="17"/>
  <c r="C11" i="17"/>
  <c r="B20" i="11" s="1"/>
  <c r="B11" i="17"/>
  <c r="A11" i="17"/>
  <c r="A20" i="11" s="1"/>
  <c r="H10" i="17"/>
  <c r="E10" i="17"/>
  <c r="C19" i="11" s="1"/>
  <c r="D10" i="17"/>
  <c r="C10" i="17"/>
  <c r="B19" i="11" s="1"/>
  <c r="B10" i="17"/>
  <c r="A10" i="17"/>
  <c r="A19" i="11" s="1"/>
  <c r="C9" i="17"/>
  <c r="B18" i="11" s="1"/>
  <c r="J201" i="11" l="1"/>
  <c r="K201" i="11"/>
  <c r="H131" i="17"/>
  <c r="H112" i="17"/>
  <c r="I198" i="11"/>
  <c r="J198" i="11"/>
  <c r="I199" i="11"/>
  <c r="J199" i="11"/>
  <c r="I200" i="11"/>
  <c r="J200" i="11"/>
  <c r="H194" i="17"/>
  <c r="H146" i="17"/>
  <c r="H221" i="17"/>
  <c r="H99" i="17"/>
  <c r="H185" i="17"/>
  <c r="H128" i="17"/>
  <c r="H143" i="17"/>
  <c r="H171" i="17"/>
  <c r="H176" i="17"/>
  <c r="H212" i="17"/>
  <c r="H115" i="17"/>
  <c r="H168" i="17"/>
  <c r="H175" i="17"/>
  <c r="H201" i="17"/>
  <c r="H42" i="17"/>
  <c r="H52" i="17"/>
  <c r="H157" i="17"/>
  <c r="H109" i="17"/>
  <c r="H125" i="17"/>
  <c r="H165" i="17"/>
  <c r="I183" i="11"/>
  <c r="H211" i="17"/>
  <c r="H231" i="17"/>
  <c r="I50" i="11"/>
  <c r="I40" i="11"/>
  <c r="I32" i="11"/>
  <c r="H56" i="17"/>
  <c r="I115" i="11"/>
  <c r="H120" i="17"/>
  <c r="H149" i="17"/>
  <c r="H164" i="17"/>
  <c r="H181" i="17"/>
  <c r="H186" i="17"/>
  <c r="I201" i="11"/>
  <c r="H197" i="17"/>
  <c r="H202" i="17"/>
  <c r="H224" i="17"/>
  <c r="I49" i="11"/>
  <c r="I39" i="11"/>
  <c r="I31" i="11"/>
  <c r="A294" i="15"/>
  <c r="A288" i="21"/>
  <c r="I69" i="11"/>
  <c r="I209" i="11"/>
  <c r="J209" i="11"/>
  <c r="I167" i="11"/>
  <c r="I171" i="11"/>
  <c r="I176" i="11"/>
  <c r="I195" i="11"/>
  <c r="B294" i="15"/>
  <c r="B288" i="21"/>
  <c r="I44" i="11"/>
  <c r="I36" i="11"/>
  <c r="I119" i="11"/>
  <c r="I177" i="11"/>
  <c r="I85" i="11"/>
  <c r="I77" i="11"/>
  <c r="I127" i="11"/>
  <c r="I141" i="11"/>
  <c r="I145" i="11"/>
  <c r="I149" i="11"/>
  <c r="I158" i="11"/>
  <c r="I109" i="11"/>
  <c r="I117" i="11"/>
  <c r="I140" i="11"/>
  <c r="I153" i="11"/>
  <c r="I166" i="11"/>
  <c r="I185" i="11"/>
  <c r="I194" i="11"/>
  <c r="I203" i="11"/>
  <c r="I213" i="11"/>
  <c r="I226" i="11"/>
  <c r="I230" i="11"/>
  <c r="I95" i="11"/>
  <c r="I58" i="11"/>
  <c r="I197" i="11"/>
  <c r="I205" i="11"/>
  <c r="I132" i="11"/>
  <c r="I159" i="11"/>
  <c r="I99" i="11"/>
  <c r="I51" i="11"/>
  <c r="I104" i="11"/>
  <c r="I135" i="11"/>
  <c r="I175" i="11"/>
  <c r="I184" i="11"/>
  <c r="I189" i="11"/>
  <c r="I221" i="11"/>
  <c r="I91" i="11"/>
  <c r="I81" i="11"/>
  <c r="I73" i="11"/>
  <c r="I42" i="11"/>
  <c r="I108" i="11"/>
  <c r="H103" i="17"/>
  <c r="I118" i="11"/>
  <c r="H116" i="17"/>
  <c r="H129" i="17"/>
  <c r="H147" i="17"/>
  <c r="H158" i="17"/>
  <c r="H189" i="17"/>
  <c r="H225" i="17"/>
  <c r="E162" i="11"/>
  <c r="I162" i="11" s="1"/>
  <c r="I54" i="11"/>
  <c r="H54" i="17"/>
  <c r="H98" i="17"/>
  <c r="H108" i="17"/>
  <c r="H121" i="17"/>
  <c r="H127" i="17"/>
  <c r="I142" i="11"/>
  <c r="H139" i="17"/>
  <c r="H145" i="17"/>
  <c r="I160" i="11"/>
  <c r="H167" i="17"/>
  <c r="H193" i="17"/>
  <c r="H107" i="17"/>
  <c r="H133" i="17"/>
  <c r="H138" i="17"/>
  <c r="H172" i="17"/>
  <c r="I186" i="11"/>
  <c r="H182" i="17"/>
  <c r="I196" i="11"/>
  <c r="H198" i="17"/>
  <c r="I212" i="11"/>
  <c r="H208" i="17"/>
  <c r="H218" i="17"/>
  <c r="H113" i="17"/>
  <c r="H119" i="17"/>
  <c r="I134" i="11"/>
  <c r="H132" i="17"/>
  <c r="H137" i="17"/>
  <c r="I152" i="11"/>
  <c r="H150" i="17"/>
  <c r="H207" i="17"/>
  <c r="H217" i="17"/>
  <c r="I84" i="11"/>
  <c r="I76" i="11"/>
  <c r="I60" i="11"/>
  <c r="I225" i="11"/>
  <c r="I96" i="11"/>
  <c r="I75" i="11"/>
  <c r="H111" i="17"/>
  <c r="I126" i="11"/>
  <c r="H124" i="17"/>
  <c r="H142" i="17"/>
  <c r="H154" i="17"/>
  <c r="I168" i="11"/>
  <c r="I43" i="11"/>
  <c r="I35" i="11"/>
  <c r="I25" i="11"/>
  <c r="H117" i="17"/>
  <c r="H123" i="17"/>
  <c r="H141" i="17"/>
  <c r="H163" i="17"/>
  <c r="I178" i="11"/>
  <c r="H190" i="17"/>
  <c r="I204" i="11"/>
  <c r="E235" i="11"/>
  <c r="K235" i="11" s="1"/>
  <c r="I55" i="11"/>
  <c r="I34" i="11"/>
  <c r="K46" i="11"/>
  <c r="L46" i="11" s="1"/>
  <c r="K131" i="11"/>
  <c r="I131" i="11"/>
  <c r="K157" i="11"/>
  <c r="I157" i="11"/>
  <c r="I239" i="11"/>
  <c r="K239" i="11"/>
  <c r="J239" i="11"/>
  <c r="E242" i="11"/>
  <c r="H233" i="17"/>
  <c r="H53" i="17"/>
  <c r="E62" i="11"/>
  <c r="I62" i="11" s="1"/>
  <c r="I65" i="11"/>
  <c r="J65" i="11"/>
  <c r="K65" i="11"/>
  <c r="H95" i="17"/>
  <c r="H101" i="17"/>
  <c r="H106" i="17"/>
  <c r="H110" i="17"/>
  <c r="H114" i="17"/>
  <c r="H118" i="17"/>
  <c r="I130" i="11"/>
  <c r="K130" i="11"/>
  <c r="H122" i="17"/>
  <c r="H126" i="17"/>
  <c r="H130" i="17"/>
  <c r="H136" i="17"/>
  <c r="H140" i="17"/>
  <c r="H144" i="17"/>
  <c r="I156" i="11"/>
  <c r="K156" i="11"/>
  <c r="H148" i="17"/>
  <c r="H152" i="17"/>
  <c r="H156" i="17"/>
  <c r="H162" i="17"/>
  <c r="H166" i="17"/>
  <c r="H170" i="17"/>
  <c r="H174" i="17"/>
  <c r="H180" i="17"/>
  <c r="H184" i="17"/>
  <c r="H188" i="17"/>
  <c r="H192" i="17"/>
  <c r="H196" i="17"/>
  <c r="H200" i="17"/>
  <c r="H204" i="17"/>
  <c r="H210" i="17"/>
  <c r="H216" i="17"/>
  <c r="H220" i="17"/>
  <c r="H230" i="17"/>
  <c r="H15" i="17"/>
  <c r="E24" i="11"/>
  <c r="I24" i="11" s="1"/>
  <c r="H55" i="17"/>
  <c r="E64" i="11"/>
  <c r="I64" i="11" s="1"/>
  <c r="E232" i="11"/>
  <c r="H223" i="17"/>
  <c r="H18" i="17"/>
  <c r="H16" i="17"/>
  <c r="H19" i="17"/>
  <c r="E28" i="11"/>
  <c r="I28" i="11" s="1"/>
  <c r="H100" i="17"/>
  <c r="H102" i="17"/>
  <c r="E111" i="11"/>
  <c r="I111" i="11" s="1"/>
  <c r="H151" i="17"/>
  <c r="H155" i="17"/>
  <c r="H159" i="17"/>
  <c r="H169" i="17"/>
  <c r="H173" i="17"/>
  <c r="H177" i="17"/>
  <c r="H183" i="17"/>
  <c r="H187" i="17"/>
  <c r="H191" i="17"/>
  <c r="H195" i="17"/>
  <c r="H199" i="17"/>
  <c r="H203" i="17"/>
  <c r="H209" i="17"/>
  <c r="H215" i="17"/>
  <c r="H219" i="17"/>
  <c r="E231" i="11"/>
  <c r="I231" i="11" s="1"/>
  <c r="H222" i="17"/>
  <c r="I233" i="11"/>
  <c r="K233" i="11"/>
  <c r="J233" i="11"/>
  <c r="E238" i="11"/>
  <c r="H229" i="17"/>
  <c r="H235" i="17"/>
  <c r="E244" i="11"/>
  <c r="H17" i="17"/>
  <c r="E26" i="11"/>
  <c r="I26" i="11" s="1"/>
  <c r="H83" i="17"/>
  <c r="E92" i="11"/>
  <c r="H94" i="17"/>
  <c r="E103" i="11"/>
  <c r="I103" i="11" s="1"/>
  <c r="I216" i="11"/>
  <c r="J216" i="11"/>
  <c r="J235" i="11"/>
  <c r="I59" i="11"/>
  <c r="I45" i="11"/>
  <c r="I41" i="11"/>
  <c r="I37" i="11"/>
  <c r="I33" i="11"/>
  <c r="I241" i="11"/>
  <c r="J241" i="11"/>
  <c r="K241" i="11"/>
  <c r="I100" i="11"/>
  <c r="K100" i="11"/>
  <c r="J100" i="11"/>
  <c r="I86" i="11"/>
  <c r="I82" i="11"/>
  <c r="J82" i="11"/>
  <c r="K82" i="11"/>
  <c r="I78" i="11"/>
  <c r="K78" i="11"/>
  <c r="J78" i="11"/>
  <c r="I74" i="11"/>
  <c r="I70" i="11"/>
  <c r="I234" i="11"/>
  <c r="J234" i="11"/>
  <c r="K234" i="11"/>
  <c r="I240" i="11"/>
  <c r="L240" i="11" s="1"/>
  <c r="J240" i="11"/>
  <c r="H232" i="17"/>
  <c r="H234" i="17"/>
  <c r="E243" i="11"/>
  <c r="J243" i="11" s="1"/>
  <c r="I83" i="11"/>
  <c r="J101" i="11"/>
  <c r="K101" i="11"/>
  <c r="L101" i="11" s="1"/>
  <c r="I79" i="11"/>
  <c r="J79" i="11"/>
  <c r="K79" i="11"/>
  <c r="K83" i="11"/>
  <c r="L146" i="15"/>
  <c r="L137" i="15"/>
  <c r="L119" i="15"/>
  <c r="L71" i="15"/>
  <c r="L107" i="15"/>
  <c r="L28" i="15"/>
  <c r="L89" i="15"/>
  <c r="K216" i="11"/>
  <c r="K230" i="11"/>
  <c r="J230" i="11"/>
  <c r="K99" i="11"/>
  <c r="J99" i="11"/>
  <c r="K86" i="11"/>
  <c r="J86" i="11"/>
  <c r="K195" i="15"/>
  <c r="L195" i="15" s="1"/>
  <c r="K196" i="15"/>
  <c r="L196" i="15" s="1"/>
  <c r="K197" i="15"/>
  <c r="L197" i="15" s="1"/>
  <c r="K198" i="15"/>
  <c r="L198" i="15" s="1"/>
  <c r="K194" i="15"/>
  <c r="L194" i="15" s="1"/>
  <c r="K189" i="15"/>
  <c r="L189" i="15" s="1"/>
  <c r="K182" i="15"/>
  <c r="L182" i="15" s="1"/>
  <c r="K183" i="15"/>
  <c r="L183" i="15" s="1"/>
  <c r="K184" i="15"/>
  <c r="L184" i="15" s="1"/>
  <c r="K185" i="15"/>
  <c r="L185" i="15" s="1"/>
  <c r="K186" i="15"/>
  <c r="L186" i="15" s="1"/>
  <c r="K187" i="15"/>
  <c r="L187" i="15" s="1"/>
  <c r="K181" i="15"/>
  <c r="L181" i="15" s="1"/>
  <c r="K176" i="15"/>
  <c r="L176" i="15" s="1"/>
  <c r="K164" i="15"/>
  <c r="L164" i="15" s="1"/>
  <c r="K165" i="15"/>
  <c r="L165" i="15" s="1"/>
  <c r="K166" i="15"/>
  <c r="L166" i="15" s="1"/>
  <c r="K167" i="15"/>
  <c r="L167" i="15" s="1"/>
  <c r="K168" i="15"/>
  <c r="L168" i="15" s="1"/>
  <c r="K169" i="15"/>
  <c r="L169" i="15" s="1"/>
  <c r="K170" i="15"/>
  <c r="L170" i="15" s="1"/>
  <c r="K171" i="15"/>
  <c r="L171" i="15" s="1"/>
  <c r="K172" i="15"/>
  <c r="L172" i="15" s="1"/>
  <c r="K173" i="15"/>
  <c r="L173" i="15" s="1"/>
  <c r="K174" i="15"/>
  <c r="L174" i="15" s="1"/>
  <c r="K163" i="15"/>
  <c r="L163" i="15" s="1"/>
  <c r="J231" i="11" l="1"/>
  <c r="L156" i="11"/>
  <c r="L130" i="11"/>
  <c r="L239" i="11"/>
  <c r="I235" i="11"/>
  <c r="L235" i="11" s="1"/>
  <c r="H237" i="17"/>
  <c r="I74" i="17" s="1"/>
  <c r="I92" i="11"/>
  <c r="J92" i="11"/>
  <c r="K92" i="11"/>
  <c r="L79" i="11"/>
  <c r="L100" i="11"/>
  <c r="K231" i="11"/>
  <c r="L231" i="11" s="1"/>
  <c r="L234" i="11"/>
  <c r="L82" i="11"/>
  <c r="L83" i="11"/>
  <c r="L233" i="11"/>
  <c r="L157" i="11"/>
  <c r="I196" i="17"/>
  <c r="I238" i="11"/>
  <c r="K238" i="11"/>
  <c r="J238" i="11"/>
  <c r="L65" i="11"/>
  <c r="I242" i="11"/>
  <c r="K242" i="11"/>
  <c r="J242" i="11"/>
  <c r="I225" i="17"/>
  <c r="L216" i="11"/>
  <c r="K243" i="11"/>
  <c r="I243" i="11"/>
  <c r="L241" i="11"/>
  <c r="I244" i="11"/>
  <c r="K244" i="11"/>
  <c r="J244" i="11"/>
  <c r="I232" i="11"/>
  <c r="K232" i="11"/>
  <c r="J232" i="11"/>
  <c r="L131" i="11"/>
  <c r="L86" i="11"/>
  <c r="L99" i="11"/>
  <c r="L230" i="11"/>
  <c r="I49" i="17"/>
  <c r="I29" i="17"/>
  <c r="I84" i="17"/>
  <c r="I21" i="17"/>
  <c r="I213" i="17"/>
  <c r="I13" i="17"/>
  <c r="I68" i="17"/>
  <c r="I51" i="17"/>
  <c r="I31" i="17"/>
  <c r="I11" i="17"/>
  <c r="I41" i="17"/>
  <c r="I88" i="17"/>
  <c r="I81" i="17"/>
  <c r="I33" i="17"/>
  <c r="I87" i="17"/>
  <c r="I35" i="17"/>
  <c r="I139" i="17"/>
  <c r="I122" i="17"/>
  <c r="I90" i="17"/>
  <c r="I149" i="17"/>
  <c r="I130" i="17"/>
  <c r="I142" i="17"/>
  <c r="I195" i="17"/>
  <c r="I204" i="17"/>
  <c r="I232" i="17"/>
  <c r="I133" i="17"/>
  <c r="I69" i="17"/>
  <c r="I86" i="17"/>
  <c r="I141" i="17"/>
  <c r="I92" i="17"/>
  <c r="I128" i="17"/>
  <c r="I187" i="17"/>
  <c r="I188" i="17"/>
  <c r="I180" i="17"/>
  <c r="I143" i="17"/>
  <c r="I178" i="17"/>
  <c r="I216" i="17"/>
  <c r="I108" i="17"/>
  <c r="I73" i="17"/>
  <c r="I186" i="17"/>
  <c r="I10" i="17"/>
  <c r="I123" i="17"/>
  <c r="I210" i="17"/>
  <c r="I154" i="17"/>
  <c r="I136" i="17"/>
  <c r="I117" i="17"/>
  <c r="I206" i="17"/>
  <c r="I67" i="17"/>
  <c r="I119" i="17"/>
  <c r="I18" i="17"/>
  <c r="I112" i="17"/>
  <c r="I173" i="17"/>
  <c r="I152" i="17"/>
  <c r="I176" i="17"/>
  <c r="I131" i="17"/>
  <c r="I168" i="17"/>
  <c r="I148" i="17"/>
  <c r="I44" i="17"/>
  <c r="I121" i="17"/>
  <c r="I181" i="17"/>
  <c r="I115" i="17"/>
  <c r="I36" i="17"/>
  <c r="I212" i="17"/>
  <c r="I146" i="17"/>
  <c r="I94" i="17"/>
  <c r="I169" i="17"/>
  <c r="I109" i="17"/>
  <c r="I54" i="17"/>
  <c r="I126" i="17"/>
  <c r="I63" i="17"/>
  <c r="I185" i="17"/>
  <c r="I30" i="17"/>
  <c r="I228" i="17"/>
  <c r="I164" i="17"/>
  <c r="I215" i="17"/>
  <c r="I165" i="17"/>
  <c r="I105" i="17"/>
  <c r="I14" i="17"/>
  <c r="I217" i="17"/>
  <c r="I17" i="17"/>
  <c r="I197" i="17"/>
  <c r="I226" i="17"/>
  <c r="I125" i="17"/>
  <c r="I231" i="17"/>
  <c r="I175" i="17"/>
  <c r="I107" i="17"/>
  <c r="I101" i="17"/>
  <c r="I198" i="17"/>
  <c r="I138" i="17"/>
  <c r="I53" i="17"/>
  <c r="I161" i="17"/>
  <c r="I93" i="17"/>
  <c r="I192" i="17"/>
  <c r="I118" i="17"/>
  <c r="I59" i="17"/>
  <c r="I103" i="17"/>
  <c r="I22" i="17"/>
  <c r="I222" i="17"/>
  <c r="I160" i="17"/>
  <c r="I83" i="17"/>
  <c r="I209" i="17"/>
  <c r="I159" i="17"/>
  <c r="I102" i="17"/>
  <c r="I65" i="17"/>
  <c r="I224" i="17"/>
  <c r="I72" i="17"/>
  <c r="I208" i="17"/>
  <c r="I78" i="17"/>
  <c r="I50" i="17"/>
  <c r="I234" i="17"/>
  <c r="I137" i="17"/>
  <c r="I116" i="17"/>
  <c r="I230" i="17"/>
  <c r="I166" i="17"/>
  <c r="I220" i="17"/>
  <c r="I201" i="17"/>
  <c r="I61" i="17"/>
  <c r="I120" i="17"/>
  <c r="I179" i="17"/>
  <c r="I227" i="17"/>
  <c r="I167" i="17"/>
  <c r="I76" i="17"/>
  <c r="I28" i="17"/>
  <c r="I77" i="17"/>
  <c r="I190" i="17"/>
  <c r="I134" i="17"/>
  <c r="I57" i="17"/>
  <c r="I233" i="17"/>
  <c r="I155" i="17"/>
  <c r="I80" i="17"/>
  <c r="I19" i="17"/>
  <c r="I184" i="17"/>
  <c r="I110" i="17"/>
  <c r="I82" i="17"/>
  <c r="I163" i="17"/>
  <c r="I98" i="17"/>
  <c r="I79" i="17"/>
  <c r="I214" i="17"/>
  <c r="I158" i="17"/>
  <c r="I71" i="17"/>
  <c r="I205" i="17"/>
  <c r="I151" i="17"/>
  <c r="I100" i="17"/>
  <c r="I47" i="17"/>
  <c r="L191" i="15"/>
  <c r="L178" i="15"/>
  <c r="L160" i="15"/>
  <c r="I12" i="17" l="1"/>
  <c r="I113" i="17"/>
  <c r="I172" i="17"/>
  <c r="I193" i="17"/>
  <c r="I15" i="17"/>
  <c r="I104" i="17"/>
  <c r="I40" i="17"/>
  <c r="I174" i="17"/>
  <c r="I26" i="17"/>
  <c r="I58" i="17"/>
  <c r="I150" i="17"/>
  <c r="I129" i="17"/>
  <c r="I194" i="17"/>
  <c r="I207" i="17"/>
  <c r="I16" i="17"/>
  <c r="I203" i="17"/>
  <c r="I70" i="17"/>
  <c r="I55" i="17"/>
  <c r="I162" i="17"/>
  <c r="I199" i="17"/>
  <c r="I25" i="17"/>
  <c r="I85" i="17"/>
  <c r="I62" i="17"/>
  <c r="I39" i="17"/>
  <c r="I91" i="17"/>
  <c r="I27" i="17"/>
  <c r="I89" i="17"/>
  <c r="I237" i="17"/>
  <c r="I43" i="17"/>
  <c r="I171" i="17"/>
  <c r="I96" i="17"/>
  <c r="I75" i="17"/>
  <c r="I32" i="17"/>
  <c r="I229" i="17"/>
  <c r="I46" i="17"/>
  <c r="I114" i="17"/>
  <c r="I99" i="17"/>
  <c r="I111" i="17"/>
  <c r="I200" i="17"/>
  <c r="I95" i="17"/>
  <c r="I144" i="17"/>
  <c r="I235" i="17"/>
  <c r="I183" i="17"/>
  <c r="I211" i="17"/>
  <c r="I223" i="17"/>
  <c r="I34" i="17"/>
  <c r="I140" i="17"/>
  <c r="I177" i="17"/>
  <c r="I218" i="17"/>
  <c r="I189" i="17"/>
  <c r="I127" i="17"/>
  <c r="I42" i="17"/>
  <c r="I145" i="17"/>
  <c r="I157" i="17"/>
  <c r="I106" i="17"/>
  <c r="I48" i="17"/>
  <c r="I156" i="17"/>
  <c r="I191" i="17"/>
  <c r="I135" i="17"/>
  <c r="I202" i="17"/>
  <c r="I221" i="17"/>
  <c r="I56" i="17"/>
  <c r="I64" i="17"/>
  <c r="I45" i="17"/>
  <c r="I38" i="17"/>
  <c r="I23" i="17"/>
  <c r="I60" i="17"/>
  <c r="I20" i="17"/>
  <c r="I66" i="17"/>
  <c r="I37" i="17"/>
  <c r="I97" i="17"/>
  <c r="I124" i="17"/>
  <c r="I182" i="17"/>
  <c r="I147" i="17"/>
  <c r="I153" i="17"/>
  <c r="L92" i="11"/>
  <c r="I132" i="17"/>
  <c r="I24" i="17"/>
  <c r="I52" i="17"/>
  <c r="I170" i="17"/>
  <c r="L242" i="11"/>
  <c r="I219" i="17"/>
  <c r="L244" i="11"/>
  <c r="L238" i="11"/>
  <c r="L243" i="11"/>
  <c r="L232" i="11"/>
  <c r="K62" i="15"/>
  <c r="L62" i="15" s="1"/>
  <c r="K63" i="15"/>
  <c r="L63" i="15" s="1"/>
  <c r="K64" i="15"/>
  <c r="L64" i="15" s="1"/>
  <c r="K65" i="15"/>
  <c r="L65" i="15" s="1"/>
  <c r="K66" i="15"/>
  <c r="L66" i="15" s="1"/>
  <c r="K67" i="15"/>
  <c r="L67" i="15" s="1"/>
  <c r="K68" i="15"/>
  <c r="L68" i="15" s="1"/>
  <c r="K69" i="15"/>
  <c r="L69" i="15" s="1"/>
  <c r="K61" i="15"/>
  <c r="L61" i="15" s="1"/>
  <c r="K49" i="15"/>
  <c r="L49" i="15" s="1"/>
  <c r="K50" i="15"/>
  <c r="L50" i="15" s="1"/>
  <c r="K51" i="15"/>
  <c r="L51" i="15" s="1"/>
  <c r="K52" i="15"/>
  <c r="L52" i="15" s="1"/>
  <c r="K53" i="15"/>
  <c r="L53" i="15" s="1"/>
  <c r="K54" i="15"/>
  <c r="L54" i="15" s="1"/>
  <c r="K55" i="15"/>
  <c r="L55" i="15" s="1"/>
  <c r="K56" i="15"/>
  <c r="L56" i="15" s="1"/>
  <c r="K48" i="15"/>
  <c r="L48" i="15" s="1"/>
  <c r="K218" i="15"/>
  <c r="L218" i="15" s="1"/>
  <c r="K217" i="15"/>
  <c r="L217" i="15" s="1"/>
  <c r="K216" i="15"/>
  <c r="L216" i="15" s="1"/>
  <c r="K215" i="15"/>
  <c r="L215" i="15" s="1"/>
  <c r="L45" i="15" l="1"/>
  <c r="L58" i="15"/>
  <c r="K242" i="15"/>
  <c r="L242" i="15" s="1"/>
  <c r="L240" i="15" s="1"/>
  <c r="K237" i="15"/>
  <c r="L237" i="15" s="1"/>
  <c r="L235" i="15" s="1"/>
  <c r="K224" i="15"/>
  <c r="L224" i="15" s="1"/>
  <c r="K225" i="15"/>
  <c r="L225" i="15" s="1"/>
  <c r="K226" i="15"/>
  <c r="L226" i="15" s="1"/>
  <c r="K227" i="15"/>
  <c r="L227" i="15" s="1"/>
  <c r="K228" i="15"/>
  <c r="L228" i="15" s="1"/>
  <c r="K229" i="15"/>
  <c r="L229" i="15" s="1"/>
  <c r="K223" i="15"/>
  <c r="L223" i="15" s="1"/>
  <c r="K208" i="15"/>
  <c r="L208" i="15" s="1"/>
  <c r="K209" i="15"/>
  <c r="L209" i="15" s="1"/>
  <c r="K210" i="15"/>
  <c r="L210" i="15" s="1"/>
  <c r="K211" i="15"/>
  <c r="L211" i="15" s="1"/>
  <c r="K212" i="15"/>
  <c r="L212" i="15" s="1"/>
  <c r="K213" i="15"/>
  <c r="L213" i="15" s="1"/>
  <c r="K214" i="15"/>
  <c r="L214" i="15" s="1"/>
  <c r="K207" i="15"/>
  <c r="L207" i="15" s="1"/>
  <c r="K15" i="15"/>
  <c r="K16" i="15"/>
  <c r="K17" i="15"/>
  <c r="K18" i="15"/>
  <c r="K19" i="15"/>
  <c r="K20" i="15"/>
  <c r="K21" i="15"/>
  <c r="K22" i="15"/>
  <c r="K23" i="15"/>
  <c r="K24" i="15"/>
  <c r="K14" i="15"/>
  <c r="K43" i="15"/>
  <c r="L43" i="15" s="1"/>
  <c r="L41" i="15" s="1"/>
  <c r="B12" i="15"/>
  <c r="L205" i="15" l="1"/>
  <c r="B203" i="15" l="1"/>
  <c r="B205" i="15"/>
  <c r="L24" i="15"/>
  <c r="L23" i="15"/>
  <c r="L22" i="15"/>
  <c r="L21" i="15"/>
  <c r="L20" i="15"/>
  <c r="L19" i="15"/>
  <c r="L18" i="15"/>
  <c r="L17" i="15"/>
  <c r="L16" i="15"/>
  <c r="L15" i="15"/>
  <c r="L14" i="15"/>
  <c r="L342" i="16"/>
  <c r="L341" i="16"/>
  <c r="L340" i="16"/>
  <c r="B338" i="16"/>
  <c r="A338" i="16"/>
  <c r="L336" i="16"/>
  <c r="L335" i="16"/>
  <c r="L334" i="16"/>
  <c r="L333" i="16"/>
  <c r="L332" i="16"/>
  <c r="L331" i="16"/>
  <c r="L330" i="16"/>
  <c r="L329" i="16"/>
  <c r="L328" i="16"/>
  <c r="L327" i="16"/>
  <c r="L326" i="16"/>
  <c r="L325" i="16"/>
  <c r="L324" i="16"/>
  <c r="L323" i="16"/>
  <c r="L322" i="16"/>
  <c r="L321" i="16"/>
  <c r="L320" i="16"/>
  <c r="L319" i="16"/>
  <c r="L318" i="16"/>
  <c r="L317" i="16"/>
  <c r="L316" i="16"/>
  <c r="L315" i="16"/>
  <c r="L314" i="16"/>
  <c r="L313" i="16"/>
  <c r="B311" i="16"/>
  <c r="A311" i="16"/>
  <c r="B306" i="16"/>
  <c r="A306" i="16"/>
  <c r="B302" i="16"/>
  <c r="A302" i="16"/>
  <c r="L300" i="16"/>
  <c r="L299" i="16"/>
  <c r="L298" i="16"/>
  <c r="L297" i="16"/>
  <c r="L296" i="16"/>
  <c r="L295" i="16"/>
  <c r="L294" i="16"/>
  <c r="L293" i="16"/>
  <c r="L292" i="16"/>
  <c r="L291" i="16"/>
  <c r="L290" i="16"/>
  <c r="L289" i="16"/>
  <c r="L288" i="16"/>
  <c r="L287" i="16"/>
  <c r="L286" i="16"/>
  <c r="L285" i="16"/>
  <c r="L284" i="16"/>
  <c r="L283" i="16"/>
  <c r="L282" i="16"/>
  <c r="L281" i="16"/>
  <c r="L280" i="16"/>
  <c r="L279" i="16"/>
  <c r="B277" i="16"/>
  <c r="A277" i="16"/>
  <c r="B272" i="16"/>
  <c r="A272" i="16"/>
  <c r="B267" i="16"/>
  <c r="A267" i="16"/>
  <c r="B263" i="16"/>
  <c r="A263" i="16"/>
  <c r="B259" i="16"/>
  <c r="A259" i="16"/>
  <c r="L257" i="16"/>
  <c r="L256" i="16"/>
  <c r="L255" i="16"/>
  <c r="L254" i="16"/>
  <c r="L253" i="16"/>
  <c r="L252" i="16"/>
  <c r="L251" i="16"/>
  <c r="L250" i="16"/>
  <c r="L249" i="16"/>
  <c r="L248" i="16"/>
  <c r="L247" i="16"/>
  <c r="L246" i="16"/>
  <c r="L245" i="16"/>
  <c r="L244" i="16"/>
  <c r="L243" i="16"/>
  <c r="L242" i="16"/>
  <c r="L241" i="16"/>
  <c r="L240" i="16"/>
  <c r="L239" i="16"/>
  <c r="L238" i="16"/>
  <c r="L237" i="16"/>
  <c r="L236" i="16"/>
  <c r="L235" i="16"/>
  <c r="L234" i="16"/>
  <c r="L233" i="16"/>
  <c r="B231" i="16"/>
  <c r="A231" i="16"/>
  <c r="B227" i="16"/>
  <c r="A227" i="16"/>
  <c r="B223" i="16"/>
  <c r="A223" i="16"/>
  <c r="L220" i="16"/>
  <c r="L219" i="16"/>
  <c r="L218" i="16"/>
  <c r="L217" i="16"/>
  <c r="L216" i="16"/>
  <c r="L215" i="16"/>
  <c r="L214" i="16"/>
  <c r="L213" i="16"/>
  <c r="L212" i="16"/>
  <c r="L211" i="16"/>
  <c r="L210" i="16"/>
  <c r="L209" i="16"/>
  <c r="L208" i="16"/>
  <c r="L207" i="16"/>
  <c r="L206" i="16"/>
  <c r="L205" i="16"/>
  <c r="L204" i="16"/>
  <c r="L203" i="16"/>
  <c r="L202" i="16"/>
  <c r="L201" i="16"/>
  <c r="L200" i="16"/>
  <c r="L199" i="16"/>
  <c r="B197" i="16"/>
  <c r="A197" i="16"/>
  <c r="B193" i="16"/>
  <c r="A193" i="16"/>
  <c r="B189" i="16"/>
  <c r="A189" i="16"/>
  <c r="L187" i="16"/>
  <c r="L186" i="16"/>
  <c r="L185" i="16"/>
  <c r="L184" i="16"/>
  <c r="L183" i="16"/>
  <c r="L182" i="16"/>
  <c r="L181" i="16"/>
  <c r="L180" i="16"/>
  <c r="L179" i="16"/>
  <c r="L178" i="16"/>
  <c r="L177" i="16"/>
  <c r="L176" i="16"/>
  <c r="L175" i="16"/>
  <c r="L174" i="16"/>
  <c r="L173" i="16"/>
  <c r="L172" i="16"/>
  <c r="L171" i="16"/>
  <c r="L170" i="16"/>
  <c r="L169" i="16"/>
  <c r="L168" i="16"/>
  <c r="L167" i="16"/>
  <c r="L166" i="16"/>
  <c r="L165" i="16"/>
  <c r="L164" i="16"/>
  <c r="B162" i="16"/>
  <c r="A162" i="16"/>
  <c r="B158" i="16"/>
  <c r="A158" i="16"/>
  <c r="B154" i="16"/>
  <c r="A154" i="16"/>
  <c r="L152" i="16"/>
  <c r="L151" i="16"/>
  <c r="L150" i="16"/>
  <c r="L149" i="16"/>
  <c r="L148" i="16"/>
  <c r="L147" i="16"/>
  <c r="L146" i="16"/>
  <c r="L145" i="16"/>
  <c r="L144" i="16"/>
  <c r="L143" i="16"/>
  <c r="L142" i="16"/>
  <c r="L141" i="16"/>
  <c r="L140" i="16"/>
  <c r="L139" i="16"/>
  <c r="L138" i="16"/>
  <c r="L137" i="16"/>
  <c r="L136" i="16"/>
  <c r="L135" i="16"/>
  <c r="L134" i="16"/>
  <c r="L133" i="16"/>
  <c r="B131" i="16"/>
  <c r="A131" i="16"/>
  <c r="L129" i="16"/>
  <c r="L128" i="16"/>
  <c r="L127" i="16"/>
  <c r="L126" i="16"/>
  <c r="L125" i="16"/>
  <c r="L124" i="16"/>
  <c r="L123" i="16"/>
  <c r="L122" i="16"/>
  <c r="L121" i="16"/>
  <c r="L120" i="16"/>
  <c r="L119" i="16"/>
  <c r="L118" i="16"/>
  <c r="L117" i="16"/>
  <c r="L116" i="16"/>
  <c r="L115" i="16"/>
  <c r="L114" i="16"/>
  <c r="L113" i="16"/>
  <c r="L112" i="16"/>
  <c r="L111" i="16"/>
  <c r="L110" i="16"/>
  <c r="L109" i="16"/>
  <c r="L108" i="16"/>
  <c r="L107" i="16"/>
  <c r="L106" i="16"/>
  <c r="L105" i="16"/>
  <c r="B103" i="16"/>
  <c r="A103" i="16"/>
  <c r="B99" i="16"/>
  <c r="A99" i="16"/>
  <c r="B95" i="16"/>
  <c r="A95" i="16"/>
  <c r="B94" i="16"/>
  <c r="K91" i="16"/>
  <c r="L91" i="16" s="1"/>
  <c r="K90" i="16"/>
  <c r="L90" i="16" s="1"/>
  <c r="K89" i="16"/>
  <c r="L89" i="16" s="1"/>
  <c r="K88" i="16"/>
  <c r="L88" i="16" s="1"/>
  <c r="K87" i="16"/>
  <c r="L87" i="16" s="1"/>
  <c r="K86" i="16"/>
  <c r="L86" i="16" s="1"/>
  <c r="K85" i="16"/>
  <c r="L85" i="16" s="1"/>
  <c r="K84" i="16"/>
  <c r="L84" i="16" s="1"/>
  <c r="K83" i="16"/>
  <c r="L83" i="16" s="1"/>
  <c r="K82" i="16"/>
  <c r="L82" i="16" s="1"/>
  <c r="K81" i="16"/>
  <c r="L81" i="16" s="1"/>
  <c r="K80" i="16"/>
  <c r="L80" i="16" s="1"/>
  <c r="K79" i="16"/>
  <c r="L79" i="16" s="1"/>
  <c r="K78" i="16"/>
  <c r="L78" i="16" s="1"/>
  <c r="K77" i="16"/>
  <c r="L77" i="16" s="1"/>
  <c r="K76" i="16"/>
  <c r="L76" i="16" s="1"/>
  <c r="K75" i="16"/>
  <c r="L75" i="16" s="1"/>
  <c r="K74" i="16"/>
  <c r="L74" i="16" s="1"/>
  <c r="K73" i="16"/>
  <c r="L73" i="16" s="1"/>
  <c r="K72" i="16"/>
  <c r="L72" i="16" s="1"/>
  <c r="K71" i="16"/>
  <c r="L71" i="16" s="1"/>
  <c r="K70" i="16"/>
  <c r="L70" i="16" s="1"/>
  <c r="K69" i="16"/>
  <c r="L69" i="16" s="1"/>
  <c r="K68" i="16"/>
  <c r="L68" i="16" s="1"/>
  <c r="K67" i="16"/>
  <c r="L67" i="16" s="1"/>
  <c r="B62" i="16"/>
  <c r="A62" i="16"/>
  <c r="B61" i="16"/>
  <c r="A61" i="16"/>
  <c r="K58" i="16"/>
  <c r="L58" i="16" s="1"/>
  <c r="K57" i="16"/>
  <c r="L57" i="16" s="1"/>
  <c r="K56" i="16"/>
  <c r="L56" i="16" s="1"/>
  <c r="K55" i="16"/>
  <c r="L55" i="16" s="1"/>
  <c r="B53" i="16"/>
  <c r="K51" i="16"/>
  <c r="L51" i="16" s="1"/>
  <c r="K50" i="16"/>
  <c r="L50" i="16" s="1"/>
  <c r="K49" i="16"/>
  <c r="L49" i="16" s="1"/>
  <c r="K48" i="16"/>
  <c r="L48" i="16" s="1"/>
  <c r="B46" i="16"/>
  <c r="A46" i="16"/>
  <c r="B44" i="16"/>
  <c r="A44" i="16"/>
  <c r="K40" i="16"/>
  <c r="L40" i="16" s="1"/>
  <c r="K39" i="16"/>
  <c r="L39" i="16" s="1"/>
  <c r="K38" i="16"/>
  <c r="L38" i="16" s="1"/>
  <c r="K37" i="16"/>
  <c r="L37" i="16" s="1"/>
  <c r="L36" i="16"/>
  <c r="K36" i="16"/>
  <c r="K35" i="16"/>
  <c r="L35" i="16" s="1"/>
  <c r="K34" i="16"/>
  <c r="L34" i="16" s="1"/>
  <c r="K33" i="16"/>
  <c r="L33" i="16" s="1"/>
  <c r="K32" i="16"/>
  <c r="L32" i="16" s="1"/>
  <c r="K31" i="16"/>
  <c r="L31" i="16" s="1"/>
  <c r="K30" i="16"/>
  <c r="L30" i="16" s="1"/>
  <c r="K29" i="16"/>
  <c r="L29" i="16" s="1"/>
  <c r="K28" i="16"/>
  <c r="L28" i="16" s="1"/>
  <c r="K27" i="16"/>
  <c r="L27" i="16" s="1"/>
  <c r="K26" i="16"/>
  <c r="L26" i="16" s="1"/>
  <c r="K25" i="16"/>
  <c r="L25" i="16" s="1"/>
  <c r="K24" i="16"/>
  <c r="L24" i="16" s="1"/>
  <c r="K23" i="16"/>
  <c r="L23" i="16" s="1"/>
  <c r="K22" i="16"/>
  <c r="L22" i="16" s="1"/>
  <c r="K21" i="16"/>
  <c r="L21" i="16" s="1"/>
  <c r="K20" i="16"/>
  <c r="L20" i="16" s="1"/>
  <c r="K19" i="16"/>
  <c r="L19" i="16" s="1"/>
  <c r="K18" i="16"/>
  <c r="L18" i="16" s="1"/>
  <c r="K17" i="16"/>
  <c r="L17" i="16" s="1"/>
  <c r="K16" i="16"/>
  <c r="L16" i="16" s="1"/>
  <c r="B12" i="16"/>
  <c r="L232" i="16" l="1"/>
  <c r="L339" i="16"/>
  <c r="L198" i="16"/>
  <c r="L13" i="16"/>
  <c r="L15" i="16" s="1"/>
  <c r="L163" i="16"/>
  <c r="L132" i="16"/>
  <c r="L312" i="16"/>
  <c r="L104" i="16"/>
  <c r="L278" i="16"/>
  <c r="L12" i="15"/>
  <c r="L54" i="16"/>
  <c r="L64" i="16"/>
  <c r="L66" i="16" s="1"/>
  <c r="L47" i="16"/>
  <c r="G44" i="14" l="1"/>
  <c r="E173" i="13" l="1"/>
  <c r="K173" i="13" s="1"/>
  <c r="L173" i="13" s="1"/>
  <c r="E172" i="13"/>
  <c r="K172" i="13" s="1"/>
  <c r="L172" i="13" s="1"/>
  <c r="E171" i="13"/>
  <c r="K171" i="13" s="1"/>
  <c r="L171" i="13" s="1"/>
  <c r="E170" i="13"/>
  <c r="K170" i="13" s="1"/>
  <c r="L170" i="13" s="1"/>
  <c r="E169" i="13"/>
  <c r="K169" i="13" s="1"/>
  <c r="L169" i="13" s="1"/>
  <c r="E168" i="13"/>
  <c r="K168" i="13" s="1"/>
  <c r="L168" i="13" s="1"/>
  <c r="E167" i="13"/>
  <c r="K167" i="13" s="1"/>
  <c r="L167" i="13" s="1"/>
  <c r="E166" i="13"/>
  <c r="K166" i="13" s="1"/>
  <c r="L166" i="13" s="1"/>
  <c r="E165" i="13"/>
  <c r="K165" i="13" s="1"/>
  <c r="L165" i="13" s="1"/>
  <c r="E164" i="13"/>
  <c r="K164" i="13" s="1"/>
  <c r="L164" i="13" s="1"/>
  <c r="E163" i="13"/>
  <c r="K163" i="13" s="1"/>
  <c r="L163" i="13" s="1"/>
  <c r="F159" i="13"/>
  <c r="K159" i="13" s="1"/>
  <c r="L159" i="13" s="1"/>
  <c r="E158" i="13"/>
  <c r="K158" i="13" s="1"/>
  <c r="L158" i="13" s="1"/>
  <c r="E155" i="13"/>
  <c r="K155" i="13" s="1"/>
  <c r="L155" i="13" s="1"/>
  <c r="E154" i="13"/>
  <c r="K154" i="13" s="1"/>
  <c r="L154" i="13" s="1"/>
  <c r="E153" i="13"/>
  <c r="K153" i="13" s="1"/>
  <c r="L153" i="13" s="1"/>
  <c r="K149" i="13"/>
  <c r="L149" i="13" s="1"/>
  <c r="K148" i="13"/>
  <c r="L148" i="13" s="1"/>
  <c r="K147" i="13"/>
  <c r="L147" i="13" s="1"/>
  <c r="K146" i="13"/>
  <c r="L146" i="13" s="1"/>
  <c r="K145" i="13"/>
  <c r="L145" i="13" s="1"/>
  <c r="K144" i="13"/>
  <c r="L144" i="13" s="1"/>
  <c r="K143" i="13"/>
  <c r="L143" i="13" s="1"/>
  <c r="L142" i="13"/>
  <c r="K142" i="13"/>
  <c r="K141" i="13"/>
  <c r="L141" i="13" s="1"/>
  <c r="K140" i="13"/>
  <c r="L140" i="13" s="1"/>
  <c r="K139" i="13"/>
  <c r="L139" i="13" s="1"/>
  <c r="K135" i="13"/>
  <c r="L135" i="13" s="1"/>
  <c r="K134" i="13"/>
  <c r="L134" i="13" s="1"/>
  <c r="K133" i="13"/>
  <c r="L133" i="13" s="1"/>
  <c r="K132" i="13"/>
  <c r="L132" i="13" s="1"/>
  <c r="K131" i="13"/>
  <c r="L131" i="13" s="1"/>
  <c r="K130" i="13"/>
  <c r="L130" i="13" s="1"/>
  <c r="K129" i="13"/>
  <c r="L129" i="13" s="1"/>
  <c r="K128" i="13"/>
  <c r="L128" i="13" s="1"/>
  <c r="K127" i="13"/>
  <c r="L127" i="13" s="1"/>
  <c r="K126" i="13"/>
  <c r="L126" i="13" s="1"/>
  <c r="K125" i="13"/>
  <c r="L125" i="13" s="1"/>
  <c r="B93" i="13"/>
  <c r="B105" i="13"/>
  <c r="B113" i="13"/>
  <c r="B71" i="13"/>
  <c r="K119" i="13"/>
  <c r="L119" i="13" s="1"/>
  <c r="K118" i="13"/>
  <c r="L118" i="13" s="1"/>
  <c r="K117" i="13"/>
  <c r="L117" i="13" s="1"/>
  <c r="K116" i="13"/>
  <c r="L116" i="13" s="1"/>
  <c r="K115" i="13"/>
  <c r="L115" i="13" s="1"/>
  <c r="K111" i="13"/>
  <c r="L111" i="13" s="1"/>
  <c r="K110" i="13"/>
  <c r="L110" i="13" s="1"/>
  <c r="K109" i="13"/>
  <c r="L109" i="13" s="1"/>
  <c r="K108" i="13"/>
  <c r="L108" i="13" s="1"/>
  <c r="K107" i="13"/>
  <c r="L107" i="13" s="1"/>
  <c r="K103" i="13"/>
  <c r="L103" i="13" s="1"/>
  <c r="K102" i="13"/>
  <c r="L102" i="13" s="1"/>
  <c r="K101" i="13"/>
  <c r="L101" i="13" s="1"/>
  <c r="K100" i="13"/>
  <c r="L100" i="13" s="1"/>
  <c r="K99" i="13"/>
  <c r="L99" i="13" s="1"/>
  <c r="K98" i="13"/>
  <c r="L98" i="13" s="1"/>
  <c r="K97" i="13"/>
  <c r="L97" i="13" s="1"/>
  <c r="K96" i="13"/>
  <c r="L96" i="13" s="1"/>
  <c r="K95" i="13"/>
  <c r="L95" i="13" s="1"/>
  <c r="K91" i="13"/>
  <c r="L91" i="13" s="1"/>
  <c r="K90" i="13"/>
  <c r="L90" i="13" s="1"/>
  <c r="K89" i="13"/>
  <c r="L89" i="13" s="1"/>
  <c r="K88" i="13"/>
  <c r="L88" i="13" s="1"/>
  <c r="K87" i="13"/>
  <c r="L87" i="13" s="1"/>
  <c r="K86" i="13"/>
  <c r="L86" i="13" s="1"/>
  <c r="K85" i="13"/>
  <c r="L85" i="13" s="1"/>
  <c r="K84" i="13"/>
  <c r="L84" i="13" s="1"/>
  <c r="K83" i="13"/>
  <c r="L83" i="13" s="1"/>
  <c r="K82" i="13"/>
  <c r="L82" i="13" s="1"/>
  <c r="K81" i="13"/>
  <c r="L81" i="13" s="1"/>
  <c r="K80" i="13"/>
  <c r="L80" i="13" s="1"/>
  <c r="K79" i="13"/>
  <c r="L79" i="13" s="1"/>
  <c r="K78" i="13"/>
  <c r="L78" i="13" s="1"/>
  <c r="K77" i="13"/>
  <c r="L77" i="13" s="1"/>
  <c r="K76" i="13"/>
  <c r="L76" i="13" s="1"/>
  <c r="K75" i="13"/>
  <c r="L75" i="13" s="1"/>
  <c r="K74" i="13"/>
  <c r="L74" i="13" s="1"/>
  <c r="K73" i="13"/>
  <c r="L73" i="13" s="1"/>
  <c r="L69" i="13"/>
  <c r="L68" i="13"/>
  <c r="L67" i="13"/>
  <c r="L66" i="13"/>
  <c r="L65" i="13"/>
  <c r="L64" i="13"/>
  <c r="L63" i="13"/>
  <c r="L62" i="13"/>
  <c r="L61" i="13"/>
  <c r="L60" i="13"/>
  <c r="L59" i="13"/>
  <c r="L58" i="13"/>
  <c r="L57" i="13"/>
  <c r="L56" i="13"/>
  <c r="L55" i="13"/>
  <c r="L54" i="13"/>
  <c r="L53" i="13"/>
  <c r="L52" i="13"/>
  <c r="L51" i="13"/>
  <c r="L50" i="13"/>
  <c r="L49" i="13"/>
  <c r="L48" i="13"/>
  <c r="L47" i="13"/>
  <c r="L46" i="13"/>
  <c r="L45" i="13"/>
  <c r="A43" i="13"/>
  <c r="B43" i="13"/>
  <c r="B280" i="15"/>
  <c r="B233" i="15"/>
  <c r="B220" i="15"/>
  <c r="B26" i="15"/>
  <c r="B10" i="15"/>
  <c r="F53" i="14"/>
  <c r="J234" i="14"/>
  <c r="F234" i="14"/>
  <c r="E234" i="14"/>
  <c r="D234" i="14"/>
  <c r="C234" i="14"/>
  <c r="B234" i="14"/>
  <c r="A234" i="14"/>
  <c r="J233" i="14"/>
  <c r="F233" i="14"/>
  <c r="E233" i="14"/>
  <c r="D233" i="14"/>
  <c r="C233" i="14"/>
  <c r="B233" i="14"/>
  <c r="A233" i="14"/>
  <c r="J232" i="14"/>
  <c r="F232" i="14"/>
  <c r="E232" i="14"/>
  <c r="D232" i="14"/>
  <c r="C232" i="14"/>
  <c r="B232" i="14"/>
  <c r="A232" i="14"/>
  <c r="J231" i="14"/>
  <c r="F231" i="14"/>
  <c r="E231" i="14"/>
  <c r="D231" i="14"/>
  <c r="C231" i="14"/>
  <c r="B231" i="14"/>
  <c r="A231" i="14"/>
  <c r="J230" i="14"/>
  <c r="F230" i="14"/>
  <c r="E230" i="14"/>
  <c r="D230" i="14"/>
  <c r="C230" i="14"/>
  <c r="B230" i="14"/>
  <c r="A230" i="14"/>
  <c r="C229" i="14"/>
  <c r="A229" i="14"/>
  <c r="J227" i="14"/>
  <c r="F227" i="14"/>
  <c r="E227" i="14"/>
  <c r="D227" i="14"/>
  <c r="C227" i="14"/>
  <c r="B227" i="14"/>
  <c r="A227" i="14"/>
  <c r="J226" i="14"/>
  <c r="F226" i="14"/>
  <c r="E226" i="14"/>
  <c r="D226" i="14"/>
  <c r="C226" i="14"/>
  <c r="B226" i="14"/>
  <c r="A226" i="14"/>
  <c r="J225" i="14"/>
  <c r="F225" i="14"/>
  <c r="E225" i="14"/>
  <c r="D225" i="14"/>
  <c r="C225" i="14"/>
  <c r="B225" i="14"/>
  <c r="A225" i="14"/>
  <c r="J224" i="14"/>
  <c r="F224" i="14"/>
  <c r="E224" i="14"/>
  <c r="D224" i="14"/>
  <c r="C224" i="14"/>
  <c r="B224" i="14"/>
  <c r="A224" i="14"/>
  <c r="J223" i="14"/>
  <c r="F223" i="14"/>
  <c r="E223" i="14"/>
  <c r="D223" i="14"/>
  <c r="C223" i="14"/>
  <c r="B223" i="14"/>
  <c r="A223" i="14"/>
  <c r="J222" i="14"/>
  <c r="F222" i="14"/>
  <c r="E222" i="14"/>
  <c r="D222" i="14"/>
  <c r="C222" i="14"/>
  <c r="B222" i="14"/>
  <c r="A222" i="14"/>
  <c r="J221" i="14"/>
  <c r="F221" i="14"/>
  <c r="E221" i="14"/>
  <c r="D221" i="14"/>
  <c r="C221" i="14"/>
  <c r="B221" i="14"/>
  <c r="A221" i="14"/>
  <c r="J220" i="14"/>
  <c r="F220" i="14"/>
  <c r="E220" i="14"/>
  <c r="D220" i="14"/>
  <c r="C220" i="14"/>
  <c r="B220" i="14"/>
  <c r="A220" i="14"/>
  <c r="J219" i="14"/>
  <c r="F219" i="14"/>
  <c r="E219" i="14"/>
  <c r="D219" i="14"/>
  <c r="C219" i="14"/>
  <c r="B219" i="14"/>
  <c r="A219" i="14"/>
  <c r="J218" i="14"/>
  <c r="F218" i="14"/>
  <c r="E218" i="14"/>
  <c r="D218" i="14"/>
  <c r="C218" i="14"/>
  <c r="B218" i="14"/>
  <c r="A218" i="14"/>
  <c r="J217" i="14"/>
  <c r="F217" i="14"/>
  <c r="E217" i="14"/>
  <c r="D217" i="14"/>
  <c r="C217" i="14"/>
  <c r="B217" i="14"/>
  <c r="A217" i="14"/>
  <c r="J216" i="14"/>
  <c r="F216" i="14"/>
  <c r="E216" i="14"/>
  <c r="D216" i="14"/>
  <c r="C216" i="14"/>
  <c r="B216" i="14"/>
  <c r="A216" i="14"/>
  <c r="C215" i="14"/>
  <c r="A215" i="14"/>
  <c r="J213" i="14"/>
  <c r="F213" i="14"/>
  <c r="E213" i="14"/>
  <c r="D213" i="14"/>
  <c r="C213" i="14"/>
  <c r="B213" i="14"/>
  <c r="A213" i="14"/>
  <c r="J212" i="14"/>
  <c r="F212" i="14"/>
  <c r="E212" i="14"/>
  <c r="D212" i="14"/>
  <c r="C212" i="14"/>
  <c r="B212" i="14"/>
  <c r="A212" i="14"/>
  <c r="J211" i="14"/>
  <c r="F211" i="14"/>
  <c r="E211" i="14"/>
  <c r="D211" i="14"/>
  <c r="C211" i="14"/>
  <c r="B211" i="14"/>
  <c r="A211" i="14"/>
  <c r="J210" i="14"/>
  <c r="F210" i="14"/>
  <c r="E210" i="14"/>
  <c r="D210" i="14"/>
  <c r="C210" i="14"/>
  <c r="B210" i="14"/>
  <c r="A210" i="14"/>
  <c r="J209" i="14"/>
  <c r="F209" i="14"/>
  <c r="E209" i="14"/>
  <c r="D209" i="14"/>
  <c r="C209" i="14"/>
  <c r="B209" i="14"/>
  <c r="A209" i="14"/>
  <c r="J208" i="14"/>
  <c r="F208" i="14"/>
  <c r="E208" i="14"/>
  <c r="D208" i="14"/>
  <c r="C208" i="14"/>
  <c r="B208" i="14"/>
  <c r="A208" i="14"/>
  <c r="C207" i="14"/>
  <c r="A207" i="14"/>
  <c r="J205" i="14"/>
  <c r="F205" i="14"/>
  <c r="E205" i="14"/>
  <c r="D205" i="14"/>
  <c r="C205" i="14"/>
  <c r="B205" i="14"/>
  <c r="A205" i="14"/>
  <c r="J204" i="14"/>
  <c r="F204" i="14"/>
  <c r="E204" i="14"/>
  <c r="D204" i="14"/>
  <c r="C204" i="14"/>
  <c r="B204" i="14"/>
  <c r="A204" i="14"/>
  <c r="J203" i="14"/>
  <c r="F203" i="14"/>
  <c r="E203" i="14"/>
  <c r="D203" i="14"/>
  <c r="C203" i="14"/>
  <c r="B203" i="14"/>
  <c r="A203" i="14"/>
  <c r="J202" i="14"/>
  <c r="F202" i="14"/>
  <c r="E202" i="14"/>
  <c r="D202" i="14"/>
  <c r="C202" i="14"/>
  <c r="B202" i="14"/>
  <c r="A202" i="14"/>
  <c r="J201" i="14"/>
  <c r="F201" i="14"/>
  <c r="E201" i="14"/>
  <c r="D201" i="14"/>
  <c r="C201" i="14"/>
  <c r="B201" i="14"/>
  <c r="A201" i="14"/>
  <c r="J200" i="14"/>
  <c r="F200" i="14"/>
  <c r="E200" i="14"/>
  <c r="D200" i="14"/>
  <c r="C200" i="14"/>
  <c r="B200" i="14"/>
  <c r="A200" i="14"/>
  <c r="J199" i="14"/>
  <c r="F199" i="14"/>
  <c r="E199" i="14"/>
  <c r="D199" i="14"/>
  <c r="C199" i="14"/>
  <c r="B199" i="14"/>
  <c r="A199" i="14"/>
  <c r="J198" i="14"/>
  <c r="F198" i="14"/>
  <c r="E198" i="14"/>
  <c r="D198" i="14"/>
  <c r="C198" i="14"/>
  <c r="B198" i="14"/>
  <c r="A198" i="14"/>
  <c r="J197" i="14"/>
  <c r="F197" i="14"/>
  <c r="E197" i="14"/>
  <c r="D197" i="14"/>
  <c r="C197" i="14"/>
  <c r="B197" i="14"/>
  <c r="A197" i="14"/>
  <c r="J196" i="14"/>
  <c r="F196" i="14"/>
  <c r="E196" i="14"/>
  <c r="D196" i="14"/>
  <c r="C196" i="14"/>
  <c r="B196" i="14"/>
  <c r="A196" i="14"/>
  <c r="J195" i="14"/>
  <c r="F195" i="14"/>
  <c r="E195" i="14"/>
  <c r="D195" i="14"/>
  <c r="C195" i="14"/>
  <c r="B195" i="14"/>
  <c r="A195" i="14"/>
  <c r="J194" i="14"/>
  <c r="F194" i="14"/>
  <c r="E194" i="14"/>
  <c r="D194" i="14"/>
  <c r="C194" i="14"/>
  <c r="B194" i="14"/>
  <c r="A194" i="14"/>
  <c r="J193" i="14"/>
  <c r="F193" i="14"/>
  <c r="E193" i="14"/>
  <c r="D193" i="14"/>
  <c r="C193" i="14"/>
  <c r="B193" i="14"/>
  <c r="A193" i="14"/>
  <c r="J192" i="14"/>
  <c r="F192" i="14"/>
  <c r="E192" i="14"/>
  <c r="D192" i="14"/>
  <c r="C192" i="14"/>
  <c r="B192" i="14"/>
  <c r="A192" i="14"/>
  <c r="J191" i="14"/>
  <c r="F191" i="14"/>
  <c r="E191" i="14"/>
  <c r="D191" i="14"/>
  <c r="C191" i="14"/>
  <c r="B191" i="14"/>
  <c r="A191" i="14"/>
  <c r="J190" i="14"/>
  <c r="F190" i="14"/>
  <c r="E190" i="14"/>
  <c r="D190" i="14"/>
  <c r="C190" i="14"/>
  <c r="B190" i="14"/>
  <c r="A190" i="14"/>
  <c r="J189" i="14"/>
  <c r="F189" i="14"/>
  <c r="E189" i="14"/>
  <c r="D189" i="14"/>
  <c r="C189" i="14"/>
  <c r="B189" i="14"/>
  <c r="A189" i="14"/>
  <c r="J188" i="14"/>
  <c r="F188" i="14"/>
  <c r="E188" i="14"/>
  <c r="D188" i="14"/>
  <c r="C188" i="14"/>
  <c r="B188" i="14"/>
  <c r="A188" i="14"/>
  <c r="J187" i="14"/>
  <c r="F187" i="14"/>
  <c r="E187" i="14"/>
  <c r="D187" i="14"/>
  <c r="C187" i="14"/>
  <c r="B187" i="14"/>
  <c r="A187" i="14"/>
  <c r="J186" i="14"/>
  <c r="F186" i="14"/>
  <c r="E186" i="14"/>
  <c r="D186" i="14"/>
  <c r="C186" i="14"/>
  <c r="B186" i="14"/>
  <c r="A186" i="14"/>
  <c r="J185" i="14"/>
  <c r="F185" i="14"/>
  <c r="E185" i="14"/>
  <c r="D185" i="14"/>
  <c r="C185" i="14"/>
  <c r="B185" i="14"/>
  <c r="A185" i="14"/>
  <c r="J184" i="14"/>
  <c r="F184" i="14"/>
  <c r="E184" i="14"/>
  <c r="D184" i="14"/>
  <c r="C184" i="14"/>
  <c r="B184" i="14"/>
  <c r="A184" i="14"/>
  <c r="J183" i="14"/>
  <c r="F183" i="14"/>
  <c r="E183" i="14"/>
  <c r="D183" i="14"/>
  <c r="C183" i="14"/>
  <c r="B183" i="14"/>
  <c r="A183" i="14"/>
  <c r="J182" i="14"/>
  <c r="F182" i="14"/>
  <c r="E182" i="14"/>
  <c r="D182" i="14"/>
  <c r="C182" i="14"/>
  <c r="B182" i="14"/>
  <c r="A182" i="14"/>
  <c r="J181" i="14"/>
  <c r="F181" i="14"/>
  <c r="E181" i="14"/>
  <c r="D181" i="14"/>
  <c r="C181" i="14"/>
  <c r="B181" i="14"/>
  <c r="A181" i="14"/>
  <c r="C180" i="14"/>
  <c r="A180" i="14"/>
  <c r="J178" i="14"/>
  <c r="F178" i="14"/>
  <c r="E178" i="14"/>
  <c r="D178" i="14"/>
  <c r="C178" i="14"/>
  <c r="B178" i="14"/>
  <c r="A178" i="14"/>
  <c r="J177" i="14"/>
  <c r="F177" i="14"/>
  <c r="E177" i="14"/>
  <c r="D177" i="14"/>
  <c r="C177" i="14"/>
  <c r="B177" i="14"/>
  <c r="A177" i="14"/>
  <c r="J176" i="14"/>
  <c r="F176" i="14"/>
  <c r="E176" i="14"/>
  <c r="D176" i="14"/>
  <c r="C176" i="14"/>
  <c r="B176" i="14"/>
  <c r="A176" i="14"/>
  <c r="J175" i="14"/>
  <c r="F175" i="14"/>
  <c r="E175" i="14"/>
  <c r="D175" i="14"/>
  <c r="C175" i="14"/>
  <c r="B175" i="14"/>
  <c r="A175" i="14"/>
  <c r="J174" i="14"/>
  <c r="F174" i="14"/>
  <c r="E174" i="14"/>
  <c r="D174" i="14"/>
  <c r="C174" i="14"/>
  <c r="B174" i="14"/>
  <c r="A174" i="14"/>
  <c r="J173" i="14"/>
  <c r="F173" i="14"/>
  <c r="E173" i="14"/>
  <c r="D173" i="14"/>
  <c r="C173" i="14"/>
  <c r="B173" i="14"/>
  <c r="A173" i="14"/>
  <c r="J172" i="14"/>
  <c r="F172" i="14"/>
  <c r="E172" i="14"/>
  <c r="D172" i="14"/>
  <c r="C172" i="14"/>
  <c r="B172" i="14"/>
  <c r="A172" i="14"/>
  <c r="J171" i="14"/>
  <c r="F171" i="14"/>
  <c r="E171" i="14"/>
  <c r="D171" i="14"/>
  <c r="C171" i="14"/>
  <c r="B171" i="14"/>
  <c r="A171" i="14"/>
  <c r="J170" i="14"/>
  <c r="F170" i="14"/>
  <c r="E170" i="14"/>
  <c r="D170" i="14"/>
  <c r="C170" i="14"/>
  <c r="B170" i="14"/>
  <c r="A170" i="14"/>
  <c r="J169" i="14"/>
  <c r="F169" i="14"/>
  <c r="E169" i="14"/>
  <c r="D169" i="14"/>
  <c r="C169" i="14"/>
  <c r="B169" i="14"/>
  <c r="A169" i="14"/>
  <c r="J168" i="14"/>
  <c r="F168" i="14"/>
  <c r="E168" i="14"/>
  <c r="D168" i="14"/>
  <c r="C168" i="14"/>
  <c r="B168" i="14"/>
  <c r="A168" i="14"/>
  <c r="J167" i="14"/>
  <c r="F167" i="14"/>
  <c r="E167" i="14"/>
  <c r="D167" i="14"/>
  <c r="C167" i="14"/>
  <c r="B167" i="14"/>
  <c r="A167" i="14"/>
  <c r="J166" i="14"/>
  <c r="F166" i="14"/>
  <c r="E166" i="14"/>
  <c r="D166" i="14"/>
  <c r="C166" i="14"/>
  <c r="B166" i="14"/>
  <c r="A166" i="14"/>
  <c r="J165" i="14"/>
  <c r="F165" i="14"/>
  <c r="E165" i="14"/>
  <c r="D165" i="14"/>
  <c r="C165" i="14"/>
  <c r="B165" i="14"/>
  <c r="A165" i="14"/>
  <c r="J164" i="14"/>
  <c r="F164" i="14"/>
  <c r="E164" i="14"/>
  <c r="D164" i="14"/>
  <c r="C164" i="14"/>
  <c r="B164" i="14"/>
  <c r="A164" i="14"/>
  <c r="J163" i="14"/>
  <c r="F163" i="14"/>
  <c r="E163" i="14"/>
  <c r="D163" i="14"/>
  <c r="C163" i="14"/>
  <c r="B163" i="14"/>
  <c r="A163" i="14"/>
  <c r="C162" i="14"/>
  <c r="A162" i="14"/>
  <c r="J160" i="14"/>
  <c r="F160" i="14"/>
  <c r="E160" i="14"/>
  <c r="D160" i="14"/>
  <c r="C160" i="14"/>
  <c r="B160" i="14"/>
  <c r="A160" i="14"/>
  <c r="J159" i="14"/>
  <c r="F159" i="14"/>
  <c r="E159" i="14"/>
  <c r="D159" i="14"/>
  <c r="C159" i="14"/>
  <c r="B159" i="14"/>
  <c r="A159" i="14"/>
  <c r="J158" i="14"/>
  <c r="F158" i="14"/>
  <c r="E158" i="14"/>
  <c r="D158" i="14"/>
  <c r="C158" i="14"/>
  <c r="B158" i="14"/>
  <c r="A158" i="14"/>
  <c r="J157" i="14"/>
  <c r="F157" i="14"/>
  <c r="E157" i="14"/>
  <c r="D157" i="14"/>
  <c r="C157" i="14"/>
  <c r="B157" i="14"/>
  <c r="A157" i="14"/>
  <c r="J156" i="14"/>
  <c r="F156" i="14"/>
  <c r="E156" i="14"/>
  <c r="D156" i="14"/>
  <c r="C156" i="14"/>
  <c r="B156" i="14"/>
  <c r="A156" i="14"/>
  <c r="J155" i="14"/>
  <c r="F155" i="14"/>
  <c r="E155" i="14"/>
  <c r="D155" i="14"/>
  <c r="C155" i="14"/>
  <c r="B155" i="14"/>
  <c r="A155" i="14"/>
  <c r="J154" i="14"/>
  <c r="F154" i="14"/>
  <c r="E154" i="14"/>
  <c r="D154" i="14"/>
  <c r="C154" i="14"/>
  <c r="B154" i="14"/>
  <c r="A154" i="14"/>
  <c r="J153" i="14"/>
  <c r="F153" i="14"/>
  <c r="E153" i="14"/>
  <c r="D153" i="14"/>
  <c r="C153" i="14"/>
  <c r="B153" i="14"/>
  <c r="A153" i="14"/>
  <c r="J152" i="14"/>
  <c r="F152" i="14"/>
  <c r="E152" i="14"/>
  <c r="D152" i="14"/>
  <c r="C152" i="14"/>
  <c r="B152" i="14"/>
  <c r="A152" i="14"/>
  <c r="J151" i="14"/>
  <c r="F151" i="14"/>
  <c r="E151" i="14"/>
  <c r="D151" i="14"/>
  <c r="C151" i="14"/>
  <c r="B151" i="14"/>
  <c r="A151" i="14"/>
  <c r="J150" i="14"/>
  <c r="F150" i="14"/>
  <c r="E150" i="14"/>
  <c r="D150" i="14"/>
  <c r="C150" i="14"/>
  <c r="B150" i="14"/>
  <c r="A150" i="14"/>
  <c r="J149" i="14"/>
  <c r="F149" i="14"/>
  <c r="E149" i="14"/>
  <c r="D149" i="14"/>
  <c r="C149" i="14"/>
  <c r="B149" i="14"/>
  <c r="A149" i="14"/>
  <c r="J148" i="14"/>
  <c r="F148" i="14"/>
  <c r="E148" i="14"/>
  <c r="D148" i="14"/>
  <c r="C148" i="14"/>
  <c r="B148" i="14"/>
  <c r="A148" i="14"/>
  <c r="J147" i="14"/>
  <c r="F147" i="14"/>
  <c r="E147" i="14"/>
  <c r="D147" i="14"/>
  <c r="C147" i="14"/>
  <c r="B147" i="14"/>
  <c r="A147" i="14"/>
  <c r="J146" i="14"/>
  <c r="F146" i="14"/>
  <c r="E146" i="14"/>
  <c r="D146" i="14"/>
  <c r="C146" i="14"/>
  <c r="B146" i="14"/>
  <c r="A146" i="14"/>
  <c r="J145" i="14"/>
  <c r="F145" i="14"/>
  <c r="E145" i="14"/>
  <c r="D145" i="14"/>
  <c r="C145" i="14"/>
  <c r="B145" i="14"/>
  <c r="A145" i="14"/>
  <c r="J144" i="14"/>
  <c r="F144" i="14"/>
  <c r="E144" i="14"/>
  <c r="D144" i="14"/>
  <c r="C144" i="14"/>
  <c r="B144" i="14"/>
  <c r="A144" i="14"/>
  <c r="J143" i="14"/>
  <c r="F143" i="14"/>
  <c r="E143" i="14"/>
  <c r="D143" i="14"/>
  <c r="C143" i="14"/>
  <c r="B143" i="14"/>
  <c r="A143" i="14"/>
  <c r="J142" i="14"/>
  <c r="F142" i="14"/>
  <c r="E142" i="14"/>
  <c r="D142" i="14"/>
  <c r="C142" i="14"/>
  <c r="B142" i="14"/>
  <c r="A142" i="14"/>
  <c r="J141" i="14"/>
  <c r="F141" i="14"/>
  <c r="E141" i="14"/>
  <c r="D141" i="14"/>
  <c r="C141" i="14"/>
  <c r="B141" i="14"/>
  <c r="A141" i="14"/>
  <c r="J140" i="14"/>
  <c r="F140" i="14"/>
  <c r="E140" i="14"/>
  <c r="D140" i="14"/>
  <c r="C140" i="14"/>
  <c r="B140" i="14"/>
  <c r="A140" i="14"/>
  <c r="J139" i="14"/>
  <c r="F139" i="14"/>
  <c r="E139" i="14"/>
  <c r="D139" i="14"/>
  <c r="C139" i="14"/>
  <c r="B139" i="14"/>
  <c r="A139" i="14"/>
  <c r="J138" i="14"/>
  <c r="F138" i="14"/>
  <c r="E138" i="14"/>
  <c r="D138" i="14"/>
  <c r="C138" i="14"/>
  <c r="B138" i="14"/>
  <c r="A138" i="14"/>
  <c r="J137" i="14"/>
  <c r="F137" i="14"/>
  <c r="E137" i="14"/>
  <c r="D137" i="14"/>
  <c r="C137" i="14"/>
  <c r="B137" i="14"/>
  <c r="A137" i="14"/>
  <c r="C136" i="14"/>
  <c r="A136" i="14"/>
  <c r="J134" i="14"/>
  <c r="F134" i="14"/>
  <c r="E134" i="14"/>
  <c r="D134" i="14"/>
  <c r="C134" i="14"/>
  <c r="B134" i="14"/>
  <c r="A134" i="14"/>
  <c r="J133" i="14"/>
  <c r="F133" i="14"/>
  <c r="E133" i="14"/>
  <c r="D133" i="14"/>
  <c r="C133" i="14"/>
  <c r="B133" i="14"/>
  <c r="A133" i="14"/>
  <c r="J132" i="14"/>
  <c r="F132" i="14"/>
  <c r="E132" i="14"/>
  <c r="D132" i="14"/>
  <c r="C132" i="14"/>
  <c r="B132" i="14"/>
  <c r="A132" i="14"/>
  <c r="J131" i="14"/>
  <c r="F131" i="14"/>
  <c r="E131" i="14"/>
  <c r="D131" i="14"/>
  <c r="C131" i="14"/>
  <c r="B131" i="14"/>
  <c r="A131" i="14"/>
  <c r="J130" i="14"/>
  <c r="F130" i="14"/>
  <c r="E130" i="14"/>
  <c r="D130" i="14"/>
  <c r="C130" i="14"/>
  <c r="B130" i="14"/>
  <c r="A130" i="14"/>
  <c r="J129" i="14"/>
  <c r="F129" i="14"/>
  <c r="E129" i="14"/>
  <c r="D129" i="14"/>
  <c r="C129" i="14"/>
  <c r="B129" i="14"/>
  <c r="A129" i="14"/>
  <c r="J128" i="14"/>
  <c r="F128" i="14"/>
  <c r="E128" i="14"/>
  <c r="D128" i="14"/>
  <c r="C128" i="14"/>
  <c r="B128" i="14"/>
  <c r="A128" i="14"/>
  <c r="J127" i="14"/>
  <c r="F127" i="14"/>
  <c r="E127" i="14"/>
  <c r="D127" i="14"/>
  <c r="C127" i="14"/>
  <c r="B127" i="14"/>
  <c r="A127" i="14"/>
  <c r="J126" i="14"/>
  <c r="F126" i="14"/>
  <c r="E126" i="14"/>
  <c r="D126" i="14"/>
  <c r="C126" i="14"/>
  <c r="B126" i="14"/>
  <c r="A126" i="14"/>
  <c r="J125" i="14"/>
  <c r="F125" i="14"/>
  <c r="E125" i="14"/>
  <c r="D125" i="14"/>
  <c r="C125" i="14"/>
  <c r="B125" i="14"/>
  <c r="A125" i="14"/>
  <c r="J124" i="14"/>
  <c r="F124" i="14"/>
  <c r="E124" i="14"/>
  <c r="D124" i="14"/>
  <c r="C124" i="14"/>
  <c r="B124" i="14"/>
  <c r="A124" i="14"/>
  <c r="J123" i="14"/>
  <c r="F123" i="14"/>
  <c r="E123" i="14"/>
  <c r="D123" i="14"/>
  <c r="C123" i="14"/>
  <c r="B123" i="14"/>
  <c r="A123" i="14"/>
  <c r="J122" i="14"/>
  <c r="F122" i="14"/>
  <c r="E122" i="14"/>
  <c r="D122" i="14"/>
  <c r="C122" i="14"/>
  <c r="B122" i="14"/>
  <c r="A122" i="14"/>
  <c r="J121" i="14"/>
  <c r="F121" i="14"/>
  <c r="E121" i="14"/>
  <c r="D121" i="14"/>
  <c r="C121" i="14"/>
  <c r="B121" i="14"/>
  <c r="A121" i="14"/>
  <c r="J120" i="14"/>
  <c r="F120" i="14"/>
  <c r="E120" i="14"/>
  <c r="D120" i="14"/>
  <c r="C120" i="14"/>
  <c r="B120" i="14"/>
  <c r="A120" i="14"/>
  <c r="J119" i="14"/>
  <c r="F119" i="14"/>
  <c r="E119" i="14"/>
  <c r="D119" i="14"/>
  <c r="C119" i="14"/>
  <c r="B119" i="14"/>
  <c r="A119" i="14"/>
  <c r="J118" i="14"/>
  <c r="F118" i="14"/>
  <c r="E118" i="14"/>
  <c r="D118" i="14"/>
  <c r="C118" i="14"/>
  <c r="B118" i="14"/>
  <c r="A118" i="14"/>
  <c r="J117" i="14"/>
  <c r="F117" i="14"/>
  <c r="E117" i="14"/>
  <c r="D117" i="14"/>
  <c r="C117" i="14"/>
  <c r="B117" i="14"/>
  <c r="A117" i="14"/>
  <c r="J116" i="14"/>
  <c r="F116" i="14"/>
  <c r="E116" i="14"/>
  <c r="D116" i="14"/>
  <c r="C116" i="14"/>
  <c r="B116" i="14"/>
  <c r="A116" i="14"/>
  <c r="J115" i="14"/>
  <c r="F115" i="14"/>
  <c r="E115" i="14"/>
  <c r="D115" i="14"/>
  <c r="C115" i="14"/>
  <c r="B115" i="14"/>
  <c r="A115" i="14"/>
  <c r="J114" i="14"/>
  <c r="F114" i="14"/>
  <c r="E114" i="14"/>
  <c r="D114" i="14"/>
  <c r="C114" i="14"/>
  <c r="B114" i="14"/>
  <c r="A114" i="14"/>
  <c r="J113" i="14"/>
  <c r="F113" i="14"/>
  <c r="E113" i="14"/>
  <c r="D113" i="14"/>
  <c r="C113" i="14"/>
  <c r="B113" i="14"/>
  <c r="A113" i="14"/>
  <c r="J112" i="14"/>
  <c r="F112" i="14"/>
  <c r="E112" i="14"/>
  <c r="D112" i="14"/>
  <c r="C112" i="14"/>
  <c r="B112" i="14"/>
  <c r="A112" i="14"/>
  <c r="J111" i="14"/>
  <c r="F111" i="14"/>
  <c r="E111" i="14"/>
  <c r="D111" i="14"/>
  <c r="C111" i="14"/>
  <c r="B111" i="14"/>
  <c r="A111" i="14"/>
  <c r="J110" i="14"/>
  <c r="F110" i="14"/>
  <c r="E110" i="14"/>
  <c r="D110" i="14"/>
  <c r="C110" i="14"/>
  <c r="B110" i="14"/>
  <c r="A110" i="14"/>
  <c r="J109" i="14"/>
  <c r="F109" i="14"/>
  <c r="E109" i="14"/>
  <c r="D109" i="14"/>
  <c r="C109" i="14"/>
  <c r="B109" i="14"/>
  <c r="A109" i="14"/>
  <c r="J108" i="14"/>
  <c r="F108" i="14"/>
  <c r="E108" i="14"/>
  <c r="D108" i="14"/>
  <c r="C108" i="14"/>
  <c r="B108" i="14"/>
  <c r="A108" i="14"/>
  <c r="J107" i="14"/>
  <c r="F107" i="14"/>
  <c r="E107" i="14"/>
  <c r="D107" i="14"/>
  <c r="C107" i="14"/>
  <c r="B107" i="14"/>
  <c r="A107" i="14"/>
  <c r="C106" i="14"/>
  <c r="A106" i="14"/>
  <c r="C105" i="14"/>
  <c r="A105" i="14"/>
  <c r="J104" i="14"/>
  <c r="G104" i="14"/>
  <c r="J103" i="14"/>
  <c r="F103" i="14"/>
  <c r="E103" i="14"/>
  <c r="D103" i="14"/>
  <c r="C103" i="14"/>
  <c r="B103" i="14"/>
  <c r="A103" i="14"/>
  <c r="J102" i="14"/>
  <c r="F102" i="14"/>
  <c r="E102" i="14"/>
  <c r="D102" i="14"/>
  <c r="C102" i="14"/>
  <c r="B102" i="14"/>
  <c r="A102" i="14"/>
  <c r="J101" i="14"/>
  <c r="F101" i="14"/>
  <c r="E101" i="14"/>
  <c r="D101" i="14"/>
  <c r="C101" i="14"/>
  <c r="B101" i="14"/>
  <c r="A101" i="14"/>
  <c r="J100" i="14"/>
  <c r="F100" i="14"/>
  <c r="E100" i="14"/>
  <c r="D100" i="14"/>
  <c r="C100" i="14"/>
  <c r="B100" i="14"/>
  <c r="A100" i="14"/>
  <c r="C99" i="14"/>
  <c r="A99" i="14"/>
  <c r="J97" i="14"/>
  <c r="F97" i="14"/>
  <c r="E97" i="14"/>
  <c r="D97" i="14"/>
  <c r="C97" i="14"/>
  <c r="B97" i="14"/>
  <c r="A97" i="14"/>
  <c r="J96" i="14"/>
  <c r="F96" i="14"/>
  <c r="E96" i="14"/>
  <c r="D96" i="14"/>
  <c r="C96" i="14"/>
  <c r="B96" i="14"/>
  <c r="A96" i="14"/>
  <c r="J95" i="14"/>
  <c r="G95" i="14"/>
  <c r="F95" i="14"/>
  <c r="E95" i="14"/>
  <c r="D95" i="14"/>
  <c r="C95" i="14"/>
  <c r="B95" i="14"/>
  <c r="A95" i="14"/>
  <c r="J94" i="14"/>
  <c r="G94" i="14"/>
  <c r="F94" i="14"/>
  <c r="E94" i="14"/>
  <c r="D94" i="14"/>
  <c r="C94" i="14"/>
  <c r="B94" i="14"/>
  <c r="A94" i="14"/>
  <c r="C93" i="14"/>
  <c r="A93" i="14"/>
  <c r="J91" i="14"/>
  <c r="F91" i="14"/>
  <c r="E91" i="14"/>
  <c r="D91" i="14"/>
  <c r="C91" i="14"/>
  <c r="B91" i="14"/>
  <c r="A91" i="14"/>
  <c r="J90" i="14"/>
  <c r="F90" i="14"/>
  <c r="E90" i="14"/>
  <c r="D90" i="14"/>
  <c r="C90" i="14"/>
  <c r="B90" i="14"/>
  <c r="A90" i="14"/>
  <c r="C89" i="14"/>
  <c r="A89" i="14"/>
  <c r="J87" i="14"/>
  <c r="L87" i="14" s="1"/>
  <c r="I87" i="14"/>
  <c r="J86" i="14"/>
  <c r="F86" i="14"/>
  <c r="E86" i="14"/>
  <c r="D86" i="14"/>
  <c r="C86" i="14"/>
  <c r="B86" i="14"/>
  <c r="A86" i="14"/>
  <c r="J85" i="14"/>
  <c r="F85" i="14"/>
  <c r="E85" i="14"/>
  <c r="D85" i="14"/>
  <c r="C85" i="14"/>
  <c r="B85" i="14"/>
  <c r="A85" i="14"/>
  <c r="C84" i="14"/>
  <c r="A84" i="14"/>
  <c r="J82" i="14"/>
  <c r="L82" i="14" s="1"/>
  <c r="I82" i="14"/>
  <c r="J81" i="14"/>
  <c r="L81" i="14" s="1"/>
  <c r="I81" i="14"/>
  <c r="J80" i="14"/>
  <c r="L80" i="14" s="1"/>
  <c r="I80" i="14"/>
  <c r="J79" i="14"/>
  <c r="G79" i="14"/>
  <c r="J78" i="14"/>
  <c r="G78" i="14"/>
  <c r="I78" i="14" s="1"/>
  <c r="J77" i="14"/>
  <c r="G77" i="14"/>
  <c r="J76" i="14"/>
  <c r="G76" i="14"/>
  <c r="I76" i="14" s="1"/>
  <c r="J75" i="14"/>
  <c r="G75" i="14"/>
  <c r="J74" i="14"/>
  <c r="G74" i="14"/>
  <c r="J73" i="14"/>
  <c r="N73" i="14" s="1"/>
  <c r="F73" i="14"/>
  <c r="E73" i="14"/>
  <c r="D73" i="14"/>
  <c r="C73" i="14"/>
  <c r="B73" i="14"/>
  <c r="A73" i="14"/>
  <c r="J72" i="14"/>
  <c r="L72" i="14" s="1"/>
  <c r="F72" i="14"/>
  <c r="I72" i="14" s="1"/>
  <c r="E72" i="14"/>
  <c r="D72" i="14"/>
  <c r="C72" i="14"/>
  <c r="B72" i="14"/>
  <c r="A72" i="14"/>
  <c r="J71" i="14"/>
  <c r="L71" i="14" s="1"/>
  <c r="F71" i="14"/>
  <c r="I71" i="14" s="1"/>
  <c r="E71" i="14"/>
  <c r="D71" i="14"/>
  <c r="C71" i="14"/>
  <c r="B71" i="14"/>
  <c r="A71" i="14"/>
  <c r="J70" i="14"/>
  <c r="L70" i="14" s="1"/>
  <c r="F70" i="14"/>
  <c r="E70" i="14"/>
  <c r="D70" i="14"/>
  <c r="C70" i="14"/>
  <c r="B70" i="14"/>
  <c r="A70" i="14"/>
  <c r="J69" i="14"/>
  <c r="L69" i="14" s="1"/>
  <c r="F69" i="14"/>
  <c r="E69" i="14"/>
  <c r="D69" i="14"/>
  <c r="C69" i="14"/>
  <c r="B69" i="14"/>
  <c r="A69" i="14"/>
  <c r="J68" i="14"/>
  <c r="F68" i="14"/>
  <c r="E68" i="14"/>
  <c r="D68" i="14"/>
  <c r="C68" i="14"/>
  <c r="B68" i="14"/>
  <c r="A68" i="14"/>
  <c r="J67" i="14"/>
  <c r="F67" i="14"/>
  <c r="E67" i="14"/>
  <c r="D67" i="14"/>
  <c r="C67" i="14"/>
  <c r="B67" i="14"/>
  <c r="A67" i="14"/>
  <c r="J66" i="14"/>
  <c r="F66" i="14"/>
  <c r="E66" i="14"/>
  <c r="D66" i="14"/>
  <c r="C66" i="14"/>
  <c r="B66" i="14"/>
  <c r="A66" i="14"/>
  <c r="J65" i="14"/>
  <c r="L65" i="14" s="1"/>
  <c r="F65" i="14"/>
  <c r="E65" i="14"/>
  <c r="D65" i="14"/>
  <c r="C65" i="14"/>
  <c r="B65" i="14"/>
  <c r="A65" i="14"/>
  <c r="J64" i="14"/>
  <c r="L64" i="14" s="1"/>
  <c r="F64" i="14"/>
  <c r="I64" i="14" s="1"/>
  <c r="E64" i="14"/>
  <c r="D64" i="14"/>
  <c r="C64" i="14"/>
  <c r="B64" i="14"/>
  <c r="A64" i="14"/>
  <c r="C63" i="14"/>
  <c r="A63" i="14"/>
  <c r="C62" i="14"/>
  <c r="A62" i="14"/>
  <c r="J60" i="14"/>
  <c r="G60" i="14"/>
  <c r="J59" i="14"/>
  <c r="G59" i="14"/>
  <c r="I59" i="14" s="1"/>
  <c r="J58" i="14"/>
  <c r="G58" i="14"/>
  <c r="J57" i="14"/>
  <c r="G57" i="14"/>
  <c r="I57" i="14" s="1"/>
  <c r="J56" i="14"/>
  <c r="G56" i="14"/>
  <c r="J55" i="14"/>
  <c r="F55" i="14"/>
  <c r="E55" i="14"/>
  <c r="D55" i="14"/>
  <c r="C55" i="14"/>
  <c r="B55" i="14"/>
  <c r="A55" i="14"/>
  <c r="J54" i="14"/>
  <c r="F54" i="14"/>
  <c r="E54" i="14"/>
  <c r="D54" i="14"/>
  <c r="C54" i="14"/>
  <c r="B54" i="14"/>
  <c r="A54" i="14"/>
  <c r="J53" i="14"/>
  <c r="K53" i="14" s="1"/>
  <c r="G53" i="14"/>
  <c r="I53" i="14" s="1"/>
  <c r="E53" i="14"/>
  <c r="D53" i="14"/>
  <c r="C53" i="14"/>
  <c r="B53" i="14"/>
  <c r="A53" i="14"/>
  <c r="C52" i="14"/>
  <c r="A52" i="14"/>
  <c r="J50" i="14"/>
  <c r="F50" i="14"/>
  <c r="E50" i="14"/>
  <c r="D50" i="14"/>
  <c r="C50" i="14"/>
  <c r="B50" i="14"/>
  <c r="A50" i="14"/>
  <c r="J49" i="14"/>
  <c r="F49" i="14"/>
  <c r="E49" i="14"/>
  <c r="D49" i="14"/>
  <c r="C49" i="14"/>
  <c r="B49" i="14"/>
  <c r="A49" i="14"/>
  <c r="C48" i="14"/>
  <c r="A48" i="14"/>
  <c r="J46" i="14"/>
  <c r="G46" i="14"/>
  <c r="I46" i="14" s="1"/>
  <c r="J45" i="14"/>
  <c r="F45" i="14"/>
  <c r="E45" i="14"/>
  <c r="D45" i="14"/>
  <c r="C45" i="14"/>
  <c r="B45" i="14"/>
  <c r="A45" i="14"/>
  <c r="J44" i="14"/>
  <c r="L44" i="14" s="1"/>
  <c r="F44" i="14"/>
  <c r="K44" i="14" s="1"/>
  <c r="E44" i="14"/>
  <c r="D44" i="14"/>
  <c r="C44" i="14"/>
  <c r="B44" i="14"/>
  <c r="A44" i="14"/>
  <c r="C43" i="14"/>
  <c r="A43" i="14"/>
  <c r="J41" i="14"/>
  <c r="G41" i="14"/>
  <c r="J40" i="14"/>
  <c r="F40" i="14"/>
  <c r="E40" i="14"/>
  <c r="D40" i="14"/>
  <c r="C40" i="14"/>
  <c r="B40" i="14"/>
  <c r="A40" i="14"/>
  <c r="J39" i="14"/>
  <c r="F39" i="14"/>
  <c r="E39" i="14"/>
  <c r="D39" i="14"/>
  <c r="C39" i="14"/>
  <c r="B39" i="14"/>
  <c r="A39" i="14"/>
  <c r="J38" i="14"/>
  <c r="F38" i="14"/>
  <c r="E38" i="14"/>
  <c r="D38" i="14"/>
  <c r="C38" i="14"/>
  <c r="B38" i="14"/>
  <c r="A38" i="14"/>
  <c r="J37" i="14"/>
  <c r="F37" i="14"/>
  <c r="E37" i="14"/>
  <c r="D37" i="14"/>
  <c r="C37" i="14"/>
  <c r="B37" i="14"/>
  <c r="A37" i="14"/>
  <c r="J36" i="14"/>
  <c r="F36" i="14"/>
  <c r="E36" i="14"/>
  <c r="D36" i="14"/>
  <c r="C36" i="14"/>
  <c r="B36" i="14"/>
  <c r="A36" i="14"/>
  <c r="J35" i="14"/>
  <c r="F35" i="14"/>
  <c r="E35" i="14"/>
  <c r="D35" i="14"/>
  <c r="C35" i="14"/>
  <c r="B35" i="14"/>
  <c r="A35" i="14"/>
  <c r="J34" i="14"/>
  <c r="G34" i="14"/>
  <c r="F34" i="14"/>
  <c r="E34" i="14"/>
  <c r="D34" i="14"/>
  <c r="C34" i="14"/>
  <c r="B34" i="14"/>
  <c r="A34" i="14"/>
  <c r="J33" i="14"/>
  <c r="G33" i="14"/>
  <c r="F33" i="14"/>
  <c r="E33" i="14"/>
  <c r="D33" i="14"/>
  <c r="C33" i="14"/>
  <c r="B33" i="14"/>
  <c r="A33" i="14"/>
  <c r="J32" i="14"/>
  <c r="F32" i="14"/>
  <c r="E32" i="14"/>
  <c r="D32" i="14"/>
  <c r="C32" i="14"/>
  <c r="B32" i="14"/>
  <c r="A32" i="14"/>
  <c r="J31" i="14"/>
  <c r="F31" i="14"/>
  <c r="E31" i="14"/>
  <c r="D31" i="14"/>
  <c r="C31" i="14"/>
  <c r="B31" i="14"/>
  <c r="A31" i="14"/>
  <c r="J30" i="14"/>
  <c r="F30" i="14"/>
  <c r="E30" i="14"/>
  <c r="D30" i="14"/>
  <c r="C30" i="14"/>
  <c r="B30" i="14"/>
  <c r="A30" i="14"/>
  <c r="J29" i="14"/>
  <c r="G29" i="14"/>
  <c r="F29" i="14"/>
  <c r="E29" i="14"/>
  <c r="D29" i="14"/>
  <c r="C29" i="14"/>
  <c r="B29" i="14"/>
  <c r="A29" i="14"/>
  <c r="J28" i="14"/>
  <c r="F28" i="14"/>
  <c r="E28" i="14"/>
  <c r="D28" i="14"/>
  <c r="C28" i="14"/>
  <c r="B28" i="14"/>
  <c r="A28" i="14"/>
  <c r="J27" i="14"/>
  <c r="F27" i="14"/>
  <c r="E27" i="14"/>
  <c r="D27" i="14"/>
  <c r="C27" i="14"/>
  <c r="B27" i="14"/>
  <c r="A27" i="14"/>
  <c r="J26" i="14"/>
  <c r="F26" i="14"/>
  <c r="E26" i="14"/>
  <c r="D26" i="14"/>
  <c r="C26" i="14"/>
  <c r="B26" i="14"/>
  <c r="A26" i="14"/>
  <c r="J25" i="14"/>
  <c r="F25" i="14"/>
  <c r="E25" i="14"/>
  <c r="D25" i="14"/>
  <c r="C25" i="14"/>
  <c r="B25" i="14"/>
  <c r="A25" i="14"/>
  <c r="C24" i="14"/>
  <c r="B121" i="13" s="1"/>
  <c r="A24" i="14"/>
  <c r="J22" i="14"/>
  <c r="G22" i="14"/>
  <c r="I22" i="14" s="1"/>
  <c r="J21" i="14"/>
  <c r="G21" i="14"/>
  <c r="I21" i="14" s="1"/>
  <c r="J20" i="14"/>
  <c r="G20" i="14"/>
  <c r="J19" i="14"/>
  <c r="G19" i="14"/>
  <c r="I19" i="14" s="1"/>
  <c r="J18" i="14"/>
  <c r="G18" i="14"/>
  <c r="J17" i="14"/>
  <c r="G17" i="14"/>
  <c r="I17" i="14" s="1"/>
  <c r="J16" i="14"/>
  <c r="G16" i="14"/>
  <c r="J15" i="14"/>
  <c r="N15" i="14" s="1"/>
  <c r="G15" i="14"/>
  <c r="J14" i="14"/>
  <c r="F14" i="14"/>
  <c r="E14" i="14"/>
  <c r="D14" i="14"/>
  <c r="C14" i="14"/>
  <c r="B14" i="14"/>
  <c r="A14" i="14"/>
  <c r="J13" i="14"/>
  <c r="F13" i="14"/>
  <c r="E13" i="14"/>
  <c r="D13" i="14"/>
  <c r="C13" i="14"/>
  <c r="B13" i="14"/>
  <c r="A13" i="14"/>
  <c r="J12" i="14"/>
  <c r="F12" i="14"/>
  <c r="E12" i="14"/>
  <c r="D12" i="14"/>
  <c r="C12" i="14"/>
  <c r="B12" i="14"/>
  <c r="A12" i="14"/>
  <c r="J11" i="14"/>
  <c r="F11" i="14"/>
  <c r="E11" i="14"/>
  <c r="D11" i="14"/>
  <c r="C11" i="14"/>
  <c r="B11" i="14"/>
  <c r="A11" i="14"/>
  <c r="J10" i="14"/>
  <c r="F10" i="14"/>
  <c r="E10" i="14"/>
  <c r="D10" i="14"/>
  <c r="C10" i="14"/>
  <c r="B10" i="14"/>
  <c r="A10" i="14"/>
  <c r="C9" i="14"/>
  <c r="L75" i="14" l="1"/>
  <c r="K39" i="14"/>
  <c r="N17" i="14"/>
  <c r="K96" i="14"/>
  <c r="K141" i="14"/>
  <c r="K149" i="14"/>
  <c r="K157" i="14"/>
  <c r="K169" i="14"/>
  <c r="K177" i="14"/>
  <c r="K181" i="14"/>
  <c r="K189" i="14"/>
  <c r="K197" i="14"/>
  <c r="K108" i="14"/>
  <c r="K112" i="14"/>
  <c r="K116" i="14"/>
  <c r="K120" i="14"/>
  <c r="K124" i="14"/>
  <c r="K128" i="14"/>
  <c r="K212" i="14"/>
  <c r="N76" i="14"/>
  <c r="N78" i="14"/>
  <c r="K132" i="14"/>
  <c r="K191" i="14"/>
  <c r="K199" i="14"/>
  <c r="K187" i="14"/>
  <c r="K195" i="14"/>
  <c r="K203" i="14"/>
  <c r="K208" i="14"/>
  <c r="L137" i="13"/>
  <c r="K10" i="14"/>
  <c r="K14" i="14"/>
  <c r="K36" i="14"/>
  <c r="K40" i="14"/>
  <c r="L43" i="13"/>
  <c r="K33" i="14"/>
  <c r="K12" i="14"/>
  <c r="K27" i="14"/>
  <c r="K32" i="14"/>
  <c r="K68" i="14"/>
  <c r="N81" i="14"/>
  <c r="N87" i="14"/>
  <c r="K138" i="14"/>
  <c r="K146" i="14"/>
  <c r="K154" i="14"/>
  <c r="K166" i="14"/>
  <c r="K174" i="14"/>
  <c r="K186" i="14"/>
  <c r="K194" i="14"/>
  <c r="K202" i="14"/>
  <c r="L113" i="13"/>
  <c r="K11" i="14"/>
  <c r="L16" i="14"/>
  <c r="L20" i="14"/>
  <c r="K49" i="14"/>
  <c r="L59" i="14"/>
  <c r="K209" i="14"/>
  <c r="K26" i="14"/>
  <c r="K37" i="14"/>
  <c r="K45" i="14"/>
  <c r="L58" i="14"/>
  <c r="N64" i="14"/>
  <c r="K109" i="14"/>
  <c r="K117" i="14"/>
  <c r="K125" i="14"/>
  <c r="K133" i="14"/>
  <c r="K213" i="14"/>
  <c r="L21" i="14"/>
  <c r="K29" i="14"/>
  <c r="K13" i="14"/>
  <c r="I34" i="14"/>
  <c r="N34" i="14" s="1"/>
  <c r="K107" i="14"/>
  <c r="K115" i="14"/>
  <c r="K123" i="14"/>
  <c r="K182" i="14"/>
  <c r="J61" i="11"/>
  <c r="J62" i="11"/>
  <c r="K62" i="11"/>
  <c r="K63" i="11"/>
  <c r="J60" i="11"/>
  <c r="K60" i="11"/>
  <c r="I18" i="14"/>
  <c r="N18" i="14" s="1"/>
  <c r="N19" i="14"/>
  <c r="K25" i="14"/>
  <c r="K69" i="14"/>
  <c r="K70" i="14"/>
  <c r="K113" i="14"/>
  <c r="K121" i="14"/>
  <c r="K129" i="14"/>
  <c r="K140" i="14"/>
  <c r="K148" i="14"/>
  <c r="K156" i="14"/>
  <c r="K168" i="14"/>
  <c r="K176" i="14"/>
  <c r="K188" i="14"/>
  <c r="K196" i="14"/>
  <c r="K204" i="14"/>
  <c r="K220" i="14"/>
  <c r="K232" i="14"/>
  <c r="I58" i="14"/>
  <c r="N58" i="14" s="1"/>
  <c r="N69" i="14"/>
  <c r="K119" i="14"/>
  <c r="K111" i="14"/>
  <c r="L33" i="14"/>
  <c r="L34" i="14"/>
  <c r="N70" i="14"/>
  <c r="K95" i="14"/>
  <c r="K100" i="14"/>
  <c r="K110" i="14"/>
  <c r="K118" i="14"/>
  <c r="K126" i="14"/>
  <c r="K134" i="14"/>
  <c r="K137" i="14"/>
  <c r="K145" i="14"/>
  <c r="K153" i="14"/>
  <c r="K165" i="14"/>
  <c r="K173" i="14"/>
  <c r="K185" i="14"/>
  <c r="K193" i="14"/>
  <c r="K201" i="14"/>
  <c r="K217" i="14"/>
  <c r="K225" i="14"/>
  <c r="K127" i="14"/>
  <c r="I29" i="14"/>
  <c r="K31" i="14"/>
  <c r="L46" i="14"/>
  <c r="K50" i="14"/>
  <c r="N53" i="14"/>
  <c r="N59" i="14"/>
  <c r="K64" i="14"/>
  <c r="K72" i="14"/>
  <c r="L74" i="14"/>
  <c r="L94" i="14"/>
  <c r="I95" i="14"/>
  <c r="N95" i="14" s="1"/>
  <c r="K184" i="14"/>
  <c r="K192" i="14"/>
  <c r="K200" i="14"/>
  <c r="K216" i="14"/>
  <c r="K224" i="14"/>
  <c r="K28" i="14"/>
  <c r="L29" i="14"/>
  <c r="K34" i="14"/>
  <c r="L56" i="14"/>
  <c r="K143" i="14"/>
  <c r="K183" i="14"/>
  <c r="K131" i="14"/>
  <c r="K190" i="14"/>
  <c r="K198" i="14"/>
  <c r="K211" i="14"/>
  <c r="L60" i="14"/>
  <c r="I75" i="14"/>
  <c r="N75" i="14" s="1"/>
  <c r="N82" i="14"/>
  <c r="K86" i="14"/>
  <c r="K114" i="14"/>
  <c r="K122" i="14"/>
  <c r="K130" i="14"/>
  <c r="K205" i="14"/>
  <c r="K210" i="14"/>
  <c r="J63" i="11"/>
  <c r="L220" i="15"/>
  <c r="L151" i="13"/>
  <c r="L161" i="13"/>
  <c r="L123" i="13"/>
  <c r="L93" i="13"/>
  <c r="L105" i="13"/>
  <c r="L71" i="13"/>
  <c r="K25" i="11"/>
  <c r="J64" i="11"/>
  <c r="K61" i="11"/>
  <c r="K64" i="11"/>
  <c r="J25" i="11"/>
  <c r="K27" i="11"/>
  <c r="I16" i="14"/>
  <c r="N16" i="14" s="1"/>
  <c r="L53" i="14"/>
  <c r="I74" i="14"/>
  <c r="N74" i="14" s="1"/>
  <c r="L76" i="14"/>
  <c r="N80" i="14"/>
  <c r="L18" i="14"/>
  <c r="K30" i="14"/>
  <c r="K35" i="14"/>
  <c r="N57" i="14"/>
  <c r="K67" i="14"/>
  <c r="K71" i="14"/>
  <c r="K91" i="14"/>
  <c r="K103" i="14"/>
  <c r="K144" i="14"/>
  <c r="K152" i="14"/>
  <c r="K160" i="14"/>
  <c r="K164" i="14"/>
  <c r="K172" i="14"/>
  <c r="K223" i="14"/>
  <c r="N21" i="14"/>
  <c r="N46" i="14"/>
  <c r="K65" i="14"/>
  <c r="K66" i="14"/>
  <c r="N71" i="14"/>
  <c r="N72" i="14"/>
  <c r="L77" i="14"/>
  <c r="K90" i="14"/>
  <c r="K94" i="14"/>
  <c r="K102" i="14"/>
  <c r="K151" i="14"/>
  <c r="K159" i="14"/>
  <c r="K163" i="14"/>
  <c r="K171" i="14"/>
  <c r="K222" i="14"/>
  <c r="K234" i="14"/>
  <c r="L17" i="14"/>
  <c r="K73" i="14"/>
  <c r="K97" i="14"/>
  <c r="K101" i="14"/>
  <c r="L104" i="14"/>
  <c r="K142" i="14"/>
  <c r="K150" i="14"/>
  <c r="K158" i="14"/>
  <c r="K170" i="14"/>
  <c r="K178" i="14"/>
  <c r="K221" i="14"/>
  <c r="K233" i="14"/>
  <c r="L15" i="14"/>
  <c r="N22" i="14"/>
  <c r="K55" i="14"/>
  <c r="I60" i="14"/>
  <c r="N60" i="14" s="1"/>
  <c r="L73" i="14"/>
  <c r="L78" i="14"/>
  <c r="K219" i="14"/>
  <c r="K227" i="14"/>
  <c r="K231" i="14"/>
  <c r="L19" i="14"/>
  <c r="K38" i="14"/>
  <c r="L41" i="14"/>
  <c r="K54" i="14"/>
  <c r="L79" i="14"/>
  <c r="K85" i="14"/>
  <c r="K139" i="14"/>
  <c r="K147" i="14"/>
  <c r="K155" i="14"/>
  <c r="K167" i="14"/>
  <c r="K175" i="14"/>
  <c r="K218" i="14"/>
  <c r="K226" i="14"/>
  <c r="K230" i="14"/>
  <c r="I44" i="14"/>
  <c r="I104" i="14"/>
  <c r="N104" i="14" s="1"/>
  <c r="I20" i="14"/>
  <c r="N20" i="14" s="1"/>
  <c r="I33" i="14"/>
  <c r="I77" i="14"/>
  <c r="N77" i="14" s="1"/>
  <c r="L57" i="14"/>
  <c r="I65" i="14"/>
  <c r="N65" i="14" s="1"/>
  <c r="I41" i="14"/>
  <c r="N41" i="14" s="1"/>
  <c r="I56" i="14"/>
  <c r="N56" i="14" s="1"/>
  <c r="I79" i="14"/>
  <c r="N79" i="14" s="1"/>
  <c r="L95" i="14"/>
  <c r="L22" i="14"/>
  <c r="I94" i="14"/>
  <c r="N94" i="14" s="1"/>
  <c r="K50" i="11" l="1"/>
  <c r="L50" i="11" s="1"/>
  <c r="K51" i="11"/>
  <c r="L51" i="11" s="1"/>
  <c r="K235" i="14"/>
  <c r="J50" i="11"/>
  <c r="L60" i="11"/>
  <c r="K28" i="11"/>
  <c r="L28" i="11" s="1"/>
  <c r="J28" i="11"/>
  <c r="L25" i="11"/>
  <c r="J27" i="11"/>
  <c r="L62" i="11"/>
  <c r="L235" i="14"/>
  <c r="L61" i="11"/>
  <c r="N29" i="14"/>
  <c r="L63" i="11"/>
  <c r="N33" i="14"/>
  <c r="L64" i="11"/>
  <c r="N44" i="14"/>
  <c r="L27" i="11"/>
  <c r="J26" i="11"/>
  <c r="K26" i="11"/>
  <c r="N235" i="14" l="1"/>
  <c r="L26" i="11"/>
  <c r="L627" i="13" l="1"/>
  <c r="L628" i="13"/>
  <c r="L626" i="13"/>
  <c r="L420" i="13"/>
  <c r="L421" i="13"/>
  <c r="L422" i="13"/>
  <c r="L423" i="13"/>
  <c r="L424" i="13"/>
  <c r="L425" i="13"/>
  <c r="L426" i="13"/>
  <c r="L427" i="13"/>
  <c r="L428" i="13"/>
  <c r="L429" i="13"/>
  <c r="L430" i="13"/>
  <c r="L431" i="13"/>
  <c r="L432" i="13"/>
  <c r="L433" i="13"/>
  <c r="L434" i="13"/>
  <c r="L435" i="13"/>
  <c r="L436" i="13"/>
  <c r="L437" i="13"/>
  <c r="L438" i="13"/>
  <c r="L419" i="13"/>
  <c r="K344" i="13"/>
  <c r="L344" i="13" s="1"/>
  <c r="K343" i="13"/>
  <c r="L343" i="13" s="1"/>
  <c r="K342" i="13"/>
  <c r="L342" i="13" s="1"/>
  <c r="K341" i="13"/>
  <c r="L341" i="13" s="1"/>
  <c r="K337" i="13"/>
  <c r="L337" i="13" s="1"/>
  <c r="K377" i="13"/>
  <c r="L377" i="13" s="1"/>
  <c r="K376" i="13"/>
  <c r="L376" i="13" s="1"/>
  <c r="K375" i="13"/>
  <c r="L375" i="13" s="1"/>
  <c r="K374" i="13"/>
  <c r="L374" i="13" s="1"/>
  <c r="K373" i="13"/>
  <c r="L373" i="13" s="1"/>
  <c r="K372" i="13"/>
  <c r="L372" i="13" s="1"/>
  <c r="K371" i="13"/>
  <c r="L371" i="13" s="1"/>
  <c r="K370" i="13"/>
  <c r="L370" i="13" s="1"/>
  <c r="K369" i="13"/>
  <c r="L369" i="13" s="1"/>
  <c r="K368" i="13"/>
  <c r="L368" i="13" s="1"/>
  <c r="K367" i="13"/>
  <c r="L367" i="13" s="1"/>
  <c r="K366" i="13"/>
  <c r="L366" i="13" s="1"/>
  <c r="K365" i="13"/>
  <c r="L365" i="13" s="1"/>
  <c r="K364" i="13"/>
  <c r="L364" i="13" s="1"/>
  <c r="K363" i="13"/>
  <c r="L363" i="13" s="1"/>
  <c r="K362" i="13"/>
  <c r="L362" i="13" s="1"/>
  <c r="K361" i="13"/>
  <c r="L361" i="13" s="1"/>
  <c r="K360" i="13"/>
  <c r="L360" i="13" s="1"/>
  <c r="K359" i="13"/>
  <c r="L359" i="13" s="1"/>
  <c r="K358" i="13"/>
  <c r="L358" i="13" s="1"/>
  <c r="K357" i="13"/>
  <c r="L357" i="13" s="1"/>
  <c r="K356" i="13"/>
  <c r="L356" i="13" s="1"/>
  <c r="K355" i="13"/>
  <c r="L355" i="13" s="1"/>
  <c r="K354" i="13"/>
  <c r="L354" i="13" s="1"/>
  <c r="K353" i="13"/>
  <c r="L353" i="13" s="1"/>
  <c r="L600" i="13"/>
  <c r="L601" i="13"/>
  <c r="L602" i="13"/>
  <c r="L603" i="13"/>
  <c r="L604" i="13"/>
  <c r="L605" i="13"/>
  <c r="L606" i="13"/>
  <c r="L607" i="13"/>
  <c r="L608" i="13"/>
  <c r="L609" i="13"/>
  <c r="L610" i="13"/>
  <c r="L611" i="13"/>
  <c r="L612" i="13"/>
  <c r="L613" i="13"/>
  <c r="L614" i="13"/>
  <c r="L615" i="13"/>
  <c r="L616" i="13"/>
  <c r="L617" i="13"/>
  <c r="L618" i="13"/>
  <c r="L619" i="13"/>
  <c r="L620" i="13"/>
  <c r="L621" i="13"/>
  <c r="L622" i="13"/>
  <c r="L599" i="13"/>
  <c r="L566" i="13"/>
  <c r="L567" i="13"/>
  <c r="L568" i="13"/>
  <c r="L569" i="13"/>
  <c r="L570" i="13"/>
  <c r="L571" i="13"/>
  <c r="L572" i="13"/>
  <c r="L573" i="13"/>
  <c r="L574" i="13"/>
  <c r="L575" i="13"/>
  <c r="L576" i="13"/>
  <c r="L577" i="13"/>
  <c r="L578" i="13"/>
  <c r="L579" i="13"/>
  <c r="L580" i="13"/>
  <c r="L581" i="13"/>
  <c r="L582" i="13"/>
  <c r="L583" i="13"/>
  <c r="L584" i="13"/>
  <c r="L585" i="13"/>
  <c r="L586" i="13"/>
  <c r="L565" i="13"/>
  <c r="L543" i="13"/>
  <c r="L542" i="13"/>
  <c r="L541" i="13"/>
  <c r="L540" i="13"/>
  <c r="L539" i="13"/>
  <c r="L538" i="13"/>
  <c r="L537" i="13"/>
  <c r="L536" i="13"/>
  <c r="L535" i="13"/>
  <c r="L534" i="13"/>
  <c r="L533" i="13"/>
  <c r="L532" i="13"/>
  <c r="L531" i="13"/>
  <c r="L530" i="13"/>
  <c r="L529" i="13"/>
  <c r="L528" i="13"/>
  <c r="L527" i="13"/>
  <c r="L526" i="13"/>
  <c r="L525" i="13"/>
  <c r="L524" i="13"/>
  <c r="L523" i="13"/>
  <c r="L522" i="13"/>
  <c r="L521" i="13"/>
  <c r="L520" i="13"/>
  <c r="L519" i="13"/>
  <c r="L486" i="13"/>
  <c r="L487" i="13"/>
  <c r="L488" i="13"/>
  <c r="L489" i="13"/>
  <c r="L490" i="13"/>
  <c r="L491" i="13"/>
  <c r="L492" i="13"/>
  <c r="L493" i="13"/>
  <c r="L494" i="13"/>
  <c r="L495" i="13"/>
  <c r="L496" i="13"/>
  <c r="L497" i="13"/>
  <c r="L498" i="13"/>
  <c r="L499" i="13"/>
  <c r="L500" i="13"/>
  <c r="L501" i="13"/>
  <c r="L502" i="13"/>
  <c r="L503" i="13"/>
  <c r="L504" i="13"/>
  <c r="L505" i="13"/>
  <c r="L506" i="13"/>
  <c r="L485" i="13"/>
  <c r="L451" i="13"/>
  <c r="L452" i="13"/>
  <c r="L453" i="13"/>
  <c r="L454" i="13"/>
  <c r="L455" i="13"/>
  <c r="L456" i="13"/>
  <c r="L457" i="13"/>
  <c r="L458" i="13"/>
  <c r="L459" i="13"/>
  <c r="L460" i="13"/>
  <c r="L461" i="13"/>
  <c r="L462" i="13"/>
  <c r="L463" i="13"/>
  <c r="L464" i="13"/>
  <c r="L465" i="13"/>
  <c r="L466" i="13"/>
  <c r="L467" i="13"/>
  <c r="L468" i="13"/>
  <c r="L469" i="13"/>
  <c r="L470" i="13"/>
  <c r="L471" i="13"/>
  <c r="L472" i="13"/>
  <c r="L473" i="13"/>
  <c r="L450" i="13"/>
  <c r="L392" i="13"/>
  <c r="L393" i="13"/>
  <c r="L394" i="13"/>
  <c r="L395" i="13"/>
  <c r="L396" i="13"/>
  <c r="L397" i="13"/>
  <c r="L398" i="13"/>
  <c r="L399" i="13"/>
  <c r="L400" i="13"/>
  <c r="L401" i="13"/>
  <c r="L402" i="13"/>
  <c r="L403" i="13"/>
  <c r="L404" i="13"/>
  <c r="L405" i="13"/>
  <c r="L406" i="13"/>
  <c r="L407" i="13"/>
  <c r="L408" i="13"/>
  <c r="L409" i="13"/>
  <c r="L410" i="13"/>
  <c r="L411" i="13"/>
  <c r="L412" i="13"/>
  <c r="L413" i="13"/>
  <c r="L414" i="13"/>
  <c r="L415" i="13"/>
  <c r="L391" i="13"/>
  <c r="L625" i="13" l="1"/>
  <c r="L418" i="13"/>
  <c r="L340" i="13"/>
  <c r="L350" i="13"/>
  <c r="L352" i="13" s="1"/>
  <c r="L598" i="13"/>
  <c r="L484" i="13"/>
  <c r="L449" i="13"/>
  <c r="L518" i="13"/>
  <c r="L564" i="13"/>
  <c r="L390" i="13"/>
  <c r="B380" i="13"/>
  <c r="B347" i="13" l="1"/>
  <c r="K336" i="13"/>
  <c r="L336" i="13" s="1"/>
  <c r="K17" i="13"/>
  <c r="L17" i="13" s="1"/>
  <c r="K18" i="13"/>
  <c r="L18" i="13" s="1"/>
  <c r="K19" i="13"/>
  <c r="L19" i="13" s="1"/>
  <c r="K20" i="13"/>
  <c r="L20" i="13" s="1"/>
  <c r="K21" i="13"/>
  <c r="L21" i="13" s="1"/>
  <c r="K22" i="13"/>
  <c r="L22" i="13" s="1"/>
  <c r="K23" i="13"/>
  <c r="L23" i="13" s="1"/>
  <c r="K24" i="13"/>
  <c r="L24" i="13" s="1"/>
  <c r="K25" i="13"/>
  <c r="L25" i="13" s="1"/>
  <c r="K26" i="13"/>
  <c r="L26" i="13" s="1"/>
  <c r="K27" i="13"/>
  <c r="L27" i="13" s="1"/>
  <c r="K28" i="13"/>
  <c r="L28" i="13" s="1"/>
  <c r="K29" i="13"/>
  <c r="L29" i="13" s="1"/>
  <c r="K30" i="13"/>
  <c r="L30" i="13" s="1"/>
  <c r="K31" i="13"/>
  <c r="L31" i="13" s="1"/>
  <c r="K32" i="13"/>
  <c r="L32" i="13" s="1"/>
  <c r="K33" i="13"/>
  <c r="L33" i="13" s="1"/>
  <c r="K34" i="13"/>
  <c r="L34" i="13" s="1"/>
  <c r="K35" i="13"/>
  <c r="L35" i="13" s="1"/>
  <c r="K36" i="13"/>
  <c r="L36" i="13" s="1"/>
  <c r="K37" i="13"/>
  <c r="L37" i="13" s="1"/>
  <c r="K38" i="13"/>
  <c r="L38" i="13" s="1"/>
  <c r="K39" i="13"/>
  <c r="L39" i="13" s="1"/>
  <c r="K40" i="13"/>
  <c r="L40" i="13" s="1"/>
  <c r="K16" i="13"/>
  <c r="L16" i="13" l="1"/>
  <c r="L13" i="13" s="1"/>
  <c r="L15" i="13" s="1"/>
  <c r="K335" i="13" l="1"/>
  <c r="L335" i="13" s="1"/>
  <c r="K334" i="13"/>
  <c r="L334" i="13" l="1"/>
  <c r="B330" i="13"/>
  <c r="L333" i="13" l="1"/>
  <c r="A123" i="13" l="1"/>
  <c r="A191" i="15"/>
  <c r="A330" i="13"/>
  <c r="A332" i="13"/>
  <c r="A347" i="13"/>
  <c r="A348" i="13"/>
  <c r="A381" i="13"/>
  <c r="A385" i="13"/>
  <c r="A389" i="13"/>
  <c r="A417" i="13"/>
  <c r="A440" i="13"/>
  <c r="A444" i="13"/>
  <c r="A448" i="13"/>
  <c r="A475" i="13"/>
  <c r="A479" i="13"/>
  <c r="A483" i="13"/>
  <c r="A509" i="13"/>
  <c r="A513" i="13"/>
  <c r="A517" i="13"/>
  <c r="A545" i="13"/>
  <c r="A549" i="13"/>
  <c r="A553" i="13"/>
  <c r="A558" i="13"/>
  <c r="A563" i="13"/>
  <c r="A588" i="13"/>
  <c r="A592" i="13"/>
  <c r="A597" i="13"/>
  <c r="A624" i="13"/>
  <c r="B12" i="13"/>
  <c r="B381" i="13"/>
  <c r="B385" i="13"/>
  <c r="B389" i="13"/>
  <c r="B417" i="13"/>
  <c r="B440" i="13"/>
  <c r="B448" i="13"/>
  <c r="B475" i="13"/>
  <c r="B483" i="13"/>
  <c r="B509" i="13"/>
  <c r="B513" i="13"/>
  <c r="B517" i="13"/>
  <c r="B545" i="13"/>
  <c r="B549" i="13"/>
  <c r="B553" i="13"/>
  <c r="B558" i="13"/>
  <c r="B563" i="13"/>
  <c r="B588" i="13"/>
  <c r="B592" i="13"/>
  <c r="B597" i="13"/>
  <c r="B624" i="13"/>
  <c r="B339" i="13" l="1"/>
  <c r="B123" i="13"/>
  <c r="B137" i="13"/>
  <c r="B332" i="13"/>
  <c r="B161" i="13"/>
  <c r="B178" i="15"/>
  <c r="B151" i="13"/>
  <c r="B191" i="15"/>
  <c r="B348" i="13"/>
  <c r="B479" i="13"/>
  <c r="B444" i="13"/>
  <c r="J153" i="11"/>
  <c r="K153" i="11"/>
  <c r="L153" i="11" s="1"/>
  <c r="J102" i="11"/>
  <c r="K102" i="11"/>
  <c r="H135" i="3"/>
  <c r="H84" i="3"/>
  <c r="H72" i="3"/>
  <c r="L13" i="3"/>
  <c r="G13" i="3" s="1"/>
  <c r="L14" i="3"/>
  <c r="G14" i="3" s="1"/>
  <c r="L15" i="3"/>
  <c r="G15" i="3" s="1"/>
  <c r="L16" i="3"/>
  <c r="G16" i="3" s="1"/>
  <c r="L17" i="3"/>
  <c r="L18" i="3"/>
  <c r="L19" i="3"/>
  <c r="G19" i="3" s="1"/>
  <c r="L20" i="3"/>
  <c r="G20" i="3" s="1"/>
  <c r="L21" i="3"/>
  <c r="G21" i="3" s="1"/>
  <c r="L22" i="3"/>
  <c r="G22" i="3" s="1"/>
  <c r="L23" i="3"/>
  <c r="G23" i="3" s="1"/>
  <c r="L24" i="3"/>
  <c r="G24" i="3" s="1"/>
  <c r="L25" i="3"/>
  <c r="G25" i="3" s="1"/>
  <c r="L26" i="3"/>
  <c r="G26" i="3" s="1"/>
  <c r="L27" i="3"/>
  <c r="G27" i="3" s="1"/>
  <c r="L28" i="3"/>
  <c r="G28" i="3" s="1"/>
  <c r="L29" i="3"/>
  <c r="G29" i="3" s="1"/>
  <c r="L30" i="3"/>
  <c r="G30" i="3" s="1"/>
  <c r="L31" i="3"/>
  <c r="G31" i="3" s="1"/>
  <c r="L32" i="3"/>
  <c r="G32" i="3" s="1"/>
  <c r="L33" i="3"/>
  <c r="G33" i="3" s="1"/>
  <c r="L34" i="3"/>
  <c r="G34" i="3" s="1"/>
  <c r="L35" i="3"/>
  <c r="L36" i="3"/>
  <c r="L37" i="3"/>
  <c r="G37" i="3" s="1"/>
  <c r="L38" i="3"/>
  <c r="G38" i="3" s="1"/>
  <c r="L39" i="3"/>
  <c r="L40" i="3"/>
  <c r="L41" i="3"/>
  <c r="G41" i="3" s="1"/>
  <c r="L42" i="3"/>
  <c r="G42" i="3" s="1"/>
  <c r="L43" i="3"/>
  <c r="L44" i="3"/>
  <c r="L45" i="3"/>
  <c r="G45" i="3" s="1"/>
  <c r="L46" i="3"/>
  <c r="G46" i="3" s="1"/>
  <c r="L47" i="3"/>
  <c r="G47" i="3" s="1"/>
  <c r="L48" i="3"/>
  <c r="L49" i="3"/>
  <c r="L50" i="3"/>
  <c r="L51" i="3"/>
  <c r="G51" i="3" s="1"/>
  <c r="L52" i="3"/>
  <c r="G52" i="3" s="1"/>
  <c r="L53" i="3"/>
  <c r="G53" i="3" s="1"/>
  <c r="L54" i="3"/>
  <c r="G54" i="3" s="1"/>
  <c r="L55" i="3"/>
  <c r="G55" i="3" s="1"/>
  <c r="L56" i="3"/>
  <c r="G56" i="3" s="1"/>
  <c r="L57" i="3"/>
  <c r="G57" i="3" s="1"/>
  <c r="L58" i="3"/>
  <c r="G58" i="3" s="1"/>
  <c r="L59" i="3"/>
  <c r="G59" i="3" s="1"/>
  <c r="L60" i="3"/>
  <c r="G60" i="3" s="1"/>
  <c r="L61" i="3"/>
  <c r="L62" i="3"/>
  <c r="L63" i="3"/>
  <c r="G63" i="3" s="1"/>
  <c r="L64" i="3"/>
  <c r="G64" i="3" s="1"/>
  <c r="L65" i="3"/>
  <c r="L66" i="3"/>
  <c r="L67" i="3"/>
  <c r="G67" i="3" s="1"/>
  <c r="L68" i="3"/>
  <c r="G68" i="3" s="1"/>
  <c r="L69" i="3"/>
  <c r="L70" i="3"/>
  <c r="L71" i="3"/>
  <c r="G71" i="3" s="1"/>
  <c r="L72" i="3"/>
  <c r="L73" i="3"/>
  <c r="G73" i="3" s="1"/>
  <c r="L74" i="3"/>
  <c r="G74" i="3" s="1"/>
  <c r="L75" i="3"/>
  <c r="L76" i="3"/>
  <c r="L77" i="3"/>
  <c r="G77" i="3" s="1"/>
  <c r="L78" i="3"/>
  <c r="G78" i="3" s="1"/>
  <c r="L79" i="3"/>
  <c r="G79" i="3" s="1"/>
  <c r="L80" i="3"/>
  <c r="G80" i="3" s="1"/>
  <c r="L81" i="3"/>
  <c r="L82" i="3"/>
  <c r="L83" i="3"/>
  <c r="L84" i="3"/>
  <c r="L85" i="3"/>
  <c r="G85" i="3" s="1"/>
  <c r="L86" i="3"/>
  <c r="G86" i="3" s="1"/>
  <c r="L87" i="3"/>
  <c r="G87" i="3" s="1"/>
  <c r="L88" i="3"/>
  <c r="G88" i="3" s="1"/>
  <c r="L89" i="3"/>
  <c r="G89" i="3" s="1"/>
  <c r="L90" i="3"/>
  <c r="G90" i="3" s="1"/>
  <c r="L91" i="3"/>
  <c r="G91" i="3" s="1"/>
  <c r="L92" i="3"/>
  <c r="G92" i="3" s="1"/>
  <c r="L93" i="3"/>
  <c r="G93" i="3" s="1"/>
  <c r="L94" i="3"/>
  <c r="G94" i="3" s="1"/>
  <c r="L95" i="3"/>
  <c r="G95" i="3" s="1"/>
  <c r="L96" i="3"/>
  <c r="G96" i="3" s="1"/>
  <c r="L97" i="3"/>
  <c r="G97" i="3" s="1"/>
  <c r="L98" i="3"/>
  <c r="G98" i="3" s="1"/>
  <c r="L99" i="3"/>
  <c r="G99" i="3" s="1"/>
  <c r="L100" i="3"/>
  <c r="G100" i="3" s="1"/>
  <c r="L101" i="3"/>
  <c r="G101" i="3" s="1"/>
  <c r="L102" i="3"/>
  <c r="G102" i="3" s="1"/>
  <c r="L103" i="3"/>
  <c r="G103" i="3" s="1"/>
  <c r="L104" i="3"/>
  <c r="G104" i="3" s="1"/>
  <c r="L105" i="3"/>
  <c r="G105" i="3" s="1"/>
  <c r="L106" i="3"/>
  <c r="G106" i="3" s="1"/>
  <c r="L107" i="3"/>
  <c r="G107" i="3" s="1"/>
  <c r="L108" i="3"/>
  <c r="G108" i="3" s="1"/>
  <c r="L109" i="3"/>
  <c r="G109" i="3" s="1"/>
  <c r="L110" i="3"/>
  <c r="G110" i="3" s="1"/>
  <c r="L111" i="3"/>
  <c r="G111" i="3" s="1"/>
  <c r="L112" i="3"/>
  <c r="L113" i="3"/>
  <c r="L114" i="3"/>
  <c r="G114" i="3" s="1"/>
  <c r="L115" i="3"/>
  <c r="G115" i="3" s="1"/>
  <c r="L116" i="3"/>
  <c r="G116" i="3" s="1"/>
  <c r="L117" i="3"/>
  <c r="G117" i="3" s="1"/>
  <c r="L118" i="3"/>
  <c r="G118" i="3" s="1"/>
  <c r="L119" i="3"/>
  <c r="G119" i="3" s="1"/>
  <c r="L120" i="3"/>
  <c r="G120" i="3" s="1"/>
  <c r="L121" i="3"/>
  <c r="G121" i="3" s="1"/>
  <c r="L122" i="3"/>
  <c r="G122" i="3" s="1"/>
  <c r="L123" i="3"/>
  <c r="G123" i="3" s="1"/>
  <c r="L124" i="3"/>
  <c r="G124" i="3" s="1"/>
  <c r="L125" i="3"/>
  <c r="G125" i="3" s="1"/>
  <c r="L126" i="3"/>
  <c r="G126" i="3" s="1"/>
  <c r="L127" i="3"/>
  <c r="G127" i="3" s="1"/>
  <c r="L128" i="3"/>
  <c r="G128" i="3" s="1"/>
  <c r="L129" i="3"/>
  <c r="G129" i="3" s="1"/>
  <c r="L130" i="3"/>
  <c r="G130" i="3" s="1"/>
  <c r="L131" i="3"/>
  <c r="G131" i="3" s="1"/>
  <c r="L132" i="3"/>
  <c r="G132" i="3" s="1"/>
  <c r="L133" i="3"/>
  <c r="G133" i="3" s="1"/>
  <c r="L134" i="3"/>
  <c r="G134" i="3" s="1"/>
  <c r="L135" i="3"/>
  <c r="L136" i="3"/>
  <c r="G136" i="3" s="1"/>
  <c r="L137" i="3"/>
  <c r="G137" i="3" s="1"/>
  <c r="L138" i="3"/>
  <c r="L139" i="3"/>
  <c r="L140" i="3"/>
  <c r="G140" i="3" s="1"/>
  <c r="L141" i="3"/>
  <c r="G141" i="3" s="1"/>
  <c r="L142" i="3"/>
  <c r="G142" i="3" s="1"/>
  <c r="L143" i="3"/>
  <c r="G143" i="3" s="1"/>
  <c r="L144" i="3"/>
  <c r="G144" i="3" s="1"/>
  <c r="L145" i="3"/>
  <c r="G145" i="3" s="1"/>
  <c r="L146" i="3"/>
  <c r="G146" i="3" s="1"/>
  <c r="L147" i="3"/>
  <c r="G147" i="3" s="1"/>
  <c r="L148" i="3"/>
  <c r="G148" i="3" s="1"/>
  <c r="L149" i="3"/>
  <c r="G149" i="3" s="1"/>
  <c r="L150" i="3"/>
  <c r="G150" i="3" s="1"/>
  <c r="L151" i="3"/>
  <c r="G151" i="3" s="1"/>
  <c r="L152" i="3"/>
  <c r="G152" i="3" s="1"/>
  <c r="L153" i="3"/>
  <c r="G153" i="3" s="1"/>
  <c r="L154" i="3"/>
  <c r="G154" i="3" s="1"/>
  <c r="L155" i="3"/>
  <c r="G155" i="3" s="1"/>
  <c r="L156" i="3"/>
  <c r="L157" i="3"/>
  <c r="L158" i="3"/>
  <c r="G158" i="3" s="1"/>
  <c r="L159" i="3"/>
  <c r="G159" i="3" s="1"/>
  <c r="L160" i="3"/>
  <c r="G160" i="3" s="1"/>
  <c r="L161" i="3"/>
  <c r="G161" i="3" s="1"/>
  <c r="L162" i="3"/>
  <c r="G162" i="3" s="1"/>
  <c r="L163" i="3"/>
  <c r="G163" i="3" s="1"/>
  <c r="L164" i="3"/>
  <c r="G164" i="3" s="1"/>
  <c r="L165" i="3"/>
  <c r="G165" i="3" s="1"/>
  <c r="L166" i="3"/>
  <c r="G166" i="3" s="1"/>
  <c r="L167" i="3"/>
  <c r="G167" i="3" s="1"/>
  <c r="L168" i="3"/>
  <c r="G168" i="3" s="1"/>
  <c r="L169" i="3"/>
  <c r="G169" i="3" s="1"/>
  <c r="L170" i="3"/>
  <c r="G170" i="3" s="1"/>
  <c r="L171" i="3"/>
  <c r="G171" i="3" s="1"/>
  <c r="L172" i="3"/>
  <c r="G172" i="3" s="1"/>
  <c r="L173" i="3"/>
  <c r="G173" i="3" s="1"/>
  <c r="L174" i="3"/>
  <c r="G174" i="3" s="1"/>
  <c r="L175" i="3"/>
  <c r="G175" i="3" s="1"/>
  <c r="L176" i="3"/>
  <c r="G176" i="3" s="1"/>
  <c r="L177" i="3"/>
  <c r="G177" i="3" s="1"/>
  <c r="L178" i="3"/>
  <c r="G178" i="3" s="1"/>
  <c r="L179" i="3"/>
  <c r="G179" i="3" s="1"/>
  <c r="L180" i="3"/>
  <c r="G180" i="3" s="1"/>
  <c r="L181" i="3"/>
  <c r="G181" i="3" s="1"/>
  <c r="L182" i="3"/>
  <c r="G182" i="3" s="1"/>
  <c r="L183" i="3"/>
  <c r="L184" i="3"/>
  <c r="L185" i="3"/>
  <c r="G185" i="3" s="1"/>
  <c r="L186" i="3"/>
  <c r="G186" i="3" s="1"/>
  <c r="L187" i="3"/>
  <c r="G187" i="3" s="1"/>
  <c r="L188" i="3"/>
  <c r="G188" i="3" s="1"/>
  <c r="L189" i="3"/>
  <c r="G189" i="3" s="1"/>
  <c r="L190" i="3"/>
  <c r="G190" i="3" s="1"/>
  <c r="L191" i="3"/>
  <c r="L192" i="3"/>
  <c r="L193" i="3"/>
  <c r="G193" i="3" s="1"/>
  <c r="L194" i="3"/>
  <c r="G194" i="3" s="1"/>
  <c r="L195" i="3"/>
  <c r="G195" i="3" s="1"/>
  <c r="L196" i="3"/>
  <c r="G196" i="3" s="1"/>
  <c r="L197" i="3"/>
  <c r="G197" i="3" s="1"/>
  <c r="L198" i="3"/>
  <c r="G198" i="3" s="1"/>
  <c r="L199" i="3"/>
  <c r="G199" i="3" s="1"/>
  <c r="L200" i="3"/>
  <c r="G200" i="3" s="1"/>
  <c r="L201" i="3"/>
  <c r="G201" i="3" s="1"/>
  <c r="L202" i="3"/>
  <c r="G202" i="3" s="1"/>
  <c r="L203" i="3"/>
  <c r="G203" i="3" s="1"/>
  <c r="L204" i="3"/>
  <c r="G204" i="3" s="1"/>
  <c r="L205" i="3"/>
  <c r="L206" i="3"/>
  <c r="L207" i="3"/>
  <c r="G207" i="3" s="1"/>
  <c r="L208" i="3"/>
  <c r="G208" i="3" s="1"/>
  <c r="L209" i="3"/>
  <c r="G209" i="3" s="1"/>
  <c r="L210" i="3"/>
  <c r="G210" i="3" s="1"/>
  <c r="L211" i="3"/>
  <c r="G211" i="3" s="1"/>
  <c r="L12" i="3"/>
  <c r="G12" i="3" s="1"/>
  <c r="H209" i="3" l="1"/>
  <c r="H201" i="3"/>
  <c r="H193" i="3"/>
  <c r="H189" i="3"/>
  <c r="H181" i="3"/>
  <c r="H173" i="3"/>
  <c r="H165" i="3"/>
  <c r="H149" i="3"/>
  <c r="H141" i="3"/>
  <c r="H133" i="3"/>
  <c r="H125" i="3"/>
  <c r="H117" i="3"/>
  <c r="H105" i="3"/>
  <c r="H97" i="3"/>
  <c r="H85" i="3"/>
  <c r="H73" i="3"/>
  <c r="H57" i="3"/>
  <c r="H41" i="3"/>
  <c r="H33" i="3"/>
  <c r="H25" i="3"/>
  <c r="H13" i="3"/>
  <c r="H208" i="3"/>
  <c r="H200" i="3"/>
  <c r="H188" i="3"/>
  <c r="H180" i="3"/>
  <c r="H172" i="3"/>
  <c r="H164" i="3"/>
  <c r="H148" i="3"/>
  <c r="H140" i="3"/>
  <c r="H132" i="3"/>
  <c r="H124" i="3"/>
  <c r="H116" i="3"/>
  <c r="H108" i="3"/>
  <c r="H100" i="3"/>
  <c r="H92" i="3"/>
  <c r="H60" i="3"/>
  <c r="H56" i="3"/>
  <c r="H32" i="3"/>
  <c r="H24" i="3"/>
  <c r="H16" i="3"/>
  <c r="H211" i="3"/>
  <c r="H207" i="3"/>
  <c r="H203" i="3"/>
  <c r="H199" i="3"/>
  <c r="H195" i="3"/>
  <c r="H187" i="3"/>
  <c r="H179" i="3"/>
  <c r="H175" i="3"/>
  <c r="H171" i="3"/>
  <c r="H167" i="3"/>
  <c r="H163" i="3"/>
  <c r="H159" i="3"/>
  <c r="H155" i="3"/>
  <c r="H151" i="3"/>
  <c r="H147" i="3"/>
  <c r="H143" i="3"/>
  <c r="H131" i="3"/>
  <c r="H127" i="3"/>
  <c r="H123" i="3"/>
  <c r="H119" i="3"/>
  <c r="H115" i="3"/>
  <c r="H111" i="3"/>
  <c r="H107" i="3"/>
  <c r="H103" i="3"/>
  <c r="H99" i="3"/>
  <c r="H95" i="3"/>
  <c r="H91" i="3"/>
  <c r="H87" i="3"/>
  <c r="H79" i="3"/>
  <c r="H71" i="3"/>
  <c r="H67" i="3"/>
  <c r="H66" i="3" s="1"/>
  <c r="H63" i="3"/>
  <c r="H59" i="3"/>
  <c r="H55" i="3"/>
  <c r="H197" i="3"/>
  <c r="H185" i="3"/>
  <c r="H177" i="3"/>
  <c r="H169" i="3"/>
  <c r="H161" i="3"/>
  <c r="H153" i="3"/>
  <c r="H145" i="3"/>
  <c r="H137" i="3"/>
  <c r="H129" i="3"/>
  <c r="H121" i="3"/>
  <c r="H109" i="3"/>
  <c r="H101" i="3"/>
  <c r="H93" i="3"/>
  <c r="H89" i="3"/>
  <c r="H77" i="3"/>
  <c r="H53" i="3"/>
  <c r="H45" i="3"/>
  <c r="H37" i="3"/>
  <c r="H29" i="3"/>
  <c r="H21" i="3"/>
  <c r="H12" i="3"/>
  <c r="H11" i="3" s="1"/>
  <c r="H204" i="3"/>
  <c r="H196" i="3"/>
  <c r="H176" i="3"/>
  <c r="H168" i="3"/>
  <c r="H160" i="3"/>
  <c r="H152" i="3"/>
  <c r="H144" i="3"/>
  <c r="H136" i="3"/>
  <c r="H128" i="3"/>
  <c r="H120" i="3"/>
  <c r="H104" i="3"/>
  <c r="H96" i="3"/>
  <c r="H88" i="3"/>
  <c r="H80" i="3"/>
  <c r="H68" i="3"/>
  <c r="H64" i="3"/>
  <c r="H52" i="3"/>
  <c r="H50" i="3" s="1"/>
  <c r="H28" i="3"/>
  <c r="H20" i="3"/>
  <c r="H210" i="3"/>
  <c r="H202" i="3"/>
  <c r="H198" i="3"/>
  <c r="H194" i="3"/>
  <c r="H190" i="3"/>
  <c r="H186" i="3"/>
  <c r="H182" i="3"/>
  <c r="H178" i="3"/>
  <c r="H174" i="3"/>
  <c r="H170" i="3"/>
  <c r="H166" i="3"/>
  <c r="H162" i="3"/>
  <c r="H158" i="3"/>
  <c r="H154" i="3"/>
  <c r="H150" i="3"/>
  <c r="H146" i="3"/>
  <c r="H142" i="3"/>
  <c r="H134" i="3"/>
  <c r="H130" i="3"/>
  <c r="H126" i="3"/>
  <c r="H122" i="3"/>
  <c r="H118" i="3"/>
  <c r="H114" i="3"/>
  <c r="H110" i="3"/>
  <c r="H106" i="3"/>
  <c r="H102" i="3"/>
  <c r="H98" i="3"/>
  <c r="H94" i="3"/>
  <c r="H90" i="3"/>
  <c r="H86" i="3"/>
  <c r="H78" i="3"/>
  <c r="H74" i="3"/>
  <c r="H58" i="3"/>
  <c r="H54" i="3"/>
  <c r="H51" i="3"/>
  <c r="H47" i="3"/>
  <c r="H31" i="3"/>
  <c r="H27" i="3"/>
  <c r="H23" i="3"/>
  <c r="H19" i="3"/>
  <c r="H15" i="3"/>
  <c r="H46" i="3"/>
  <c r="H42" i="3"/>
  <c r="H40" i="3" s="1"/>
  <c r="H38" i="3"/>
  <c r="H34" i="3"/>
  <c r="H30" i="3"/>
  <c r="H26" i="3"/>
  <c r="H22" i="3"/>
  <c r="H14" i="3"/>
  <c r="H76" i="3"/>
  <c r="H157" i="3" l="1"/>
  <c r="H36" i="3"/>
  <c r="H62" i="3"/>
  <c r="H83" i="3"/>
  <c r="H44" i="3"/>
  <c r="H184" i="3"/>
  <c r="H139" i="3"/>
  <c r="H113" i="3"/>
  <c r="H18" i="3"/>
  <c r="H192" i="3"/>
  <c r="H70" i="3"/>
  <c r="H206" i="3"/>
  <c r="K33" i="11"/>
  <c r="J33" i="11"/>
  <c r="K49" i="11"/>
  <c r="J49" i="11"/>
  <c r="J58" i="11"/>
  <c r="K58" i="11"/>
  <c r="K38" i="11"/>
  <c r="J38" i="11"/>
  <c r="J91" i="11"/>
  <c r="K91" i="11"/>
  <c r="K112" i="11"/>
  <c r="J112" i="11"/>
  <c r="K128" i="11"/>
  <c r="J128" i="11"/>
  <c r="J136" i="11"/>
  <c r="K136" i="11"/>
  <c r="K164" i="11"/>
  <c r="J164" i="11"/>
  <c r="K172" i="11"/>
  <c r="J172" i="11"/>
  <c r="K196" i="11"/>
  <c r="K204" i="11"/>
  <c r="J204" i="11"/>
  <c r="K220" i="11"/>
  <c r="J220" i="11"/>
  <c r="J69" i="11"/>
  <c r="K69" i="11"/>
  <c r="K122" i="11"/>
  <c r="J122" i="11"/>
  <c r="J162" i="11"/>
  <c r="K162" i="11"/>
  <c r="K178" i="11"/>
  <c r="J178" i="11"/>
  <c r="K194" i="11"/>
  <c r="J32" i="11"/>
  <c r="K32" i="11"/>
  <c r="J70" i="11"/>
  <c r="K70" i="11"/>
  <c r="J119" i="11"/>
  <c r="K119" i="11"/>
  <c r="K155" i="11"/>
  <c r="J155" i="11"/>
  <c r="K72" i="11"/>
  <c r="J72" i="11"/>
  <c r="K129" i="11"/>
  <c r="J129" i="11"/>
  <c r="J145" i="11"/>
  <c r="K145" i="11"/>
  <c r="J185" i="11"/>
  <c r="K185" i="11"/>
  <c r="K205" i="11"/>
  <c r="J205" i="11"/>
  <c r="K225" i="11"/>
  <c r="J225" i="11"/>
  <c r="J43" i="11"/>
  <c r="K43" i="11"/>
  <c r="J118" i="11"/>
  <c r="K118" i="11"/>
  <c r="K150" i="11"/>
  <c r="J150" i="11"/>
  <c r="K190" i="11"/>
  <c r="J190" i="11"/>
  <c r="J226" i="11"/>
  <c r="K226" i="11"/>
  <c r="J115" i="11"/>
  <c r="K115" i="11"/>
  <c r="K151" i="11"/>
  <c r="J151" i="11"/>
  <c r="J191" i="11"/>
  <c r="K191" i="11"/>
  <c r="J207" i="11"/>
  <c r="K207" i="11"/>
  <c r="K37" i="11"/>
  <c r="J37" i="11"/>
  <c r="J22" i="11"/>
  <c r="K22" i="11"/>
  <c r="K42" i="11"/>
  <c r="J42" i="11"/>
  <c r="J75" i="11"/>
  <c r="K75" i="11"/>
  <c r="K108" i="11"/>
  <c r="J108" i="11"/>
  <c r="K124" i="11"/>
  <c r="J124" i="11"/>
  <c r="K140" i="11"/>
  <c r="J140" i="11"/>
  <c r="K160" i="11"/>
  <c r="J160" i="11"/>
  <c r="K176" i="11"/>
  <c r="J176" i="11"/>
  <c r="J184" i="11"/>
  <c r="K184" i="11"/>
  <c r="K192" i="11"/>
  <c r="J192" i="11"/>
  <c r="K208" i="11"/>
  <c r="J208" i="11"/>
  <c r="K228" i="11"/>
  <c r="J228" i="11"/>
  <c r="K39" i="11"/>
  <c r="J39" i="11"/>
  <c r="K81" i="11"/>
  <c r="J81" i="11"/>
  <c r="K138" i="11"/>
  <c r="J138" i="11"/>
  <c r="K154" i="11"/>
  <c r="J154" i="11"/>
  <c r="K186" i="11"/>
  <c r="J186" i="11"/>
  <c r="I19" i="11"/>
  <c r="I246" i="11" s="1"/>
  <c r="G13" i="11" s="1"/>
  <c r="K19" i="11"/>
  <c r="J19" i="11"/>
  <c r="J40" i="11"/>
  <c r="K40" i="11"/>
  <c r="J111" i="11"/>
  <c r="K111" i="11"/>
  <c r="J127" i="11"/>
  <c r="K127" i="11"/>
  <c r="J147" i="11"/>
  <c r="K147" i="11"/>
  <c r="J163" i="11"/>
  <c r="K163" i="11"/>
  <c r="K179" i="11"/>
  <c r="J179" i="11"/>
  <c r="K195" i="11"/>
  <c r="J76" i="11"/>
  <c r="K76" i="11"/>
  <c r="K84" i="11"/>
  <c r="J84" i="11"/>
  <c r="K96" i="11"/>
  <c r="J96" i="11"/>
  <c r="K109" i="11"/>
  <c r="J109" i="11"/>
  <c r="K117" i="11"/>
  <c r="J117" i="11"/>
  <c r="K125" i="11"/>
  <c r="J125" i="11"/>
  <c r="J133" i="11"/>
  <c r="K133" i="11"/>
  <c r="J141" i="11"/>
  <c r="K141" i="11"/>
  <c r="J149" i="11"/>
  <c r="K149" i="11"/>
  <c r="J165" i="11"/>
  <c r="K165" i="11"/>
  <c r="K173" i="11"/>
  <c r="J173" i="11"/>
  <c r="J181" i="11"/>
  <c r="K181" i="11"/>
  <c r="J189" i="11"/>
  <c r="K189" i="11"/>
  <c r="K197" i="11"/>
  <c r="J213" i="11"/>
  <c r="K213" i="11"/>
  <c r="J221" i="11"/>
  <c r="K221" i="11"/>
  <c r="K229" i="11"/>
  <c r="J229" i="11"/>
  <c r="J35" i="11"/>
  <c r="K35" i="11"/>
  <c r="K73" i="11"/>
  <c r="J73" i="11"/>
  <c r="J110" i="11"/>
  <c r="K110" i="11"/>
  <c r="J126" i="11"/>
  <c r="K126" i="11"/>
  <c r="K142" i="11"/>
  <c r="J142" i="11"/>
  <c r="K158" i="11"/>
  <c r="J158" i="11"/>
  <c r="K182" i="11"/>
  <c r="J182" i="11"/>
  <c r="K198" i="11"/>
  <c r="K218" i="11"/>
  <c r="J218" i="11"/>
  <c r="J20" i="11"/>
  <c r="K20" i="11"/>
  <c r="J44" i="11"/>
  <c r="K44" i="11"/>
  <c r="J74" i="11"/>
  <c r="K74" i="11"/>
  <c r="J103" i="11"/>
  <c r="K103" i="11"/>
  <c r="J123" i="11"/>
  <c r="K123" i="11"/>
  <c r="J159" i="11"/>
  <c r="K159" i="11"/>
  <c r="J183" i="11"/>
  <c r="K183" i="11"/>
  <c r="K199" i="11"/>
  <c r="J211" i="11"/>
  <c r="K211" i="11"/>
  <c r="J227" i="11"/>
  <c r="K227" i="11"/>
  <c r="J41" i="11"/>
  <c r="K41" i="11"/>
  <c r="J59" i="11"/>
  <c r="K59" i="11"/>
  <c r="J71" i="11"/>
  <c r="K71" i="11"/>
  <c r="K104" i="11"/>
  <c r="J104" i="11"/>
  <c r="K120" i="11"/>
  <c r="J120" i="11"/>
  <c r="J152" i="11"/>
  <c r="K152" i="11"/>
  <c r="J180" i="11"/>
  <c r="K180" i="11"/>
  <c r="K212" i="11"/>
  <c r="J212" i="11"/>
  <c r="K31" i="11"/>
  <c r="J31" i="11"/>
  <c r="K85" i="11"/>
  <c r="J85" i="11"/>
  <c r="K146" i="11"/>
  <c r="J146" i="11"/>
  <c r="J107" i="11"/>
  <c r="K107" i="11"/>
  <c r="J139" i="11"/>
  <c r="K139" i="11"/>
  <c r="J171" i="11"/>
  <c r="K171" i="11"/>
  <c r="J203" i="11"/>
  <c r="K203" i="11"/>
  <c r="K80" i="11"/>
  <c r="J80" i="11"/>
  <c r="J121" i="11"/>
  <c r="K121" i="11"/>
  <c r="J137" i="11"/>
  <c r="K137" i="11"/>
  <c r="K161" i="11"/>
  <c r="J161" i="11"/>
  <c r="J177" i="11"/>
  <c r="K177" i="11"/>
  <c r="J193" i="11"/>
  <c r="K193" i="11"/>
  <c r="J217" i="11"/>
  <c r="K217" i="11"/>
  <c r="K23" i="11"/>
  <c r="J23" i="11"/>
  <c r="J77" i="11"/>
  <c r="K77" i="11"/>
  <c r="K134" i="11"/>
  <c r="J134" i="11"/>
  <c r="K166" i="11"/>
  <c r="J166" i="11"/>
  <c r="J206" i="11"/>
  <c r="K206" i="11"/>
  <c r="J36" i="11"/>
  <c r="K36" i="11"/>
  <c r="K90" i="11"/>
  <c r="J90" i="11"/>
  <c r="K135" i="11"/>
  <c r="J135" i="11"/>
  <c r="J167" i="11"/>
  <c r="K167" i="11"/>
  <c r="K219" i="11"/>
  <c r="J219" i="11"/>
  <c r="K21" i="11"/>
  <c r="J21" i="11"/>
  <c r="K45" i="11"/>
  <c r="J45" i="11"/>
  <c r="K54" i="11"/>
  <c r="J54" i="11"/>
  <c r="K34" i="11"/>
  <c r="J34" i="11"/>
  <c r="J95" i="11"/>
  <c r="K95" i="11"/>
  <c r="K116" i="11"/>
  <c r="J116" i="11"/>
  <c r="J148" i="11"/>
  <c r="K148" i="11"/>
  <c r="K168" i="11"/>
  <c r="J168" i="11"/>
  <c r="K200" i="11"/>
  <c r="H82" i="3"/>
  <c r="H49" i="3"/>
  <c r="L116" i="11" l="1"/>
  <c r="L23" i="11"/>
  <c r="L104" i="11"/>
  <c r="L155" i="11"/>
  <c r="L128" i="11"/>
  <c r="L154" i="11"/>
  <c r="L80" i="11"/>
  <c r="L85" i="11"/>
  <c r="L218" i="11"/>
  <c r="L84" i="11"/>
  <c r="L208" i="11"/>
  <c r="L77" i="11"/>
  <c r="L20" i="11"/>
  <c r="L127" i="11"/>
  <c r="L115" i="11"/>
  <c r="L109" i="11"/>
  <c r="L186" i="11"/>
  <c r="L228" i="11"/>
  <c r="L124" i="11"/>
  <c r="L151" i="11"/>
  <c r="L225" i="11"/>
  <c r="L72" i="11"/>
  <c r="L219" i="11"/>
  <c r="L193" i="11"/>
  <c r="L171" i="11"/>
  <c r="L59" i="11"/>
  <c r="L221" i="11"/>
  <c r="L141" i="11"/>
  <c r="L184" i="11"/>
  <c r="L22" i="11"/>
  <c r="L145" i="11"/>
  <c r="L70" i="11"/>
  <c r="L122" i="11"/>
  <c r="L91" i="11"/>
  <c r="L136" i="11"/>
  <c r="L146" i="11"/>
  <c r="L120" i="11"/>
  <c r="L199" i="11"/>
  <c r="L73" i="11"/>
  <c r="L173" i="11"/>
  <c r="L96" i="11"/>
  <c r="L205" i="11"/>
  <c r="L36" i="11"/>
  <c r="L177" i="11"/>
  <c r="L139" i="11"/>
  <c r="L123" i="11"/>
  <c r="L213" i="11"/>
  <c r="L133" i="11"/>
  <c r="L40" i="11"/>
  <c r="L148" i="11"/>
  <c r="L121" i="11"/>
  <c r="L211" i="11"/>
  <c r="L44" i="11"/>
  <c r="L110" i="11"/>
  <c r="L181" i="11"/>
  <c r="L147" i="11"/>
  <c r="L162" i="11"/>
  <c r="L164" i="11"/>
  <c r="L33" i="11"/>
  <c r="L54" i="11"/>
  <c r="L161" i="11"/>
  <c r="L142" i="11"/>
  <c r="L125" i="11"/>
  <c r="L179" i="11"/>
  <c r="L81" i="11"/>
  <c r="L160" i="11"/>
  <c r="L194" i="11"/>
  <c r="L212" i="11"/>
  <c r="L182" i="11"/>
  <c r="L190" i="11"/>
  <c r="L220" i="11"/>
  <c r="L32" i="11"/>
  <c r="L34" i="11"/>
  <c r="L158" i="11"/>
  <c r="L195" i="11"/>
  <c r="L176" i="11"/>
  <c r="L37" i="11"/>
  <c r="L150" i="11"/>
  <c r="L129" i="11"/>
  <c r="L204" i="11"/>
  <c r="L38" i="11"/>
  <c r="L19" i="11"/>
  <c r="L95" i="11"/>
  <c r="L21" i="11"/>
  <c r="L90" i="11"/>
  <c r="L134" i="11"/>
  <c r="L217" i="11"/>
  <c r="L137" i="11"/>
  <c r="L203" i="11"/>
  <c r="L152" i="11"/>
  <c r="L71" i="11"/>
  <c r="L227" i="11"/>
  <c r="L159" i="11"/>
  <c r="L126" i="11"/>
  <c r="L189" i="11"/>
  <c r="L149" i="11"/>
  <c r="L76" i="11"/>
  <c r="L163" i="11"/>
  <c r="L191" i="11"/>
  <c r="L226" i="11"/>
  <c r="L43" i="11"/>
  <c r="L119" i="11"/>
  <c r="L69" i="11"/>
  <c r="L200" i="11"/>
  <c r="L168" i="11"/>
  <c r="L45" i="11"/>
  <c r="L167" i="11"/>
  <c r="L135" i="11"/>
  <c r="L206" i="11"/>
  <c r="L166" i="11"/>
  <c r="L107" i="11"/>
  <c r="L31" i="11"/>
  <c r="L180" i="11"/>
  <c r="L41" i="11"/>
  <c r="L183" i="11"/>
  <c r="L103" i="11"/>
  <c r="L198" i="11"/>
  <c r="L35" i="11"/>
  <c r="L229" i="11"/>
  <c r="L197" i="11"/>
  <c r="L165" i="11"/>
  <c r="L117" i="11"/>
  <c r="L111" i="11"/>
  <c r="L138" i="11"/>
  <c r="L39" i="11"/>
  <c r="L192" i="11"/>
  <c r="L140" i="11"/>
  <c r="L42" i="11"/>
  <c r="L207" i="11"/>
  <c r="L118" i="11"/>
  <c r="L185" i="11"/>
  <c r="L178" i="11"/>
  <c r="L196" i="11"/>
  <c r="L172" i="11"/>
  <c r="L112" i="11"/>
  <c r="L58" i="11"/>
  <c r="L49" i="11"/>
  <c r="H213" i="3"/>
  <c r="H214" i="3" l="1"/>
  <c r="H215" i="3" s="1"/>
  <c r="J24" i="11" l="1"/>
  <c r="K24" i="11"/>
  <c r="L24" i="11" l="1"/>
  <c r="K132" i="11"/>
  <c r="K246" i="11" s="1"/>
  <c r="J132" i="11"/>
  <c r="J246" i="11" s="1"/>
  <c r="I13" i="11" l="1"/>
  <c r="J247" i="11"/>
  <c r="L132" i="11"/>
  <c r="L246" i="11" l="1"/>
</calcChain>
</file>

<file path=xl/sharedStrings.xml><?xml version="1.0" encoding="utf-8"?>
<sst xmlns="http://schemas.openxmlformats.org/spreadsheetml/2006/main" count="2620" uniqueCount="830">
  <si>
    <t>1.1</t>
  </si>
  <si>
    <t>ORSE</t>
  </si>
  <si>
    <t>Placa de Obra em chapa de aço galvanizado, instalada - Rev 02 01/2022</t>
  </si>
  <si>
    <t>1.2</t>
  </si>
  <si>
    <t>1.3</t>
  </si>
  <si>
    <t>1.4</t>
  </si>
  <si>
    <t>1.5</t>
  </si>
  <si>
    <t>SINAPI</t>
  </si>
  <si>
    <t>DEMOLIÇÃO DE ALVENARIA DE BLOCOFURADO, DE FORMA MANUAL, SEM REAPROVEITAMENTO</t>
  </si>
  <si>
    <t>m²</t>
  </si>
  <si>
    <t>m³</t>
  </si>
  <si>
    <t>Demolição de piso de alta resistência</t>
  </si>
  <si>
    <t>REMOÇÃO DE TRAMA DE MADEIRA PARA COBERTURA, DE FORMA MANUAL, SEM REAPROVEITAMENTO. AF 12/2017</t>
  </si>
  <si>
    <t>CARGA, MANOBRA E DESCARGA DE ENTULHO EM CAMINHÃO BASCULANTE 6 M³ - CARGA COM ESCAVADEIRA HIDRÁULICA (CAÇAMBA DE 0,80 M³/111 HP) E DESCARGA LIVRE (UNIDADE: M³). AF 07/2020</t>
  </si>
  <si>
    <t>INFRA ESTRUTURA E SUPERESTRUTURA</t>
  </si>
  <si>
    <t>2.1</t>
  </si>
  <si>
    <t>2.2</t>
  </si>
  <si>
    <t>2.3</t>
  </si>
  <si>
    <t>2.4</t>
  </si>
  <si>
    <t>2.5</t>
  </si>
  <si>
    <t>2.6</t>
  </si>
  <si>
    <t>ESCAVAÇÃO MANUAL PARA BLOCO DE COROAMENTO OU SAPATA (INCLUINDO ESCAVAÇÃO PARA COLOCAÇÃO DE FÔRMAS). AF_06/2017</t>
  </si>
  <si>
    <t>LAJE PRÉ-MOLDADA UNIDIRECIONAL, BIAPOIADA, PARA FORRO, ENCHIMENTO EM CERÂMICA, VIGOTA CONVENCIONAL, ALTURA TOTAL DA LAJE (ENCHIMENTO+CAPA) = (8+3). AF_11/2020</t>
  </si>
  <si>
    <t>LASTRO DE CONCRETO MAGRO, APLICADO EM BLOCOS DE COROAMENTO OU SAPATAS, ESPESSURA DE 5 CM. AF_08/2017</t>
  </si>
  <si>
    <t>CONCRETO FCK = 25MPA, TRAÇO 1:2,3:2,7 (EM MASSA SECA DE CIMENTO/ AREIA MÉDIA/ BRITA 1) - PREPARO MECÂNICO COM BETONEIRA 600 L. AF_05/2021</t>
  </si>
  <si>
    <t>LANÇAMENTO COM USO DE BALDES, ADENSAMENTO E ACABAMENTO DE CONCRETO EM ESTRUTURAS. AF_12/2015</t>
  </si>
  <si>
    <t>CONCRETO FCK = 30MPA, TRAÇO 1:2,1:2,5 (EM MASSA SECA DE CIMENTO/ AREIA MÉDIA/ BRITA 1) - PREPARO MECÂNICO COM BETONEIRA 600 L. AF_05/2021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</si>
  <si>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</si>
  <si>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</si>
  <si>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</si>
  <si>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</si>
  <si>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</si>
  <si>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</si>
  <si>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</si>
  <si>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</si>
  <si>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</si>
  <si>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</si>
  <si>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kg</t>
  </si>
  <si>
    <t>m</t>
  </si>
  <si>
    <t>ARMAÇÃO DE PILAR OU VIGA DE UMA ESTRUTURA CONVENCIONAL DE CONCRETO ARMADO EM UM EDIFÍCIO DE MÚLTIPLOS PAVIMENTOS UTILIZANDO AÇO CA-50 DE 12,5 MM - MONTAGEM. AF_12/2015</t>
  </si>
  <si>
    <t>ARMAÇÃO DE PILAR OU VIGA DE UMA ESTRUTURA CONVENCIONAL DE CONCRETO ARMADO EM UM EDIFÍCIO DE MÚLTIPLOS PAVIMENTOS UTILIZANDO AÇO CA-50 DE 10,0 MM - MONTAGEM. AF_12/2015</t>
  </si>
  <si>
    <t>ARMAÇÃO DE PILAR OU VIGA DE UMA ESTRUTURA CONVENCIONAL DE CONCRETO ARMADO EM UM EDIFÍCIO DE MÚLTIPLOS PAVIMENTOS UTILIZANDO AÇO CA-50 DE 16,0 MM - MONTAGEM. AF_12/2015</t>
  </si>
  <si>
    <t>ARMAÇÃO DE PILAR OU VIGA DE UMA ESTRUTURA CONVENCIONAL DE CONCRETO ARMADO EM UM EDIFÍCIO DE MÚLTIPLOS PAVIMENTOS UTILIZANDO AÇO CA-60 DE 5,0 MM - MONTAGEM. AF_12/2015</t>
  </si>
  <si>
    <t>REATERRO MANUAL APILOADO COM SOQUETE. AF_10/2017</t>
  </si>
  <si>
    <t>VERGA PRÉ-MOLDADA PARA PORTAS COM ATÉ 1,5 M DE VÃO. AF_03/2016</t>
  </si>
  <si>
    <t>VERGA PRÉ-MOLDADA PARA JANELAS COM ATÉ 1,5 M DE VÃO. AF_03/2016</t>
  </si>
  <si>
    <t>CONTRAVERGA PRÉ-MOLDADA PARA VÃOS DE ATÉ 1,5 M DE COMPRIMENTO. AF_03/2016</t>
  </si>
  <si>
    <t>ALVENARIA E VEDAÇÕES</t>
  </si>
  <si>
    <t>3.1</t>
  </si>
  <si>
    <t>3.2</t>
  </si>
  <si>
    <t>ALVENARIA DE VEDAÇÃO DE BLOCOS CERÂMICOS FURADOS NA VERTICAL DE 19X19X39 CM (ESPESSURA 19 CM) E ARGAMASSA DE ASSENTAMENTO COM PREPARO EM BETONEIRA. AF_12/2021</t>
  </si>
  <si>
    <t>IMPERMEABILIZAÇÕES</t>
  </si>
  <si>
    <t>4.1</t>
  </si>
  <si>
    <t>4.2</t>
  </si>
  <si>
    <t>IMPERMEABILIZAÇÃO DE SUPERFÍCIE COM EMULSÃO ASFÁLTICA, 2 DEMÃOS AF_06/2018</t>
  </si>
  <si>
    <t>IMPERMEABILIZAÇÃO DE SUPERFÍCIE COM MANTA ASFÁLTICA, UMA CAMADA, INCLUSIVE APLICAÇÃO DE PRIMER ASFÁLTICO, E=3MM. AF_06/2018</t>
  </si>
  <si>
    <t>COBERTURAS E PROTEÇÕES</t>
  </si>
  <si>
    <t>5.1</t>
  </si>
  <si>
    <t>5.2</t>
  </si>
  <si>
    <t>5.3</t>
  </si>
  <si>
    <t>TRAMA DE MADEIRA COMPOSTA POR RIPAS, CAIBROS E TERÇAS PARA TELHADOS DE ATÉ 2 ÁGUAS PARA TELHA DE ENCAIXE DE CERÂMICA OU DE CONCRETO, INCLUSO TRANSPORTE VERTICAL. AF_07/2019</t>
  </si>
  <si>
    <t>TELHAMENTO COM TELHA CERÂMICA CAPA-CANAL, TIPO COLONIAL, COM ATÉ 2 ÁGUAS, INCLUSO TRANSPORTE VERTICAL. AF_07/2019</t>
  </si>
  <si>
    <t>FORRO EM PLACAS DE GESSO, PARA AMBIENTES COMERCIAIS. AF_05/2017_P</t>
  </si>
  <si>
    <t>ESQUADRIAS</t>
  </si>
  <si>
    <t>6.1</t>
  </si>
  <si>
    <t>METÁLICA, ALUMÍNIO C/ VIDRO E MADEIRA</t>
  </si>
  <si>
    <t>6.1.1</t>
  </si>
  <si>
    <t>JANELA DE ALUMÍNIO DE CORRER COM 2 FOLHAS PARA VIDROS, COM VIDROS, BATENTE, ACABAMENTO COM ACETATO OU BRILHANTE E FERRAGENS. EXCLUSIVE ALIZAR E CONTRAMARCO. FORNECIMENTO E INSTALAÇÃO. AF_12/2019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</si>
  <si>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</si>
  <si>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</si>
  <si>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</si>
  <si>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</si>
  <si>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</si>
  <si>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</si>
  <si>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</si>
  <si>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</si>
  <si>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</si>
  <si>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</si>
  <si>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</si>
  <si>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unid</t>
  </si>
  <si>
    <t>6.2</t>
  </si>
  <si>
    <t>VIDRO</t>
  </si>
  <si>
    <t>6.2.1</t>
  </si>
  <si>
    <t>6.2.2</t>
  </si>
  <si>
    <t>6.3</t>
  </si>
  <si>
    <t>FERRAGENS</t>
  </si>
  <si>
    <t>6.3.1</t>
  </si>
  <si>
    <t>6.3.2</t>
  </si>
  <si>
    <t>REVESTIMENTO</t>
  </si>
  <si>
    <t>7.1</t>
  </si>
  <si>
    <t>7.2</t>
  </si>
  <si>
    <t>7.3</t>
  </si>
  <si>
    <t>7.4</t>
  </si>
  <si>
    <t>8.1</t>
  </si>
  <si>
    <t>8.2</t>
  </si>
  <si>
    <t>8.3</t>
  </si>
  <si>
    <t>8.4</t>
  </si>
  <si>
    <t>PAVIMENTAÇÃO</t>
  </si>
  <si>
    <t>9.1</t>
  </si>
  <si>
    <t>INSTALAÇÕES HIDRO-SANITÁRIAS-PLUVIAL-INCÊNDIO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</si>
  <si>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</si>
  <si>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</si>
  <si>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</si>
  <si>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</si>
  <si>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</si>
  <si>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</si>
  <si>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</si>
  <si>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</si>
  <si>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</si>
  <si>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</si>
  <si>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</si>
  <si>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</si>
  <si>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</si>
  <si>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</si>
  <si>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</si>
  <si>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</si>
  <si>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</si>
  <si>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</si>
  <si>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</si>
  <si>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</si>
  <si>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</si>
  <si>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</si>
  <si>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</si>
  <si>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</si>
  <si>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</si>
  <si>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</si>
  <si>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</si>
  <si>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</si>
  <si>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9.2</t>
  </si>
  <si>
    <t>SISTEMA PREDIAL DE ÁGUA FRIA - NBR 5626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</si>
  <si>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</si>
  <si>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</si>
  <si>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</si>
  <si>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</si>
  <si>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</si>
  <si>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</si>
  <si>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</si>
  <si>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</si>
  <si>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</si>
  <si>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</si>
  <si>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</si>
  <si>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</si>
  <si>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</si>
  <si>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9.2.14</t>
  </si>
  <si>
    <t>9.2.15</t>
  </si>
  <si>
    <t>9.2.16</t>
  </si>
  <si>
    <t>9.2.17</t>
  </si>
  <si>
    <t>9.2.18</t>
  </si>
  <si>
    <t>9.2.19</t>
  </si>
  <si>
    <t>9.2.20</t>
  </si>
  <si>
    <t>9.2.21</t>
  </si>
  <si>
    <t>9.2.22</t>
  </si>
  <si>
    <t>9.2.23</t>
  </si>
  <si>
    <t>9.2.24</t>
  </si>
  <si>
    <t>9.3</t>
  </si>
  <si>
    <t>COMBATE A  INCÊNDIO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</si>
  <si>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</si>
  <si>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</si>
  <si>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</si>
  <si>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</si>
  <si>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</si>
  <si>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</si>
  <si>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</si>
  <si>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</si>
  <si>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</si>
  <si>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</si>
  <si>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</si>
  <si>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9.3.12</t>
  </si>
  <si>
    <t>9.3.13</t>
  </si>
  <si>
    <t>9.3.14</t>
  </si>
  <si>
    <t>9.3.15</t>
  </si>
  <si>
    <t>9.3.16</t>
  </si>
  <si>
    <t>INSTALAÇÕES ELÉTRICAS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</si>
  <si>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</si>
  <si>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</si>
  <si>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</si>
  <si>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</si>
  <si>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</si>
  <si>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</si>
  <si>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</si>
  <si>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</si>
  <si>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</si>
  <si>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</si>
  <si>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</si>
  <si>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</si>
  <si>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</si>
  <si>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</si>
  <si>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</si>
  <si>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</si>
  <si>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</si>
  <si>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</si>
  <si>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</si>
  <si>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</si>
  <si>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</si>
  <si>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</si>
  <si>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</si>
  <si>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</si>
  <si>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</si>
  <si>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PINTURA</t>
  </si>
  <si>
    <t>11.1</t>
  </si>
  <si>
    <t>11.2</t>
  </si>
  <si>
    <t>11.3</t>
  </si>
  <si>
    <t>11.4</t>
  </si>
  <si>
    <t>11.5</t>
  </si>
  <si>
    <t>11.6</t>
  </si>
  <si>
    <t>BANCADAS, LOUÇAS, METAIS E ACESSÓRIOS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</si>
  <si>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</si>
  <si>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</si>
  <si>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</si>
  <si>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</si>
  <si>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</si>
  <si>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</si>
  <si>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</si>
  <si>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</si>
  <si>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</si>
  <si>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</si>
  <si>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</si>
  <si>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</si>
  <si>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SERVIÇOS COMPLEMENTARES</t>
  </si>
  <si>
    <t>13.1</t>
  </si>
  <si>
    <t>13.2</t>
  </si>
  <si>
    <t>13.3</t>
  </si>
  <si>
    <t>13.4</t>
  </si>
  <si>
    <t>13.5</t>
  </si>
  <si>
    <t>TARJETA TIPO LIVRE/OCUPADO PARA PORTA DE BANHEIRO. AF_12/2019</t>
  </si>
  <si>
    <t>MASSA ÚNICA, PARA RECEBIMENTO DE PINTURA, EM ARGAMASSA TRAÇO 1:2:8, PREPARO MECÂNICO COM BETONEIRA 400L, APLICADA MANUALMENTE EM FACES INTERNAS DE PAREDES, ESPESSURA DE 20MM, COM EXECUÇÃO DE TALISCAS. AF_06/2014</t>
  </si>
  <si>
    <t>CHAPISCO APLICADO EM ALVENARIAS E ESTRUTURAS DE CONCRETO INTERNAS, COM COLHER DE PEDREIRO.  ARGAMASSA TRAÇO 1:3 COM PREPARO EM BETONEIRA 400L. AF_06/2014</t>
  </si>
  <si>
    <t>CONTRAPISO EM ARGAMASSA TRAÇO 1:4 (CIMENTO E AREIA), PREPARO MECÂNICO COM BETONEIRA 400 L, APLICADO EM ÁREAS SECAS SOBRE LAJE, ADERIDO, ACABAMENTO NÃO REFORÇADO, ESPESSURA 2CM. AF_07/2021</t>
  </si>
  <si>
    <t>REVESTIMENTO CERÂMICO PARA PISO COM PLACAS TIPO PORCELANATO DE DIMENSÕES 60X60 CM APLICADA EM AMBIENTES DE ÁREA MAIOR QUE 10 M². AF_06/2014</t>
  </si>
  <si>
    <t>PLANTIO DE GRAMA EM PLACAS. AF_05/2018</t>
  </si>
  <si>
    <t>RECOMPOSIÇÃO DE PAVIMENTO EM PARALELEPÍPEDOS, REJUNTAMENTO COM ARGAMASSA, COM REAPROVEITAMENTO DOS PARALELEPÍPEDOS, PARA O FECHAMENTO DE VALAS - INCLUSO RETIRADA E COLOCAÇÃO DO MATERIAL. AF_12/2020</t>
  </si>
  <si>
    <t>CAIXA SIFONADA, PVC, DN 100 X 100 X 50 MM, JUNTA ELÁSTICA, FORNECIDA E INSTALADA EM RAMAL DE DESCARGA OU EM RAMAL DE ESGOTO SANITÁRIO. AF_12/2014</t>
  </si>
  <si>
    <t>JOELHO 90 GRAUS, PVC, SERIE NORMAL, ESGOTO PREDIAL, DN 100 MM, JUNTA ELÁSTICA, FORNECIDO E INSTALADO EM RAMAL DE DESCARGA OU RAMAL DE ESGOTO SANITÁRIO. AF_12/2014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</si>
  <si>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</si>
  <si>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 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</si>
  <si>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</si>
  <si>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ELÁSTICA,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</si>
  <si>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</si>
  <si>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JUNÇÃO SIMPLES, PVC, SERIE NORMAL, ESGOTO PREDIAL, DN 100 X 100 MM, JUNTA ELÁSTICA, FORNECIDO E INSTALADO EM RAMAL DE DESCARGA OU RAMAL DE ESGOTO SANITÁRIO. AF_12/2014</t>
  </si>
  <si>
    <t>TE, PVC, SERIE NORMAL, ESGOTO PREDIAL, DN 50 X 50 MM, JUNTA ELÁSTICA, FORNECIDO E INSTALADO EM RAMAL DE DESCARGA OU RAMAL DE ESGOTO SANITÁRIO. AF_12/2014</t>
  </si>
  <si>
    <t>TE, PVC, SERIE NORMAL, ESGOTO PREDIAL, DN 100 X 100 MM, JUNTA ELÁSTICA, FORNECIDO E INSTALADO EM RAMAL DE DESCARGA OU RAMAL DE ESGOTO SANITÁRIO. AF_12/2014</t>
  </si>
  <si>
    <t>TUBO PVC, SERIE NORMAL, ESGOTO PREDIAL, DN 100 MM, FORNECIDO E INSTALADO EM RAMAL DE DESCARGA OU RAMAL DE ESGOTO SANITÁRIO. AF_12/2014</t>
  </si>
  <si>
    <t>TUBO PVC, SERIE NORMAL, ESGOTO PREDIAL, DN 50 MM, FORNECIDO E INSTALADO EM RAMAL DE DESCARGA OU RAMAL DE ESGOTO SANITÁRIO. AF_12/2014</t>
  </si>
  <si>
    <t>TUBO PVC, SERIE NORMAL, ESGOTO PREDIAL, DN 40 MM, FORNECIDO E INSTALADO EM RAMAL DE DESCARGA OU RAMAL DE ESGOTO SANITÁRIO. AF_12/2014</t>
  </si>
  <si>
    <t>RALO SIFONADO, PVC, DN 100 X 40 MM, JUNTA SOLDÁVEL, FORNECIDO E INSTALADO EM RAMAL DE DESCARGA OU EM RAMAL DE ESGOTO SANITÁRIO. AF_12/2014</t>
  </si>
  <si>
    <t>CAIXA ENTERRADA HIDRÁULICA RETANGULAR EM ALVENARIA COM TIJOLOS CERÂMICOS MACIÇOS, DIMENSÕES INTERNAS: 0,6X0,6X0,6 M PARA REDE DE ESGOTO. AF_12/2020</t>
  </si>
  <si>
    <t>TUBO PVC, SERIE NORMAL, ESGOTO PREDIAL, DN 150 MM, FORNECIDO E INSTALADO EM SUBCOLETOR AÉREO DE ESGOTO SANITÁRIO. AF_12/2014</t>
  </si>
  <si>
    <t>TUBO PVC, SERIE NORMAL, ESGOTO PREDIAL, DN 75 MM, FORNECIDO E INSTALADO EM RAMAL DE DESCARGA OU RAMAL DE ESGOTO SANITÁRIO. AF_12/2014</t>
  </si>
  <si>
    <t>JOELHO 45 GRAUS, PVC, SERIE NORMAL, ESGOTO PREDIAL, DN 75 MM, JUNTA ELÁSTICA, FORNECIDO E INSTALADO EM RAMAL DE DESCARGA OU RAMAL DE ESGOTO SANITÁRIO. AF_12/2014</t>
  </si>
  <si>
    <t>JUNÇÃO SIMPLES, PVC, SERIE NORMAL, ESGOTO PREDIAL, DN 50 X 50 MM, JUNTA ELÁSTICA, FORNECIDO E INSTALADO EM RAMAL DE DESCARGA OU RAMAL DE ESGOTO SANITÁRIO. AF_12/2014</t>
  </si>
  <si>
    <t>LUVA SIMPLES, PVC, SERIE NORMAL, ESGOTO PREDIAL, DN 75 MM, JUNTA ELÁSTICA, FORNECIDO E INSTALADO EM RAMAL DE DESCARGA OU RAMAL DE ESGOTO SANITÁRIO. AF_12/2014</t>
  </si>
  <si>
    <t>LUVA SIMPLES, PVC, SERIE NORMAL, ESGOTO PREDIAL, DN 100 MM, JUNTA ELÁSTICA, FORNECIDO E INSTALADO EM RAMAL DE DESCARGA OU RAMAL DE ESGOTO SANITÁRIO. AF_12/2014</t>
  </si>
  <si>
    <t>LUVA SIMPLES, PVC, SERIE NORMAL, ESGOTO PREDIAL, DN 50 MM, JUNTA ELÁSTICA, FORNECIDO E INSTALADO EM RAMAL DE DESCARGA OU RAMAL DE ESGOTO SANITÁRIO. AF_12/2014</t>
  </si>
  <si>
    <t>CAIXA DE GORDURA SIMPLES (CAPACIDADE: 36L), RETANGULAR, EM ALVENARIA COM TIJOLOS CERÂMICOS MACIÇOS, DIMENSÕES INTERNAS = 0,2X0,4 M, ALTURA INTERNA = 0,8 M. AF_12/2020</t>
  </si>
  <si>
    <t>REDUÇÃO EXCÊNTRICA, PVC, SERIE R, ÁGUA PLUVIAL, DN 75 X 50 MM, JUNTA ELÁSTICA, FORNECIDO E INSTALADO EM RAMAL DE ENCAMINHAMENTO. AF_12/2014</t>
  </si>
  <si>
    <t>TUBO, PVC, SOLDÁVEL, DN 60MM, INSTALADO EM PRUMADA DE ÁGUA - FORNECIMENTO E INSTALAÇÃO. AF_12/2014</t>
  </si>
  <si>
    <t>TUBO, PVC, SOLDÁVEL, DN 50MM, INSTALADO EM PRUMADA DE ÁGUA - FORNECIMENTO E INSTALAÇÃO. AF_12/2014</t>
  </si>
  <si>
    <t>TUBO, PVC, SOLDÁVEL, DN 25MM, INSTALADO EM RAMAL OU SUB-RAMAL DE ÁGUA - FORNECIMENTO E INSTALAÇÃO. AF_12/2014</t>
  </si>
  <si>
    <t>ADAPTADOR CURTO COM BOLSA E ROSCA PARA REGISTRO, PVC, SOLDÁVEL, DN 25MM X 3/4, INSTALADO EM RAMAL OU SUB-RAMAL DE ÁGUA - FORNECIMENTO E INSTALAÇÃO. AF_12/2014</t>
  </si>
  <si>
    <t>LUVA DE REDUÇÃO, PVC, SOLDÁVEL, DN 60MM X 50MM, INSTALADO EM PRUMADA DE ÁGUA - FORNECIMENTO E INSTALAÇÃO. AF_12/2014</t>
  </si>
  <si>
    <t>LUVA DE REDUÇÃO, PVC, SOLDÁVEL, DN 50MM X 25MM, INSTALADO EM PRUMADA DE ÁGUA   FORNECIMENTO E INSTALAÇÃO. AF_12/2014</t>
  </si>
  <si>
    <t>JOELHO 90 GRAUS COM BUCHA DE LATÃO, PVC, SOLDÁVEL, DN 25MM, X 1/2 INSTALADO EM RAMAL OU SUB-RAMAL DE ÁGUA - FORNECIMENTO E INSTALAÇÃO. AF_12/2014</t>
  </si>
  <si>
    <t>JOELHO 90 GRAUS, PVC, SOLDÁVEL, DN 60MM, INSTALADO EM PRUMADA DE ÁGUA - FORNECIMENTO E INSTALAÇÃO. AF_12/2014</t>
  </si>
  <si>
    <t>JOELHO 90 GRAUS, PVC, SOLDÁVEL, DN 25MM, INSTALADO EM RAMAL DE DISTRIBUIÇÃO DE ÁGUA - FORNECIMENTO E INSTALAÇÃO. AF_12/2014</t>
  </si>
  <si>
    <t>JOELHO 90 GRAUS, PVC, SOLDÁVEL, DN 50MM, INSTALADO EM PRUMADA DE ÁGUA - FORNECIMENTO E INSTALAÇÃO. AF_12/2014</t>
  </si>
  <si>
    <t>JOELHO 90 GRAUS, PVC, SOLDÁVEL, DN 20MM, INSTALADO EM RAMAL DE DISTRIBUIÇÃO DE ÁGUA - FORNECIMENTO E INSTALAÇÃO. AF_12/2014</t>
  </si>
  <si>
    <t>LUVA SOLDÁVEL E COM ROSCA, PVC, SOLDÁVEL, DN 25MM X 3/4, INSTALADO EM PRUMADA DE ÁGUA - FORNECIMENTO E INSTALAÇÃO. AF_12/2014</t>
  </si>
  <si>
    <t>LUVA, PVC, SOLDÁVEL, DN 25MM, INSTALADO EM RAMAL OU SUB-RAMAL DE ÁGUA - FORNECIMENTO E INSTALAÇÃO. AF_12/2014</t>
  </si>
  <si>
    <t>LUVA, PVC, SOLDÁVEL, DN 60MM, INSTALADO EM PRUMADA DE ÁGUA - FORNECIMENTO E INSTALAÇÃO. AF_12/2014</t>
  </si>
  <si>
    <t>LUVA, PVC, SOLDÁVEL, DN 20MM, INSTALADO EM RAMAL OU SUB-RAMAL DE ÁGUA - FORNECIMENTO E INSTALAÇÃO. AF_12/2014</t>
  </si>
  <si>
    <t>TÊ COM BUCHA DE LATÃO NA BOLSA CENTRAL, PVC, SOLDÁVEL, DN 25MM X 1/2, INSTALADO EM RAMAL OU SUB-RAMAL DE ÁGUA - FORNECIMENTO E INSTALAÇÃO. AF_12/2014</t>
  </si>
  <si>
    <t>TE, PVC, SOLDÁVEL, DN 60MM, INSTALADO EM PRUMADA DE ÁGUA - FORNECIMENTO E INSTALAÇÃO. AF_12/2014</t>
  </si>
  <si>
    <t>TE, PVC, SOLDÁVEL, DN 25MM, INSTALADO EM RAMAL DE DISTRIBUIÇÃO DE ÁGUA - FORNECIMENTO E INSTALAÇÃO. AF_12/2014</t>
  </si>
  <si>
    <t>TE, PVC, SOLDÁVEL, DN 50MM, INSTALADO EM PRUMADA DE ÁGUA - FORNECIMENTO E INSTALAÇÃO. AF_12/2014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</si>
  <si>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</si>
  <si>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</si>
  <si>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</si>
  <si>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65 (2 1/2"), CONEXÃO ROSQUEADA, INSTALADO EM REDE DE ALIMENTAÇÃO PARA HIDRANTE - FORNECIMENTO E INSTALAÇÃO. AF_10/2020</t>
  </si>
  <si>
    <t>COTOVELO 90 GRAUS, EM FERRO GALVANIZADO, CONEXÃO ROSQUEADA, DN 65 (2 1/2), INSTALADO EM RESERVAÇÃO DE ÁGUA DE EDIFICAÇÃO QUE POSSUA RESERVATÓRIO DE FIBRA/FIBROCIMENTO  FORNECIMENTO E INSTALAÇÃO. AF_06/2016</t>
  </si>
  <si>
    <t>LUVA, EM FERRO GALVANIZADO, CONEXÃO ROSQUEADA, DN 65 (2 1/2), INSTALADO EM RESERVAÇÃO DE ÁGUA DE EDIFICAÇÃO QUE POSSUA RESERVATÓRIO DE FIBRA/FIBROCIMENTO  FORNECIMENTO E INSTALAÇÃO. AF_06/2016</t>
  </si>
  <si>
    <t>TÊ, EM FERRO GALVANIZADO, CONEXÃO ROSQUEADA, DN 65 (2 1/2), INSTALADO EM RESERVAÇÃO DE ÁGUA DE EDIFICAÇÃO QUE POSSUA RESERVATÓRIO DE FIBRA/FIBROCIMENTO  FORNECIMENTO E INSTALAÇÃO. AF_06/2016</t>
  </si>
  <si>
    <t>REGISTRO DE GAVETA BRUTO, LATÃO, ROSCÁVEL, 2 1/2" - FORNECIMENTO E INSTALAÇÃO. AF_08/2021</t>
  </si>
  <si>
    <t>VÁLVULA DE RETENÇÃO HORIZONTAL, DE BRONZE, ROSCÁVEL, 2 1/2" - FORNECIMENTO E INSTALAÇÃO. AF_08/2021</t>
  </si>
  <si>
    <t>ABRIGO PARA HIDRANTE, 90X60X17CM, COM REGISTRO GLOBO ANGULAR 45 GRAUS 2 1/2", ADAPTADOR STORZ 2 1/2", MANGUEIRA DE INCÊNDIO 20M, REDUÇÃO 2 1/2" X 1 1/2" E ESGUICHO EM LATÃO 1 1/2" - FORNECIMENTO E INSTALAÇÃO. AF_10/2020</t>
  </si>
  <si>
    <t>HIDRANTE SUBTERRÂNEO PREDIAL (COM CURVA LONGA E CAIXA), DN 75 MM - FORNECIMENTO E INSTALAÇÃO. AF_10/2020</t>
  </si>
  <si>
    <t>EXTINTOR DE INCÊNDIO PORTÁTIL COM CARGA DE ÁGUA PRESSURIZADA DE 10 L, CLASSE A - FORNECIMENTO E INSTALAÇÃO. AF_10/2020_P</t>
  </si>
  <si>
    <t>EXTINTOR DE INCÊNDIO PORTÁTIL COM CARGA DE CO2 DE 6 KG, CLASSE BC - FORNECIMENTO E INSTALAÇÃO. AF_10/2020_P</t>
  </si>
  <si>
    <t>EXTINTOR DE INCÊNDIO PORTÁTIL COM CARGA DE PQS DE 8 KG, CLASSE BC - FORNECIMENTO E INSTALAÇÃO. AF_10/2020_P</t>
  </si>
  <si>
    <t>LUMINÁRIA DE EMERGÊNCIA, COM 30 LÂMPADAS LED DE 2 W, SEM REATOR - FORNECIMENTO E INSTALAÇÃO. AF_02/2020</t>
  </si>
  <si>
    <t>CAIXA RETANGULAR 4" X 2" MÉDIA (1,30 M DO PISO), PVC, INSTALADA EM PAREDE - FORNECIMENTO E INSTALAÇÃO. AF_12/20</t>
  </si>
  <si>
    <t>TOMADA MÉDIA DE EMBUTIR (1 MÓDULO), 2P+T 20 A, INCLUINDO SUPORTE E PLACA - FORNECIMENTO E INSTALAÇÃO. AF_12/2015</t>
  </si>
  <si>
    <t>TOMADA MÉDIA DE EMBUTIR (1 MÓDULO), 2P+T 10 A, INCLUINDO SUPORTE E PLACA - FORNECIMENTO E INSTALAÇÃO. AF_12/2015</t>
  </si>
  <si>
    <t>INTERRUPTOR SIMPLES (1 MÓDULO), 10A/250V, INCLUINDO SUPORTE E PLACA - FORNECIMENTO E INSTALAÇÃO. AF_12/2015</t>
  </si>
  <si>
    <t>INTERRUPTOR SIMPLES (2 MÓDULOS), 10A/250V, INCLUINDO SUPORTE E PLACA - FORNECIMENTO E INSTALAÇÃO. AF_12/2015</t>
  </si>
  <si>
    <t>CAIXA OCTOGONAL 4" X 4", PVC, INSTALADA EM LAJE - FORNECIMENTO E INSTALAÇÃO. AF_12/2015</t>
  </si>
  <si>
    <t>LUVA PARA ELETRODUTO, PVC, ROSCÁVEL, DN 25 MM (3/4"), PARA CIRCUITOS TERMINAIS, INSTALADA EM FORRO - FORNECIMENTO E INSTALAÇÃO. AF_12/2015</t>
  </si>
  <si>
    <t>ELETRODUTO FLEXÍVEL CORRUGADO, PVC, DN 25 MM (3/4"), PARA CIRCUITOS TERMINAIS, INSTALADO EM PAREDE - FORNECIMENTO E INSTALAÇÃO. AF_12/2015</t>
  </si>
  <si>
    <t>ELETRODUTO RÍGIDO SOLDÁVEL, PVC, DN 32 MM (1), APARENTE, INSTALADO EM PAREDE - FORNECIMENTO E INSTALAÇÃO. AF_11/2016_P</t>
  </si>
  <si>
    <t>CURVA 90 GRAUS PARA ELETRODUTO, PVC, ROSCÁVEL, DN 32 MM (1"), PARA CIRCUITOS TERMINAIS, INSTALADA EM PAREDE - FORNECIMENTO E INSTALAÇÃO. AF_12/2015</t>
  </si>
  <si>
    <t>LUVA PARA ELETRODUTO, PVC, SOLDÁVEL, DN 32 MM (1), APARENTE, INSTALADA EM PAREDE - FORNECIMENTO E INSTALAÇÃO. AF_11/2016_P</t>
  </si>
  <si>
    <t>ENTRADA DE ENERGIA ELÉTRICA, AÉREA, TRIFÁSICA, COM CAIXA DE EMBUTIR, CABO DE 35 MM2 E DISJUNTOR DIN 50A (NÃO INCLUSO O POSTE DE CONCRETO). AF_07/2020</t>
  </si>
  <si>
    <t>LUMINÁRIA TIPO PLAFON EM PLÁSTICO, DE SOBREPOR, COM 1 LÂMPADA FLUORESCENTE DE 15 W, SEM REATOR - FORNECIMENTO E INSTALAÇÃO. AF_02/2020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</si>
  <si>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</si>
  <si>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</si>
  <si>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CORDOALHA DE COBRE NU 25 MM², NÃO ENTERRADA, COM ISOLADOR - FORNECIMENTO E INSTALAÇÃO. AF_12/2017</t>
  </si>
  <si>
    <t>QUADRO DE DISTRIBUIÇÃO DE ENERGIA EM CHAPA DE AÇO GALVANIZADO, DE EMBUTIR, COM BARRAMENTO TRIFÁSICO, PARA 40 DISJUNTORES DIN 100A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</si>
  <si>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</si>
  <si>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</si>
  <si>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25A - FORNECIMENTO E INSTALAÇÃO. AF_10/2020</t>
  </si>
  <si>
    <t>DISJUNTOR TERMOMAGNÉTICO TRIPOLAR , CORRENTE NOMINAL DE 125A - FORNECIMENTO E INSTALAÇÃO. AF_10/2020</t>
  </si>
  <si>
    <t>SUPORTE PARA ELETROCALHA LISA OU PERFURADA EM AÇO GALVANIZADO, LARGURA 200 OU 400 MM E ALTURA 50 MM, ESPAÇADO A CADA 1,5 M, EM PERFILADO DE SEÇÃO 38X76 MM, POR METRO DE ELETRECOLHA FIXADA. AF_07/2017</t>
  </si>
  <si>
    <t>APLICAÇÃO MANUAL DE PINTURA COM TINTA LÁTEX ACRÍLICA EM PAREDES, DUAS DEMÃOS. AF_06/2014</t>
  </si>
  <si>
    <t>APLICAÇÃO MANUAL DE MASSA ACRÍLICA EM PAREDES EXTERNAS DE CASAS, DUAS DEMÃOS. AF_05/2017</t>
  </si>
  <si>
    <t>APLICAÇÃO DE FUNDO SELADOR ACRÍLICO EM PAREDES, UMA DEMÃO. AF_06/2014</t>
  </si>
  <si>
    <t>APLICAÇÃO E LIXAMENTO DE MASSA LÁTEX EM PAREDES, DUAS DEMÃOS. AF_06/2014</t>
  </si>
  <si>
    <t>PINTURA VERNIZ (INCOLOR) ALQUÍDICO EM MADEIRA, USO INTERNO E EXTERNO, 1 DEMÃO. AF_01/2021</t>
  </si>
  <si>
    <t>PINTURA COM TINTA ALQUÍDICA DE FUNDO E ACABAMENTO (ESMALTE SINTÉTICO GRAFITE) PULVERIZADA SOBRE SUPERFÍCIES METÁLICAS (EXCETO PERFIL) EXECUTADO EM OBRA (POR DEMÃO). AF_01/2020_P</t>
  </si>
  <si>
    <t>CUBA DE EMBUTIR OVAL EM LOUÇA BRANCA, 35 X 50CM OU EQUIVALENTE, INCLUSO VÁLVULA EM METAL CROMADO E SIFÃO FLEXÍVEL EM PVC - FORNECIMENTO E INSTALAÇÃO. AF_01/2020</t>
  </si>
  <si>
    <t>TORNEIRA CROMADA DE MESA, 1/2 OU 3/4, PARA LAVATÓRIO, PADRÃO POPULAR - FORNECIMENTO E INSTALAÇÃO. AF_01/2020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</si>
  <si>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</si>
  <si>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BARRA DE APOIO RETA, EM ACO INOX POLIDO, COMPRIMENTO 90 CM,  FIXADA NA PAREDE - FORNECIMENTO E INSTALAÇÃO. AF_01/2020</t>
  </si>
  <si>
    <t>ASSENTO SANITÁRIO CONVENCIONAL - FORNECIMENTO E INSTALACAO. AF_01/2020</t>
  </si>
  <si>
    <t>VASO SANITÁRIO SIFONADO COM CAIXA ACOPLADA LOUÇA BRANCA, INCLUSO ENGATE FLEXÍVEL EM PLÁSTICO BRANCO, 1/2  X 40CM - FORNECIMENTO E INSTALAÇÃO. AF_01/2020</t>
  </si>
  <si>
    <t>VASO SANITARIO SIFONADO CONVENCIONAL PARA PCD SEM FURO FRONTAL COM LOUÇA BRANCA SEM ASSENTO, INCLUSO CONJUNTO DE LIGAÇÃO PARA BACIA SANITÁRIA AJUSTÁVEL - FORNECIMENTO E INSTALAÇÃO. AF_01/2020</t>
  </si>
  <si>
    <t>KIT DE ACESSORIOS PARA BANHEIRO EM METAL CROMADO, 5 PECAS, INCLUSO FIXAÇÃO. AF_01/2020</t>
  </si>
  <si>
    <t>TANQUE DE MÁRMORE SINTÉTICO SUSPENSO, 22L OU EQUIVALENTE, INCLUSO SIFÃO FLEXÍVEL EM PVC, VÁLVULA PLÁSTICA E TORNEIRA DE METAL CROMADO PADRÃO POPULAR - FORNECIMENTO E INSTALAÇÃO. AF_01/2020</t>
  </si>
  <si>
    <t>LIMPEZA DE PISO CERÂMICO OU PORCELANATO COM PANO ÚMIDO. AF_04/2019</t>
  </si>
  <si>
    <t>PORTA DE CORRER DE ALUMÍNIO, COM DUAS FOLHAS PARA VIDRO, INCLUSO VIDRO LISO INCOLOR, FECHADURA E PUXADOR, SEM ALIZAR. AF_12/2019</t>
  </si>
  <si>
    <t>JANELA DE ALUMÍNIO TIPO MAXIM-AR, COM VIDROS, BATENTE E FERRAGENS. EXCLUSIVE ALIZAR, ACABAMENTO E CONTRAMARCO. FORNECIMENTO E INSTALAÇÃO. AF_12/2019</t>
  </si>
  <si>
    <t>PORTA EM ALUMÍNIO DE ABRIR TIPO VENEZIANA COM GUARNIÇÃO, FIXAÇÃO COM PARAFUSOS - FORNECIMENTO E INSTALAÇÃO. AF_12/2019</t>
  </si>
  <si>
    <t>PORTA DE FERRO, DE ABRIR, TIPO GRADE COM CHAPA, COM GUARNIÇÕES. AF_12/2019</t>
  </si>
  <si>
    <t>KIT DE PORTA DE MADEIRA PARA PINTURA, SEMI-OCA (LEVE OU MÉDIA), PADRÃO MÉDIO, 60X210CM, ESPESSURA DE 3,5CM, ITENS INCLUSOS: DOBRADIÇAS, MONTAGEM E INSTALAÇÃO DO BATENTE, FECHADURA COM EXECUÇÃO DO FURO - FORNECIMENTO E INSTALAÇÃO. AF_12/2019</t>
  </si>
  <si>
    <t>KIT DE PORTA DE MADEIRA PARA PINTURA, SEMI-OCA (LEVE OU MÉDIA), PADRÃO MÉDIO, 70X210CM, ESPESSURA DE 3,5CM, ITENS INCLUSOS: DOBRADIÇAS, MONTAGEM E INSTALAÇÃO DO BATENTE, FECHADURA COM EXECUÇÃO DO FURO - FORNECIMENTO E INSTALAÇÃO. AF_12/2019</t>
  </si>
  <si>
    <t>SERVIÇOS PRELIMINARES</t>
  </si>
  <si>
    <t xml:space="preserve">SISTEMA PREDIAL DE ESGOTO SANITÁRIO -NBR 9160 </t>
  </si>
  <si>
    <t>ITEM</t>
  </si>
  <si>
    <t>FONTE</t>
  </si>
  <si>
    <t>CÓDIGO</t>
  </si>
  <si>
    <t>DISCRIMINAÇÃO DO SERVIÇOS</t>
  </si>
  <si>
    <t>UNID.</t>
  </si>
  <si>
    <t>QUANT.</t>
  </si>
  <si>
    <t>VALOR UNIT. (R$)</t>
  </si>
  <si>
    <t>VALOR TOTAL (R$)</t>
  </si>
  <si>
    <t>PREFEITURA MUNICIPAL DE SOUSA</t>
  </si>
  <si>
    <t>Empresa: COMPACTO CONSTRUÇÕES E SERVIÇOS - EIRELE - CNPJ: 09.545.520/0001-54 - Telefone: (83) 9 9117-7810 - Email: compactoconstrucoes1@gmail.com</t>
  </si>
  <si>
    <t>Responsável Técnico: LÚCIO LAURO BARBOSA - CREA/PB Nº 160.594.868-3</t>
  </si>
  <si>
    <t>Forma plana para fundações, em tábua de pinho, 07 usos.</t>
  </si>
  <si>
    <t>Forma plana para estruturas, em compensado plastificado de 12mm, 07 usos.</t>
  </si>
  <si>
    <t>Divisória em granito cinza andorinha polido, e=2cm, inclusive com montagem em ferragem - Rev 02.</t>
  </si>
  <si>
    <t>Portão em ferro, em tubo de aço galvanizado 2" e tela ondulada, malha 3/8".</t>
  </si>
  <si>
    <t>Porta em madeira compensada (canela), lisa e semi-oca, 1,00 x 2,10 m, inclusive batentes e ferragens.</t>
  </si>
  <si>
    <t>Porta em vidro temperado 10mm, incolor,inclusive ferragens de fixação e instalação, exclusive puxador.</t>
  </si>
  <si>
    <t xml:space="preserve"> </t>
  </si>
  <si>
    <t>Puxador duplo para porta, em alumínio polido, d = 1", I = 40mm, ref. 3008, Vesfer</t>
  </si>
  <si>
    <t>Junção simples em pvc rígido soldável, para esgoto primário, diâm = 75 x 50 mm.</t>
  </si>
  <si>
    <t>Junção simples em pvc rígido soldável, para esgoto primário, diâm = 100 x 50 mm.</t>
  </si>
  <si>
    <t>Caixa sifonada em pvc, 150 x150 x50 mm, com tampa cega, acabamento branco, akros ou similar.</t>
  </si>
  <si>
    <t>Caixa de espuma em alvenaria 40x40x50cm - Rer 01.</t>
  </si>
  <si>
    <t>Joelho de 90º pvc rígido soldável c/ bucha de latão, d=20mmx1/2".</t>
  </si>
  <si>
    <t>Conjunto moto bomba com motor 1/2 cv, monofásico, bomba centrífuga, sucção = 3/4", recalque=3/4", pr. Máx 23mca, faixas hm (m), q (m³/h) : (20-2,1)(17-2,9)(14-3,4)(11-3,9)(8-4,3)(5-4,7), inclusive chave de partida direta.</t>
  </si>
  <si>
    <t>Válvula de fluxo contínuo galvanizada (p/incêndio)</t>
  </si>
  <si>
    <t>Placa de sinalização de segurança contra incêndio, fotoluminescente, retangular, (20x40)cm, em pvc de 2cm anti-chamas (simblos, cores, e pictograma conforme nbr 13434)</t>
  </si>
  <si>
    <t>Placa de sinalização, fotoluminescente, em pvc, com logotipo "Extintor de incêndio portátil"- Placa E5</t>
  </si>
  <si>
    <t>Placa de sinalização, fotoluminescente, em pvc, com logotipo "Hidrante de incêndio"- Placa E9</t>
  </si>
  <si>
    <t>Dispositivo DR tetrapolar 100A, tipo AC, 30MA</t>
  </si>
  <si>
    <t>Fornecimento e instalação de eletrocalha perfurada 200x70x3000mm (ref. Mopa ou similar).</t>
  </si>
  <si>
    <t>Cantoneira "ZZ" para fixação de perfilado, ref. Mopa ou similar.</t>
  </si>
  <si>
    <t>Pia de cozinha com bancada em granito cinza andorinha, e=2cm, dim 3,40x0,60m, com duas cubas de aço inóx, sifão cromado, válvula cromada, torneira cromada 1/2", inclusive rodopia 10cm, assentada.</t>
  </si>
  <si>
    <t>Bancada em granito cinza andorinha, e=2cm.</t>
  </si>
  <si>
    <t>Chuveiro plástico sem registro.</t>
  </si>
  <si>
    <t>Corrimão em tubo de aço galvanizado (altura = 1,05 m), com barras verticais a cada 2,00m (1.1/2"), barra horizontal  superior (2"), barra horizontal intermediária (dupla) (1.1/2") e barra horizontal inferior (1").</t>
  </si>
  <si>
    <t>Banco de concreto em alvenaria de tijolo maciço, assento em concreto simples, sem encosto, revestido em todas as faces com cerâmica Elizabeth 20x20cm ou similar.</t>
  </si>
  <si>
    <t>Letra em alumínio 50x50cm - instalado</t>
  </si>
  <si>
    <t>Letra em alumínio 25x25cm - instalado</t>
  </si>
  <si>
    <t>REFERÊNCIA: ORSE, SEINFRA-CE E SINAPI-PB(FEVEREIRO/2022) C/DESONERAÇÃO - ENCARGOS SOCIAIS : 86,59% (HORA) - 48,16 % (MÊS)</t>
  </si>
  <si>
    <t>BDI = 26,63%</t>
  </si>
  <si>
    <t>ENDEREÇO: RUA LUIZ PEREIRA DA SILVA, S/N, CENTRO, SOUSA-PB</t>
  </si>
  <si>
    <t>OBRA : CENTRO DE ONCOLOGIA DE SOUSA</t>
  </si>
  <si>
    <t>PLANILHA ORÇAMENTÁRIA SINTÉTICA</t>
  </si>
  <si>
    <t>VALOR TOTAL</t>
  </si>
  <si>
    <t>VALOR PARCIAL</t>
  </si>
  <si>
    <t>BDI (26,63%)</t>
  </si>
  <si>
    <t>O ORÇAMENTO É DE R$ 989.890,42 (NOVECENTOS E OITENTA E NOVE MIL, OITOCENTOS E NOVENTA REAIS E QUARENTA E DOIS CENTAVOS)</t>
  </si>
  <si>
    <t>ESTADO DA PARAÍBA</t>
  </si>
  <si>
    <t>PREFEITURA  MUNICIPAL  DE SOUSA - PB</t>
  </si>
  <si>
    <t>Objetivo</t>
  </si>
  <si>
    <t>Agente Promotor</t>
  </si>
  <si>
    <t>Data de Emissão</t>
  </si>
  <si>
    <t>Nº BM</t>
  </si>
  <si>
    <t>Localização</t>
  </si>
  <si>
    <t>Contratada</t>
  </si>
  <si>
    <t>Início da Obra</t>
  </si>
  <si>
    <t>Termino da Obra</t>
  </si>
  <si>
    <t>COMPACTO CONSTRUÇÕES EIRELI - EPP</t>
  </si>
  <si>
    <t>Modalidade</t>
  </si>
  <si>
    <t>Nº de Contrato e Data de assinatura</t>
  </si>
  <si>
    <t>Valor do Contrato / PMS</t>
  </si>
  <si>
    <t>Valor da medição - R$</t>
  </si>
  <si>
    <t>Período de medição</t>
  </si>
  <si>
    <t>Itens</t>
  </si>
  <si>
    <t>Discriminação dos serviços do orçamento</t>
  </si>
  <si>
    <t>Unid.</t>
  </si>
  <si>
    <t>Custo Unitário</t>
  </si>
  <si>
    <t>Quantidade</t>
  </si>
  <si>
    <t>Financeiro</t>
  </si>
  <si>
    <t>Desvio (%)</t>
  </si>
  <si>
    <t>Prevista</t>
  </si>
  <si>
    <t>Medida no período</t>
  </si>
  <si>
    <t>Acumulada incluindo o período</t>
  </si>
  <si>
    <t>MEMÓRIA DE CÁLCULO - QUANTIDADES</t>
  </si>
  <si>
    <t>Obra:</t>
  </si>
  <si>
    <t>Proprietário:</t>
  </si>
  <si>
    <t>Prefeitura Municipal de Sousa</t>
  </si>
  <si>
    <t>Local:</t>
  </si>
  <si>
    <t>Responsável Técnico:</t>
  </si>
  <si>
    <t>Item</t>
  </si>
  <si>
    <t>Descrição</t>
  </si>
  <si>
    <t>Vez</t>
  </si>
  <si>
    <t>Dados</t>
  </si>
  <si>
    <t>Resultado</t>
  </si>
  <si>
    <t>Un.</t>
  </si>
  <si>
    <t>X1</t>
  </si>
  <si>
    <t>X2</t>
  </si>
  <si>
    <t>Y1</t>
  </si>
  <si>
    <t>Y2</t>
  </si>
  <si>
    <t>Z1</t>
  </si>
  <si>
    <t>Z2</t>
  </si>
  <si>
    <t>Parcial</t>
  </si>
  <si>
    <t>Total</t>
  </si>
  <si>
    <t>M2</t>
  </si>
  <si>
    <t>CONCORRÊNCIA 06/2022</t>
  </si>
  <si>
    <t>CENTRO DE ONCOLOGIA DE SOUSA</t>
  </si>
  <si>
    <t>RUA LUIZ PEREIRA DA SILVA, S/N, CENTRO, SOUSA-PB</t>
  </si>
  <si>
    <t>Nº 0701/2022  - 20/10/2022</t>
  </si>
  <si>
    <t>PEQUENOS PROCEDIMENTO</t>
  </si>
  <si>
    <t>SALA DE COLETA</t>
  </si>
  <si>
    <t>SALA DE OBSERVAÇÃO</t>
  </si>
  <si>
    <t>RECEPÇÃO</t>
  </si>
  <si>
    <t>SALA COLETA DE SANGUE</t>
  </si>
  <si>
    <t>CIRCULAÇÃO ATRAS</t>
  </si>
  <si>
    <t>SALA DE FISIOTERAPIA</t>
  </si>
  <si>
    <t>CONSULTÓRIO MÉDICO 02</t>
  </si>
  <si>
    <t>CONSULTÓRIO MÉDICO 01</t>
  </si>
  <si>
    <t>CIRCULAÇÃO CENTRAL</t>
  </si>
  <si>
    <t>SALA DE TELEMEDICINA</t>
  </si>
  <si>
    <t>MANIPULAÇÃO</t>
  </si>
  <si>
    <t>SALA DIRETORIA</t>
  </si>
  <si>
    <t>ASSISTENCIA SOCIAL</t>
  </si>
  <si>
    <t>CIRCULAÇÃO LADO DIREITO</t>
  </si>
  <si>
    <t>REFEITORIO</t>
  </si>
  <si>
    <t>SALA DE QUIMIOTERAPIA</t>
  </si>
  <si>
    <t>BANHEIRO RECEPÇÃO</t>
  </si>
  <si>
    <t>LAVANDERIA</t>
  </si>
  <si>
    <t>TOTAL=</t>
  </si>
  <si>
    <t>ACUMULADO</t>
  </si>
  <si>
    <t>SALA FISIOTERAPIA</t>
  </si>
  <si>
    <t>SALA FINANCEIRO</t>
  </si>
  <si>
    <t>DEPÓSITO</t>
  </si>
  <si>
    <t>LAVAGEM,ROTULAÇÃO,BARREIRA</t>
  </si>
  <si>
    <t>REFEITÓRIO</t>
  </si>
  <si>
    <t>CIRCULAÇÃO ESQUEDA</t>
  </si>
  <si>
    <t>BANHEIRO LADO DIREITO</t>
  </si>
  <si>
    <t>BANHEIRO</t>
  </si>
  <si>
    <t>REDE DE DISTRIBUIÇÃO GERAL</t>
  </si>
  <si>
    <t>PEQUENOS PROCEDIMENTOS</t>
  </si>
  <si>
    <t>SALA DE OBSERVAÇÃO 2</t>
  </si>
  <si>
    <t>POSTO DE ENFERMAGEM</t>
  </si>
  <si>
    <t>SALA DE UTILIDADES</t>
  </si>
  <si>
    <t>WC FEM.</t>
  </si>
  <si>
    <t>WC MASC.</t>
  </si>
  <si>
    <t>BANHEIRO QUIOTERAPIA</t>
  </si>
  <si>
    <t>CONSULTORIO 02</t>
  </si>
  <si>
    <t>BARREIRA SUJA</t>
  </si>
  <si>
    <t>DIRETORIA</t>
  </si>
  <si>
    <t>WC ASSISTENCIA</t>
  </si>
  <si>
    <t>WC PNE</t>
  </si>
  <si>
    <t>CIRCULAÇÃO LADO ESQUERDO</t>
  </si>
  <si>
    <t>CONSULTORIO  E BANHEIRO 01</t>
  </si>
  <si>
    <t>WC FEM. E WC MASC.</t>
  </si>
  <si>
    <t>BM06=</t>
  </si>
  <si>
    <t>SALA DE QUIOTERAPIA</t>
  </si>
  <si>
    <t>SALA TELEMEDICINA</t>
  </si>
  <si>
    <t>SALA DIRETORIA E FINANCEIRO</t>
  </si>
  <si>
    <t>Remoção de caixão de madeira (aduela)</t>
  </si>
  <si>
    <t>REMOÇÃO DE JANELAS, DE FORMA MANUAL, SEM REAPROVEITAMENTO. AF_12/2017</t>
  </si>
  <si>
    <t>REMOÇÃO DE FORRO DE GESSO, DE FORMA MANUAL, SEM REAPROVEITAMENTO. AF_12/2017</t>
  </si>
  <si>
    <t>DEMOLIÇÃO DE LAJES, DE FORMA MANUAL, SEM REAPROVEITAMENTO. AF_12/2017</t>
  </si>
  <si>
    <t>REMOÇÃO DE TELHAS, DE FIBROCIMENTO, METÁLICA E CERÂMICA, DE FORMA MANUAL, SEM REAPROVEITAMENTO. AF_12/2017</t>
  </si>
  <si>
    <t>1.6</t>
  </si>
  <si>
    <t>1.7</t>
  </si>
  <si>
    <t>1.8</t>
  </si>
  <si>
    <t>1.9</t>
  </si>
  <si>
    <t>1.10</t>
  </si>
  <si>
    <t>1.11</t>
  </si>
  <si>
    <t>un</t>
  </si>
  <si>
    <t>M3</t>
  </si>
  <si>
    <t xml:space="preserve">TOMADA DE PREÇO  - CONTRATO Nº </t>
  </si>
  <si>
    <t xml:space="preserve">REPROGRAMAÇÃO </t>
  </si>
  <si>
    <r>
      <rPr>
        <b/>
        <sz val="7"/>
        <rFont val="Arial"/>
        <family val="2"/>
      </rPr>
      <t>ITEM</t>
    </r>
  </si>
  <si>
    <t>REFERÊNCIA</t>
  </si>
  <si>
    <r>
      <rPr>
        <b/>
        <sz val="7"/>
        <rFont val="Arial"/>
        <family val="2"/>
      </rPr>
      <t>DESCRIÇÃO</t>
    </r>
    <r>
      <rPr>
        <b/>
        <sz val="6"/>
        <color rgb="FF000000"/>
        <rFont val="Arial"/>
        <family val="2"/>
      </rPr>
      <t xml:space="preserve"> DOS SERVIÇOS</t>
    </r>
  </si>
  <si>
    <t>ORIGEM</t>
  </si>
  <si>
    <t>UND.</t>
  </si>
  <si>
    <t>QUANTIDADES</t>
  </si>
  <si>
    <t>PREÇO UNITÁRIO COM BDI</t>
  </si>
  <si>
    <t>PREÇO TOTAL R$</t>
  </si>
  <si>
    <t>LICITADA</t>
  </si>
  <si>
    <t>ACRESCIDO</t>
  </si>
  <si>
    <t>SUPRIMIDO</t>
  </si>
  <si>
    <t>REPROGRAMADA</t>
  </si>
  <si>
    <t>LICITADO</t>
  </si>
  <si>
    <t>REPROGRAMADO</t>
  </si>
  <si>
    <t>Remoção de pintura látex (raspagem e/ou lixamento e/ou escovação)</t>
  </si>
  <si>
    <t>m2</t>
  </si>
  <si>
    <t>90447</t>
  </si>
  <si>
    <t>RASGO EM ALVENARIA PARA ELETRODUTOS COM DIAMETROS MENORES OU IGUAIS A 40 MM. AF_05/2015</t>
  </si>
  <si>
    <t>M</t>
  </si>
  <si>
    <t>97645</t>
  </si>
  <si>
    <t>97641</t>
  </si>
  <si>
    <t>97628</t>
  </si>
  <si>
    <t>1.14</t>
  </si>
  <si>
    <t>97647</t>
  </si>
  <si>
    <t>1.16</t>
  </si>
  <si>
    <t>Coleta e carga manuais de entulho</t>
  </si>
  <si>
    <t>2.17</t>
  </si>
  <si>
    <t>101616</t>
  </si>
  <si>
    <t>PREPARO DE FUNDO DE VALA COM LARGURA MENOR QUE 1,5 M (ACERTO DO SOLO NATURAL). AF_08/2020</t>
  </si>
  <si>
    <t>3.3</t>
  </si>
  <si>
    <t>C0074</t>
  </si>
  <si>
    <t>ALVENARIA DE TIJOLO CERÂMICO FURADO (9x19x19)cm C/ARGAMASSA MISTA DE CAL HIDRATADA ESP=20 cm</t>
  </si>
  <si>
    <t>SEINFRA</t>
  </si>
  <si>
    <t>5.4</t>
  </si>
  <si>
    <t>Retelhamento em cobertura com telha ceramica tipo canal comum, Itabaiana ou similar.</t>
  </si>
  <si>
    <t>5.5</t>
  </si>
  <si>
    <t>92543</t>
  </si>
  <si>
    <t>TRAMA DE MADEIRA COMPOSTA POR TERÇAS PARA TELHADOS DE ATÉ 2 ÁGUAS PARA TELHA ONDULADA DE FIBROCIMENTO, METÁLICA, PLÁSTICA OU TERMOACÚSTICA, INCLUSO TRANSPORTE VERTICAL. AF_07/2019</t>
  </si>
  <si>
    <t>5.6</t>
  </si>
  <si>
    <t>94207</t>
  </si>
  <si>
    <t>TELHAMENTO COM TELHA ONDULADA DE FIBROCIMENTO E = 6 MM, COM RECOBRIMENTO LATERAL DE 1/4 DE ONDA PARA TELHADO COM INCLINAÇÃO MAIOR QUE 10°, COM ATÉ 2 ÁGUAS, INCLUSO IÇAMENTO. AF_07/2019</t>
  </si>
  <si>
    <t>5.7</t>
  </si>
  <si>
    <t>Calha em chapa de aço galvanizado nº 26, desenvolvimento 86 cm (fundo=32 cm, laterais=15 cm, bordas=12cm)</t>
  </si>
  <si>
    <t>5.8</t>
  </si>
  <si>
    <t>94219</t>
  </si>
  <si>
    <t>CUMEEIRA E ESPIGÃO PARA TELHA CERÂMICA EMBOÇADA COM ARGAMASSA TRAÇO 1:2:9 (CIMENTO, CAL E AREIA), PARA TELHADOS COM MAIS DE 2 ÁGUAS, INCLUSO TRANSPORTE VERTICAL. AF_07/2019</t>
  </si>
  <si>
    <t>6.1.11</t>
  </si>
  <si>
    <t>100674</t>
  </si>
  <si>
    <t>JANELA FIXA DE ALUMÍNIO PARA VIDRO, COM VIDRO, BATENTE E FERRAGENS. EXCLUSIVE ACABAMENTO, ALIZAR E CONTRAMARCO. FORNECIMENTO E INSTALAÇÃO. AF_12/2019</t>
  </si>
  <si>
    <t>6.1.12</t>
  </si>
  <si>
    <t>Gradil em alumínio anodizado branco, com barras de apoio em alumínio anodizado branco de 1"x2" horizontais a cada 5cm com 1,85m e barras externas verticais em alumínio anodizado branco de 1.1/2" x 1.1/2" com 3,05m - Fixado com rebite</t>
  </si>
  <si>
    <t>6.1.13</t>
  </si>
  <si>
    <t>Portão em alumínio, cor N/B/P, em perfís búzio quadrado ou lambril, completo inclusive rodízios, perfís e fechadura</t>
  </si>
  <si>
    <t>6.1.14</t>
  </si>
  <si>
    <t>Revestimento com chapa em fórmica brilhante, esp. = 1,3 mm, colada c/ formicola ou similar</t>
  </si>
  <si>
    <t>6.1.15</t>
  </si>
  <si>
    <t>Batente em madeira de lei l = 0,14 m (caixão), incluindo 02 jogos de alizar</t>
  </si>
  <si>
    <t>6.1.16</t>
  </si>
  <si>
    <t>102152</t>
  </si>
  <si>
    <t>INSTALAÇÃO DE VIDRO LISO, E = 4 MM, EM ESQUADRIA DE MADEIRA, FIXADO COM BAGUETE. AF_01/2021</t>
  </si>
  <si>
    <t>6.1.17</t>
  </si>
  <si>
    <t>Porta em madeira compensada (canela), lisa, semi-ôca, 1.20 x 2.10 m, revestida c/fórmica, inclusive batentes e ferragens</t>
  </si>
  <si>
    <t>6.1.18</t>
  </si>
  <si>
    <t>Porta em madeira compensada (canela), lisa, semi-ôca, 1.40 x 2.10 m, com duas folhas, inclusive batentes e ferragens</t>
  </si>
  <si>
    <t>6.1.19</t>
  </si>
  <si>
    <t>Porta em madeira compensada (canela), lisa, semi-ôca, 2.00 x 2.10 m, com duas folhas, inclusive batentes e ferragens</t>
  </si>
  <si>
    <t>6.2.3</t>
  </si>
  <si>
    <t>Fornecimento e instalação de fachada em pele de vidro, em vidro laminado 3+3 refletivo</t>
  </si>
  <si>
    <t>8.5</t>
  </si>
  <si>
    <t>LASTRO DE CONCRETO MAGRO, APLICADO EM PISOS, LAJES SOBRE SOLO OU RADIERS, ESPESSURA DE 5 CM. AF_07/2016</t>
  </si>
  <si>
    <t>1.0</t>
  </si>
  <si>
    <t>GUARDA MATERIAL</t>
  </si>
  <si>
    <t>SALA DE UTILIDADE</t>
  </si>
  <si>
    <t>SALA DE RADIOLOGIA</t>
  </si>
  <si>
    <t>DML</t>
  </si>
  <si>
    <t>BARREIRA LIMPA E SUJA</t>
  </si>
  <si>
    <t>ROTULAÇÃO</t>
  </si>
  <si>
    <t>ASSIST. SOCIAL</t>
  </si>
  <si>
    <t>WC FEM E MASC</t>
  </si>
  <si>
    <t>ARQUIVO</t>
  </si>
  <si>
    <t xml:space="preserve">WC </t>
  </si>
  <si>
    <t>CIRC. RADIOLOGIA</t>
  </si>
  <si>
    <t xml:space="preserve">CIRCULAÇÃO </t>
  </si>
  <si>
    <t>QUIMIOTERAPIA</t>
  </si>
  <si>
    <t>REFEIRORIO</t>
  </si>
  <si>
    <t>CORREDOR CENTRAL</t>
  </si>
  <si>
    <t>ALTURA</t>
  </si>
  <si>
    <t>COBERTA A</t>
  </si>
  <si>
    <t>ENTRADA</t>
  </si>
  <si>
    <t>COBERTA C</t>
  </si>
  <si>
    <t>COBERTA G</t>
  </si>
  <si>
    <t>2.0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</si>
  <si>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</si>
  <si>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</si>
  <si>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</si>
  <si>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</si>
  <si>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</si>
  <si>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</si>
  <si>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</si>
  <si>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</si>
  <si>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</si>
  <si>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</si>
  <si>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</si>
  <si>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KG</t>
  </si>
  <si>
    <t>V08</t>
  </si>
  <si>
    <t>V40</t>
  </si>
  <si>
    <t>3.0</t>
  </si>
  <si>
    <t>FACHADA</t>
  </si>
  <si>
    <t>COMPRIMENTO</t>
  </si>
  <si>
    <t>5.0</t>
  </si>
  <si>
    <t>QUADRADO CALHA</t>
  </si>
  <si>
    <t>EMPENA DIREITA</t>
  </si>
  <si>
    <t>FECH CORREDOR</t>
  </si>
  <si>
    <t>EMPENA ESQUERDA</t>
  </si>
  <si>
    <t xml:space="preserve"> QUADRADO EMPENA ESQUERDA</t>
  </si>
  <si>
    <t>EMCIMA DA RADIOLOGIA</t>
  </si>
  <si>
    <t>ENTRADA CIRCULAÇÃO ESQUERDO</t>
  </si>
  <si>
    <t>PAREDE VIDRAÇÃ</t>
  </si>
  <si>
    <t>PAREDE QUADRADO</t>
  </si>
  <si>
    <t>ENCAIXE CALHA</t>
  </si>
  <si>
    <t>QUADRADO DA CALHA</t>
  </si>
  <si>
    <t>ENTRADA CIRCULAÇÃO ESQUERDA</t>
  </si>
  <si>
    <t>ESCADA</t>
  </si>
  <si>
    <t>CANTEIRO</t>
  </si>
  <si>
    <t>CANTEIRO ESQUERDO</t>
  </si>
  <si>
    <t>CANTEIRO DIREITO</t>
  </si>
  <si>
    <t>COMPLEMENTO PAREDE LATERAL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</si>
  <si>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</si>
  <si>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</si>
  <si>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</si>
  <si>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</si>
  <si>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</si>
  <si>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</si>
  <si>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</si>
  <si>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</si>
  <si>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</si>
  <si>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</si>
  <si>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</si>
  <si>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</si>
  <si>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PILAR FACHADA</t>
  </si>
  <si>
    <t>S53</t>
  </si>
  <si>
    <t>S54</t>
  </si>
  <si>
    <t>S55</t>
  </si>
  <si>
    <t>S56</t>
  </si>
  <si>
    <t>S57</t>
  </si>
  <si>
    <t>S58</t>
  </si>
  <si>
    <t>S59</t>
  </si>
  <si>
    <t>S60</t>
  </si>
  <si>
    <t>S64</t>
  </si>
  <si>
    <t>PILAR</t>
  </si>
  <si>
    <t>TOCO</t>
  </si>
  <si>
    <t>QUANT.BARRA</t>
  </si>
  <si>
    <t>VIGA NIVEL 7,45</t>
  </si>
  <si>
    <t>8.6</t>
  </si>
  <si>
    <t>PLANILHA ORÇAMENTÁRIA</t>
  </si>
  <si>
    <r>
      <rPr>
        <b/>
        <sz val="11"/>
        <rFont val="Arial"/>
        <family val="2"/>
      </rPr>
      <t>ITEM</t>
    </r>
  </si>
  <si>
    <r>
      <rPr>
        <b/>
        <sz val="11"/>
        <rFont val="Arial"/>
        <family val="2"/>
      </rPr>
      <t>DESCRIÇÃO</t>
    </r>
    <r>
      <rPr>
        <b/>
        <sz val="11"/>
        <color rgb="FF000000"/>
        <rFont val="Arial"/>
        <family val="2"/>
      </rPr>
      <t xml:space="preserve"> DOS SERVIÇOS</t>
    </r>
  </si>
  <si>
    <t>%</t>
  </si>
  <si>
    <t>Revestrimento ceramico( porcelanato) 90x90</t>
  </si>
  <si>
    <t>7.5</t>
  </si>
  <si>
    <t>Revestimento metálico em alumínio composto (Alucobond ou similar) dobrado, e=0,3mm, na cor cobre, 1,00 nx 1,00m, exclusive estrutura metálica - fornecimento e montagem - Obra do Centro de Convenções de Sergipe</t>
  </si>
  <si>
    <t xml:space="preserve">ORSE	</t>
  </si>
  <si>
    <t>7.6</t>
  </si>
  <si>
    <t>Revestimento cerâmico para piso ou parede, 45 x 45 cm, c/ piso porcelanato marmore bianco, PORTOBELLO ou similar, PEI 5, aplicado com argamassa industrializada ac-iii, rejuntado, exclusive regularização de base ou emboço</t>
  </si>
  <si>
    <t>PISO EM GRANILITE, MARMORITE OU GRANITINA, AGREGADO COR PRETO, CINZA, PALHA OU M2 88,00
BRANCO, E= *8* MM (INCLUSO EXECUCAO)</t>
  </si>
  <si>
    <t>13.6</t>
  </si>
  <si>
    <t>Estrutura Metálica Galpões em Pórticos - Colunas/Vigas em Treliça UDC150, terças e vigas longitudinais em UDC 127 e 150, 2 águas, sem lant., vãos 20,01 a 30,0m, pintada 1 d oxido ferro + 2 d esmalte epóxi branco, exceto forn. Telhas - Executada - R1</t>
  </si>
  <si>
    <t>M²</t>
  </si>
  <si>
    <t>13.7</t>
  </si>
  <si>
    <t>TELHAMENTO COM TELHA DE AÇO/ALUMÍNIO E = 0,5 MM, COM ATÉ 2 ÁGUAS, INCL</t>
  </si>
  <si>
    <t>Contratado</t>
  </si>
  <si>
    <t>RECEPÇÃO PRINCIPAL</t>
  </si>
  <si>
    <t>WC RECEPÇÃO</t>
  </si>
  <si>
    <t>CONSULTORIO MEDICO 01</t>
  </si>
  <si>
    <t xml:space="preserve"> WC CONSULTORIO MEDICO 01</t>
  </si>
  <si>
    <t>WC FEM</t>
  </si>
  <si>
    <t>WC MASC</t>
  </si>
  <si>
    <t>ASSISTENTE SOCIAL</t>
  </si>
  <si>
    <t>WC ASSISTENTE SOCIAL</t>
  </si>
  <si>
    <t>CONSULTORIO MEDICO 02</t>
  </si>
  <si>
    <t>PARTE ESQUERDA</t>
  </si>
  <si>
    <t>AO LADO PARTE ESQUERDA</t>
  </si>
  <si>
    <t>BM 09 ONCOLOGIA</t>
  </si>
  <si>
    <t>TELHA DE FIBROCIMENTO</t>
  </si>
  <si>
    <t>ok</t>
  </si>
  <si>
    <t>CORRIMAO ESQUERDO</t>
  </si>
  <si>
    <t>CORRIMAO DIREITO</t>
  </si>
  <si>
    <t xml:space="preserve"> CALHA DE ZINCO</t>
  </si>
  <si>
    <t>TRAMA DE MADEIRA P FIBROCIMENTO</t>
  </si>
  <si>
    <t>CALHA DE ZINCO</t>
  </si>
  <si>
    <t>parede anterior ao corredor</t>
  </si>
  <si>
    <t>ao lado do corrdedor</t>
  </si>
  <si>
    <t>CALHA DE ZINCO GRANDE</t>
  </si>
  <si>
    <t>CALHA LATERAL</t>
  </si>
  <si>
    <t>CALHA ESTRUTURA ACM</t>
  </si>
  <si>
    <t>CALHA DE ZINCO PEQUENA</t>
  </si>
  <si>
    <t>TELHA CANAL</t>
  </si>
  <si>
    <t>TELHA RECEPÇÃO NOVO</t>
  </si>
  <si>
    <t>TRAMA MADEIRA P TELHA CANAL</t>
  </si>
  <si>
    <t>WC RECEPÇÃO PRINCIPAL</t>
  </si>
  <si>
    <t>ACM</t>
  </si>
  <si>
    <t>WC ASSIST. SOCIAL</t>
  </si>
  <si>
    <t>WC DIRETORIA</t>
  </si>
  <si>
    <t>ESTRUTURA METALICA</t>
  </si>
  <si>
    <t>WC VEST FEM</t>
  </si>
  <si>
    <t>PILARES</t>
  </si>
  <si>
    <t>WC VEST MASC</t>
  </si>
  <si>
    <t>WC QUIMIOTERAPIA</t>
  </si>
  <si>
    <t>WC FISIOTERAPIA</t>
  </si>
  <si>
    <t>TELHADO ZINCADO</t>
  </si>
  <si>
    <t>WC FEM- UTILIDADES</t>
  </si>
  <si>
    <t>WC MASC- UTILIDADES</t>
  </si>
  <si>
    <t>COBERTA ACM</t>
  </si>
  <si>
    <t>WC SALA OBSERVAÇÃO</t>
  </si>
  <si>
    <t>SALA UTILIDADES</t>
  </si>
  <si>
    <t>FERRAGEM</t>
  </si>
  <si>
    <t>BORDA LATERAL</t>
  </si>
  <si>
    <t>BORDA FRONTAL</t>
  </si>
  <si>
    <t>FORRO</t>
  </si>
  <si>
    <t>COBERTA</t>
  </si>
  <si>
    <t>EMASSAMENTO ACRILICO, SELADOR E PINTURA</t>
  </si>
  <si>
    <t>FACHADA FRENTÃO</t>
  </si>
  <si>
    <t>10</t>
  </si>
  <si>
    <t>BM 10</t>
  </si>
  <si>
    <t>VIDROS</t>
  </si>
  <si>
    <t>PINTURA E EMASSAMENTO EXTERNO</t>
  </si>
  <si>
    <t>JANELAS BOCA DE LOBO</t>
  </si>
  <si>
    <t>PERGOLADO</t>
  </si>
  <si>
    <t>PERGOLADO CORREDOR ESQ</t>
  </si>
  <si>
    <t>CAIXA DAGUA</t>
  </si>
  <si>
    <t>PERGOLADO CX DAGUA</t>
  </si>
  <si>
    <t>PERGOLADO FIXO</t>
  </si>
  <si>
    <t>ENTRADA CENTRAL AR</t>
  </si>
  <si>
    <t>SALA OBSERVAÇÃO</t>
  </si>
  <si>
    <t>LATERAL CENTRO OFTALMO</t>
  </si>
  <si>
    <t>WC</t>
  </si>
  <si>
    <t>LATERAL ESCOLA</t>
  </si>
  <si>
    <t>COLETA SANGUE</t>
  </si>
  <si>
    <t>SAPATA</t>
  </si>
  <si>
    <t>ESCADA LATER DIREITA</t>
  </si>
  <si>
    <t>ESCADA LATER ESQUERDA</t>
  </si>
  <si>
    <t>RADIOLOGIA</t>
  </si>
  <si>
    <t>TROCADOR</t>
  </si>
  <si>
    <t>SALA COMANDO</t>
  </si>
  <si>
    <t>CANTEIRO PE CAJARANA</t>
  </si>
  <si>
    <t>CORREDOR EM FRENTE PEQ PROCEDIMENTOS</t>
  </si>
  <si>
    <t>POSTO ENFERMAGEM</t>
  </si>
  <si>
    <t>FARMACIA</t>
  </si>
  <si>
    <t>QUARTO EMBAIXO CAIXA DAGUA</t>
  </si>
  <si>
    <t>LAVAGEM CARROS</t>
  </si>
  <si>
    <t>EMASSAMENTO INTERNO</t>
  </si>
  <si>
    <t>REVESTIMENTO EXTERNO</t>
  </si>
  <si>
    <t>PAREDE FRONTAL</t>
  </si>
  <si>
    <t>PAREDE  VIZINHA RECEP -PERGOLADO</t>
  </si>
  <si>
    <t>CORREDOR DIR RECEP</t>
  </si>
  <si>
    <t>RADIOLOGIA E TROCADOR</t>
  </si>
  <si>
    <t>SALA DE COMANDO</t>
  </si>
  <si>
    <t>PEQUENOS PROCEDIM</t>
  </si>
  <si>
    <t>SALA EM FRENTE A PEQUENOS PROCED</t>
  </si>
  <si>
    <t>CORREDOR AO LADO POSTO</t>
  </si>
  <si>
    <t>FISIOTERAPIA</t>
  </si>
  <si>
    <t>CONSULTORIO 01</t>
  </si>
  <si>
    <t>TELEMEDICINA</t>
  </si>
  <si>
    <t>CORREDOR ESQUERDO</t>
  </si>
  <si>
    <t>ROTULAÇÃO E MANIPULAÇAO</t>
  </si>
  <si>
    <t>CORREDOR</t>
  </si>
  <si>
    <t>FINANCEIRO</t>
  </si>
  <si>
    <t>LAVANDEIRA LIMPA</t>
  </si>
  <si>
    <t>LAVANDERIA SUJA</t>
  </si>
  <si>
    <t>BM 10 - RELATÓRIO FOTOGRÁFICO</t>
  </si>
  <si>
    <t>COMANDO</t>
  </si>
  <si>
    <t>DEPOSITO</t>
  </si>
  <si>
    <t>WC DIRETOR</t>
  </si>
  <si>
    <t>UTILIDADES</t>
  </si>
  <si>
    <t>WC F</t>
  </si>
  <si>
    <t>WC M</t>
  </si>
  <si>
    <t>COLETA</t>
  </si>
  <si>
    <t>OBSERVAÇÃO</t>
  </si>
  <si>
    <t>WC OBS</t>
  </si>
  <si>
    <t>LAVAGEM CARRINHO</t>
  </si>
  <si>
    <t>CORREDOR FUNDO</t>
  </si>
  <si>
    <t>CORREDOR DIREITO</t>
  </si>
  <si>
    <t>CORREDOR DIREITO DESCIDA</t>
  </si>
  <si>
    <t>WC F E WC M REFEITORIO</t>
  </si>
  <si>
    <t>WC DEPOSITO</t>
  </si>
  <si>
    <t>ROTULAÇAO</t>
  </si>
  <si>
    <t>WC MANIPULAÇÃO</t>
  </si>
  <si>
    <t>WC ASSIS SOCIAL</t>
  </si>
  <si>
    <t>WC RECEPÇAO</t>
  </si>
  <si>
    <t>WC CONSULTORIO 01</t>
  </si>
  <si>
    <t>WC GINECOLOGIA</t>
  </si>
  <si>
    <t>WC FEM CORREDOR</t>
  </si>
  <si>
    <t>WC MASC CORREDOR</t>
  </si>
  <si>
    <t>WC RECEPCAO</t>
  </si>
  <si>
    <t>FACHADA E FRENTAO</t>
  </si>
  <si>
    <t xml:space="preserve">MURADA LADO COLEGIO </t>
  </si>
  <si>
    <t>MURADA LADO BARRACO</t>
  </si>
  <si>
    <t>BARRACO AREA LIXO</t>
  </si>
  <si>
    <t>LANCHONETE</t>
  </si>
  <si>
    <t>PAREDAO LADO CENTRO OFTALMO</t>
  </si>
  <si>
    <t>PINTURA FORRO</t>
  </si>
  <si>
    <t>caixa d'agua</t>
  </si>
  <si>
    <t>und</t>
  </si>
  <si>
    <t>fachada</t>
  </si>
  <si>
    <t>porta 80</t>
  </si>
  <si>
    <t>porta 90</t>
  </si>
  <si>
    <t>porta 120</t>
  </si>
  <si>
    <t>porta 140</t>
  </si>
  <si>
    <t>porta 200</t>
  </si>
  <si>
    <t>BM 15 - Boletim de Medição</t>
  </si>
  <si>
    <t>15</t>
  </si>
  <si>
    <t>OBSERVAÇÕES</t>
  </si>
  <si>
    <t>NÃO FOI OBSERVADO EVIDENCIA DE EXECUÇÃO</t>
  </si>
  <si>
    <t>1 PÓS OPERATÓTIO, 1 NO REPOUSO 2 LEITOS</t>
  </si>
  <si>
    <t>4 UNIDADES EXECUTADAS</t>
  </si>
  <si>
    <t>29UND - 12 UND SEM REVESTIMENTO=17UND</t>
  </si>
  <si>
    <t>PORTAS DE 120CM JÁ CONTEMPLAM A FORMICA ITEM 6.1.17</t>
  </si>
  <si>
    <t>ITENS A SEREM ATESTADOS POR ENGENHEIRO ELETRICITA APÓS A LIGAÇÃO DE ENERIGIA ELETRICA</t>
  </si>
  <si>
    <t>OBSERVAÇÕES:</t>
  </si>
  <si>
    <t>Inicio da obra: 20/02/2022</t>
  </si>
  <si>
    <t>2- Verificar as Cláusula de Contrato, quanto ao cumprimento de prazos;</t>
  </si>
  <si>
    <t>3- Solicita-se ao setor de convênios/contrato para análise e tomada das medidas administrativas cabíveis;</t>
  </si>
  <si>
    <t>Ricardo Lima Rodrigues</t>
  </si>
  <si>
    <t>Eng. Fiscal</t>
  </si>
  <si>
    <t>ESTA SENDO PAGO, 50% DAS PORTAS EXECUTADAS, SENDO NECESSARIO A SUBSTITUIÇÃO DAS FECHADURAS PARA PAGAMENTO INTEGRAL</t>
  </si>
  <si>
    <t xml:space="preserve">ITEM PAGO PARCIALMENTE 70%. ACABAMENTO DE RODAPÉ EM CONDIÇÕES DE ACABAMENTO DESCONFORME. NO MOMENTO VENDO COM A ADMISITRAÇÃO A AUTORIZAÇÃO PARA EXECUÇÃO DE RODAPÉ CERÂMICO  </t>
  </si>
  <si>
    <t>PORTA DE CORRRER CONSULTORIO 2</t>
  </si>
  <si>
    <t>Sousa,  24 de julho de 2024</t>
  </si>
  <si>
    <t>ESTA SENDO PAGO, 50%, SENDO NECESSARIO A ANÁLISE DOS FECHAMNETO EM ALUMINIO PARA ADEQUAÇÃO A COMPOSIÇÃO</t>
  </si>
  <si>
    <t xml:space="preserve">1- Obra com atraso na execução cima do aceitável, evolução de apenas 7,32% </t>
  </si>
  <si>
    <t>BM 15 - RELATÓRIO FOTOGRÁFICO</t>
  </si>
  <si>
    <t>ITESN SUPRIMIDOS_ADITIVO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</si>
</sst>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\(#,##0.00\);* \-#\ ;@\ "/>
    <numFmt numFmtId="165" formatCode="0.0%"/>
    <numFmt numFmtId="166" formatCode="&quot;R$&quot;#,##0.00"/>
    <numFmt numFmtId="167" formatCode="_-* #,##0_-;\-* #,##0_-;_-* &quot;-&quot;??_-;_-@_-"/>
  </numFmts>
  <fonts count="40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 MT"/>
    </font>
    <font>
      <sz val="10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1"/>
    </font>
    <font>
      <b/>
      <sz val="12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6"/>
      <color rgb="FF000000"/>
      <name val="Arial"/>
      <family val="2"/>
    </font>
    <font>
      <b/>
      <sz val="7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 applyFill="0" applyBorder="0" applyAlignment="0" applyProtection="0"/>
    <xf numFmtId="0" fontId="6" fillId="0" borderId="0"/>
    <xf numFmtId="164" fontId="6" fillId="0" borderId="0"/>
    <xf numFmtId="0" fontId="6" fillId="0" borderId="0">
      <alignment horizontal="justify" wrapText="1"/>
    </xf>
    <xf numFmtId="0" fontId="13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6" fillId="0" borderId="0"/>
    <xf numFmtId="0" fontId="34" fillId="0" borderId="0"/>
    <xf numFmtId="0" fontId="37" fillId="0" borderId="0">
      <protection locked="0"/>
    </xf>
  </cellStyleXfs>
  <cellXfs count="504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5" fontId="3" fillId="0" borderId="0" xfId="1" applyNumberFormat="1" applyFont="1"/>
    <xf numFmtId="4" fontId="0" fillId="0" borderId="1" xfId="0" applyNumberFormat="1" applyBorder="1" applyAlignment="1">
      <alignment horizontal="center" vertical="center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 wrapText="1"/>
    </xf>
    <xf numFmtId="0" fontId="9" fillId="0" borderId="6" xfId="7" applyFont="1" applyBorder="1" applyAlignment="1">
      <alignment vertical="distributed"/>
    </xf>
    <xf numFmtId="0" fontId="9" fillId="0" borderId="13" xfId="7" applyFont="1" applyBorder="1" applyAlignment="1">
      <alignment vertical="distributed"/>
    </xf>
    <xf numFmtId="9" fontId="0" fillId="0" borderId="1" xfId="1" applyFont="1" applyBorder="1" applyAlignment="1">
      <alignment horizontal="center" vertical="center"/>
    </xf>
    <xf numFmtId="43" fontId="18" fillId="0" borderId="15" xfId="13" applyFont="1" applyBorder="1" applyAlignment="1">
      <alignment vertical="center"/>
    </xf>
    <xf numFmtId="43" fontId="18" fillId="0" borderId="16" xfId="13" applyFont="1" applyBorder="1" applyAlignment="1">
      <alignment vertical="center"/>
    </xf>
    <xf numFmtId="43" fontId="18" fillId="7" borderId="23" xfId="13" applyFont="1" applyFill="1" applyBorder="1" applyAlignment="1">
      <alignment vertical="center"/>
    </xf>
    <xf numFmtId="43" fontId="18" fillId="7" borderId="25" xfId="13" applyFont="1" applyFill="1" applyBorder="1" applyAlignment="1">
      <alignment vertical="center"/>
    </xf>
    <xf numFmtId="43" fontId="15" fillId="0" borderId="0" xfId="13" applyFont="1" applyBorder="1" applyAlignment="1">
      <alignment horizontal="left"/>
    </xf>
    <xf numFmtId="43" fontId="15" fillId="0" borderId="21" xfId="13" applyFont="1" applyBorder="1" applyAlignment="1">
      <alignment horizontal="left"/>
    </xf>
    <xf numFmtId="43" fontId="19" fillId="0" borderId="37" xfId="13" applyFont="1" applyFill="1" applyBorder="1" applyAlignment="1">
      <alignment horizontal="center" vertical="center"/>
    </xf>
    <xf numFmtId="43" fontId="19" fillId="6" borderId="22" xfId="13" applyFont="1" applyFill="1" applyBorder="1" applyAlignment="1">
      <alignment vertical="center"/>
    </xf>
    <xf numFmtId="43" fontId="19" fillId="6" borderId="16" xfId="13" applyFont="1" applyFill="1" applyBorder="1" applyAlignment="1">
      <alignment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3" fontId="19" fillId="4" borderId="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vertical="center"/>
    </xf>
    <xf numFmtId="43" fontId="0" fillId="0" borderId="0" xfId="13" applyFont="1"/>
    <xf numFmtId="43" fontId="0" fillId="0" borderId="0" xfId="13" applyFont="1" applyAlignment="1">
      <alignment horizontal="center" vertical="center"/>
    </xf>
    <xf numFmtId="43" fontId="21" fillId="0" borderId="0" xfId="0" applyNumberFormat="1" applyFont="1"/>
    <xf numFmtId="0" fontId="0" fillId="0" borderId="1" xfId="0" applyBorder="1"/>
    <xf numFmtId="0" fontId="0" fillId="0" borderId="1" xfId="0" applyBorder="1" applyAlignment="1">
      <alignment vertical="center"/>
    </xf>
    <xf numFmtId="0" fontId="9" fillId="0" borderId="0" xfId="7" applyFont="1" applyAlignment="1">
      <alignment horizontal="left" vertical="distributed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43" fontId="19" fillId="6" borderId="40" xfId="13" applyFont="1" applyFill="1" applyBorder="1" applyAlignment="1">
      <alignment horizontal="center" vertical="center"/>
    </xf>
    <xf numFmtId="43" fontId="19" fillId="6" borderId="19" xfId="13" applyFont="1" applyFill="1" applyBorder="1" applyAlignment="1">
      <alignment vertical="center"/>
    </xf>
    <xf numFmtId="43" fontId="19" fillId="4" borderId="12" xfId="13" applyFont="1" applyFill="1" applyBorder="1" applyAlignment="1">
      <alignment horizontal="center" vertical="center"/>
    </xf>
    <xf numFmtId="43" fontId="19" fillId="4" borderId="12" xfId="13" applyFont="1" applyFill="1" applyBorder="1" applyAlignment="1">
      <alignment vertical="center"/>
    </xf>
    <xf numFmtId="43" fontId="19" fillId="6" borderId="21" xfId="13" applyFont="1" applyFill="1" applyBorder="1" applyAlignment="1">
      <alignment horizontal="center" vertical="center"/>
    </xf>
    <xf numFmtId="43" fontId="18" fillId="0" borderId="20" xfId="13" applyFont="1" applyBorder="1" applyAlignment="1">
      <alignment horizontal="center"/>
    </xf>
    <xf numFmtId="0" fontId="12" fillId="0" borderId="0" xfId="0" applyFont="1" applyAlignment="1">
      <alignment horizontal="center"/>
    </xf>
    <xf numFmtId="43" fontId="15" fillId="0" borderId="0" xfId="13" applyFont="1" applyBorder="1" applyAlignment="1">
      <alignment horizontal="center"/>
    </xf>
    <xf numFmtId="43" fontId="21" fillId="0" borderId="1" xfId="13" applyFont="1" applyBorder="1" applyAlignment="1">
      <alignment vertical="center"/>
    </xf>
    <xf numFmtId="43" fontId="21" fillId="0" borderId="1" xfId="13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43" fontId="0" fillId="4" borderId="1" xfId="0" applyNumberFormat="1" applyFill="1" applyBorder="1" applyAlignment="1">
      <alignment horizontal="center" vertical="center"/>
    </xf>
    <xf numFmtId="43" fontId="0" fillId="4" borderId="1" xfId="13" applyFont="1" applyFill="1" applyBorder="1" applyAlignment="1">
      <alignment horizontal="center" vertical="center"/>
    </xf>
    <xf numFmtId="43" fontId="20" fillId="4" borderId="1" xfId="13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3" fontId="19" fillId="6" borderId="15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vertical="center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3" xfId="13" applyFont="1" applyFill="1" applyBorder="1" applyAlignment="1">
      <alignment horizontal="center" vertical="center"/>
    </xf>
    <xf numFmtId="43" fontId="19" fillId="4" borderId="5" xfId="13" applyFont="1" applyFill="1" applyBorder="1" applyAlignment="1">
      <alignment horizontal="center" vertical="center"/>
    </xf>
    <xf numFmtId="43" fontId="19" fillId="9" borderId="11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/>
    </xf>
    <xf numFmtId="0" fontId="0" fillId="6" borderId="0" xfId="0" applyFill="1"/>
    <xf numFmtId="43" fontId="0" fillId="0" borderId="0" xfId="0" applyNumberFormat="1"/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3" fontId="21" fillId="4" borderId="0" xfId="0" applyNumberFormat="1" applyFont="1" applyFill="1"/>
    <xf numFmtId="43" fontId="22" fillId="0" borderId="0" xfId="13" applyFont="1" applyAlignment="1">
      <alignment horizontal="center" vertical="center"/>
    </xf>
    <xf numFmtId="0" fontId="22" fillId="10" borderId="1" xfId="15" applyFont="1" applyFill="1" applyBorder="1" applyAlignment="1">
      <alignment horizontal="left" vertical="center" wrapText="1"/>
    </xf>
    <xf numFmtId="0" fontId="22" fillId="0" borderId="1" xfId="16" applyFont="1" applyBorder="1" applyAlignment="1">
      <alignment horizontal="left" vertical="center" wrapText="1"/>
    </xf>
    <xf numFmtId="0" fontId="22" fillId="10" borderId="1" xfId="15" applyFont="1" applyFill="1" applyBorder="1" applyAlignment="1">
      <alignment horizontal="center" vertical="center" wrapText="1"/>
    </xf>
    <xf numFmtId="0" fontId="22" fillId="0" borderId="1" xfId="16" applyFont="1" applyBorder="1" applyAlignment="1">
      <alignment horizontal="center" vertical="center" wrapText="1"/>
    </xf>
    <xf numFmtId="44" fontId="0" fillId="0" borderId="1" xfId="14" applyFont="1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6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10" borderId="1" xfId="15" applyFont="1" applyFill="1" applyBorder="1" applyAlignment="1">
      <alignment horizontal="center" vertical="center"/>
    </xf>
    <xf numFmtId="0" fontId="22" fillId="10" borderId="1" xfId="15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 wrapText="1"/>
    </xf>
    <xf numFmtId="4" fontId="12" fillId="5" borderId="1" xfId="0" applyNumberFormat="1" applyFont="1" applyFill="1" applyBorder="1" applyAlignment="1">
      <alignment horizontal="center" vertical="center"/>
    </xf>
    <xf numFmtId="44" fontId="12" fillId="5" borderId="1" xfId="14" applyFont="1" applyFill="1" applyBorder="1" applyAlignment="1">
      <alignment horizontal="center" vertical="center"/>
    </xf>
    <xf numFmtId="44" fontId="0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 vertical="center"/>
    </xf>
    <xf numFmtId="0" fontId="22" fillId="0" borderId="1" xfId="17" applyFont="1" applyBorder="1" applyAlignment="1">
      <alignment horizontal="left" vertical="center"/>
    </xf>
    <xf numFmtId="0" fontId="22" fillId="4" borderId="1" xfId="15" applyFont="1" applyFill="1" applyBorder="1" applyAlignment="1">
      <alignment horizontal="center" vertical="center" wrapText="1"/>
    </xf>
    <xf numFmtId="0" fontId="22" fillId="4" borderId="1" xfId="15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left" vertical="center" wrapText="1"/>
    </xf>
    <xf numFmtId="4" fontId="28" fillId="5" borderId="1" xfId="0" applyNumberFormat="1" applyFont="1" applyFill="1" applyBorder="1" applyAlignment="1">
      <alignment horizontal="center" vertical="center"/>
    </xf>
    <xf numFmtId="44" fontId="28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/>
    </xf>
    <xf numFmtId="0" fontId="22" fillId="0" borderId="1" xfId="17" applyFont="1" applyBorder="1" applyAlignment="1">
      <alignment horizontal="left"/>
    </xf>
    <xf numFmtId="44" fontId="22" fillId="4" borderId="1" xfId="14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left" vertical="center" wrapText="1"/>
    </xf>
    <xf numFmtId="4" fontId="0" fillId="12" borderId="1" xfId="0" applyNumberFormat="1" applyFill="1" applyBorder="1" applyAlignment="1">
      <alignment horizontal="center" vertical="center"/>
    </xf>
    <xf numFmtId="44" fontId="0" fillId="12" borderId="1" xfId="14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29" fillId="0" borderId="0" xfId="17" applyFont="1" applyAlignment="1">
      <alignment horizontal="center"/>
    </xf>
    <xf numFmtId="0" fontId="29" fillId="0" borderId="0" xfId="17" applyFont="1" applyAlignment="1">
      <alignment horizontal="left"/>
    </xf>
    <xf numFmtId="0" fontId="22" fillId="4" borderId="11" xfId="0" applyFont="1" applyFill="1" applyBorder="1" applyAlignment="1">
      <alignment horizontal="center" vertical="center" wrapText="1"/>
    </xf>
    <xf numFmtId="4" fontId="0" fillId="0" borderId="11" xfId="0" applyNumberFormat="1" applyBorder="1" applyAlignment="1">
      <alignment horizontal="center" vertical="center"/>
    </xf>
    <xf numFmtId="43" fontId="0" fillId="0" borderId="11" xfId="0" applyNumberFormat="1" applyBorder="1" applyAlignment="1">
      <alignment horizontal="center" vertical="center"/>
    </xf>
    <xf numFmtId="44" fontId="0" fillId="0" borderId="11" xfId="14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10" borderId="1" xfId="15" applyFont="1" applyFill="1" applyBorder="1" applyAlignment="1">
      <alignment vertical="center" wrapText="1"/>
    </xf>
    <xf numFmtId="4" fontId="22" fillId="0" borderId="1" xfId="0" applyNumberFormat="1" applyFont="1" applyBorder="1" applyAlignment="1">
      <alignment horizontal="center" vertical="center"/>
    </xf>
    <xf numFmtId="43" fontId="22" fillId="0" borderId="1" xfId="0" applyNumberFormat="1" applyFont="1" applyBorder="1" applyAlignment="1">
      <alignment horizontal="center" vertical="center"/>
    </xf>
    <xf numFmtId="44" fontId="22" fillId="0" borderId="1" xfId="14" applyFont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 vertical="center" wrapText="1"/>
    </xf>
    <xf numFmtId="43" fontId="15" fillId="0" borderId="20" xfId="13" applyFont="1" applyBorder="1" applyAlignment="1">
      <alignment horizontal="left"/>
    </xf>
    <xf numFmtId="43" fontId="19" fillId="6" borderId="1" xfId="13" applyFont="1" applyFill="1" applyBorder="1" applyAlignment="1">
      <alignment horizontal="center" vertical="center"/>
    </xf>
    <xf numFmtId="43" fontId="19" fillId="8" borderId="1" xfId="13" applyFont="1" applyFill="1" applyBorder="1" applyAlignment="1">
      <alignment horizontal="center" vertical="center"/>
    </xf>
    <xf numFmtId="43" fontId="21" fillId="0" borderId="1" xfId="13" applyFont="1" applyFill="1" applyBorder="1" applyAlignment="1">
      <alignment horizontal="center" vertical="center"/>
    </xf>
    <xf numFmtId="43" fontId="21" fillId="0" borderId="1" xfId="13" applyFont="1" applyBorder="1"/>
    <xf numFmtId="43" fontId="0" fillId="0" borderId="1" xfId="13" applyFont="1" applyBorder="1"/>
    <xf numFmtId="43" fontId="0" fillId="6" borderId="1" xfId="13" applyFont="1" applyFill="1" applyBorder="1" applyAlignment="1">
      <alignment horizontal="center" vertical="center"/>
    </xf>
    <xf numFmtId="167" fontId="19" fillId="6" borderId="1" xfId="13" applyNumberFormat="1" applyFont="1" applyFill="1" applyBorder="1" applyAlignment="1"/>
    <xf numFmtId="43" fontId="22" fillId="0" borderId="1" xfId="13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43" fontId="0" fillId="0" borderId="1" xfId="13" applyFont="1" applyBorder="1" applyAlignment="1">
      <alignment horizontal="center"/>
    </xf>
    <xf numFmtId="43" fontId="0" fillId="0" borderId="1" xfId="13" applyFont="1" applyBorder="1" applyAlignment="1">
      <alignment vertical="center"/>
    </xf>
    <xf numFmtId="0" fontId="31" fillId="0" borderId="0" xfId="7" applyFont="1" applyAlignment="1">
      <alignment horizontal="center"/>
    </xf>
    <xf numFmtId="0" fontId="2" fillId="0" borderId="0" xfId="0" applyFont="1"/>
    <xf numFmtId="0" fontId="32" fillId="2" borderId="1" xfId="7" applyFont="1" applyFill="1" applyBorder="1" applyAlignment="1" applyProtection="1">
      <alignment horizontal="center" vertical="center" wrapText="1"/>
      <protection locked="0"/>
    </xf>
    <xf numFmtId="10" fontId="0" fillId="0" borderId="1" xfId="1" applyNumberFormat="1" applyFont="1" applyBorder="1" applyAlignment="1">
      <alignment horizontal="center" vertical="center"/>
    </xf>
    <xf numFmtId="44" fontId="0" fillId="0" borderId="1" xfId="14" applyFont="1" applyFill="1" applyBorder="1" applyAlignment="1">
      <alignment horizontal="center" vertical="center"/>
    </xf>
    <xf numFmtId="0" fontId="22" fillId="4" borderId="1" xfId="18" applyFont="1" applyFill="1" applyBorder="1" applyAlignment="1">
      <alignment horizontal="center" vertical="center"/>
    </xf>
    <xf numFmtId="44" fontId="0" fillId="0" borderId="8" xfId="14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/>
    </xf>
    <xf numFmtId="44" fontId="0" fillId="0" borderId="0" xfId="14" applyFont="1" applyFill="1" applyBorder="1" applyAlignment="1">
      <alignment horizontal="center" vertical="center"/>
    </xf>
    <xf numFmtId="44" fontId="0" fillId="0" borderId="0" xfId="14" applyFont="1" applyBorder="1" applyAlignment="1">
      <alignment horizontal="center" vertical="center"/>
    </xf>
    <xf numFmtId="44" fontId="12" fillId="14" borderId="41" xfId="14" applyFont="1" applyFill="1" applyBorder="1" applyAlignment="1">
      <alignment horizontal="center" vertical="center"/>
    </xf>
    <xf numFmtId="10" fontId="0" fillId="0" borderId="33" xfId="1" applyNumberFormat="1" applyFont="1" applyBorder="1" applyAlignment="1">
      <alignment horizontal="center" vertical="center"/>
    </xf>
    <xf numFmtId="0" fontId="0" fillId="0" borderId="42" xfId="0" applyBorder="1"/>
    <xf numFmtId="165" fontId="12" fillId="0" borderId="42" xfId="1" applyNumberFormat="1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3" xfId="0" applyFont="1" applyBorder="1"/>
    <xf numFmtId="0" fontId="12" fillId="0" borderId="19" xfId="0" applyFont="1" applyBorder="1" applyAlignment="1">
      <alignment horizontal="center"/>
    </xf>
    <xf numFmtId="44" fontId="0" fillId="4" borderId="1" xfId="14" applyFont="1" applyFill="1" applyBorder="1" applyAlignment="1">
      <alignment horizontal="center" vertical="center"/>
    </xf>
    <xf numFmtId="0" fontId="22" fillId="4" borderId="1" xfId="16" applyFont="1" applyFill="1" applyBorder="1" applyAlignment="1">
      <alignment horizontal="center" vertical="center" wrapText="1"/>
    </xf>
    <xf numFmtId="0" fontId="22" fillId="4" borderId="1" xfId="16" applyFont="1" applyFill="1" applyBorder="1" applyAlignment="1">
      <alignment horizontal="left" vertical="center" wrapText="1"/>
    </xf>
    <xf numFmtId="0" fontId="22" fillId="4" borderId="1" xfId="18" applyFont="1" applyFill="1" applyBorder="1" applyAlignment="1">
      <alignment horizontal="center"/>
    </xf>
    <xf numFmtId="0" fontId="22" fillId="4" borderId="1" xfId="18" applyFont="1" applyFill="1" applyBorder="1" applyAlignment="1">
      <alignment horizontal="left" wrapText="1"/>
    </xf>
    <xf numFmtId="0" fontId="22" fillId="4" borderId="1" xfId="18" applyFont="1" applyFill="1" applyBorder="1" applyAlignment="1">
      <alignment horizontal="left" vertical="center" wrapText="1"/>
    </xf>
    <xf numFmtId="0" fontId="0" fillId="4" borderId="11" xfId="0" applyFill="1" applyBorder="1" applyAlignment="1">
      <alignment horizontal="center" vertical="center"/>
    </xf>
    <xf numFmtId="0" fontId="29" fillId="4" borderId="0" xfId="18" applyFont="1" applyFill="1" applyAlignment="1">
      <alignment horizontal="center"/>
    </xf>
    <xf numFmtId="0" fontId="29" fillId="4" borderId="0" xfId="18" applyFont="1" applyFill="1" applyAlignment="1">
      <alignment horizontal="left" wrapText="1"/>
    </xf>
    <xf numFmtId="4" fontId="0" fillId="4" borderId="11" xfId="0" applyNumberFormat="1" applyFill="1" applyBorder="1" applyAlignment="1">
      <alignment horizontal="center" vertical="center"/>
    </xf>
    <xf numFmtId="0" fontId="22" fillId="4" borderId="1" xfId="15" applyFont="1" applyFill="1" applyBorder="1" applyAlignment="1">
      <alignment vertical="center" wrapText="1"/>
    </xf>
    <xf numFmtId="4" fontId="22" fillId="4" borderId="1" xfId="0" applyNumberFormat="1" applyFont="1" applyFill="1" applyBorder="1" applyAlignment="1">
      <alignment horizontal="center" vertical="center"/>
    </xf>
    <xf numFmtId="44" fontId="22" fillId="4" borderId="1" xfId="14" applyFont="1" applyFill="1" applyBorder="1" applyAlignment="1">
      <alignment horizontal="center" vertical="center"/>
    </xf>
    <xf numFmtId="0" fontId="8" fillId="4" borderId="0" xfId="7" applyFont="1" applyFill="1" applyAlignment="1">
      <alignment horizontal="left" vertical="center" wrapText="1"/>
    </xf>
    <xf numFmtId="4" fontId="0" fillId="4" borderId="0" xfId="0" applyNumberFormat="1" applyFill="1" applyAlignment="1">
      <alignment horizontal="center" vertical="center"/>
    </xf>
    <xf numFmtId="0" fontId="9" fillId="4" borderId="1" xfId="7" applyFont="1" applyFill="1" applyBorder="1" applyAlignment="1">
      <alignment horizontal="left" vertical="center" wrapText="1"/>
    </xf>
    <xf numFmtId="0" fontId="9" fillId="4" borderId="1" xfId="7" applyFont="1" applyFill="1" applyBorder="1" applyAlignment="1">
      <alignment horizontal="center" vertical="center"/>
    </xf>
    <xf numFmtId="0" fontId="9" fillId="4" borderId="0" xfId="7" applyFont="1" applyFill="1" applyAlignment="1">
      <alignment horizontal="center" vertical="center"/>
    </xf>
    <xf numFmtId="0" fontId="9" fillId="4" borderId="1" xfId="7" applyFont="1" applyFill="1" applyBorder="1" applyAlignment="1">
      <alignment horizontal="center" vertical="center" wrapText="1"/>
    </xf>
    <xf numFmtId="43" fontId="9" fillId="4" borderId="1" xfId="13" applyFont="1" applyFill="1" applyBorder="1" applyAlignment="1">
      <alignment horizontal="center" vertical="center" wrapText="1"/>
    </xf>
    <xf numFmtId="0" fontId="9" fillId="4" borderId="0" xfId="7" applyFont="1" applyFill="1" applyAlignment="1">
      <alignment horizontal="center" vertical="center" wrapText="1"/>
    </xf>
    <xf numFmtId="43" fontId="9" fillId="4" borderId="0" xfId="13" applyFont="1" applyFill="1" applyBorder="1" applyAlignment="1">
      <alignment horizontal="center" vertical="center" wrapText="1"/>
    </xf>
    <xf numFmtId="0" fontId="9" fillId="12" borderId="1" xfId="7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left" vertical="center" wrapText="1"/>
    </xf>
    <xf numFmtId="0" fontId="8" fillId="12" borderId="1" xfId="7" applyFont="1" applyFill="1" applyBorder="1" applyAlignment="1">
      <alignment horizontal="center" vertical="center" wrapText="1"/>
    </xf>
    <xf numFmtId="43" fontId="8" fillId="12" borderId="1" xfId="13" applyFont="1" applyFill="1" applyBorder="1" applyAlignment="1">
      <alignment horizontal="center" vertical="center" wrapText="1"/>
    </xf>
    <xf numFmtId="4" fontId="8" fillId="12" borderId="1" xfId="7" applyNumberFormat="1" applyFont="1" applyFill="1" applyBorder="1" applyAlignment="1">
      <alignment horizontal="center" vertical="center" wrapText="1"/>
    </xf>
    <xf numFmtId="10" fontId="8" fillId="12" borderId="1" xfId="7" applyNumberFormat="1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center" vertical="center" wrapText="1"/>
    </xf>
    <xf numFmtId="43" fontId="9" fillId="12" borderId="1" xfId="13" applyFont="1" applyFill="1" applyBorder="1" applyAlignment="1">
      <alignment horizontal="center" vertical="center" wrapText="1"/>
    </xf>
    <xf numFmtId="43" fontId="0" fillId="12" borderId="1" xfId="0" applyNumberFormat="1" applyFill="1" applyBorder="1" applyAlignment="1">
      <alignment horizontal="center" vertical="center"/>
    </xf>
    <xf numFmtId="43" fontId="0" fillId="12" borderId="1" xfId="13" applyFont="1" applyFill="1" applyBorder="1" applyAlignment="1">
      <alignment horizontal="center" vertical="center"/>
    </xf>
    <xf numFmtId="9" fontId="0" fillId="12" borderId="1" xfId="1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6" fillId="4" borderId="1" xfId="13" applyFont="1" applyFill="1" applyBorder="1" applyAlignment="1">
      <alignment horizontal="center" vertical="center"/>
    </xf>
    <xf numFmtId="43" fontId="0" fillId="0" borderId="20" xfId="13" applyFont="1" applyBorder="1"/>
    <xf numFmtId="43" fontId="0" fillId="0" borderId="0" xfId="13" applyFont="1" applyBorder="1"/>
    <xf numFmtId="0" fontId="0" fillId="0" borderId="20" xfId="0" applyBorder="1"/>
    <xf numFmtId="0" fontId="12" fillId="0" borderId="0" xfId="0" applyFont="1"/>
    <xf numFmtId="0" fontId="0" fillId="0" borderId="21" xfId="0" applyBorder="1"/>
    <xf numFmtId="43" fontId="12" fillId="0" borderId="0" xfId="13" applyFont="1" applyBorder="1"/>
    <xf numFmtId="43" fontId="2" fillId="0" borderId="0" xfId="13" applyFont="1" applyBorder="1"/>
    <xf numFmtId="43" fontId="12" fillId="0" borderId="0" xfId="0" applyNumberFormat="1" applyFont="1"/>
    <xf numFmtId="0" fontId="0" fillId="0" borderId="23" xfId="0" applyBorder="1"/>
    <xf numFmtId="0" fontId="0" fillId="0" borderId="24" xfId="0" applyBorder="1"/>
    <xf numFmtId="0" fontId="0" fillId="0" borderId="25" xfId="0" applyBorder="1"/>
    <xf numFmtId="43" fontId="12" fillId="0" borderId="0" xfId="13" applyFont="1"/>
    <xf numFmtId="43" fontId="19" fillId="0" borderId="11" xfId="13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9" fillId="0" borderId="1" xfId="7" applyFont="1" applyBorder="1" applyAlignment="1">
      <alignment horizontal="left" vertical="center" wrapText="1"/>
    </xf>
    <xf numFmtId="10" fontId="9" fillId="5" borderId="12" xfId="7" applyNumberFormat="1" applyFont="1" applyFill="1" applyBorder="1" applyAlignment="1">
      <alignment horizontal="center" vertical="distributed"/>
    </xf>
    <xf numFmtId="4" fontId="9" fillId="5" borderId="1" xfId="7" applyNumberFormat="1" applyFont="1" applyFill="1" applyBorder="1" applyAlignment="1">
      <alignment horizontal="center" vertical="distributed"/>
    </xf>
    <xf numFmtId="10" fontId="9" fillId="5" borderId="1" xfId="7" applyNumberFormat="1" applyFont="1" applyFill="1" applyBorder="1" applyAlignment="1">
      <alignment horizontal="center" vertical="distributed"/>
    </xf>
    <xf numFmtId="0" fontId="0" fillId="4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43" fontId="0" fillId="0" borderId="1" xfId="0" applyNumberFormat="1" applyBorder="1" applyAlignment="1">
      <alignment horizontal="center"/>
    </xf>
    <xf numFmtId="44" fontId="0" fillId="5" borderId="8" xfId="14" applyFont="1" applyFill="1" applyBorder="1" applyAlignment="1">
      <alignment horizontal="center"/>
    </xf>
    <xf numFmtId="44" fontId="0" fillId="5" borderId="10" xfId="14" applyFont="1" applyFill="1" applyBorder="1" applyAlignment="1">
      <alignment horizontal="center" vertical="center"/>
    </xf>
    <xf numFmtId="44" fontId="12" fillId="8" borderId="40" xfId="14" applyFont="1" applyFill="1" applyBorder="1" applyAlignment="1">
      <alignment horizontal="center" vertical="center"/>
    </xf>
    <xf numFmtId="9" fontId="12" fillId="5" borderId="1" xfId="1" applyFont="1" applyFill="1" applyBorder="1" applyAlignment="1">
      <alignment horizontal="center" vertical="center"/>
    </xf>
    <xf numFmtId="0" fontId="9" fillId="0" borderId="1" xfId="7" applyFont="1" applyBorder="1" applyAlignment="1">
      <alignment horizontal="center" vertical="center"/>
    </xf>
    <xf numFmtId="0" fontId="9" fillId="0" borderId="1" xfId="7" applyFont="1" applyBorder="1" applyAlignment="1">
      <alignment horizontal="center" vertical="center" wrapText="1"/>
    </xf>
    <xf numFmtId="43" fontId="9" fillId="0" borderId="1" xfId="13" applyFont="1" applyFill="1" applyBorder="1" applyAlignment="1">
      <alignment horizontal="center" vertical="center" wrapText="1"/>
    </xf>
    <xf numFmtId="43" fontId="0" fillId="0" borderId="1" xfId="13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43" fontId="2" fillId="0" borderId="1" xfId="13" applyFont="1" applyBorder="1" applyAlignment="1">
      <alignment horizontal="center" vertical="center"/>
    </xf>
    <xf numFmtId="43" fontId="12" fillId="0" borderId="1" xfId="13" applyFont="1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43" fontId="0" fillId="0" borderId="1" xfId="13" applyFont="1" applyBorder="1" applyAlignment="1">
      <alignment horizontal="center" vertical="center" wrapText="1"/>
    </xf>
    <xf numFmtId="43" fontId="19" fillId="16" borderId="1" xfId="13" applyFont="1" applyFill="1" applyBorder="1" applyAlignment="1">
      <alignment horizontal="center" vertical="center"/>
    </xf>
    <xf numFmtId="43" fontId="19" fillId="15" borderId="1" xfId="13" applyFont="1" applyFill="1" applyBorder="1" applyAlignment="1">
      <alignment horizontal="center" vertical="center"/>
    </xf>
    <xf numFmtId="0" fontId="38" fillId="0" borderId="0" xfId="0" applyFont="1"/>
    <xf numFmtId="0" fontId="0" fillId="0" borderId="8" xfId="0" applyBorder="1"/>
    <xf numFmtId="0" fontId="0" fillId="0" borderId="9" xfId="0" applyBorder="1"/>
    <xf numFmtId="0" fontId="0" fillId="17" borderId="0" xfId="0" applyFill="1"/>
    <xf numFmtId="0" fontId="38" fillId="0" borderId="0" xfId="0" applyFont="1" applyAlignment="1">
      <alignment vertical="center"/>
    </xf>
    <xf numFmtId="0" fontId="0" fillId="17" borderId="1" xfId="0" applyFill="1" applyBorder="1"/>
    <xf numFmtId="0" fontId="9" fillId="4" borderId="1" xfId="7" applyFont="1" applyFill="1" applyBorder="1" applyAlignment="1">
      <alignment horizontal="left" vertical="center"/>
    </xf>
    <xf numFmtId="0" fontId="31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35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10" fontId="12" fillId="0" borderId="0" xfId="1" applyNumberFormat="1" applyFont="1" applyAlignment="1">
      <alignment horizontal="center"/>
    </xf>
    <xf numFmtId="43" fontId="0" fillId="0" borderId="11" xfId="13" applyFont="1" applyBorder="1" applyAlignment="1">
      <alignment horizontal="center" vertical="center"/>
    </xf>
    <xf numFmtId="43" fontId="0" fillId="0" borderId="11" xfId="13" applyFont="1" applyBorder="1"/>
    <xf numFmtId="167" fontId="19" fillId="6" borderId="12" xfId="13" applyNumberFormat="1" applyFont="1" applyFill="1" applyBorder="1" applyAlignment="1"/>
    <xf numFmtId="43" fontId="19" fillId="6" borderId="12" xfId="13" applyFont="1" applyFill="1" applyBorder="1" applyAlignment="1">
      <alignment horizontal="center" vertical="center"/>
    </xf>
    <xf numFmtId="43" fontId="0" fillId="16" borderId="8" xfId="13" applyFont="1" applyFill="1" applyBorder="1" applyAlignment="1">
      <alignment horizontal="center" vertical="center"/>
    </xf>
    <xf numFmtId="43" fontId="0" fillId="0" borderId="8" xfId="13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8" borderId="1" xfId="0" applyFill="1" applyBorder="1"/>
    <xf numFmtId="0" fontId="0" fillId="16" borderId="1" xfId="0" applyFill="1" applyBorder="1"/>
    <xf numFmtId="44" fontId="0" fillId="0" borderId="0" xfId="0" applyNumberFormat="1"/>
    <xf numFmtId="0" fontId="9" fillId="9" borderId="1" xfId="7" applyFont="1" applyFill="1" applyBorder="1" applyAlignment="1">
      <alignment horizontal="center" vertical="center" wrapText="1"/>
    </xf>
    <xf numFmtId="0" fontId="0" fillId="9" borderId="0" xfId="0" applyFill="1"/>
    <xf numFmtId="0" fontId="35" fillId="0" borderId="0" xfId="0" applyFont="1" applyAlignment="1">
      <alignment horizontal="left" vertical="center" wrapText="1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14" fontId="9" fillId="0" borderId="1" xfId="7" applyNumberFormat="1" applyFont="1" applyBorder="1" applyAlignment="1">
      <alignment horizontal="center" vertical="distributed"/>
    </xf>
    <xf numFmtId="4" fontId="9" fillId="5" borderId="1" xfId="7" applyNumberFormat="1" applyFont="1" applyFill="1" applyBorder="1" applyAlignment="1">
      <alignment horizontal="center" vertical="distributed"/>
    </xf>
    <xf numFmtId="0" fontId="9" fillId="5" borderId="8" xfId="7" applyFont="1" applyFill="1" applyBorder="1" applyAlignment="1">
      <alignment horizontal="left" vertical="distributed"/>
    </xf>
    <xf numFmtId="0" fontId="9" fillId="5" borderId="9" xfId="7" applyFont="1" applyFill="1" applyBorder="1" applyAlignment="1">
      <alignment horizontal="left" vertical="distributed"/>
    </xf>
    <xf numFmtId="0" fontId="9" fillId="5" borderId="10" xfId="7" applyFont="1" applyFill="1" applyBorder="1" applyAlignment="1">
      <alignment horizontal="left" vertical="distributed"/>
    </xf>
    <xf numFmtId="0" fontId="9" fillId="5" borderId="1" xfId="7" applyFont="1" applyFill="1" applyBorder="1" applyAlignment="1">
      <alignment horizontal="center" vertical="distributed"/>
    </xf>
    <xf numFmtId="0" fontId="9" fillId="0" borderId="3" xfId="7" applyFont="1" applyBorder="1" applyAlignment="1">
      <alignment horizontal="left" vertical="distributed"/>
    </xf>
    <xf numFmtId="0" fontId="9" fillId="0" borderId="4" xfId="7" applyFont="1" applyBorder="1" applyAlignment="1">
      <alignment horizontal="left" vertical="distributed"/>
    </xf>
    <xf numFmtId="0" fontId="9" fillId="0" borderId="5" xfId="7" applyFont="1" applyBorder="1" applyAlignment="1">
      <alignment horizontal="left" vertical="distributed"/>
    </xf>
    <xf numFmtId="0" fontId="9" fillId="0" borderId="13" xfId="7" applyFont="1" applyBorder="1" applyAlignment="1">
      <alignment horizontal="left" vertical="distributed"/>
    </xf>
    <xf numFmtId="0" fontId="9" fillId="0" borderId="2" xfId="7" applyFont="1" applyBorder="1" applyAlignment="1">
      <alignment horizontal="left" vertical="distributed"/>
    </xf>
    <xf numFmtId="0" fontId="9" fillId="0" borderId="14" xfId="7" applyFont="1" applyBorder="1" applyAlignment="1">
      <alignment horizontal="left" vertical="distributed"/>
    </xf>
    <xf numFmtId="0" fontId="9" fillId="0" borderId="1" xfId="7" applyFont="1" applyBorder="1" applyAlignment="1">
      <alignment horizontal="center" vertical="distributed"/>
    </xf>
    <xf numFmtId="4" fontId="8" fillId="5" borderId="1" xfId="7" applyNumberFormat="1" applyFont="1" applyFill="1" applyBorder="1" applyAlignment="1">
      <alignment horizontal="center" vertical="distributed"/>
    </xf>
    <xf numFmtId="49" fontId="9" fillId="0" borderId="11" xfId="7" applyNumberFormat="1" applyFont="1" applyBorder="1" applyAlignment="1">
      <alignment horizontal="center" vertical="distributed"/>
    </xf>
    <xf numFmtId="49" fontId="9" fillId="0" borderId="12" xfId="7" applyNumberFormat="1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left" vertical="center" wrapText="1"/>
    </xf>
    <xf numFmtId="0" fontId="8" fillId="5" borderId="1" xfId="7" applyFont="1" applyFill="1" applyBorder="1" applyAlignment="1">
      <alignment horizontal="center" vertical="center" wrapText="1"/>
    </xf>
    <xf numFmtId="0" fontId="8" fillId="5" borderId="1" xfId="7" applyFont="1" applyFill="1" applyBorder="1" applyAlignment="1">
      <alignment horizontal="center" vertical="center"/>
    </xf>
    <xf numFmtId="0" fontId="7" fillId="0" borderId="0" xfId="7" applyFont="1" applyAlignment="1">
      <alignment horizontal="center" vertical="distributed"/>
    </xf>
    <xf numFmtId="0" fontId="7" fillId="0" borderId="7" xfId="7" applyFont="1" applyBorder="1" applyAlignment="1">
      <alignment horizontal="center" vertical="distributed"/>
    </xf>
    <xf numFmtId="0" fontId="7" fillId="0" borderId="2" xfId="7" applyFont="1" applyBorder="1" applyAlignment="1">
      <alignment horizontal="center" vertical="distributed"/>
    </xf>
    <xf numFmtId="0" fontId="7" fillId="0" borderId="14" xfId="7" applyFont="1" applyBorder="1" applyAlignment="1">
      <alignment horizontal="center" vertical="distributed"/>
    </xf>
    <xf numFmtId="4" fontId="9" fillId="5" borderId="8" xfId="7" applyNumberFormat="1" applyFont="1" applyFill="1" applyBorder="1" applyAlignment="1">
      <alignment horizontal="center" vertical="distributed"/>
    </xf>
    <xf numFmtId="4" fontId="9" fillId="5" borderId="9" xfId="7" applyNumberFormat="1" applyFont="1" applyFill="1" applyBorder="1" applyAlignment="1">
      <alignment horizontal="center" vertical="distributed"/>
    </xf>
    <xf numFmtId="4" fontId="9" fillId="5" borderId="10" xfId="7" applyNumberFormat="1" applyFont="1" applyFill="1" applyBorder="1" applyAlignment="1">
      <alignment horizontal="center" vertical="distributed"/>
    </xf>
    <xf numFmtId="0" fontId="9" fillId="0" borderId="3" xfId="7" applyFont="1" applyBorder="1" applyAlignment="1">
      <alignment horizontal="center" vertical="distributed"/>
    </xf>
    <xf numFmtId="0" fontId="9" fillId="0" borderId="4" xfId="7" applyFont="1" applyBorder="1" applyAlignment="1">
      <alignment horizontal="center" vertical="distributed"/>
    </xf>
    <xf numFmtId="0" fontId="9" fillId="0" borderId="5" xfId="7" applyFont="1" applyBorder="1" applyAlignment="1">
      <alignment horizontal="center" vertical="distributed"/>
    </xf>
    <xf numFmtId="0" fontId="9" fillId="0" borderId="13" xfId="7" applyFont="1" applyBorder="1" applyAlignment="1">
      <alignment horizontal="center" vertical="distributed"/>
    </xf>
    <xf numFmtId="0" fontId="9" fillId="0" borderId="2" xfId="7" applyFont="1" applyBorder="1" applyAlignment="1">
      <alignment horizontal="center" vertical="distributed"/>
    </xf>
    <xf numFmtId="0" fontId="9" fillId="0" borderId="14" xfId="7" applyFont="1" applyBorder="1" applyAlignment="1">
      <alignment horizontal="center" vertical="distributed"/>
    </xf>
    <xf numFmtId="10" fontId="8" fillId="5" borderId="1" xfId="7" applyNumberFormat="1" applyFont="1" applyFill="1" applyBorder="1" applyAlignment="1">
      <alignment horizontal="center" vertical="center"/>
    </xf>
    <xf numFmtId="4" fontId="8" fillId="5" borderId="1" xfId="7" applyNumberFormat="1" applyFont="1" applyFill="1" applyBorder="1" applyAlignment="1">
      <alignment horizontal="center" vertical="center"/>
    </xf>
    <xf numFmtId="0" fontId="9" fillId="5" borderId="1" xfId="7" applyFont="1" applyFill="1" applyBorder="1" applyAlignment="1">
      <alignment horizontal="left" vertical="distributed"/>
    </xf>
    <xf numFmtId="0" fontId="9" fillId="0" borderId="1" xfId="7" applyFont="1" applyBorder="1" applyAlignment="1">
      <alignment horizontal="left" vertical="distributed"/>
    </xf>
    <xf numFmtId="166" fontId="9" fillId="0" borderId="3" xfId="7" applyNumberFormat="1" applyFont="1" applyBorder="1" applyAlignment="1">
      <alignment horizontal="center" vertical="distributed"/>
    </xf>
    <xf numFmtId="166" fontId="9" fillId="0" borderId="5" xfId="7" applyNumberFormat="1" applyFont="1" applyBorder="1" applyAlignment="1">
      <alignment horizontal="center" vertical="distributed"/>
    </xf>
    <xf numFmtId="166" fontId="9" fillId="0" borderId="13" xfId="7" applyNumberFormat="1" applyFont="1" applyBorder="1" applyAlignment="1">
      <alignment horizontal="center" vertical="distributed"/>
    </xf>
    <xf numFmtId="166" fontId="9" fillId="0" borderId="14" xfId="7" applyNumberFormat="1" applyFont="1" applyBorder="1" applyAlignment="1">
      <alignment horizontal="center" vertical="distributed"/>
    </xf>
    <xf numFmtId="166" fontId="14" fillId="0" borderId="1" xfId="7" applyNumberFormat="1" applyFont="1" applyBorder="1" applyAlignment="1">
      <alignment horizontal="center" vertical="distributed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7" fillId="2" borderId="8" xfId="7" applyFont="1" applyFill="1" applyBorder="1" applyAlignment="1">
      <alignment horizontal="center" vertical="center" wrapText="1"/>
    </xf>
    <xf numFmtId="0" fontId="27" fillId="2" borderId="9" xfId="7" applyFont="1" applyFill="1" applyBorder="1" applyAlignment="1">
      <alignment horizontal="center" vertical="center" wrapText="1"/>
    </xf>
    <xf numFmtId="0" fontId="27" fillId="2" borderId="10" xfId="7" applyFont="1" applyFill="1" applyBorder="1" applyAlignment="1">
      <alignment horizontal="center" vertical="center" wrapText="1"/>
    </xf>
    <xf numFmtId="0" fontId="27" fillId="2" borderId="11" xfId="7" applyFont="1" applyFill="1" applyBorder="1" applyAlignment="1">
      <alignment horizontal="center" vertical="center" wrapText="1"/>
    </xf>
    <xf numFmtId="0" fontId="27" fillId="2" borderId="12" xfId="7" applyFont="1" applyFill="1" applyBorder="1" applyAlignment="1">
      <alignment horizontal="center" vertical="center" wrapText="1"/>
    </xf>
    <xf numFmtId="0" fontId="24" fillId="0" borderId="3" xfId="7" applyFont="1" applyBorder="1" applyAlignment="1">
      <alignment horizontal="center"/>
    </xf>
    <xf numFmtId="0" fontId="24" fillId="0" borderId="4" xfId="7" applyFont="1" applyBorder="1" applyAlignment="1">
      <alignment horizontal="center"/>
    </xf>
    <xf numFmtId="0" fontId="24" fillId="0" borderId="5" xfId="7" applyFont="1" applyBorder="1" applyAlignment="1">
      <alignment horizontal="center"/>
    </xf>
    <xf numFmtId="0" fontId="24" fillId="0" borderId="6" xfId="7" applyFont="1" applyBorder="1" applyAlignment="1">
      <alignment horizontal="center"/>
    </xf>
    <xf numFmtId="0" fontId="24" fillId="0" borderId="0" xfId="7" applyFont="1" applyAlignment="1">
      <alignment horizontal="center"/>
    </xf>
    <xf numFmtId="0" fontId="24" fillId="0" borderId="7" xfId="7" applyFont="1" applyBorder="1" applyAlignment="1">
      <alignment horizont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5" fillId="11" borderId="8" xfId="7" applyFont="1" applyFill="1" applyBorder="1" applyAlignment="1" applyProtection="1">
      <alignment horizontal="center" vertical="top" wrapText="1"/>
      <protection locked="0"/>
    </xf>
    <xf numFmtId="0" fontId="25" fillId="11" borderId="9" xfId="7" applyFont="1" applyFill="1" applyBorder="1" applyAlignment="1" applyProtection="1">
      <alignment horizontal="center" vertical="top" wrapText="1"/>
      <protection locked="0"/>
    </xf>
    <xf numFmtId="0" fontId="25" fillId="11" borderId="10" xfId="7" applyFont="1" applyFill="1" applyBorder="1" applyAlignment="1" applyProtection="1">
      <alignment horizontal="center" vertical="top" wrapText="1"/>
      <protection locked="0"/>
    </xf>
    <xf numFmtId="0" fontId="26" fillId="2" borderId="11" xfId="7" applyFont="1" applyFill="1" applyBorder="1" applyAlignment="1">
      <alignment horizontal="center" vertical="center" wrapText="1"/>
    </xf>
    <xf numFmtId="0" fontId="26" fillId="2" borderId="12" xfId="7" applyFont="1" applyFill="1" applyBorder="1" applyAlignment="1">
      <alignment horizontal="center" vertical="center" wrapText="1"/>
    </xf>
    <xf numFmtId="0" fontId="9" fillId="0" borderId="8" xfId="7" applyFont="1" applyBorder="1" applyAlignment="1">
      <alignment horizontal="left" vertical="center" wrapText="1"/>
    </xf>
    <xf numFmtId="0" fontId="9" fillId="0" borderId="9" xfId="7" applyFont="1" applyBorder="1" applyAlignment="1">
      <alignment horizontal="left" vertical="center" wrapText="1"/>
    </xf>
    <xf numFmtId="0" fontId="9" fillId="0" borderId="10" xfId="7" applyFont="1" applyBorder="1" applyAlignment="1">
      <alignment horizontal="left" vertical="center" wrapText="1"/>
    </xf>
    <xf numFmtId="0" fontId="9" fillId="0" borderId="1" xfId="7" applyFont="1" applyBorder="1" applyAlignment="1">
      <alignment horizontal="left" vertical="center"/>
    </xf>
    <xf numFmtId="0" fontId="28" fillId="0" borderId="15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3" fontId="19" fillId="4" borderId="15" xfId="13" applyFont="1" applyFill="1" applyBorder="1" applyAlignment="1">
      <alignment horizontal="center" vertical="center"/>
    </xf>
    <xf numFmtId="43" fontId="19" fillId="4" borderId="22" xfId="13" applyFont="1" applyFill="1" applyBorder="1" applyAlignment="1">
      <alignment horizontal="center" vertical="center"/>
    </xf>
    <xf numFmtId="43" fontId="19" fillId="4" borderId="16" xfId="13" applyFont="1" applyFill="1" applyBorder="1" applyAlignment="1">
      <alignment horizontal="center" vertical="center"/>
    </xf>
    <xf numFmtId="43" fontId="19" fillId="4" borderId="2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horizontal="center" vertical="center"/>
    </xf>
    <xf numFmtId="43" fontId="19" fillId="4" borderId="21" xfId="13" applyFont="1" applyFill="1" applyBorder="1" applyAlignment="1">
      <alignment horizontal="center" vertical="center"/>
    </xf>
    <xf numFmtId="43" fontId="19" fillId="4" borderId="23" xfId="13" applyFont="1" applyFill="1" applyBorder="1" applyAlignment="1">
      <alignment horizontal="center" vertical="center"/>
    </xf>
    <xf numFmtId="43" fontId="19" fillId="4" borderId="24" xfId="13" applyFont="1" applyFill="1" applyBorder="1" applyAlignment="1">
      <alignment horizontal="center" vertical="center"/>
    </xf>
    <xf numFmtId="43" fontId="19" fillId="4" borderId="25" xfId="13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horizontal="center"/>
    </xf>
    <xf numFmtId="0" fontId="12" fillId="8" borderId="0" xfId="0" applyFont="1" applyFill="1" applyAlignment="1">
      <alignment horizontal="center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wrapText="1"/>
    </xf>
    <xf numFmtId="0" fontId="38" fillId="0" borderId="16" xfId="0" applyFont="1" applyBorder="1" applyAlignment="1">
      <alignment horizontal="center" wrapText="1"/>
    </xf>
    <xf numFmtId="0" fontId="38" fillId="0" borderId="20" xfId="0" applyFont="1" applyBorder="1" applyAlignment="1">
      <alignment horizontal="center" wrapText="1"/>
    </xf>
    <xf numFmtId="0" fontId="38" fillId="0" borderId="21" xfId="0" applyFont="1" applyBorder="1" applyAlignment="1">
      <alignment horizontal="center" wrapText="1"/>
    </xf>
    <xf numFmtId="0" fontId="38" fillId="0" borderId="23" xfId="0" applyFont="1" applyBorder="1" applyAlignment="1">
      <alignment horizontal="center" wrapText="1"/>
    </xf>
    <xf numFmtId="0" fontId="38" fillId="0" borderId="25" xfId="0" applyFont="1" applyBorder="1" applyAlignment="1">
      <alignment horizontal="center" wrapText="1"/>
    </xf>
    <xf numFmtId="0" fontId="12" fillId="17" borderId="9" xfId="0" applyFont="1" applyFill="1" applyBorder="1" applyAlignment="1">
      <alignment horizontal="left"/>
    </xf>
    <xf numFmtId="43" fontId="19" fillId="4" borderId="1" xfId="13" applyFont="1" applyFill="1" applyBorder="1" applyAlignment="1">
      <alignment horizontal="center" vertical="center"/>
    </xf>
    <xf numFmtId="43" fontId="19" fillId="6" borderId="1" xfId="13" applyFont="1" applyFill="1" applyBorder="1" applyAlignment="1">
      <alignment horizontal="center" vertical="center" wrapText="1"/>
    </xf>
    <xf numFmtId="43" fontId="19" fillId="6" borderId="1" xfId="13" applyFont="1" applyFill="1" applyBorder="1" applyAlignment="1">
      <alignment horizontal="left" vertical="center" wrapText="1"/>
    </xf>
    <xf numFmtId="43" fontId="19" fillId="0" borderId="26" xfId="13" applyFont="1" applyFill="1" applyBorder="1" applyAlignment="1">
      <alignment horizontal="center" vertical="center"/>
    </xf>
    <xf numFmtId="43" fontId="19" fillId="0" borderId="44" xfId="13" applyFont="1" applyFill="1" applyBorder="1" applyAlignment="1">
      <alignment horizontal="center" vertical="center"/>
    </xf>
    <xf numFmtId="43" fontId="19" fillId="0" borderId="27" xfId="13" applyFont="1" applyFill="1" applyBorder="1" applyAlignment="1">
      <alignment horizontal="center" vertical="center"/>
    </xf>
    <xf numFmtId="43" fontId="19" fillId="0" borderId="28" xfId="13" applyFont="1" applyFill="1" applyBorder="1" applyAlignment="1">
      <alignment horizontal="center" vertical="center"/>
    </xf>
    <xf numFmtId="43" fontId="19" fillId="0" borderId="6" xfId="13" applyFont="1" applyFill="1" applyBorder="1" applyAlignment="1">
      <alignment horizontal="center" vertical="center"/>
    </xf>
    <xf numFmtId="43" fontId="19" fillId="0" borderId="7" xfId="13" applyFont="1" applyFill="1" applyBorder="1" applyAlignment="1">
      <alignment horizontal="center" vertical="center"/>
    </xf>
    <xf numFmtId="43" fontId="19" fillId="0" borderId="29" xfId="13" applyFont="1" applyFill="1" applyBorder="1" applyAlignment="1">
      <alignment horizontal="center" vertical="center"/>
    </xf>
    <xf numFmtId="43" fontId="19" fillId="0" borderId="11" xfId="13" applyFont="1" applyFill="1" applyBorder="1" applyAlignment="1">
      <alignment horizontal="center" vertical="center"/>
    </xf>
    <xf numFmtId="43" fontId="19" fillId="0" borderId="30" xfId="13" applyFont="1" applyFill="1" applyBorder="1" applyAlignment="1">
      <alignment horizontal="center" vertical="center"/>
    </xf>
    <xf numFmtId="43" fontId="19" fillId="0" borderId="31" xfId="13" applyFont="1" applyFill="1" applyBorder="1" applyAlignment="1">
      <alignment horizontal="center" vertical="center"/>
    </xf>
    <xf numFmtId="43" fontId="19" fillId="0" borderId="32" xfId="13" applyFont="1" applyFill="1" applyBorder="1" applyAlignment="1">
      <alignment horizontal="center" vertical="center"/>
    </xf>
    <xf numFmtId="43" fontId="19" fillId="0" borderId="33" xfId="13" applyFont="1" applyFill="1" applyBorder="1" applyAlignment="1">
      <alignment horizontal="center" vertical="center"/>
    </xf>
    <xf numFmtId="43" fontId="19" fillId="0" borderId="45" xfId="13" applyFont="1" applyFill="1" applyBorder="1" applyAlignment="1">
      <alignment horizontal="center" vertical="center"/>
    </xf>
    <xf numFmtId="43" fontId="15" fillId="0" borderId="15" xfId="13" applyFont="1" applyBorder="1" applyAlignment="1">
      <alignment horizontal="center"/>
    </xf>
    <xf numFmtId="43" fontId="15" fillId="0" borderId="16" xfId="13" applyFont="1" applyBorder="1" applyAlignment="1">
      <alignment horizontal="center"/>
    </xf>
    <xf numFmtId="43" fontId="15" fillId="0" borderId="20" xfId="13" applyFont="1" applyBorder="1" applyAlignment="1">
      <alignment horizontal="center"/>
    </xf>
    <xf numFmtId="43" fontId="15" fillId="0" borderId="21" xfId="13" applyFont="1" applyBorder="1" applyAlignment="1">
      <alignment horizontal="center"/>
    </xf>
    <xf numFmtId="43" fontId="15" fillId="0" borderId="23" xfId="13" applyFont="1" applyBorder="1" applyAlignment="1">
      <alignment horizontal="center"/>
    </xf>
    <xf numFmtId="43" fontId="15" fillId="0" borderId="25" xfId="13" applyFont="1" applyBorder="1" applyAlignment="1">
      <alignment horizontal="center"/>
    </xf>
    <xf numFmtId="43" fontId="16" fillId="0" borderId="17" xfId="13" applyFont="1" applyBorder="1" applyAlignment="1">
      <alignment horizontal="center" vertical="center" wrapText="1"/>
    </xf>
    <xf numFmtId="43" fontId="16" fillId="0" borderId="18" xfId="13" applyFont="1" applyBorder="1" applyAlignment="1">
      <alignment horizontal="center" vertical="center" wrapText="1"/>
    </xf>
    <xf numFmtId="43" fontId="16" fillId="0" borderId="19" xfId="13" applyFont="1" applyBorder="1" applyAlignment="1">
      <alignment horizontal="center" vertical="center" wrapText="1"/>
    </xf>
    <xf numFmtId="43" fontId="15" fillId="0" borderId="15" xfId="13" applyFont="1" applyBorder="1" applyAlignment="1">
      <alignment horizontal="left"/>
    </xf>
    <xf numFmtId="43" fontId="15" fillId="0" borderId="22" xfId="13" applyFont="1" applyBorder="1" applyAlignment="1">
      <alignment horizontal="left"/>
    </xf>
    <xf numFmtId="43" fontId="15" fillId="0" borderId="16" xfId="13" applyFont="1" applyBorder="1" applyAlignment="1">
      <alignment horizontal="left"/>
    </xf>
    <xf numFmtId="43" fontId="17" fillId="7" borderId="23" xfId="13" applyFont="1" applyFill="1" applyBorder="1" applyAlignment="1">
      <alignment horizontal="center"/>
    </xf>
    <xf numFmtId="43" fontId="17" fillId="7" borderId="24" xfId="13" applyFont="1" applyFill="1" applyBorder="1" applyAlignment="1">
      <alignment horizontal="center"/>
    </xf>
    <xf numFmtId="43" fontId="17" fillId="7" borderId="25" xfId="13" applyFont="1" applyFill="1" applyBorder="1" applyAlignment="1">
      <alignment horizontal="center"/>
    </xf>
    <xf numFmtId="43" fontId="18" fillId="7" borderId="23" xfId="13" applyFont="1" applyFill="1" applyBorder="1" applyAlignment="1">
      <alignment horizontal="left"/>
    </xf>
    <xf numFmtId="43" fontId="18" fillId="7" borderId="24" xfId="13" applyFont="1" applyFill="1" applyBorder="1" applyAlignment="1">
      <alignment horizontal="left"/>
    </xf>
    <xf numFmtId="43" fontId="18" fillId="7" borderId="25" xfId="13" applyFont="1" applyFill="1" applyBorder="1" applyAlignment="1">
      <alignment horizontal="left"/>
    </xf>
    <xf numFmtId="43" fontId="15" fillId="0" borderId="15" xfId="13" applyFont="1" applyBorder="1" applyAlignment="1">
      <alignment horizontal="left" vertical="center"/>
    </xf>
    <xf numFmtId="43" fontId="15" fillId="0" borderId="22" xfId="13" applyFont="1" applyBorder="1" applyAlignment="1">
      <alignment horizontal="left" vertical="center"/>
    </xf>
    <xf numFmtId="43" fontId="15" fillId="0" borderId="16" xfId="13" applyFont="1" applyBorder="1" applyAlignment="1">
      <alignment horizontal="left" vertical="center"/>
    </xf>
    <xf numFmtId="43" fontId="18" fillId="7" borderId="23" xfId="13" applyFont="1" applyFill="1" applyBorder="1" applyAlignment="1">
      <alignment horizontal="left" vertical="top" wrapText="1"/>
    </xf>
    <xf numFmtId="43" fontId="18" fillId="7" borderId="24" xfId="13" applyFont="1" applyFill="1" applyBorder="1" applyAlignment="1">
      <alignment horizontal="left" vertical="top" wrapText="1"/>
    </xf>
    <xf numFmtId="43" fontId="18" fillId="7" borderId="25" xfId="13" applyFont="1" applyFill="1" applyBorder="1" applyAlignment="1">
      <alignment horizontal="left" vertical="top" wrapText="1"/>
    </xf>
    <xf numFmtId="43" fontId="18" fillId="7" borderId="23" xfId="13" applyFont="1" applyFill="1" applyBorder="1" applyAlignment="1">
      <alignment horizontal="left" vertical="center" wrapText="1"/>
    </xf>
    <xf numFmtId="43" fontId="18" fillId="7" borderId="24" xfId="13" applyFont="1" applyFill="1" applyBorder="1" applyAlignment="1">
      <alignment horizontal="left" vertical="center" wrapText="1"/>
    </xf>
    <xf numFmtId="43" fontId="18" fillId="7" borderId="25" xfId="13" applyFont="1" applyFill="1" applyBorder="1" applyAlignment="1">
      <alignment horizontal="left" vertical="center" wrapText="1"/>
    </xf>
    <xf numFmtId="43" fontId="6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19" fillId="6" borderId="8" xfId="13" applyFont="1" applyFill="1" applyBorder="1" applyAlignment="1">
      <alignment horizontal="center" vertical="center" wrapText="1"/>
    </xf>
    <xf numFmtId="43" fontId="19" fillId="6" borderId="9" xfId="13" applyFont="1" applyFill="1" applyBorder="1" applyAlignment="1">
      <alignment horizontal="center" vertical="center" wrapText="1"/>
    </xf>
    <xf numFmtId="43" fontId="19" fillId="6" borderId="10" xfId="13" applyFont="1" applyFill="1" applyBorder="1" applyAlignment="1">
      <alignment horizontal="center" vertical="center" wrapText="1"/>
    </xf>
    <xf numFmtId="43" fontId="0" fillId="0" borderId="1" xfId="13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43" fontId="0" fillId="0" borderId="8" xfId="13" applyFont="1" applyBorder="1" applyAlignment="1">
      <alignment horizontal="center" vertical="center"/>
    </xf>
    <xf numFmtId="43" fontId="0" fillId="0" borderId="10" xfId="13" applyFont="1" applyBorder="1" applyAlignment="1">
      <alignment horizontal="center" vertical="center"/>
    </xf>
    <xf numFmtId="43" fontId="19" fillId="6" borderId="12" xfId="13" applyFont="1" applyFill="1" applyBorder="1" applyAlignment="1">
      <alignment horizontal="center" vertical="center" wrapText="1"/>
    </xf>
    <xf numFmtId="0" fontId="9" fillId="0" borderId="6" xfId="7" applyFont="1" applyBorder="1" applyAlignment="1">
      <alignment horizontal="center" vertical="distributed"/>
    </xf>
    <xf numFmtId="0" fontId="9" fillId="0" borderId="0" xfId="7" applyFont="1" applyAlignment="1">
      <alignment horizontal="center" vertical="distributed"/>
    </xf>
    <xf numFmtId="0" fontId="9" fillId="5" borderId="3" xfId="7" applyFont="1" applyFill="1" applyBorder="1" applyAlignment="1">
      <alignment horizontal="center" vertical="distributed"/>
    </xf>
    <xf numFmtId="0" fontId="9" fillId="5" borderId="4" xfId="7" applyFont="1" applyFill="1" applyBorder="1" applyAlignment="1">
      <alignment horizontal="center" vertical="distributed"/>
    </xf>
    <xf numFmtId="0" fontId="9" fillId="5" borderId="5" xfId="7" applyFont="1" applyFill="1" applyBorder="1" applyAlignment="1">
      <alignment horizontal="center" vertical="distributed"/>
    </xf>
    <xf numFmtId="0" fontId="9" fillId="5" borderId="6" xfId="7" applyFont="1" applyFill="1" applyBorder="1" applyAlignment="1">
      <alignment horizontal="center" vertical="distributed"/>
    </xf>
    <xf numFmtId="0" fontId="9" fillId="5" borderId="0" xfId="7" applyFont="1" applyFill="1" applyAlignment="1">
      <alignment horizontal="center" vertical="distributed"/>
    </xf>
    <xf numFmtId="0" fontId="9" fillId="5" borderId="7" xfId="7" applyFont="1" applyFill="1" applyBorder="1" applyAlignment="1">
      <alignment horizontal="center" vertical="distributed"/>
    </xf>
    <xf numFmtId="0" fontId="9" fillId="5" borderId="13" xfId="7" applyFont="1" applyFill="1" applyBorder="1" applyAlignment="1">
      <alignment horizontal="center" vertical="distributed"/>
    </xf>
    <xf numFmtId="0" fontId="9" fillId="5" borderId="2" xfId="7" applyFont="1" applyFill="1" applyBorder="1" applyAlignment="1">
      <alignment horizontal="center" vertical="distributed"/>
    </xf>
    <xf numFmtId="0" fontId="9" fillId="5" borderId="14" xfId="7" applyFont="1" applyFill="1" applyBorder="1" applyAlignment="1">
      <alignment horizontal="center" vertical="distributed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6" fillId="0" borderId="17" xfId="0" applyFont="1" applyBorder="1" applyAlignment="1">
      <alignment horizontal="center"/>
    </xf>
    <xf numFmtId="0" fontId="36" fillId="0" borderId="18" xfId="0" applyFont="1" applyBorder="1" applyAlignment="1">
      <alignment horizontal="center"/>
    </xf>
    <xf numFmtId="0" fontId="36" fillId="0" borderId="19" xfId="0" applyFont="1" applyBorder="1" applyAlignment="1">
      <alignment horizontal="center"/>
    </xf>
    <xf numFmtId="0" fontId="35" fillId="0" borderId="17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5" fillId="0" borderId="19" xfId="0" applyFont="1" applyBorder="1" applyAlignment="1">
      <alignment horizontal="center"/>
    </xf>
    <xf numFmtId="0" fontId="33" fillId="2" borderId="11" xfId="7" applyFont="1" applyFill="1" applyBorder="1" applyAlignment="1">
      <alignment horizontal="center" vertical="center" wrapText="1"/>
    </xf>
    <xf numFmtId="0" fontId="33" fillId="2" borderId="12" xfId="7" applyFont="1" applyFill="1" applyBorder="1" applyAlignment="1">
      <alignment horizontal="center" vertical="center" wrapText="1"/>
    </xf>
    <xf numFmtId="0" fontId="33" fillId="13" borderId="8" xfId="7" applyFont="1" applyFill="1" applyBorder="1" applyAlignment="1">
      <alignment horizontal="center" vertical="center" wrapText="1"/>
    </xf>
    <xf numFmtId="0" fontId="33" fillId="13" borderId="9" xfId="7" applyFont="1" applyFill="1" applyBorder="1" applyAlignment="1">
      <alignment horizontal="center" vertical="center" wrapText="1"/>
    </xf>
    <xf numFmtId="0" fontId="30" fillId="0" borderId="3" xfId="7" applyFont="1" applyBorder="1" applyAlignment="1">
      <alignment horizontal="center"/>
    </xf>
    <xf numFmtId="0" fontId="30" fillId="0" borderId="4" xfId="7" applyFont="1" applyBorder="1" applyAlignment="1">
      <alignment horizontal="center"/>
    </xf>
    <xf numFmtId="0" fontId="30" fillId="0" borderId="6" xfId="7" applyFont="1" applyBorder="1" applyAlignment="1">
      <alignment horizontal="center"/>
    </xf>
    <xf numFmtId="0" fontId="30" fillId="0" borderId="0" xfId="7" applyFont="1" applyAlignment="1">
      <alignment horizontal="center"/>
    </xf>
    <xf numFmtId="0" fontId="32" fillId="2" borderId="11" xfId="7" applyFont="1" applyFill="1" applyBorder="1" applyAlignment="1">
      <alignment horizontal="center" vertical="center" wrapText="1"/>
    </xf>
    <xf numFmtId="0" fontId="32" fillId="2" borderId="12" xfId="7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left" vertical="center" wrapText="1"/>
    </xf>
    <xf numFmtId="43" fontId="19" fillId="6" borderId="22" xfId="13" applyFont="1" applyFill="1" applyBorder="1" applyAlignment="1">
      <alignment horizontal="left" vertical="center" wrapText="1"/>
    </xf>
    <xf numFmtId="43" fontId="19" fillId="6" borderId="17" xfId="13" applyFont="1" applyFill="1" applyBorder="1" applyAlignment="1">
      <alignment horizontal="left" vertical="center" wrapText="1"/>
    </xf>
    <xf numFmtId="43" fontId="19" fillId="6" borderId="18" xfId="13" applyFont="1" applyFill="1" applyBorder="1" applyAlignment="1">
      <alignment horizontal="left" vertical="center" wrapText="1"/>
    </xf>
    <xf numFmtId="43" fontId="19" fillId="6" borderId="39" xfId="13" applyFont="1" applyFill="1" applyBorder="1" applyAlignment="1">
      <alignment horizontal="left" vertical="center" wrapText="1"/>
    </xf>
    <xf numFmtId="43" fontId="19" fillId="6" borderId="31" xfId="13" applyFont="1" applyFill="1" applyBorder="1" applyAlignment="1">
      <alignment horizontal="left" vertical="center" wrapText="1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0" borderId="38" xfId="13" applyFont="1" applyFill="1" applyBorder="1" applyAlignment="1">
      <alignment horizontal="center" vertical="center"/>
    </xf>
    <xf numFmtId="43" fontId="19" fillId="0" borderId="34" xfId="13" applyFont="1" applyFill="1" applyBorder="1" applyAlignment="1">
      <alignment horizontal="center" vertical="center"/>
    </xf>
    <xf numFmtId="43" fontId="19" fillId="0" borderId="35" xfId="13" applyFont="1" applyFill="1" applyBorder="1" applyAlignment="1">
      <alignment horizontal="center" vertical="center"/>
    </xf>
    <xf numFmtId="43" fontId="19" fillId="0" borderId="36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43" fontId="19" fillId="4" borderId="13" xfId="13" applyFont="1" applyFill="1" applyBorder="1" applyAlignment="1">
      <alignment horizontal="center" vertical="center"/>
    </xf>
    <xf numFmtId="43" fontId="19" fillId="4" borderId="2" xfId="13" applyFont="1" applyFill="1" applyBorder="1" applyAlignment="1">
      <alignment horizontal="center" vertical="center"/>
    </xf>
    <xf numFmtId="43" fontId="19" fillId="4" borderId="14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left" vertical="center" wrapText="1"/>
    </xf>
    <xf numFmtId="0" fontId="12" fillId="9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</cellXfs>
  <cellStyles count="20">
    <cellStyle name="Excel Built-in Normal 2 2 2" xfId="4" xr:uid="{00000000-0005-0000-0000-000000000000}"/>
    <cellStyle name="Excel Built-in Normal_Acompanhamento - CHÃ GRANDE - GABARITO" xfId="6" xr:uid="{00000000-0005-0000-0000-000001000000}"/>
    <cellStyle name="Excel Built-in Vírgula 2" xfId="5" xr:uid="{00000000-0005-0000-0000-000002000000}"/>
    <cellStyle name="Hiperlink" xfId="15" builtinId="8"/>
    <cellStyle name="Moeda" xfId="14" builtinId="4"/>
    <cellStyle name="Normal" xfId="0" builtinId="0"/>
    <cellStyle name="Normal 2" xfId="8" xr:uid="{00000000-0005-0000-0000-000006000000}"/>
    <cellStyle name="Normal 2 10" xfId="2" xr:uid="{00000000-0005-0000-0000-000007000000}"/>
    <cellStyle name="Normal 2 2" xfId="11" xr:uid="{00000000-0005-0000-0000-000008000000}"/>
    <cellStyle name="Normal 3" xfId="9" xr:uid="{00000000-0005-0000-0000-000009000000}"/>
    <cellStyle name="Normal 3 2" xfId="12" xr:uid="{00000000-0005-0000-0000-00000A000000}"/>
    <cellStyle name="Normal 4" xfId="7" xr:uid="{00000000-0005-0000-0000-00000B000000}"/>
    <cellStyle name="Normal 4 2" xfId="19" xr:uid="{00000000-0005-0000-0000-00000C000000}"/>
    <cellStyle name="Normal 5" xfId="16" xr:uid="{00000000-0005-0000-0000-00000D000000}"/>
    <cellStyle name="Normal 6" xfId="17" xr:uid="{00000000-0005-0000-0000-00000E000000}"/>
    <cellStyle name="Normal 6 2" xfId="18" xr:uid="{00000000-0005-0000-0000-00000F000000}"/>
    <cellStyle name="Porcentagem" xfId="1" builtinId="5"/>
    <cellStyle name="Separador de milhares 2_ORÇAMENTO matureia corrigido (DEZ 2009)" xfId="3" xr:uid="{00000000-0005-0000-0000-000011000000}"/>
    <cellStyle name="Vírgula" xfId="13" builtinId="3"/>
    <cellStyle name="Vírgula 2" xfId="10" xr:uid="{00000000-0005-0000-0000-000013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jpeg"/><Relationship Id="rId3" Type="http://schemas.openxmlformats.org/officeDocument/2006/relationships/image" Target="../media/image6.jpeg"/><Relationship Id="rId7" Type="http://schemas.openxmlformats.org/officeDocument/2006/relationships/image" Target="../media/image10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Relationship Id="rId6" Type="http://schemas.openxmlformats.org/officeDocument/2006/relationships/image" Target="../media/image9.jpeg"/><Relationship Id="rId5" Type="http://schemas.openxmlformats.org/officeDocument/2006/relationships/image" Target="../media/image8.jpeg"/><Relationship Id="rId4" Type="http://schemas.openxmlformats.org/officeDocument/2006/relationships/image" Target="../media/image7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7" Type="http://schemas.openxmlformats.org/officeDocument/2006/relationships/image" Target="../media/image18.jpeg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7.jpeg"/><Relationship Id="rId5" Type="http://schemas.openxmlformats.org/officeDocument/2006/relationships/image" Target="../media/image16.jpeg"/><Relationship Id="rId4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1635125</xdr:colOff>
      <xdr:row>281</xdr:row>
      <xdr:rowOff>832953</xdr:rowOff>
    </xdr:from>
    <xdr:to>
      <xdr:col>21</xdr:col>
      <xdr:colOff>565619</xdr:colOff>
      <xdr:row>282</xdr:row>
      <xdr:rowOff>150057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4DDF55-8548-4641-9D14-2196B79E3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3739328"/>
          <a:ext cx="8026869" cy="4524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47625</xdr:colOff>
      <xdr:row>281</xdr:row>
      <xdr:rowOff>365125</xdr:rowOff>
    </xdr:from>
    <xdr:to>
      <xdr:col>13</xdr:col>
      <xdr:colOff>1620332</xdr:colOff>
      <xdr:row>281</xdr:row>
      <xdr:rowOff>2603500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0669631-849F-419B-8F25-7BAF116E5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13271500"/>
          <a:ext cx="2175957" cy="223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571500</xdr:colOff>
      <xdr:row>281</xdr:row>
      <xdr:rowOff>174625</xdr:rowOff>
    </xdr:from>
    <xdr:to>
      <xdr:col>11</xdr:col>
      <xdr:colOff>365125</xdr:colOff>
      <xdr:row>283</xdr:row>
      <xdr:rowOff>42487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3B7963D7-0E04-42CC-B36F-B9F84A0B0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3065125"/>
          <a:ext cx="8858250" cy="5265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1809750</xdr:colOff>
      <xdr:row>281</xdr:row>
      <xdr:rowOff>2492375</xdr:rowOff>
    </xdr:from>
    <xdr:to>
      <xdr:col>14</xdr:col>
      <xdr:colOff>952500</xdr:colOff>
      <xdr:row>281</xdr:row>
      <xdr:rowOff>2889250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58460079-B953-42B7-93C3-E518E7F99637}"/>
            </a:ext>
          </a:extLst>
        </xdr:cNvPr>
        <xdr:cNvSpPr/>
      </xdr:nvSpPr>
      <xdr:spPr>
        <a:xfrm>
          <a:off x="12223750" y="15398750"/>
          <a:ext cx="2889250" cy="39687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8</xdr:row>
      <xdr:rowOff>161925</xdr:rowOff>
    </xdr:from>
    <xdr:to>
      <xdr:col>9</xdr:col>
      <xdr:colOff>237525</xdr:colOff>
      <xdr:row>27</xdr:row>
      <xdr:rowOff>142425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6A9FD3A-7D60-4204-82B5-A030C7E17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1752600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29</xdr:row>
      <xdr:rowOff>28575</xdr:rowOff>
    </xdr:from>
    <xdr:to>
      <xdr:col>4</xdr:col>
      <xdr:colOff>575925</xdr:colOff>
      <xdr:row>48</xdr:row>
      <xdr:rowOff>9075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746C5A0-5689-4E5B-B68D-B05CC75D9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5619750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219075</xdr:colOff>
      <xdr:row>29</xdr:row>
      <xdr:rowOff>19050</xdr:rowOff>
    </xdr:from>
    <xdr:to>
      <xdr:col>10</xdr:col>
      <xdr:colOff>480675</xdr:colOff>
      <xdr:row>47</xdr:row>
      <xdr:rowOff>190050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BB29BE93-D435-49A9-806A-07DEB8A3A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675" y="561022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59</xdr:row>
      <xdr:rowOff>66675</xdr:rowOff>
    </xdr:from>
    <xdr:to>
      <xdr:col>9</xdr:col>
      <xdr:colOff>75600</xdr:colOff>
      <xdr:row>78</xdr:row>
      <xdr:rowOff>47175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37AD71EA-A124-4CD0-B146-7919A537D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1372850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79</xdr:row>
      <xdr:rowOff>76200</xdr:rowOff>
    </xdr:from>
    <xdr:to>
      <xdr:col>4</xdr:col>
      <xdr:colOff>404475</xdr:colOff>
      <xdr:row>98</xdr:row>
      <xdr:rowOff>56700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210F715-D5AE-4C0A-930E-7BCC6BF98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5192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6</xdr:col>
      <xdr:colOff>200025</xdr:colOff>
      <xdr:row>79</xdr:row>
      <xdr:rowOff>19050</xdr:rowOff>
    </xdr:from>
    <xdr:to>
      <xdr:col>10</xdr:col>
      <xdr:colOff>461625</xdr:colOff>
      <xdr:row>97</xdr:row>
      <xdr:rowOff>190050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2C4B5663-621D-48DA-9CD4-BE6C62FED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7625" y="1513522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98</xdr:row>
      <xdr:rowOff>133350</xdr:rowOff>
    </xdr:from>
    <xdr:to>
      <xdr:col>4</xdr:col>
      <xdr:colOff>414000</xdr:colOff>
      <xdr:row>117</xdr:row>
      <xdr:rowOff>113850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A19B4598-097B-4A2B-B4E3-3ED4ECE25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886902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98</xdr:row>
      <xdr:rowOff>180974</xdr:rowOff>
    </xdr:from>
    <xdr:to>
      <xdr:col>11</xdr:col>
      <xdr:colOff>444500</xdr:colOff>
      <xdr:row>115</xdr:row>
      <xdr:rowOff>19049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3ABFA2A3-C2D1-4BCA-A2F1-DA977AF93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18916649"/>
          <a:ext cx="4102100" cy="3076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444499</xdr:colOff>
      <xdr:row>15</xdr:row>
      <xdr:rowOff>111124</xdr:rowOff>
    </xdr:from>
    <xdr:to>
      <xdr:col>10</xdr:col>
      <xdr:colOff>396874</xdr:colOff>
      <xdr:row>36</xdr:row>
      <xdr:rowOff>146843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5606578-5841-4958-A83B-67D597C06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9" y="2905124"/>
          <a:ext cx="5381625" cy="4036219"/>
        </a:xfrm>
        <a:prstGeom prst="rect">
          <a:avLst/>
        </a:prstGeom>
      </xdr:spPr>
    </xdr:pic>
    <xdr:clientData/>
  </xdr:twoCellAnchor>
  <xdr:twoCellAnchor editAs="oneCell">
    <xdr:from>
      <xdr:col>8</xdr:col>
      <xdr:colOff>460375</xdr:colOff>
      <xdr:row>98</xdr:row>
      <xdr:rowOff>127000</xdr:rowOff>
    </xdr:from>
    <xdr:to>
      <xdr:col>11</xdr:col>
      <xdr:colOff>1033125</xdr:colOff>
      <xdr:row>117</xdr:row>
      <xdr:rowOff>107500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76028B9-280B-4734-B707-2BEC43879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18732500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91</xdr:row>
      <xdr:rowOff>31749</xdr:rowOff>
    </xdr:from>
    <xdr:to>
      <xdr:col>8</xdr:col>
      <xdr:colOff>465594</xdr:colOff>
      <xdr:row>109</xdr:row>
      <xdr:rowOff>123374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AE6802B6-471B-43F0-9E2C-D601D7B2F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1125" y="17303749"/>
          <a:ext cx="2640469" cy="3520625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222250</xdr:colOff>
      <xdr:row>72</xdr:row>
      <xdr:rowOff>142875</xdr:rowOff>
    </xdr:from>
    <xdr:to>
      <xdr:col>4</xdr:col>
      <xdr:colOff>509250</xdr:colOff>
      <xdr:row>91</xdr:row>
      <xdr:rowOff>123375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C8387888-AAD0-443B-BC81-093EBCC3C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72</xdr:row>
      <xdr:rowOff>142875</xdr:rowOff>
    </xdr:from>
    <xdr:to>
      <xdr:col>11</xdr:col>
      <xdr:colOff>160000</xdr:colOff>
      <xdr:row>91</xdr:row>
      <xdr:rowOff>123375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B35FC2B-9556-4718-9839-95E974ED5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3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98</xdr:row>
      <xdr:rowOff>111125</xdr:rowOff>
    </xdr:from>
    <xdr:to>
      <xdr:col>4</xdr:col>
      <xdr:colOff>318750</xdr:colOff>
      <xdr:row>117</xdr:row>
      <xdr:rowOff>91625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F1EC4B5-0DCD-4A97-955F-4441B8DFE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871662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428624</xdr:colOff>
      <xdr:row>39</xdr:row>
      <xdr:rowOff>31749</xdr:rowOff>
    </xdr:from>
    <xdr:to>
      <xdr:col>10</xdr:col>
      <xdr:colOff>285749</xdr:colOff>
      <xdr:row>59</xdr:row>
      <xdr:rowOff>186530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EF504904-3D0B-4033-B29A-830836F7C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874" y="7397749"/>
          <a:ext cx="5286375" cy="39647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ICARDO%20LIMA\Desktop\PREFEITURA_FISCALIZA&#199;&#195;O_2023\FISCALIZA&#199;&#195;O_CENTRO%20ONCOL&#211;GICO\BM-14_CENTRO%20DE%20ONCOLOGIA\BM%2014_RLR_17.07.24_5MI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n%20Casimiro\OneDrive\&#193;rea%20de%20Trabalho\ONCOLOGIA\REPROGRAMA&#199;&#195;O%20ONCOLOGIA.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n%20Casimiro\Downloads\BM%20-%20Oncologi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n%20Casimiro\OneDrive\&#193;rea%20de%20Trabalho\ONCOLOGIA\BM%2011%20ONCOLOGI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n%20Casimiro\Downloads\PLANILHA%20P&#211;S%20ADITIVO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n%20Casimiro\Downloads\BM%2006%20ONCOLOG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"/>
      <sheetName val="REPROGRAMAÇÃO"/>
      <sheetName val="BM_14"/>
      <sheetName val="MEM (2)"/>
      <sheetName val="RELATÓRIO FOTOGRÁFICOO"/>
      <sheetName val="RELATÓRIO FOTOGRÁFICO"/>
      <sheetName val="MEM"/>
      <sheetName val="BM10"/>
      <sheetName val="BM09"/>
      <sheetName val="PLANILHA PÓS ADITIVO"/>
      <sheetName val="MEM_"/>
      <sheetName val="MEM_05"/>
    </sheetNames>
    <sheetDataSet>
      <sheetData sheetId="0" refreshError="1"/>
      <sheetData sheetId="1" refreshError="1"/>
      <sheetData sheetId="2">
        <row r="19">
          <cell r="H19">
            <v>4.46</v>
          </cell>
        </row>
        <row r="20">
          <cell r="H20">
            <v>49.87</v>
          </cell>
        </row>
        <row r="21">
          <cell r="H21">
            <v>716.73</v>
          </cell>
        </row>
        <row r="22">
          <cell r="H22">
            <v>175.86</v>
          </cell>
        </row>
        <row r="23">
          <cell r="H23">
            <v>102.15</v>
          </cell>
        </row>
        <row r="24">
          <cell r="H24">
            <v>32</v>
          </cell>
        </row>
        <row r="25">
          <cell r="H25">
            <v>14</v>
          </cell>
        </row>
        <row r="26">
          <cell r="H26">
            <v>130.80000000000001</v>
          </cell>
        </row>
        <row r="27">
          <cell r="H27">
            <v>28.95</v>
          </cell>
        </row>
        <row r="28">
          <cell r="H28">
            <v>636.84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28.86</v>
          </cell>
        </row>
        <row r="32">
          <cell r="H32">
            <v>55.16</v>
          </cell>
        </row>
        <row r="33">
          <cell r="H33">
            <v>19.239999999999998</v>
          </cell>
        </row>
        <row r="34">
          <cell r="H34">
            <v>5.8</v>
          </cell>
        </row>
        <row r="35">
          <cell r="H35">
            <v>42.2</v>
          </cell>
        </row>
        <row r="36">
          <cell r="H36">
            <v>35.9</v>
          </cell>
        </row>
        <row r="37">
          <cell r="H37">
            <v>19.3</v>
          </cell>
        </row>
        <row r="38">
          <cell r="H38">
            <v>421.3</v>
          </cell>
        </row>
        <row r="39">
          <cell r="H39">
            <v>579.35</v>
          </cell>
        </row>
        <row r="40">
          <cell r="H40">
            <v>2054.77</v>
          </cell>
        </row>
        <row r="41">
          <cell r="H41">
            <v>0</v>
          </cell>
        </row>
        <row r="42">
          <cell r="H42">
            <v>651.9</v>
          </cell>
        </row>
        <row r="43">
          <cell r="H43">
            <v>21.68</v>
          </cell>
        </row>
        <row r="44">
          <cell r="H44">
            <v>9</v>
          </cell>
        </row>
        <row r="45">
          <cell r="H45">
            <v>3.85</v>
          </cell>
        </row>
        <row r="46">
          <cell r="H46">
            <v>3.85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412.32</v>
          </cell>
        </row>
        <row r="50">
          <cell r="H50">
            <v>0</v>
          </cell>
        </row>
        <row r="51">
          <cell r="H51">
            <v>81.84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>
            <v>0</v>
          </cell>
        </row>
        <row r="57">
          <cell r="H57">
            <v>0</v>
          </cell>
        </row>
        <row r="58">
          <cell r="H58">
            <v>415.93</v>
          </cell>
        </row>
        <row r="59">
          <cell r="H59">
            <v>309.93</v>
          </cell>
        </row>
        <row r="60">
          <cell r="H60">
            <v>774.82999999999993</v>
          </cell>
        </row>
        <row r="61">
          <cell r="H61">
            <v>250</v>
          </cell>
        </row>
        <row r="62">
          <cell r="H62">
            <v>197.11</v>
          </cell>
        </row>
        <row r="63">
          <cell r="H63">
            <v>197.11</v>
          </cell>
        </row>
        <row r="64">
          <cell r="H64">
            <v>64.3</v>
          </cell>
        </row>
        <row r="65">
          <cell r="H65">
            <v>24.61</v>
          </cell>
        </row>
        <row r="66">
          <cell r="H66">
            <v>0</v>
          </cell>
        </row>
        <row r="67">
          <cell r="H67">
            <v>0</v>
          </cell>
        </row>
        <row r="68">
          <cell r="H68">
            <v>0</v>
          </cell>
        </row>
        <row r="69">
          <cell r="H69">
            <v>11.27</v>
          </cell>
        </row>
        <row r="70">
          <cell r="H70">
            <v>0</v>
          </cell>
        </row>
        <row r="71">
          <cell r="H71">
            <v>0</v>
          </cell>
        </row>
        <row r="72">
          <cell r="H72">
            <v>5.31</v>
          </cell>
        </row>
        <row r="73">
          <cell r="H73">
            <v>0</v>
          </cell>
        </row>
        <row r="74">
          <cell r="H74">
            <v>0</v>
          </cell>
        </row>
        <row r="75">
          <cell r="H75">
            <v>0</v>
          </cell>
        </row>
        <row r="76">
          <cell r="H76">
            <v>0</v>
          </cell>
        </row>
        <row r="77">
          <cell r="H77">
            <v>0</v>
          </cell>
        </row>
        <row r="78">
          <cell r="H78">
            <v>0</v>
          </cell>
        </row>
        <row r="79">
          <cell r="H79">
            <v>17.41</v>
          </cell>
        </row>
        <row r="80">
          <cell r="H80">
            <v>0</v>
          </cell>
        </row>
        <row r="81">
          <cell r="H81">
            <v>0</v>
          </cell>
        </row>
        <row r="82">
          <cell r="H82">
            <v>0</v>
          </cell>
        </row>
        <row r="83">
          <cell r="H83">
            <v>20.2</v>
          </cell>
        </row>
        <row r="84">
          <cell r="H84">
            <v>0</v>
          </cell>
        </row>
        <row r="85">
          <cell r="H85">
            <v>0</v>
          </cell>
        </row>
        <row r="86">
          <cell r="H86">
            <v>0</v>
          </cell>
        </row>
        <row r="87">
          <cell r="H87">
            <v>0</v>
          </cell>
        </row>
        <row r="88">
          <cell r="H88">
            <v>0</v>
          </cell>
        </row>
        <row r="89">
          <cell r="H89">
            <v>0</v>
          </cell>
        </row>
        <row r="90">
          <cell r="H90">
            <v>6.2825000000000006</v>
          </cell>
        </row>
        <row r="91">
          <cell r="H91">
            <v>0</v>
          </cell>
        </row>
        <row r="92">
          <cell r="H92">
            <v>0</v>
          </cell>
        </row>
        <row r="93">
          <cell r="H93">
            <v>0</v>
          </cell>
        </row>
        <row r="94">
          <cell r="H94">
            <v>0</v>
          </cell>
        </row>
        <row r="95">
          <cell r="H95">
            <v>0</v>
          </cell>
        </row>
        <row r="96">
          <cell r="H96">
            <v>0</v>
          </cell>
        </row>
        <row r="97">
          <cell r="H97">
            <v>0</v>
          </cell>
        </row>
        <row r="98">
          <cell r="H98">
            <v>0</v>
          </cell>
        </row>
        <row r="99">
          <cell r="H99">
            <v>1028.73</v>
          </cell>
        </row>
        <row r="100">
          <cell r="H100">
            <v>1028.73</v>
          </cell>
        </row>
        <row r="101">
          <cell r="H101">
            <v>423.52</v>
          </cell>
        </row>
        <row r="102">
          <cell r="H102">
            <v>0</v>
          </cell>
        </row>
        <row r="103">
          <cell r="H103">
            <v>96.05</v>
          </cell>
        </row>
        <row r="104">
          <cell r="H104">
            <v>99.5</v>
          </cell>
        </row>
        <row r="105">
          <cell r="H105">
            <v>0</v>
          </cell>
        </row>
        <row r="106">
          <cell r="H106">
            <v>0</v>
          </cell>
        </row>
        <row r="107">
          <cell r="H107">
            <v>774.83</v>
          </cell>
        </row>
        <row r="108">
          <cell r="H108">
            <v>0</v>
          </cell>
        </row>
        <row r="109">
          <cell r="H109">
            <v>0</v>
          </cell>
        </row>
        <row r="110">
          <cell r="H110">
            <v>155.13</v>
          </cell>
        </row>
        <row r="111">
          <cell r="H111">
            <v>736.73</v>
          </cell>
        </row>
        <row r="112">
          <cell r="H112">
            <v>774.84</v>
          </cell>
        </row>
        <row r="113">
          <cell r="H113">
            <v>0</v>
          </cell>
        </row>
        <row r="114">
          <cell r="H114">
            <v>0</v>
          </cell>
        </row>
        <row r="115">
          <cell r="H115">
            <v>20</v>
          </cell>
        </row>
        <row r="116">
          <cell r="H116">
            <v>10</v>
          </cell>
        </row>
        <row r="117">
          <cell r="H117">
            <v>50</v>
          </cell>
        </row>
        <row r="118">
          <cell r="H118">
            <v>30</v>
          </cell>
        </row>
        <row r="119">
          <cell r="H119">
            <v>20</v>
          </cell>
        </row>
        <row r="120">
          <cell r="H120">
            <v>20</v>
          </cell>
        </row>
        <row r="121">
          <cell r="H121">
            <v>11</v>
          </cell>
        </row>
        <row r="122">
          <cell r="H122">
            <v>2</v>
          </cell>
        </row>
        <row r="123">
          <cell r="H123">
            <v>3</v>
          </cell>
        </row>
        <row r="124">
          <cell r="H124">
            <v>10</v>
          </cell>
        </row>
        <row r="125">
          <cell r="H125">
            <v>20</v>
          </cell>
        </row>
        <row r="126">
          <cell r="H126">
            <v>5</v>
          </cell>
        </row>
        <row r="127">
          <cell r="H127">
            <v>190</v>
          </cell>
        </row>
        <row r="128">
          <cell r="H128">
            <v>60</v>
          </cell>
        </row>
        <row r="129">
          <cell r="H129">
            <v>15</v>
          </cell>
        </row>
        <row r="130">
          <cell r="H130">
            <v>2</v>
          </cell>
        </row>
        <row r="131">
          <cell r="H131">
            <v>13</v>
          </cell>
        </row>
        <row r="132">
          <cell r="H132">
            <v>12</v>
          </cell>
        </row>
        <row r="133">
          <cell r="H133">
            <v>14</v>
          </cell>
        </row>
        <row r="134">
          <cell r="H134">
            <v>2</v>
          </cell>
        </row>
        <row r="135">
          <cell r="H135">
            <v>0</v>
          </cell>
        </row>
        <row r="136">
          <cell r="H136">
            <v>11</v>
          </cell>
        </row>
        <row r="137">
          <cell r="H137">
            <v>4</v>
          </cell>
        </row>
        <row r="138">
          <cell r="H138">
            <v>30</v>
          </cell>
        </row>
        <row r="139">
          <cell r="H139">
            <v>40</v>
          </cell>
        </row>
        <row r="140">
          <cell r="H140">
            <v>1</v>
          </cell>
        </row>
        <row r="141">
          <cell r="H141">
            <v>1</v>
          </cell>
        </row>
        <row r="142">
          <cell r="H142">
            <v>3</v>
          </cell>
        </row>
        <row r="143">
          <cell r="H143">
            <v>0</v>
          </cell>
        </row>
        <row r="144">
          <cell r="H144">
            <v>0</v>
          </cell>
        </row>
        <row r="145">
          <cell r="H145">
            <v>23</v>
          </cell>
        </row>
        <row r="146">
          <cell r="H146">
            <v>166</v>
          </cell>
        </row>
        <row r="147">
          <cell r="H147">
            <v>169</v>
          </cell>
        </row>
        <row r="148">
          <cell r="H148">
            <v>22</v>
          </cell>
        </row>
        <row r="149">
          <cell r="H149">
            <v>1</v>
          </cell>
        </row>
        <row r="150">
          <cell r="H150">
            <v>1</v>
          </cell>
        </row>
        <row r="151">
          <cell r="H151">
            <v>66</v>
          </cell>
        </row>
        <row r="152">
          <cell r="H152">
            <v>1</v>
          </cell>
        </row>
        <row r="153">
          <cell r="H153">
            <v>4</v>
          </cell>
        </row>
        <row r="154">
          <cell r="H154">
            <v>46</v>
          </cell>
        </row>
        <row r="155">
          <cell r="H155">
            <v>49</v>
          </cell>
        </row>
        <row r="156">
          <cell r="H156">
            <v>2</v>
          </cell>
        </row>
        <row r="157">
          <cell r="H157">
            <v>3</v>
          </cell>
        </row>
        <row r="158">
          <cell r="H158">
            <v>63</v>
          </cell>
        </row>
        <row r="159">
          <cell r="H159">
            <v>1</v>
          </cell>
        </row>
        <row r="160">
          <cell r="H160">
            <v>1</v>
          </cell>
        </row>
        <row r="161">
          <cell r="H161">
            <v>7</v>
          </cell>
        </row>
        <row r="162">
          <cell r="H162">
            <v>1</v>
          </cell>
        </row>
        <row r="163">
          <cell r="H163">
            <v>35</v>
          </cell>
        </row>
        <row r="164">
          <cell r="H164">
            <v>32</v>
          </cell>
        </row>
        <row r="165">
          <cell r="H165">
            <v>2</v>
          </cell>
        </row>
        <row r="166">
          <cell r="H166">
            <v>16</v>
          </cell>
        </row>
        <row r="167">
          <cell r="H167">
            <v>3</v>
          </cell>
        </row>
        <row r="168">
          <cell r="H168">
            <v>0</v>
          </cell>
        </row>
        <row r="169">
          <cell r="H169">
            <v>0</v>
          </cell>
        </row>
        <row r="170">
          <cell r="H170">
            <v>0</v>
          </cell>
        </row>
        <row r="171">
          <cell r="H171">
            <v>0</v>
          </cell>
        </row>
        <row r="172">
          <cell r="H172">
            <v>0</v>
          </cell>
        </row>
        <row r="173">
          <cell r="H173">
            <v>0</v>
          </cell>
        </row>
        <row r="174">
          <cell r="H174">
            <v>0</v>
          </cell>
        </row>
        <row r="175">
          <cell r="H175">
            <v>0</v>
          </cell>
        </row>
        <row r="176">
          <cell r="H176">
            <v>0</v>
          </cell>
        </row>
        <row r="177">
          <cell r="H177">
            <v>0</v>
          </cell>
        </row>
        <row r="178">
          <cell r="H178">
            <v>0</v>
          </cell>
        </row>
        <row r="179">
          <cell r="H179">
            <v>0</v>
          </cell>
        </row>
        <row r="180">
          <cell r="H180">
            <v>0</v>
          </cell>
        </row>
        <row r="181">
          <cell r="H181">
            <v>0</v>
          </cell>
        </row>
        <row r="182">
          <cell r="H182">
            <v>0</v>
          </cell>
        </row>
        <row r="183">
          <cell r="H183">
            <v>0</v>
          </cell>
        </row>
        <row r="184">
          <cell r="H184">
            <v>0</v>
          </cell>
        </row>
        <row r="185">
          <cell r="H185">
            <v>0</v>
          </cell>
        </row>
        <row r="186">
          <cell r="H186">
            <v>0</v>
          </cell>
        </row>
        <row r="187">
          <cell r="H187">
            <v>0</v>
          </cell>
        </row>
        <row r="188">
          <cell r="H188">
            <v>0</v>
          </cell>
        </row>
        <row r="189">
          <cell r="H189">
            <v>157</v>
          </cell>
        </row>
        <row r="190">
          <cell r="H190">
            <v>0</v>
          </cell>
        </row>
        <row r="191">
          <cell r="H191">
            <v>0</v>
          </cell>
        </row>
        <row r="192">
          <cell r="H192">
            <v>0</v>
          </cell>
        </row>
        <row r="193">
          <cell r="H193">
            <v>0</v>
          </cell>
        </row>
        <row r="194">
          <cell r="H194">
            <v>0</v>
          </cell>
        </row>
        <row r="195">
          <cell r="H195">
            <v>0</v>
          </cell>
        </row>
        <row r="196">
          <cell r="H196">
            <v>750</v>
          </cell>
        </row>
        <row r="197">
          <cell r="H197">
            <v>210</v>
          </cell>
        </row>
        <row r="198">
          <cell r="H198">
            <v>0</v>
          </cell>
        </row>
        <row r="199">
          <cell r="H199">
            <v>0</v>
          </cell>
        </row>
        <row r="200">
          <cell r="H200">
            <v>0</v>
          </cell>
        </row>
        <row r="201">
          <cell r="H201">
            <v>0</v>
          </cell>
        </row>
        <row r="202">
          <cell r="H202">
            <v>1470</v>
          </cell>
        </row>
        <row r="203">
          <cell r="H203">
            <v>1184</v>
          </cell>
        </row>
        <row r="204">
          <cell r="H204">
            <v>0</v>
          </cell>
        </row>
        <row r="205">
          <cell r="H205">
            <v>2</v>
          </cell>
        </row>
        <row r="206">
          <cell r="H206">
            <v>0</v>
          </cell>
        </row>
        <row r="207">
          <cell r="H207">
            <v>0</v>
          </cell>
        </row>
        <row r="208">
          <cell r="H208">
            <v>0</v>
          </cell>
        </row>
        <row r="209">
          <cell r="H209">
            <v>0</v>
          </cell>
        </row>
        <row r="210">
          <cell r="H210">
            <v>0</v>
          </cell>
        </row>
        <row r="211">
          <cell r="H211">
            <v>0</v>
          </cell>
        </row>
        <row r="212">
          <cell r="H212">
            <v>0</v>
          </cell>
        </row>
        <row r="213">
          <cell r="H213">
            <v>0</v>
          </cell>
        </row>
        <row r="214">
          <cell r="H214">
            <v>0</v>
          </cell>
        </row>
        <row r="215">
          <cell r="H215">
            <v>0</v>
          </cell>
        </row>
        <row r="216">
          <cell r="H216">
            <v>584.46</v>
          </cell>
        </row>
        <row r="217">
          <cell r="H217">
            <v>656.6</v>
          </cell>
        </row>
        <row r="218">
          <cell r="H218">
            <v>418</v>
          </cell>
        </row>
        <row r="219">
          <cell r="H219">
            <v>961.62</v>
          </cell>
        </row>
        <row r="220">
          <cell r="H220">
            <v>0</v>
          </cell>
        </row>
        <row r="221">
          <cell r="H221">
            <v>32.28</v>
          </cell>
        </row>
        <row r="222">
          <cell r="H222">
            <v>0</v>
          </cell>
        </row>
        <row r="223">
          <cell r="H223">
            <v>0</v>
          </cell>
        </row>
        <row r="224">
          <cell r="H224">
            <v>0</v>
          </cell>
        </row>
        <row r="225">
          <cell r="H225">
            <v>0</v>
          </cell>
        </row>
        <row r="226">
          <cell r="H226">
            <v>0</v>
          </cell>
        </row>
        <row r="227">
          <cell r="H227">
            <v>0</v>
          </cell>
        </row>
        <row r="228">
          <cell r="H228">
            <v>0</v>
          </cell>
        </row>
        <row r="229">
          <cell r="H229">
            <v>0</v>
          </cell>
        </row>
        <row r="230">
          <cell r="H230">
            <v>0</v>
          </cell>
        </row>
        <row r="231">
          <cell r="H231">
            <v>0</v>
          </cell>
        </row>
        <row r="232">
          <cell r="H232">
            <v>0</v>
          </cell>
        </row>
        <row r="233">
          <cell r="H233">
            <v>0</v>
          </cell>
        </row>
        <row r="234">
          <cell r="H234">
            <v>0</v>
          </cell>
        </row>
        <row r="235">
          <cell r="H235">
            <v>0</v>
          </cell>
        </row>
        <row r="236">
          <cell r="H236">
            <v>0</v>
          </cell>
        </row>
        <row r="237">
          <cell r="H237">
            <v>0</v>
          </cell>
        </row>
        <row r="238">
          <cell r="H238">
            <v>0</v>
          </cell>
        </row>
        <row r="239">
          <cell r="H239">
            <v>32.28</v>
          </cell>
        </row>
        <row r="240">
          <cell r="H240">
            <v>0</v>
          </cell>
        </row>
        <row r="241">
          <cell r="H241">
            <v>0</v>
          </cell>
        </row>
        <row r="242">
          <cell r="H242">
            <v>0</v>
          </cell>
        </row>
        <row r="243">
          <cell r="H243">
            <v>47.5</v>
          </cell>
        </row>
        <row r="244">
          <cell r="H244">
            <v>47.5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"/>
      <sheetName val="ITENS NOVOS"/>
      <sheetName val="REPROGRAMAÇÃ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  <cell r="F12">
            <v>4.5</v>
          </cell>
          <cell r="G12">
            <v>334.14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  <cell r="F13">
            <v>63.41</v>
          </cell>
          <cell r="G13">
            <v>36.700000000000003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  <cell r="F14">
            <v>774.83</v>
          </cell>
          <cell r="G14">
            <v>16.440000000000001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  <cell r="F15">
            <v>309.93</v>
          </cell>
          <cell r="G15">
            <v>4.75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  <cell r="F16">
            <v>102.15</v>
          </cell>
          <cell r="G16">
            <v>7.2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  <cell r="F19">
            <v>28.86</v>
          </cell>
          <cell r="G19">
            <v>63.86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  <cell r="F20">
            <v>57.88</v>
          </cell>
          <cell r="G20">
            <v>141.66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  <cell r="F21">
            <v>19.239999999999998</v>
          </cell>
          <cell r="G21">
            <v>22.75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  <cell r="F22">
            <v>5.8</v>
          </cell>
          <cell r="G22">
            <v>353.29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  <cell r="F23">
            <v>30.1</v>
          </cell>
          <cell r="G23">
            <v>364.81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  <cell r="F24">
            <v>35.9</v>
          </cell>
          <cell r="G24">
            <v>191.33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  <cell r="F25">
            <v>19.3</v>
          </cell>
          <cell r="G25">
            <v>65.36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  <cell r="F26">
            <v>421.3</v>
          </cell>
          <cell r="G26">
            <v>55.18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  <cell r="F27">
            <v>480.3</v>
          </cell>
          <cell r="G27">
            <v>10.32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  <cell r="F28">
            <v>1608.2</v>
          </cell>
          <cell r="G28">
            <v>12.09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  <cell r="F29">
            <v>63.1</v>
          </cell>
          <cell r="G29">
            <v>9.9700000000000006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  <cell r="F30">
            <v>651.9</v>
          </cell>
          <cell r="G30">
            <v>13.99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  <cell r="F31">
            <v>24.3</v>
          </cell>
          <cell r="G31">
            <v>33.78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  <cell r="F32">
            <v>58.14</v>
          </cell>
          <cell r="G32">
            <v>29.84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  <cell r="F33">
            <v>16.899999999999999</v>
          </cell>
          <cell r="G33">
            <v>41.21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  <cell r="F34">
            <v>16.899999999999999</v>
          </cell>
          <cell r="G34">
            <v>39.74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  <cell r="F37">
            <v>209.45</v>
          </cell>
          <cell r="G37">
            <v>61.96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  <cell r="F38">
            <v>53.89</v>
          </cell>
          <cell r="G38">
            <v>562.74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  <cell r="F41">
            <v>25.12</v>
          </cell>
          <cell r="G41">
            <v>38.520000000000003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  <cell r="F42">
            <v>57.88</v>
          </cell>
          <cell r="G42">
            <v>95.64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  <cell r="G45">
            <v>60.47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  <cell r="F46">
            <v>309.93</v>
          </cell>
          <cell r="G46">
            <v>29.61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  <cell r="F47">
            <v>774.83</v>
          </cell>
          <cell r="G47">
            <v>30.13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  <cell r="F51">
            <v>16.559999999999999</v>
          </cell>
          <cell r="G51">
            <v>609.28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  <cell r="F52">
            <v>2.5</v>
          </cell>
          <cell r="G52">
            <v>1144.23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  <cell r="F53">
            <v>7.92</v>
          </cell>
          <cell r="G53">
            <v>765.63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  <cell r="F54">
            <v>5.31</v>
          </cell>
          <cell r="G54">
            <v>571.84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  <cell r="F55">
            <v>6.62</v>
          </cell>
          <cell r="G55">
            <v>743.01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  <cell r="F56">
            <v>8</v>
          </cell>
          <cell r="G56">
            <v>800.72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  <cell r="F57">
            <v>3</v>
          </cell>
          <cell r="G57">
            <v>807.21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  <cell r="F58">
            <v>2</v>
          </cell>
          <cell r="G58">
            <v>843.46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  <cell r="F59">
            <v>22</v>
          </cell>
          <cell r="G59">
            <v>907.58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  <cell r="F60">
            <v>11</v>
          </cell>
          <cell r="G60">
            <v>802.42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  <cell r="F63">
            <v>23.1</v>
          </cell>
          <cell r="G63">
            <v>527.82000000000005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  <cell r="F64">
            <v>25.08</v>
          </cell>
          <cell r="G64">
            <v>467.48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  <cell r="F67">
            <v>2</v>
          </cell>
          <cell r="G67">
            <v>200.85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  <cell r="F68">
            <v>6</v>
          </cell>
          <cell r="G68">
            <v>65.900000000000006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  <cell r="F71">
            <v>418.9</v>
          </cell>
          <cell r="G71">
            <v>24.97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  <cell r="F72">
            <v>418.9</v>
          </cell>
          <cell r="G72">
            <v>2.99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  <cell r="F73">
            <v>423.52</v>
          </cell>
          <cell r="G73">
            <v>61.37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  <cell r="F74">
            <v>99.65</v>
          </cell>
          <cell r="G74">
            <v>401.1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F77">
            <v>774.83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F78">
            <v>774.83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F79">
            <v>176.89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F80">
            <v>155.13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F84">
            <v>28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F85">
            <v>13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F86">
            <v>63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F87">
            <v>38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F88">
            <v>30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F89">
            <v>25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F90">
            <v>11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F91">
            <v>2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F92">
            <v>3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F93">
            <v>17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F94">
            <v>28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F95">
            <v>5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F96">
            <v>190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F97">
            <v>100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F98">
            <v>18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F99">
            <v>2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F100">
            <v>18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F101">
            <v>12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F102">
            <v>14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F103">
            <v>2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F104">
            <v>1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F105">
            <v>11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F106">
            <v>4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F107">
            <v>39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F108">
            <v>46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F109">
            <v>1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F110">
            <v>1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F111">
            <v>3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F114">
            <v>23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F115">
            <v>166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F116">
            <v>169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F117">
            <v>69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F118">
            <v>1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F119">
            <v>1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F120">
            <v>66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F121">
            <v>1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F122">
            <v>4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F123">
            <v>48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F124">
            <v>49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F125">
            <v>2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F126">
            <v>3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F127">
            <v>64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F128">
            <v>1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F129">
            <v>1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F130">
            <v>7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F131">
            <v>1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F132">
            <v>35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F133">
            <v>32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F134">
            <v>2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F135">
            <v>33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F136">
            <v>3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F137">
            <v>1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F140">
            <v>106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F141">
            <v>25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F142">
            <v>4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F143">
            <v>10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F144">
            <v>5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F145">
            <v>3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F146">
            <v>2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F147">
            <v>3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F148">
            <v>1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F149">
            <v>7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F150">
            <v>2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F151">
            <v>7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F152">
            <v>18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F153">
            <v>21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F154">
            <v>7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F155">
            <v>3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F158">
            <v>248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F159">
            <v>29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F160">
            <v>195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F161">
            <v>38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F162">
            <v>9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F163">
            <v>97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F164">
            <v>103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F165">
            <v>750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F166">
            <v>210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F167">
            <v>89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F168">
            <v>102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F169">
            <v>1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F170">
            <v>97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F171">
            <v>1470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F172">
            <v>1184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F173">
            <v>50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F174">
            <v>2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F175">
            <v>1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F176">
            <v>21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F177">
            <v>9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F178">
            <v>2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F179">
            <v>2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F180">
            <v>25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F181">
            <v>40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F182">
            <v>2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F185">
            <v>3708.15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F186">
            <v>994.53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F187">
            <v>418.9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F188">
            <v>961.62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F189">
            <v>165.06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F190">
            <v>57.75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F193">
            <v>2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F194">
            <v>26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F195">
            <v>26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F196">
            <v>28.2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F197">
            <v>4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F198">
            <v>6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F199">
            <v>16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F200">
            <v>16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F201">
            <v>1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F202">
            <v>2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F203">
            <v>14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F204">
            <v>2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F207">
            <v>774.83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F208">
            <v>32.28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F209">
            <v>7.8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F210">
            <v>16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F211">
            <v>50</v>
          </cell>
          <cell r="G211">
            <v>107.24</v>
          </cell>
        </row>
      </sheetData>
      <sheetData sheetId="1">
        <row r="7">
          <cell r="D7" t="str">
            <v>Remoção de pintura látex (raspagem e/ou lixamento e/ou escovação)</v>
          </cell>
          <cell r="I7">
            <v>7.46</v>
          </cell>
        </row>
        <row r="8">
          <cell r="I8">
            <v>5.4499999999999993</v>
          </cell>
        </row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D17" t="str">
            <v>ALVENARIA DE TIJOLO CERÂMICO FURADO (9x19x19)cm C/ARGAMASSA MISTA DE CAL HIDRATADA ESP=20 cm</v>
          </cell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22">
          <cell r="I22">
            <v>1647.3500000000001</v>
          </cell>
        </row>
        <row r="23">
          <cell r="I23">
            <v>592.45000000000005</v>
          </cell>
        </row>
        <row r="24">
          <cell r="I24">
            <v>401.54</v>
          </cell>
        </row>
        <row r="25">
          <cell r="I25">
            <v>1767.96</v>
          </cell>
        </row>
        <row r="26">
          <cell r="I26">
            <v>1561.3099999999997</v>
          </cell>
        </row>
        <row r="27">
          <cell r="I27">
            <v>1445.62</v>
          </cell>
        </row>
        <row r="28">
          <cell r="I28">
            <v>105.72</v>
          </cell>
        </row>
        <row r="29">
          <cell r="I29">
            <v>80.109999999999985</v>
          </cell>
        </row>
        <row r="30">
          <cell r="I30">
            <v>270.79000000000002</v>
          </cell>
        </row>
        <row r="31">
          <cell r="I31">
            <v>23.29</v>
          </cell>
        </row>
        <row r="32">
          <cell r="I32">
            <v>72.739999999999995</v>
          </cell>
        </row>
        <row r="33">
          <cell r="I33">
            <v>173.19</v>
          </cell>
        </row>
        <row r="34">
          <cell r="I34">
            <v>25.88</v>
          </cell>
        </row>
        <row r="35">
          <cell r="I35">
            <v>18.649999999999999</v>
          </cell>
        </row>
        <row r="36">
          <cell r="I36">
            <v>5.1800000000000006</v>
          </cell>
        </row>
      </sheetData>
      <sheetData sheetId="2">
        <row r="9">
          <cell r="C9" t="str">
            <v>SERVIÇOS PRELIMINARES</v>
          </cell>
        </row>
        <row r="25">
          <cell r="C25" t="str">
            <v>INFRA ESTRUTURA E SUPERESTRUTURA</v>
          </cell>
        </row>
        <row r="45">
          <cell r="C45" t="str">
            <v>ALVENARIA DE VEDAÇÃO DE BLOCOS CERÂMICOS FURADOS NA HORIZONTAL DE 9X19X19 CM (ESPESSURA 9 CM) E ARGAMASSA DE ASSENTAMENTO COM PREPARO EM BETONEIRA.</v>
          </cell>
        </row>
        <row r="94">
          <cell r="C94" t="str">
            <v>REVESTIMENTO</v>
          </cell>
        </row>
      </sheetData>
      <sheetData sheetId="3">
        <row r="12">
          <cell r="L12">
            <v>1218.7839999999999</v>
          </cell>
        </row>
        <row r="43">
          <cell r="L43">
            <v>247.3</v>
          </cell>
        </row>
        <row r="74">
          <cell r="L74">
            <v>36</v>
          </cell>
        </row>
        <row r="103">
          <cell r="L103">
            <v>14</v>
          </cell>
        </row>
        <row r="125">
          <cell r="L125">
            <v>396.84</v>
          </cell>
        </row>
        <row r="137">
          <cell r="L137">
            <v>35.363999999999997</v>
          </cell>
        </row>
        <row r="164">
          <cell r="L164">
            <v>636.83999999999992</v>
          </cell>
        </row>
        <row r="172">
          <cell r="L172">
            <v>165.39639999999997</v>
          </cell>
        </row>
        <row r="221">
          <cell r="L221">
            <v>12.295800000000003</v>
          </cell>
        </row>
        <row r="249">
          <cell r="L249">
            <v>99.050000000000011</v>
          </cell>
        </row>
        <row r="259">
          <cell r="L259">
            <v>446.57226000000009</v>
          </cell>
        </row>
        <row r="274">
          <cell r="L274">
            <v>29.880000000000006</v>
          </cell>
        </row>
        <row r="317">
          <cell r="L317">
            <v>239.29999999999998</v>
          </cell>
        </row>
        <row r="338">
          <cell r="L338">
            <v>85.483000000000004</v>
          </cell>
        </row>
        <row r="396">
          <cell r="L396">
            <v>250</v>
          </cell>
        </row>
        <row r="401">
          <cell r="L401">
            <v>211.57</v>
          </cell>
        </row>
        <row r="405">
          <cell r="L405">
            <v>211.57</v>
          </cell>
        </row>
        <row r="409">
          <cell r="L409">
            <v>118.97</v>
          </cell>
        </row>
        <row r="417">
          <cell r="L417">
            <v>25.08</v>
          </cell>
        </row>
        <row r="428">
          <cell r="L428">
            <v>17.490000000000002</v>
          </cell>
        </row>
        <row r="433">
          <cell r="L433">
            <v>5.5</v>
          </cell>
        </row>
        <row r="439">
          <cell r="L439">
            <v>14.775</v>
          </cell>
        </row>
        <row r="445">
          <cell r="L445">
            <v>112.77000000000001</v>
          </cell>
        </row>
        <row r="455">
          <cell r="L455">
            <v>23.799999999999997</v>
          </cell>
        </row>
        <row r="462">
          <cell r="L462">
            <v>4.9799999999999995</v>
          </cell>
        </row>
        <row r="476">
          <cell r="L476">
            <v>610.58999999999992</v>
          </cell>
        </row>
        <row r="538">
          <cell r="L538">
            <v>610.58999999999992</v>
          </cell>
        </row>
        <row r="603">
          <cell r="L603">
            <v>736.73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 RESUMO"/>
      <sheetName val="ORÇAMENTO"/>
      <sheetName val="CRONOGRAMA"/>
      <sheetName val="BDI"/>
      <sheetName val="ES"/>
    </sheetNames>
    <sheetDataSet>
      <sheetData sheetId="0"/>
      <sheetData sheetId="1">
        <row r="36">
          <cell r="AD36" t="str">
            <v>ALVENARIA DE VEDAÇÃO DE BLOCOS CERÂMICOS FURADOS NA HORIZONTAL DE 9X19X19 CM (ESPESSURA 9 CM) E ARGAMASSA DE ASSENTAMENTO COM PREPARO EM BETONEIRA.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"/>
      <sheetName val="REPROGRAMAÇÃO"/>
      <sheetName val="BM_10"/>
      <sheetName val="MEM"/>
      <sheetName val="BM11"/>
      <sheetName val="BM10"/>
      <sheetName val="BM09"/>
      <sheetName val="PLANILHA PÓS ADITIVO"/>
      <sheetName val="MEM_"/>
      <sheetName val="MEM_05"/>
    </sheetNames>
    <sheetDataSet>
      <sheetData sheetId="0"/>
      <sheetData sheetId="1"/>
      <sheetData sheetId="2">
        <row r="20">
          <cell r="B20" t="str">
            <v>DEMOLIÇÃO DE ALVENARIA DE BLOCOFURADO, DE FORMA MANUAL, SEM REAPROVEITAMENTO</v>
          </cell>
        </row>
        <row r="31">
          <cell r="B31" t="str">
            <v>ESCAVAÇÃO MANUAL PARA BLOCO DE COROAMENTO OU SAPATA (INCLUINDO ESCAVAÇÃO PARA COLOCAÇÃO DE FÔRMAS). AF_06/2017</v>
          </cell>
        </row>
        <row r="32">
          <cell r="B32" t="str">
            <v>LAJE PRÉ-MOLDADA UNIDIRECIONAL, BIAPOIADA, PARA FORRO, ENCHIMENTO EM CERÂMICA, VIGOTA CONVENCIONAL, ALTURA TOTAL DA LAJE (ENCHIMENTO+CAPA) = (8+3). AF_11/2020</v>
          </cell>
        </row>
        <row r="33">
          <cell r="B33" t="str">
            <v>LASTRO DE CONCRETO MAGRO, APLICADO EM BLOCOS DE COROAMENTO OU SAPATAS, ESPESSURA DE 5 CM. AF_08/2017</v>
          </cell>
        </row>
        <row r="34">
          <cell r="B34" t="str">
            <v>CONCRETO FCK = 25MPA, TRAÇO 1:2,3:2,7 (EM MASSA SECA DE CIMENTO/ AREIA MÉDIA/ BRITA 1) - PREPARO MECÂNICO COM BETONEIRA 600 L. AF_05/2021</v>
          </cell>
        </row>
        <row r="35">
          <cell r="B35" t="str">
            <v>CONCRETO FCK = 30MPA, TRAÇO 1:2,1:2,5 (EM MASSA SECA DE CIMENTO/ AREIA MÉDIA/ BRITA 1) - PREPARO MECÂNICO COM BETONEIRA 600 L. AF_05/2021</v>
          </cell>
        </row>
        <row r="36">
          <cell r="B36" t="str">
            <v>LANÇAMENTO COM USO DE BALDES, ADENSAMENTO E ACABAMENTO DE CONCRETO EM ESTRUTURAS. AF_12/2015</v>
          </cell>
        </row>
        <row r="37">
          <cell r="B37" t="str">
            <v>Forma plana para fundações, em tábua de pinho, 07 usos.</v>
          </cell>
        </row>
        <row r="38">
          <cell r="A38" t="str">
            <v>2.8</v>
          </cell>
          <cell r="B38" t="str">
            <v>Forma plana para estruturas, em compensado plastificado de 12mm, 07 usos.</v>
          </cell>
        </row>
        <row r="39">
          <cell r="A39" t="str">
            <v>2.9</v>
          </cell>
          <cell r="B39" t="str">
            <v>ARMAÇÃO DE PILAR OU VIGA DE UMA ESTRUTURA CONVENCIONAL DE CONCRETO ARMADO EM UM EDIFÍCIO DE MÚLTIPLOS PAVIMENTOS UTILIZANDO AÇO CA-50 DE 12,5 MM - MONTAGEM. AF_12/2015</v>
          </cell>
        </row>
        <row r="40">
          <cell r="B40" t="str">
            <v>ARMAÇÃO DE PILAR OU VIGA DE UMA ESTRUTURA CONVENCIONAL DE CONCRETO ARMADO EM UM EDIFÍCIO DE MÚLTIPLOS PAVIMENTOS UTILIZANDO AÇO CA-50 DE 10,0 MM - MONTAGEM. AF_12/2015</v>
          </cell>
        </row>
        <row r="42">
          <cell r="B42" t="str">
            <v>ARMAÇÃO DE PILAR OU VIGA DE UMA ESTRUTURA CONVENCIONAL DE CONCRETO ARMADO EM UM EDIFÍCIO DE MÚLTIPLOS PAVIMENTOS UTILIZANDO AÇO CA-60 DE 5,0 MM - MONTAGEM. AF_12/2015</v>
          </cell>
        </row>
        <row r="67">
          <cell r="B67" t="str">
            <v>ESQUADRIAS</v>
          </cell>
        </row>
        <row r="215">
          <cell r="B215" t="str">
            <v>PINTURA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"/>
      <sheetName val="ITENS NOVOS"/>
      <sheetName val="PLANILHA PÓS ADITIV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G211">
            <v>107.24</v>
          </cell>
        </row>
      </sheetData>
      <sheetData sheetId="1"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31">
          <cell r="I31">
            <v>23.29</v>
          </cell>
        </row>
        <row r="32">
          <cell r="I32">
            <v>72.739999999999995</v>
          </cell>
        </row>
        <row r="34">
          <cell r="I34">
            <v>25.88</v>
          </cell>
        </row>
      </sheetData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"/>
      <sheetName val="BM_05"/>
      <sheetName val="MEM_05"/>
    </sheetNames>
    <sheetDataSet>
      <sheetData sheetId="0"/>
      <sheetData sheetId="1">
        <row r="21">
          <cell r="B21" t="str">
            <v>Demolição de piso de alta resistência</v>
          </cell>
        </row>
        <row r="51">
          <cell r="A51">
            <v>5</v>
          </cell>
          <cell r="B51" t="str">
            <v>COBERTURAS E PROTEÇÕES</v>
          </cell>
        </row>
        <row r="52">
          <cell r="A52" t="str">
            <v>5.1</v>
          </cell>
          <cell r="B52" t="str">
            <v>TRAMA DE MADEIRA COMPOSTA POR RIPAS, CAIBROS E TERÇAS PARA TELHADOS DE ATÉ 2 ÁGUAS PARA TELHA DE ENCAIXE DE CERÂMICA OU DE CONCRETO, INCLUSO TRANSPORTE VERTICAL. AF_07/2019</v>
          </cell>
        </row>
        <row r="53">
          <cell r="B53" t="str">
            <v>TELHAMENTO COM TELHA CERÂMICA CAPA-CANAL, TIPO COLONIAL, COM ATÉ 2 ÁGUAS, INCLUSO TRANSPORTE VERTICAL. AF_07/2019</v>
          </cell>
        </row>
        <row r="83">
          <cell r="A83">
            <v>8</v>
          </cell>
          <cell r="B83" t="str">
            <v>PAVIMENTAÇÃO</v>
          </cell>
        </row>
        <row r="84">
          <cell r="A84" t="str">
            <v>8.1</v>
          </cell>
          <cell r="B84" t="str">
            <v>CONTRAPISO EM ARGAMASSA TRAÇO 1:4 (CIMENTO E AREIA), PREPARO MECÂNICO COM BETONEIRA 400 L, APLICADO EM ÁREAS SECAS SOBRE LAJE, ADERIDO, ACABAMENTO NÃO REFORÇADO, ESPESSURA 2CM. AF_07/2021</v>
          </cell>
        </row>
        <row r="120">
          <cell r="B120" t="str">
            <v>SISTEMA PREDIAL DE ÁGUA FRIA - NBR 5626</v>
          </cell>
        </row>
        <row r="121">
          <cell r="A121" t="str">
            <v>9.2.1</v>
          </cell>
          <cell r="B121" t="str">
            <v>TUBO, PVC, SOLDÁVEL, DN 60MM, INSTALADO EM PRUMADA DE ÁGUA - FORNECIMENTO E INSTALAÇÃO. AF_12/2014</v>
          </cell>
        </row>
        <row r="122">
          <cell r="A122" t="str">
            <v>9.2.2</v>
          </cell>
          <cell r="B122" t="str">
            <v>TUBO, PVC, SOLDÁVEL, DN 50MM, INSTALADO EM PRUMADA DE ÁGUA - FORNECIMENTO E INSTALAÇÃO. AF_12/2014</v>
          </cell>
        </row>
        <row r="123">
          <cell r="A123" t="str">
            <v>9.2.3</v>
          </cell>
          <cell r="B123" t="str">
            <v>TUBO, PVC, SOLDÁVEL, DN 25MM, INSTALADO EM RAMAL OU SUB-RAMAL DE ÁGUA - FORNECIMENTO E INSTALAÇÃO. AF_12/2014</v>
          </cell>
        </row>
        <row r="124">
          <cell r="A124" t="str">
            <v>9.2.4</v>
          </cell>
          <cell r="B124" t="str">
            <v>ADAPTADOR CURTO COM BOLSA E ROSCA PARA REGISTRO, PVC, SOLDÁVEL, DN 25MM X 3/4, INSTALADO EM RAMAL OU SUB-RAMAL DE ÁGUA - FORNECIMENTO E INSTALAÇÃO. AF_12/2014</v>
          </cell>
        </row>
        <row r="125">
          <cell r="A125" t="str">
            <v>9.2.5</v>
          </cell>
          <cell r="B125" t="str">
            <v>LUVA DE REDUÇÃO, PVC, SOLDÁVEL, DN 60MM X 50MM, INSTALADO EM PRUMADA DE ÁGUA - FORNECIMENTO E INSTALAÇÃO. AF_12/2014</v>
          </cell>
        </row>
        <row r="126">
          <cell r="A126" t="str">
            <v>9.2.6</v>
          </cell>
        </row>
        <row r="127">
          <cell r="A127" t="str">
            <v>9.2.7</v>
          </cell>
          <cell r="B127" t="str">
            <v>JOELHO 90 GRAUS COM BUCHA DE LATÃO, PVC, SOLDÁVEL, DN 25MM, X 1/2 INSTALADO EM RAMAL OU SUB-RAMAL DE ÁGUA - FORNECIMENTO E INSTALAÇÃO. AF_12/2014</v>
          </cell>
        </row>
        <row r="128">
          <cell r="A128" t="str">
            <v>9.2.8</v>
          </cell>
          <cell r="B128" t="str">
            <v>Joelho de 90º pvc rígido soldável c/ bucha de latão, d=20mmx1/2".</v>
          </cell>
        </row>
        <row r="129">
          <cell r="A129" t="str">
            <v>9.2.9</v>
          </cell>
          <cell r="B129" t="str">
            <v>JOELHO 90 GRAUS, PVC, SOLDÁVEL, DN 60MM, INSTALADO EM PRUMADA DE ÁGUA - FORNECIMENTO E INSTALAÇÃO. AF_12/2014</v>
          </cell>
        </row>
        <row r="130">
          <cell r="A130" t="str">
            <v>9.2.10</v>
          </cell>
          <cell r="B130" t="str">
            <v>JOELHO 90 GRAUS, PVC, SOLDÁVEL, DN 25MM, INSTALADO EM RAMAL DE DISTRIBUIÇÃO DE ÁGUA - FORNECIMENTO E INSTALAÇÃO. AF_12/2014</v>
          </cell>
        </row>
        <row r="131">
          <cell r="A131" t="str">
            <v>9.2.11</v>
          </cell>
          <cell r="B131" t="str">
            <v>JOELHO 90 GRAUS, PVC, SOLDÁVEL, DN 50MM, INSTALADO EM PRUMADA DE ÁGUA - FORNECIMENTO E INSTALAÇÃO. AF_12/2014</v>
          </cell>
        </row>
        <row r="132">
          <cell r="B132" t="str">
            <v>JOELHO 90 GRAUS, PVC, SOLDÁVEL, DN 20MM, INSTALADO EM RAMAL DE DISTRIBUIÇÃO DE ÁGUA - FORNECIMENTO E INSTALAÇÃO. AF_12/2014</v>
          </cell>
        </row>
        <row r="133">
          <cell r="A133" t="str">
            <v>9.2.13</v>
          </cell>
        </row>
        <row r="134">
          <cell r="A134" t="str">
            <v>9.2.14</v>
          </cell>
          <cell r="B134" t="str">
            <v>LUVA, PVC, SOLDÁVEL, DN 25MM, INSTALADO EM RAMAL OU SUB-RAMAL DE ÁGUA - FORNECIMENTO E INSTALAÇÃO. AF_12/2014</v>
          </cell>
        </row>
        <row r="135">
          <cell r="A135" t="str">
            <v>9.2.15</v>
          </cell>
          <cell r="B135" t="str">
            <v>LUVA, PVC, SOLDÁVEL, DN 60MM, INSTALADO EM PRUMADA DE ÁGUA - FORNECIMENTO E INSTALAÇÃO. AF_12/2014</v>
          </cell>
        </row>
        <row r="136">
          <cell r="A136" t="str">
            <v>9.2.16</v>
          </cell>
          <cell r="B136" t="str">
            <v>LUVA, PVC, SOLDÁVEL, DN 20MM, INSTALADO EM RAMAL OU SUB-RAMAL DE ÁGUA - FORNECIMENTO E INSTALAÇÃO. AF_12/2014</v>
          </cell>
        </row>
        <row r="137">
          <cell r="A137" t="str">
            <v>9.2.17</v>
          </cell>
          <cell r="B137" t="str">
            <v>TÊ COM BUCHA DE LATÃO NA BOLSA CENTRAL, PVC, SOLDÁVEL, DN 25MM X 1/2, INSTALADO EM RAMAL OU SUB-RAMAL DE ÁGUA - FORNECIMENTO E INSTALAÇÃO. AF_12/2014</v>
          </cell>
        </row>
        <row r="138">
          <cell r="A138" t="str">
            <v>9.2.18</v>
          </cell>
          <cell r="B138" t="str">
            <v>TE, PVC, SOLDÁVEL, DN 60MM, INSTALADO EM PRUMADA DE ÁGUA - FORNECIMENTO E INSTALAÇÃO. AF_12/2014</v>
          </cell>
        </row>
        <row r="139">
          <cell r="A139" t="str">
            <v>9.2.19</v>
          </cell>
          <cell r="B139" t="str">
            <v>TE, PVC, SOLDÁVEL, DN 25MM, INSTALADO EM RAMAL DE DISTRIBUIÇÃO DE ÁGUA - FORNECIMENTO E INSTALAÇÃO. AF_12/2014</v>
          </cell>
        </row>
        <row r="140">
          <cell r="A140" t="str">
            <v>9.2.20</v>
          </cell>
          <cell r="B140" t="str">
            <v>TE, PVC, SOLDÁVEL, DN 50MM, INSTALADO EM PRUMADA DE ÁGUA - FORNECIMENTO E INSTALAÇÃO. AF_12/2014</v>
          </cell>
        </row>
        <row r="141">
          <cell r="A141" t="str">
            <v>9.2.21</v>
          </cell>
          <cell r="B141" t="str">
            <v>REGISTRO DE GAVETA BRUTO, LATÃO, ROSCÁVEL, 1 1/2", COM ACABAMENTO E CANOPLA CROMADOS - FORNECIMENTO E INSTALAÇÃO. AF_08/2021</v>
          </cell>
        </row>
        <row r="142">
          <cell r="A142" t="str">
            <v>9.2.22</v>
          </cell>
          <cell r="B142" t="str">
            <v>REGISTRO DE GAVETA BRUTO, LATÃO, ROSCÁVEL, 3/4", COM ACABAMENTO E CANOPLA CROMADOS - FORNECIMENTO E INSTALAÇÃO. AF_08/2021</v>
          </cell>
        </row>
        <row r="143">
          <cell r="A143" t="str">
            <v>9.2.23</v>
          </cell>
          <cell r="B143" t="str">
            <v>REGISTRO DE PRESSÃO BRUTO, LATÃO, ROSCÁVEL, 3/4", COM ACABAMENTO E CANOPLA CROMADOS - FORNECIMENTO E INSTALAÇÃO. AF_08/2021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ites.seinfra.ce.gov.br/siproce/desonerada/html/C0074.html?a=1620068787511" TargetMode="External"/><Relationship Id="rId18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7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3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8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1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24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7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6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10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9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4" Type="http://schemas.openxmlformats.org/officeDocument/2006/relationships/hyperlink" Target="https://sites.seinfra.ce.gov.br/siproce/desonerada/html/C0074.html?a=1620068787511" TargetMode="External"/><Relationship Id="rId22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5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7725&amp;peri_nr_ano=2022&amp;peri_nr_mes=2&amp;peri_nr_ordem=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8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4" Type="http://schemas.openxmlformats.org/officeDocument/2006/relationships/printerSettings" Target="../printerSettings/printerSettings9.bin"/><Relationship Id="rId7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3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1" Type="http://schemas.openxmlformats.org/officeDocument/2006/relationships/hyperlink" Target="https://sites.seinfra.ce.gov.br/siproce/desonerada/html/C0074.html?a=1620068787511" TargetMode="External"/><Relationship Id="rId2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10" Type="http://schemas.openxmlformats.org/officeDocument/2006/relationships/hyperlink" Target="https://sites.seinfra.ce.gov.br/siproce/desonerada/html/C0074.html?a=1620068787511" TargetMode="External"/><Relationship Id="rId19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4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2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1347&amp;peri_nr_ano=2022&amp;peri_nr_mes=2&amp;peri_nr_ordem=1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17"/>
  <sheetViews>
    <sheetView showGridLines="0" topLeftCell="A7" zoomScale="77" zoomScaleNormal="77" workbookViewId="0">
      <selection activeCell="C32" sqref="C32"/>
    </sheetView>
  </sheetViews>
  <sheetFormatPr defaultColWidth="9.140625" defaultRowHeight="14.25"/>
  <cols>
    <col min="1" max="3" width="9.140625" style="4"/>
    <col min="4" max="4" width="79" style="5" customWidth="1"/>
    <col min="5" max="5" width="9.140625" style="4"/>
    <col min="6" max="6" width="9.140625" style="6"/>
    <col min="7" max="7" width="12.28515625" style="6" customWidth="1"/>
    <col min="8" max="8" width="16" style="6" customWidth="1"/>
    <col min="9" max="9" width="9.140625" style="6"/>
    <col min="10" max="10" width="0" style="6" hidden="1" customWidth="1"/>
    <col min="11" max="12" width="11.7109375" style="6" hidden="1" customWidth="1"/>
    <col min="13" max="16384" width="9.140625" style="4"/>
  </cols>
  <sheetData>
    <row r="2" spans="1:16" ht="23.25">
      <c r="A2" s="320" t="s">
        <v>343</v>
      </c>
      <c r="B2" s="321"/>
      <c r="C2" s="321"/>
      <c r="D2" s="321"/>
      <c r="E2" s="321"/>
      <c r="F2" s="321"/>
      <c r="G2" s="321"/>
      <c r="H2" s="322"/>
    </row>
    <row r="3" spans="1:16" ht="18">
      <c r="A3" s="317" t="s">
        <v>378</v>
      </c>
      <c r="B3" s="318"/>
      <c r="C3" s="318"/>
      <c r="D3" s="318"/>
      <c r="E3" s="318"/>
      <c r="F3" s="318"/>
      <c r="G3" s="318"/>
      <c r="H3" s="319"/>
    </row>
    <row r="4" spans="1:16" ht="15">
      <c r="A4" s="314" t="s">
        <v>377</v>
      </c>
      <c r="B4" s="315"/>
      <c r="C4" s="315"/>
      <c r="D4" s="315"/>
      <c r="E4" s="315"/>
      <c r="F4" s="315"/>
      <c r="G4" s="315"/>
      <c r="H4" s="316"/>
    </row>
    <row r="5" spans="1:16" ht="15">
      <c r="A5" s="314" t="s">
        <v>376</v>
      </c>
      <c r="B5" s="315"/>
      <c r="C5" s="315"/>
      <c r="D5" s="315"/>
      <c r="E5" s="315"/>
      <c r="F5" s="315"/>
      <c r="G5" s="315"/>
      <c r="H5" s="316"/>
    </row>
    <row r="6" spans="1:16" ht="15">
      <c r="A6" s="18" t="s">
        <v>374</v>
      </c>
      <c r="B6" s="19"/>
      <c r="C6" s="19"/>
      <c r="D6" s="19"/>
      <c r="E6" s="19"/>
      <c r="F6" s="19"/>
      <c r="G6" s="20"/>
      <c r="H6" s="9" t="s">
        <v>375</v>
      </c>
    </row>
    <row r="7" spans="1:16" ht="15" customHeight="1">
      <c r="A7" s="329" t="s">
        <v>344</v>
      </c>
      <c r="B7" s="330"/>
      <c r="C7" s="330"/>
      <c r="D7" s="330"/>
      <c r="E7" s="330"/>
      <c r="F7" s="330"/>
      <c r="G7" s="330"/>
      <c r="H7" s="331"/>
      <c r="I7" s="16"/>
      <c r="J7" s="16"/>
      <c r="K7" s="16"/>
      <c r="L7" s="16"/>
      <c r="M7" s="16"/>
      <c r="N7" s="16"/>
      <c r="O7" s="16"/>
      <c r="P7" s="17"/>
    </row>
    <row r="8" spans="1:16" ht="15" customHeight="1">
      <c r="A8" s="329" t="s">
        <v>345</v>
      </c>
      <c r="B8" s="330"/>
      <c r="C8" s="330"/>
      <c r="D8" s="330"/>
      <c r="E8" s="330"/>
      <c r="F8" s="330"/>
      <c r="G8" s="330"/>
      <c r="H8" s="331"/>
      <c r="I8" s="16"/>
      <c r="J8" s="16"/>
      <c r="K8" s="16"/>
      <c r="L8" s="16"/>
      <c r="M8" s="16"/>
      <c r="N8" s="16"/>
      <c r="O8" s="16"/>
      <c r="P8" s="17"/>
    </row>
    <row r="9" spans="1:16" s="2" customFormat="1" ht="15">
      <c r="A9" s="324" t="s">
        <v>335</v>
      </c>
      <c r="B9" s="324" t="s">
        <v>336</v>
      </c>
      <c r="C9" s="324" t="s">
        <v>337</v>
      </c>
      <c r="D9" s="325" t="s">
        <v>338</v>
      </c>
      <c r="E9" s="324" t="s">
        <v>339</v>
      </c>
      <c r="F9" s="326" t="s">
        <v>340</v>
      </c>
      <c r="G9" s="323" t="s">
        <v>341</v>
      </c>
      <c r="H9" s="323" t="s">
        <v>342</v>
      </c>
      <c r="I9" s="3"/>
      <c r="J9" s="3"/>
      <c r="K9" s="3"/>
      <c r="L9" s="3"/>
    </row>
    <row r="10" spans="1:16">
      <c r="A10" s="324"/>
      <c r="B10" s="324"/>
      <c r="C10" s="324"/>
      <c r="D10" s="325"/>
      <c r="E10" s="324"/>
      <c r="F10" s="326"/>
      <c r="G10" s="323"/>
      <c r="H10" s="323"/>
    </row>
    <row r="11" spans="1:16" s="2" customFormat="1" ht="15">
      <c r="A11" s="13">
        <v>1</v>
      </c>
      <c r="B11" s="13" t="s">
        <v>333</v>
      </c>
      <c r="C11" s="13"/>
      <c r="D11" s="14"/>
      <c r="E11" s="13"/>
      <c r="F11" s="15"/>
      <c r="G11" s="15"/>
      <c r="H11" s="15">
        <f>SUM(H12:H16)</f>
        <v>18776.639999999996</v>
      </c>
      <c r="I11" s="3"/>
      <c r="J11" s="21">
        <v>0.96499999999999997</v>
      </c>
      <c r="K11" s="3"/>
      <c r="L11" s="3"/>
    </row>
    <row r="12" spans="1:16" ht="16.149999999999999" customHeight="1">
      <c r="A12" s="10" t="s">
        <v>0</v>
      </c>
      <c r="B12" s="10" t="s">
        <v>1</v>
      </c>
      <c r="C12" s="10">
        <v>51</v>
      </c>
      <c r="D12" s="11" t="s">
        <v>2</v>
      </c>
      <c r="E12" s="10" t="s">
        <v>9</v>
      </c>
      <c r="F12" s="12">
        <v>4.5</v>
      </c>
      <c r="G12" s="12">
        <f>L12</f>
        <v>334.14</v>
      </c>
      <c r="H12" s="12">
        <f>ROUND(F12*G12,2)</f>
        <v>1503.63</v>
      </c>
      <c r="K12" s="6">
        <v>346.26</v>
      </c>
      <c r="L12" s="6">
        <f>ROUND(K12*$J$11,2)</f>
        <v>334.14</v>
      </c>
    </row>
    <row r="13" spans="1:16" ht="28.5">
      <c r="A13" s="10" t="s">
        <v>3</v>
      </c>
      <c r="B13" s="10" t="s">
        <v>7</v>
      </c>
      <c r="C13" s="10">
        <v>97622</v>
      </c>
      <c r="D13" s="11" t="s">
        <v>8</v>
      </c>
      <c r="E13" s="10" t="s">
        <v>10</v>
      </c>
      <c r="F13" s="12">
        <v>63.41</v>
      </c>
      <c r="G13" s="12">
        <f>L13</f>
        <v>36.700000000000003</v>
      </c>
      <c r="H13" s="12">
        <f>ROUND(F13*G13,2)</f>
        <v>2327.15</v>
      </c>
      <c r="K13" s="6">
        <v>38.03</v>
      </c>
      <c r="L13" s="6">
        <f t="shared" ref="L13:L76" si="0">ROUND(K13*$J$11,2)</f>
        <v>36.700000000000003</v>
      </c>
    </row>
    <row r="14" spans="1:16" ht="25.5" customHeight="1">
      <c r="A14" s="10" t="s">
        <v>4</v>
      </c>
      <c r="B14" s="10" t="s">
        <v>1</v>
      </c>
      <c r="C14" s="10">
        <v>3240</v>
      </c>
      <c r="D14" s="11" t="s">
        <v>11</v>
      </c>
      <c r="E14" s="10" t="s">
        <v>9</v>
      </c>
      <c r="F14" s="12">
        <v>774.83</v>
      </c>
      <c r="G14" s="12">
        <f>L14</f>
        <v>16.440000000000001</v>
      </c>
      <c r="H14" s="12">
        <f>ROUND(F14*G14,2)</f>
        <v>12738.21</v>
      </c>
      <c r="K14" s="6">
        <v>17.04</v>
      </c>
      <c r="L14" s="6">
        <f t="shared" si="0"/>
        <v>16.440000000000001</v>
      </c>
    </row>
    <row r="15" spans="1:16" ht="28.5">
      <c r="A15" s="10" t="s">
        <v>5</v>
      </c>
      <c r="B15" s="10" t="s">
        <v>7</v>
      </c>
      <c r="C15" s="10">
        <v>97650</v>
      </c>
      <c r="D15" s="11" t="s">
        <v>12</v>
      </c>
      <c r="E15" s="10" t="s">
        <v>9</v>
      </c>
      <c r="F15" s="12">
        <v>309.93</v>
      </c>
      <c r="G15" s="12">
        <f>L15</f>
        <v>4.75</v>
      </c>
      <c r="H15" s="12">
        <f>ROUND(F15*G15,2)</f>
        <v>1472.17</v>
      </c>
      <c r="K15" s="6">
        <v>4.92</v>
      </c>
      <c r="L15" s="6">
        <f t="shared" si="0"/>
        <v>4.75</v>
      </c>
    </row>
    <row r="16" spans="1:16" ht="42.75">
      <c r="A16" s="10" t="s">
        <v>6</v>
      </c>
      <c r="B16" s="10" t="s">
        <v>7</v>
      </c>
      <c r="C16" s="10">
        <v>100981</v>
      </c>
      <c r="D16" s="11" t="s">
        <v>13</v>
      </c>
      <c r="E16" s="10" t="s">
        <v>10</v>
      </c>
      <c r="F16" s="12">
        <v>102.15</v>
      </c>
      <c r="G16" s="12">
        <f>L16</f>
        <v>7.2</v>
      </c>
      <c r="H16" s="12">
        <f>ROUND(F16*G16,2)</f>
        <v>735.48</v>
      </c>
      <c r="K16" s="6">
        <v>7.46</v>
      </c>
      <c r="L16" s="6">
        <f t="shared" si="0"/>
        <v>7.2</v>
      </c>
    </row>
    <row r="17" spans="1:12">
      <c r="A17" s="10"/>
      <c r="B17" s="10"/>
      <c r="C17" s="10"/>
      <c r="D17" s="11"/>
      <c r="E17" s="10"/>
      <c r="F17" s="12"/>
      <c r="G17" s="12"/>
      <c r="H17" s="12"/>
      <c r="L17" s="6">
        <f t="shared" si="0"/>
        <v>0</v>
      </c>
    </row>
    <row r="18" spans="1:12" s="2" customFormat="1" ht="15">
      <c r="A18" s="13">
        <v>2</v>
      </c>
      <c r="B18" s="13" t="s">
        <v>14</v>
      </c>
      <c r="C18" s="13"/>
      <c r="D18" s="14"/>
      <c r="E18" s="13"/>
      <c r="F18" s="15"/>
      <c r="G18" s="15"/>
      <c r="H18" s="15">
        <f>SUM(H19:H34)</f>
        <v>92960.22</v>
      </c>
      <c r="I18" s="3"/>
      <c r="J18" s="3"/>
      <c r="K18" s="3"/>
      <c r="L18" s="3">
        <f t="shared" si="0"/>
        <v>0</v>
      </c>
    </row>
    <row r="19" spans="1:12" ht="34.5" customHeight="1">
      <c r="A19" s="10" t="s">
        <v>15</v>
      </c>
      <c r="B19" s="10" t="s">
        <v>7</v>
      </c>
      <c r="C19" s="10">
        <v>96523</v>
      </c>
      <c r="D19" s="11" t="s">
        <v>21</v>
      </c>
      <c r="E19" s="10" t="s">
        <v>10</v>
      </c>
      <c r="F19" s="12">
        <v>28.86</v>
      </c>
      <c r="G19" s="12">
        <f t="shared" ref="G19:G34" si="1">L19</f>
        <v>63.86</v>
      </c>
      <c r="H19" s="12">
        <f t="shared" ref="H19:H34" si="2">ROUND(F19*G19,2)</f>
        <v>1843</v>
      </c>
      <c r="K19" s="6">
        <v>66.180000000000007</v>
      </c>
      <c r="L19" s="6">
        <f t="shared" si="0"/>
        <v>63.86</v>
      </c>
    </row>
    <row r="20" spans="1:12" ht="30.75" customHeight="1">
      <c r="A20" s="10" t="s">
        <v>16</v>
      </c>
      <c r="B20" s="10" t="s">
        <v>7</v>
      </c>
      <c r="C20" s="10">
        <v>101964</v>
      </c>
      <c r="D20" s="11" t="s">
        <v>22</v>
      </c>
      <c r="E20" s="10" t="s">
        <v>9</v>
      </c>
      <c r="F20" s="12">
        <v>57.88</v>
      </c>
      <c r="G20" s="12">
        <f t="shared" si="1"/>
        <v>141.66</v>
      </c>
      <c r="H20" s="12">
        <f t="shared" si="2"/>
        <v>8199.2800000000007</v>
      </c>
      <c r="K20" s="6">
        <v>146.80000000000001</v>
      </c>
      <c r="L20" s="6">
        <f t="shared" si="0"/>
        <v>141.66</v>
      </c>
    </row>
    <row r="21" spans="1:12" ht="28.5">
      <c r="A21" s="10" t="s">
        <v>17</v>
      </c>
      <c r="B21" s="10" t="s">
        <v>7</v>
      </c>
      <c r="C21" s="10">
        <v>96619</v>
      </c>
      <c r="D21" s="11" t="s">
        <v>23</v>
      </c>
      <c r="E21" s="10" t="s">
        <v>9</v>
      </c>
      <c r="F21" s="12">
        <v>19.239999999999998</v>
      </c>
      <c r="G21" s="12">
        <f t="shared" si="1"/>
        <v>22.75</v>
      </c>
      <c r="H21" s="12">
        <f t="shared" si="2"/>
        <v>437.71</v>
      </c>
      <c r="K21" s="6">
        <v>23.57</v>
      </c>
      <c r="L21" s="6">
        <f t="shared" si="0"/>
        <v>22.75</v>
      </c>
    </row>
    <row r="22" spans="1:12" ht="42.75">
      <c r="A22" s="10" t="s">
        <v>18</v>
      </c>
      <c r="B22" s="10" t="s">
        <v>7</v>
      </c>
      <c r="C22" s="10">
        <v>94971</v>
      </c>
      <c r="D22" s="11" t="s">
        <v>24</v>
      </c>
      <c r="E22" s="10" t="s">
        <v>10</v>
      </c>
      <c r="F22" s="12">
        <v>5.8</v>
      </c>
      <c r="G22" s="12">
        <f t="shared" si="1"/>
        <v>353.29</v>
      </c>
      <c r="H22" s="12">
        <f t="shared" si="2"/>
        <v>2049.08</v>
      </c>
      <c r="K22" s="6">
        <v>366.1</v>
      </c>
      <c r="L22" s="6">
        <f t="shared" si="0"/>
        <v>353.29</v>
      </c>
    </row>
    <row r="23" spans="1:12" ht="42.75">
      <c r="A23" s="10" t="s">
        <v>19</v>
      </c>
      <c r="B23" s="10" t="s">
        <v>7</v>
      </c>
      <c r="C23" s="10">
        <v>94972</v>
      </c>
      <c r="D23" s="11" t="s">
        <v>26</v>
      </c>
      <c r="E23" s="10" t="s">
        <v>10</v>
      </c>
      <c r="F23" s="12">
        <v>30.1</v>
      </c>
      <c r="G23" s="12">
        <f t="shared" si="1"/>
        <v>364.81</v>
      </c>
      <c r="H23" s="12">
        <f t="shared" si="2"/>
        <v>10980.78</v>
      </c>
      <c r="K23" s="6">
        <v>378.04</v>
      </c>
      <c r="L23" s="6">
        <f t="shared" si="0"/>
        <v>364.81</v>
      </c>
    </row>
    <row r="24" spans="1:12" ht="28.5">
      <c r="A24" s="10" t="s">
        <v>20</v>
      </c>
      <c r="B24" s="10" t="s">
        <v>7</v>
      </c>
      <c r="C24" s="10">
        <v>92873</v>
      </c>
      <c r="D24" s="11" t="s">
        <v>25</v>
      </c>
      <c r="E24" s="10" t="s">
        <v>10</v>
      </c>
      <c r="F24" s="12">
        <v>35.9</v>
      </c>
      <c r="G24" s="12">
        <f t="shared" si="1"/>
        <v>191.33</v>
      </c>
      <c r="H24" s="12">
        <f t="shared" si="2"/>
        <v>6868.75</v>
      </c>
      <c r="K24" s="6">
        <v>198.27</v>
      </c>
      <c r="L24" s="6">
        <f t="shared" si="0"/>
        <v>191.33</v>
      </c>
    </row>
    <row r="25" spans="1:12">
      <c r="A25" s="10" t="s">
        <v>27</v>
      </c>
      <c r="B25" s="10" t="s">
        <v>1</v>
      </c>
      <c r="C25" s="10">
        <v>90</v>
      </c>
      <c r="D25" s="11" t="s">
        <v>346</v>
      </c>
      <c r="E25" s="10" t="s">
        <v>9</v>
      </c>
      <c r="F25" s="12">
        <v>19.3</v>
      </c>
      <c r="G25" s="12">
        <f t="shared" si="1"/>
        <v>65.36</v>
      </c>
      <c r="H25" s="12">
        <f t="shared" si="2"/>
        <v>1261.45</v>
      </c>
      <c r="K25" s="6">
        <v>67.73</v>
      </c>
      <c r="L25" s="6">
        <f t="shared" si="0"/>
        <v>65.36</v>
      </c>
    </row>
    <row r="26" spans="1:12">
      <c r="A26" s="10" t="s">
        <v>28</v>
      </c>
      <c r="B26" s="10" t="s">
        <v>1</v>
      </c>
      <c r="C26" s="10">
        <v>3366</v>
      </c>
      <c r="D26" s="11" t="s">
        <v>347</v>
      </c>
      <c r="E26" s="10" t="s">
        <v>9</v>
      </c>
      <c r="F26" s="12">
        <v>421.3</v>
      </c>
      <c r="G26" s="12">
        <f t="shared" si="1"/>
        <v>55.18</v>
      </c>
      <c r="H26" s="12">
        <f t="shared" si="2"/>
        <v>23247.33</v>
      </c>
      <c r="K26" s="6">
        <v>57.18</v>
      </c>
      <c r="L26" s="6">
        <f t="shared" si="0"/>
        <v>55.18</v>
      </c>
    </row>
    <row r="27" spans="1:12" ht="42.75">
      <c r="A27" s="10" t="s">
        <v>29</v>
      </c>
      <c r="B27" s="10" t="s">
        <v>7</v>
      </c>
      <c r="C27" s="10">
        <v>92763</v>
      </c>
      <c r="D27" s="11" t="s">
        <v>39</v>
      </c>
      <c r="E27" s="10" t="s">
        <v>37</v>
      </c>
      <c r="F27" s="12">
        <v>480.3</v>
      </c>
      <c r="G27" s="12">
        <f t="shared" si="1"/>
        <v>10.32</v>
      </c>
      <c r="H27" s="12">
        <f t="shared" si="2"/>
        <v>4956.7</v>
      </c>
      <c r="K27" s="6">
        <v>10.69</v>
      </c>
      <c r="L27" s="6">
        <f t="shared" si="0"/>
        <v>10.32</v>
      </c>
    </row>
    <row r="28" spans="1:12" ht="42.75">
      <c r="A28" s="10" t="s">
        <v>30</v>
      </c>
      <c r="B28" s="10" t="s">
        <v>7</v>
      </c>
      <c r="C28" s="10">
        <v>92762</v>
      </c>
      <c r="D28" s="11" t="s">
        <v>40</v>
      </c>
      <c r="E28" s="10" t="s">
        <v>37</v>
      </c>
      <c r="F28" s="12">
        <v>1608.2</v>
      </c>
      <c r="G28" s="12">
        <f t="shared" si="1"/>
        <v>12.09</v>
      </c>
      <c r="H28" s="12">
        <f t="shared" si="2"/>
        <v>19443.14</v>
      </c>
      <c r="K28" s="6">
        <v>12.53</v>
      </c>
      <c r="L28" s="6">
        <f t="shared" si="0"/>
        <v>12.09</v>
      </c>
    </row>
    <row r="29" spans="1:12" ht="42.75">
      <c r="A29" s="10" t="s">
        <v>31</v>
      </c>
      <c r="B29" s="10" t="s">
        <v>7</v>
      </c>
      <c r="C29" s="10">
        <v>92764</v>
      </c>
      <c r="D29" s="11" t="s">
        <v>41</v>
      </c>
      <c r="E29" s="10" t="s">
        <v>37</v>
      </c>
      <c r="F29" s="12">
        <v>63.1</v>
      </c>
      <c r="G29" s="12">
        <f t="shared" si="1"/>
        <v>9.9700000000000006</v>
      </c>
      <c r="H29" s="12">
        <f t="shared" si="2"/>
        <v>629.11</v>
      </c>
      <c r="K29" s="6">
        <v>10.33</v>
      </c>
      <c r="L29" s="6">
        <f t="shared" si="0"/>
        <v>9.9700000000000006</v>
      </c>
    </row>
    <row r="30" spans="1:12" ht="42.75">
      <c r="A30" s="10" t="s">
        <v>32</v>
      </c>
      <c r="B30" s="10" t="s">
        <v>7</v>
      </c>
      <c r="C30" s="10">
        <v>92759</v>
      </c>
      <c r="D30" s="11" t="s">
        <v>42</v>
      </c>
      <c r="E30" s="10" t="s">
        <v>37</v>
      </c>
      <c r="F30" s="12">
        <v>651.9</v>
      </c>
      <c r="G30" s="12">
        <f t="shared" si="1"/>
        <v>13.99</v>
      </c>
      <c r="H30" s="12">
        <f t="shared" si="2"/>
        <v>9120.08</v>
      </c>
      <c r="K30" s="6">
        <v>14.5</v>
      </c>
      <c r="L30" s="6">
        <f t="shared" si="0"/>
        <v>13.99</v>
      </c>
    </row>
    <row r="31" spans="1:12">
      <c r="A31" s="10" t="s">
        <v>33</v>
      </c>
      <c r="B31" s="10" t="s">
        <v>7</v>
      </c>
      <c r="C31" s="10">
        <v>96995</v>
      </c>
      <c r="D31" s="11" t="s">
        <v>43</v>
      </c>
      <c r="E31" s="10" t="s">
        <v>10</v>
      </c>
      <c r="F31" s="12">
        <v>24.3</v>
      </c>
      <c r="G31" s="12">
        <f t="shared" si="1"/>
        <v>33.78</v>
      </c>
      <c r="H31" s="12">
        <f t="shared" si="2"/>
        <v>820.85</v>
      </c>
      <c r="K31" s="6">
        <v>35.01</v>
      </c>
      <c r="L31" s="6">
        <f t="shared" si="0"/>
        <v>33.78</v>
      </c>
    </row>
    <row r="32" spans="1:12">
      <c r="A32" s="10" t="s">
        <v>34</v>
      </c>
      <c r="B32" s="10" t="s">
        <v>7</v>
      </c>
      <c r="C32" s="10">
        <v>93184</v>
      </c>
      <c r="D32" s="11" t="s">
        <v>44</v>
      </c>
      <c r="E32" s="10" t="s">
        <v>38</v>
      </c>
      <c r="F32" s="12">
        <v>58.14</v>
      </c>
      <c r="G32" s="12">
        <f t="shared" si="1"/>
        <v>29.84</v>
      </c>
      <c r="H32" s="12">
        <f t="shared" si="2"/>
        <v>1734.9</v>
      </c>
      <c r="K32" s="6">
        <v>30.92</v>
      </c>
      <c r="L32" s="6">
        <f t="shared" si="0"/>
        <v>29.84</v>
      </c>
    </row>
    <row r="33" spans="1:12">
      <c r="A33" s="10" t="s">
        <v>35</v>
      </c>
      <c r="B33" s="10" t="s">
        <v>7</v>
      </c>
      <c r="C33" s="10">
        <v>93182</v>
      </c>
      <c r="D33" s="11" t="s">
        <v>45</v>
      </c>
      <c r="E33" s="10" t="s">
        <v>38</v>
      </c>
      <c r="F33" s="12">
        <v>16.899999999999999</v>
      </c>
      <c r="G33" s="12">
        <f t="shared" si="1"/>
        <v>41.21</v>
      </c>
      <c r="H33" s="12">
        <f t="shared" si="2"/>
        <v>696.45</v>
      </c>
      <c r="K33" s="6">
        <v>42.7</v>
      </c>
      <c r="L33" s="6">
        <f t="shared" si="0"/>
        <v>41.21</v>
      </c>
    </row>
    <row r="34" spans="1:12" ht="28.5">
      <c r="A34" s="10" t="s">
        <v>36</v>
      </c>
      <c r="B34" s="10" t="s">
        <v>7</v>
      </c>
      <c r="C34" s="10">
        <v>93194</v>
      </c>
      <c r="D34" s="11" t="s">
        <v>46</v>
      </c>
      <c r="E34" s="10" t="s">
        <v>38</v>
      </c>
      <c r="F34" s="12">
        <v>16.899999999999999</v>
      </c>
      <c r="G34" s="12">
        <f t="shared" si="1"/>
        <v>39.74</v>
      </c>
      <c r="H34" s="12">
        <f t="shared" si="2"/>
        <v>671.61</v>
      </c>
      <c r="K34" s="6">
        <v>41.18</v>
      </c>
      <c r="L34" s="6">
        <f t="shared" si="0"/>
        <v>39.74</v>
      </c>
    </row>
    <row r="35" spans="1:12">
      <c r="A35" s="10"/>
      <c r="B35" s="10"/>
      <c r="C35" s="10"/>
      <c r="D35" s="11"/>
      <c r="E35" s="10"/>
      <c r="F35" s="12"/>
      <c r="G35" s="12"/>
      <c r="H35" s="12"/>
      <c r="L35" s="6">
        <f t="shared" si="0"/>
        <v>0</v>
      </c>
    </row>
    <row r="36" spans="1:12" s="2" customFormat="1" ht="15">
      <c r="A36" s="13">
        <v>3</v>
      </c>
      <c r="B36" s="13" t="s">
        <v>47</v>
      </c>
      <c r="C36" s="13"/>
      <c r="D36" s="14"/>
      <c r="E36" s="13"/>
      <c r="F36" s="15"/>
      <c r="G36" s="15"/>
      <c r="H36" s="15">
        <f>SUM(H37:H38)</f>
        <v>43303.58</v>
      </c>
      <c r="I36" s="3"/>
      <c r="J36" s="3"/>
      <c r="K36" s="3"/>
      <c r="L36" s="3">
        <f t="shared" si="0"/>
        <v>0</v>
      </c>
    </row>
    <row r="37" spans="1:12" ht="42.75">
      <c r="A37" s="10" t="s">
        <v>48</v>
      </c>
      <c r="B37" s="10" t="s">
        <v>7</v>
      </c>
      <c r="C37" s="10">
        <v>103326</v>
      </c>
      <c r="D37" s="11" t="s">
        <v>50</v>
      </c>
      <c r="E37" s="10" t="s">
        <v>9</v>
      </c>
      <c r="F37" s="12">
        <v>209.45</v>
      </c>
      <c r="G37" s="12">
        <f>L37</f>
        <v>61.96</v>
      </c>
      <c r="H37" s="12">
        <f>ROUND(F37*G37,2)</f>
        <v>12977.52</v>
      </c>
      <c r="K37" s="6">
        <v>64.209999999999994</v>
      </c>
      <c r="L37" s="6">
        <f t="shared" si="0"/>
        <v>61.96</v>
      </c>
    </row>
    <row r="38" spans="1:12" ht="28.5">
      <c r="A38" s="10" t="s">
        <v>49</v>
      </c>
      <c r="B38" s="10" t="s">
        <v>1</v>
      </c>
      <c r="C38" s="10">
        <v>191</v>
      </c>
      <c r="D38" s="11" t="s">
        <v>348</v>
      </c>
      <c r="E38" s="10" t="s">
        <v>9</v>
      </c>
      <c r="F38" s="12">
        <v>53.89</v>
      </c>
      <c r="G38" s="12">
        <f>L38</f>
        <v>562.74</v>
      </c>
      <c r="H38" s="12">
        <f>ROUND(F38*G38,2)</f>
        <v>30326.06</v>
      </c>
      <c r="K38" s="6">
        <v>583.15</v>
      </c>
      <c r="L38" s="6">
        <f t="shared" si="0"/>
        <v>562.74</v>
      </c>
    </row>
    <row r="39" spans="1:12">
      <c r="A39" s="10"/>
      <c r="B39" s="10"/>
      <c r="C39" s="10"/>
      <c r="D39" s="11"/>
      <c r="E39" s="10"/>
      <c r="F39" s="12"/>
      <c r="G39" s="12"/>
      <c r="H39" s="12"/>
      <c r="L39" s="6">
        <f t="shared" si="0"/>
        <v>0</v>
      </c>
    </row>
    <row r="40" spans="1:12" s="2" customFormat="1" ht="15">
      <c r="A40" s="13">
        <v>4</v>
      </c>
      <c r="B40" s="13" t="s">
        <v>51</v>
      </c>
      <c r="C40" s="13"/>
      <c r="D40" s="14"/>
      <c r="E40" s="13"/>
      <c r="F40" s="15"/>
      <c r="G40" s="15"/>
      <c r="H40" s="15">
        <f>SUM(H41:H42)</f>
        <v>6503.26</v>
      </c>
      <c r="I40" s="3"/>
      <c r="J40" s="3"/>
      <c r="K40" s="3"/>
      <c r="L40" s="3">
        <f t="shared" si="0"/>
        <v>0</v>
      </c>
    </row>
    <row r="41" spans="1:12" ht="28.5">
      <c r="A41" s="10" t="s">
        <v>52</v>
      </c>
      <c r="B41" s="10" t="s">
        <v>7</v>
      </c>
      <c r="C41" s="10">
        <v>98557</v>
      </c>
      <c r="D41" s="11" t="s">
        <v>54</v>
      </c>
      <c r="E41" s="10" t="s">
        <v>9</v>
      </c>
      <c r="F41" s="12">
        <v>25.12</v>
      </c>
      <c r="G41" s="12">
        <f>L41</f>
        <v>38.520000000000003</v>
      </c>
      <c r="H41" s="12">
        <f>ROUND(F41*G41,2)</f>
        <v>967.62</v>
      </c>
      <c r="K41" s="6">
        <v>39.92</v>
      </c>
      <c r="L41" s="6">
        <f t="shared" si="0"/>
        <v>38.520000000000003</v>
      </c>
    </row>
    <row r="42" spans="1:12" ht="42.75">
      <c r="A42" s="10" t="s">
        <v>53</v>
      </c>
      <c r="B42" s="10" t="s">
        <v>7</v>
      </c>
      <c r="C42" s="10">
        <v>98546</v>
      </c>
      <c r="D42" s="11" t="s">
        <v>55</v>
      </c>
      <c r="E42" s="10" t="s">
        <v>9</v>
      </c>
      <c r="F42" s="12">
        <v>57.88</v>
      </c>
      <c r="G42" s="12">
        <f>L42</f>
        <v>95.64</v>
      </c>
      <c r="H42" s="12">
        <f>ROUND(F42*G42,2)</f>
        <v>5535.64</v>
      </c>
      <c r="K42" s="6">
        <v>99.11</v>
      </c>
      <c r="L42" s="6">
        <f t="shared" si="0"/>
        <v>95.64</v>
      </c>
    </row>
    <row r="43" spans="1:12">
      <c r="A43" s="10"/>
      <c r="B43" s="10"/>
      <c r="C43" s="10"/>
      <c r="D43" s="11"/>
      <c r="E43" s="10"/>
      <c r="F43" s="12"/>
      <c r="G43" s="12"/>
      <c r="H43" s="12"/>
      <c r="L43" s="6">
        <f t="shared" si="0"/>
        <v>0</v>
      </c>
    </row>
    <row r="44" spans="1:12" s="2" customFormat="1" ht="15">
      <c r="A44" s="13">
        <v>5</v>
      </c>
      <c r="B44" s="13" t="s">
        <v>56</v>
      </c>
      <c r="C44" s="13"/>
      <c r="D44" s="14"/>
      <c r="E44" s="13"/>
      <c r="F44" s="15"/>
      <c r="G44" s="15"/>
      <c r="H44" s="15">
        <f>SUM(H45:H47)</f>
        <v>51264.130000000005</v>
      </c>
      <c r="I44" s="3"/>
      <c r="J44" s="3"/>
      <c r="K44" s="3"/>
      <c r="L44" s="3">
        <f t="shared" si="0"/>
        <v>0</v>
      </c>
    </row>
    <row r="45" spans="1:12" ht="42.75">
      <c r="A45" s="10" t="s">
        <v>57</v>
      </c>
      <c r="B45" s="10" t="s">
        <v>7</v>
      </c>
      <c r="C45" s="10">
        <v>92539</v>
      </c>
      <c r="D45" s="11" t="s">
        <v>60</v>
      </c>
      <c r="E45" s="10" t="s">
        <v>9</v>
      </c>
      <c r="F45" s="12">
        <v>309.93</v>
      </c>
      <c r="G45" s="12">
        <f>L45</f>
        <v>60.47</v>
      </c>
      <c r="H45" s="12">
        <f>ROUND(F45*G45,2)</f>
        <v>18741.47</v>
      </c>
      <c r="K45" s="6">
        <v>62.66</v>
      </c>
      <c r="L45" s="6">
        <f t="shared" si="0"/>
        <v>60.47</v>
      </c>
    </row>
    <row r="46" spans="1:12" ht="28.5">
      <c r="A46" s="10" t="s">
        <v>58</v>
      </c>
      <c r="B46" s="10" t="s">
        <v>7</v>
      </c>
      <c r="C46" s="10">
        <v>94201</v>
      </c>
      <c r="D46" s="11" t="s">
        <v>61</v>
      </c>
      <c r="E46" s="10" t="s">
        <v>9</v>
      </c>
      <c r="F46" s="12">
        <v>309.93</v>
      </c>
      <c r="G46" s="12">
        <f>L46</f>
        <v>29.61</v>
      </c>
      <c r="H46" s="12">
        <f>ROUND(F46*G46,2)</f>
        <v>9177.0300000000007</v>
      </c>
      <c r="K46" s="6">
        <v>30.68</v>
      </c>
      <c r="L46" s="6">
        <f t="shared" si="0"/>
        <v>29.61</v>
      </c>
    </row>
    <row r="47" spans="1:12" ht="28.5">
      <c r="A47" s="10" t="s">
        <v>59</v>
      </c>
      <c r="B47" s="10" t="s">
        <v>7</v>
      </c>
      <c r="C47" s="10">
        <v>96113</v>
      </c>
      <c r="D47" s="11" t="s">
        <v>62</v>
      </c>
      <c r="E47" s="10" t="s">
        <v>9</v>
      </c>
      <c r="F47" s="12">
        <v>774.83</v>
      </c>
      <c r="G47" s="12">
        <f>L47</f>
        <v>30.13</v>
      </c>
      <c r="H47" s="12">
        <f>ROUND(F47*G47,2)</f>
        <v>23345.63</v>
      </c>
      <c r="K47" s="6">
        <v>31.22</v>
      </c>
      <c r="L47" s="6">
        <f t="shared" si="0"/>
        <v>30.13</v>
      </c>
    </row>
    <row r="48" spans="1:12">
      <c r="A48" s="10"/>
      <c r="B48" s="10"/>
      <c r="C48" s="10"/>
      <c r="D48" s="11"/>
      <c r="E48" s="10"/>
      <c r="F48" s="12"/>
      <c r="G48" s="12"/>
      <c r="H48" s="12"/>
      <c r="L48" s="6">
        <f t="shared" si="0"/>
        <v>0</v>
      </c>
    </row>
    <row r="49" spans="1:16" s="2" customFormat="1" ht="15">
      <c r="A49" s="13">
        <v>6</v>
      </c>
      <c r="B49" s="13" t="s">
        <v>63</v>
      </c>
      <c r="C49" s="13"/>
      <c r="D49" s="14"/>
      <c r="E49" s="13"/>
      <c r="F49" s="15"/>
      <c r="G49" s="15"/>
      <c r="H49" s="15">
        <f>H50+H62+H66</f>
        <v>90991.079999999987</v>
      </c>
      <c r="I49" s="3"/>
      <c r="J49" s="3"/>
      <c r="K49" s="3"/>
      <c r="L49" s="3">
        <f t="shared" si="0"/>
        <v>0</v>
      </c>
    </row>
    <row r="50" spans="1:16" s="2" customFormat="1" ht="15">
      <c r="A50" s="7" t="s">
        <v>64</v>
      </c>
      <c r="B50" s="7" t="s">
        <v>65</v>
      </c>
      <c r="C50" s="7"/>
      <c r="D50" s="8"/>
      <c r="E50" s="7"/>
      <c r="F50" s="9"/>
      <c r="G50" s="9"/>
      <c r="H50" s="9">
        <f>SUM(H51:H60)</f>
        <v>66276.939999999988</v>
      </c>
      <c r="I50" s="3"/>
      <c r="J50" s="3"/>
      <c r="K50" s="3"/>
      <c r="L50" s="3">
        <f t="shared" si="0"/>
        <v>0</v>
      </c>
    </row>
    <row r="51" spans="1:16" ht="43.5" customHeight="1">
      <c r="A51" s="10" t="s">
        <v>66</v>
      </c>
      <c r="B51" s="10" t="s">
        <v>7</v>
      </c>
      <c r="C51" s="10">
        <v>94570</v>
      </c>
      <c r="D51" s="11" t="s">
        <v>67</v>
      </c>
      <c r="E51" s="10" t="s">
        <v>9</v>
      </c>
      <c r="F51" s="12">
        <v>16.559999999999999</v>
      </c>
      <c r="G51" s="12">
        <f t="shared" ref="G51:G60" si="3">L51</f>
        <v>609.28</v>
      </c>
      <c r="H51" s="12">
        <f t="shared" ref="H51:H60" si="4">ROUND(F51*G51,2)</f>
        <v>10089.68</v>
      </c>
      <c r="K51" s="6">
        <v>631.38</v>
      </c>
      <c r="L51" s="6">
        <f t="shared" si="0"/>
        <v>609.28</v>
      </c>
    </row>
    <row r="52" spans="1:16" ht="42.75">
      <c r="A52" s="10" t="s">
        <v>68</v>
      </c>
      <c r="B52" s="10" t="s">
        <v>7</v>
      </c>
      <c r="C52" s="10">
        <v>94569</v>
      </c>
      <c r="D52" s="11" t="s">
        <v>328</v>
      </c>
      <c r="E52" s="10" t="s">
        <v>9</v>
      </c>
      <c r="F52" s="12">
        <v>2.5</v>
      </c>
      <c r="G52" s="12">
        <f t="shared" si="3"/>
        <v>1144.23</v>
      </c>
      <c r="H52" s="12">
        <f t="shared" si="4"/>
        <v>2860.58</v>
      </c>
      <c r="K52" s="6">
        <v>1185.73</v>
      </c>
      <c r="L52" s="6">
        <f t="shared" si="0"/>
        <v>1144.23</v>
      </c>
    </row>
    <row r="53" spans="1:16" ht="28.5">
      <c r="A53" s="10" t="s">
        <v>69</v>
      </c>
      <c r="B53" s="10" t="s">
        <v>7</v>
      </c>
      <c r="C53" s="10">
        <v>91341</v>
      </c>
      <c r="D53" s="11" t="s">
        <v>329</v>
      </c>
      <c r="E53" s="10" t="s">
        <v>9</v>
      </c>
      <c r="F53" s="12">
        <v>7.92</v>
      </c>
      <c r="G53" s="12">
        <f t="shared" si="3"/>
        <v>765.63</v>
      </c>
      <c r="H53" s="12">
        <f t="shared" si="4"/>
        <v>6063.79</v>
      </c>
      <c r="K53" s="6">
        <v>793.4</v>
      </c>
      <c r="L53" s="6">
        <f t="shared" si="0"/>
        <v>765.63</v>
      </c>
    </row>
    <row r="54" spans="1:16" ht="28.5">
      <c r="A54" s="10" t="s">
        <v>70</v>
      </c>
      <c r="B54" s="10" t="s">
        <v>7</v>
      </c>
      <c r="C54" s="10">
        <v>100701</v>
      </c>
      <c r="D54" s="11" t="s">
        <v>330</v>
      </c>
      <c r="E54" s="10" t="s">
        <v>9</v>
      </c>
      <c r="F54" s="12">
        <v>5.31</v>
      </c>
      <c r="G54" s="12">
        <f t="shared" si="3"/>
        <v>571.84</v>
      </c>
      <c r="H54" s="12">
        <f t="shared" si="4"/>
        <v>3036.47</v>
      </c>
      <c r="K54" s="6">
        <v>592.58000000000004</v>
      </c>
      <c r="L54" s="6">
        <f t="shared" si="0"/>
        <v>571.84</v>
      </c>
    </row>
    <row r="55" spans="1:16">
      <c r="A55" s="10" t="s">
        <v>71</v>
      </c>
      <c r="B55" s="10" t="s">
        <v>1</v>
      </c>
      <c r="C55" s="10">
        <v>12036</v>
      </c>
      <c r="D55" s="11" t="s">
        <v>349</v>
      </c>
      <c r="E55" s="10" t="s">
        <v>9</v>
      </c>
      <c r="F55" s="12">
        <v>6.62</v>
      </c>
      <c r="G55" s="12">
        <f t="shared" si="3"/>
        <v>743.01</v>
      </c>
      <c r="H55" s="12">
        <f t="shared" si="4"/>
        <v>4918.7299999999996</v>
      </c>
      <c r="K55" s="6">
        <v>769.96</v>
      </c>
      <c r="L55" s="6">
        <f t="shared" si="0"/>
        <v>743.01</v>
      </c>
    </row>
    <row r="56" spans="1:16" ht="57">
      <c r="A56" s="10" t="s">
        <v>72</v>
      </c>
      <c r="B56" s="10" t="s">
        <v>7</v>
      </c>
      <c r="C56" s="10">
        <v>90841</v>
      </c>
      <c r="D56" s="11" t="s">
        <v>331</v>
      </c>
      <c r="E56" s="10" t="s">
        <v>79</v>
      </c>
      <c r="F56" s="12">
        <v>8</v>
      </c>
      <c r="G56" s="12">
        <f t="shared" si="3"/>
        <v>800.72</v>
      </c>
      <c r="H56" s="12">
        <f t="shared" si="4"/>
        <v>6405.76</v>
      </c>
      <c r="K56" s="6">
        <v>829.76</v>
      </c>
      <c r="L56" s="6">
        <f t="shared" si="0"/>
        <v>800.72</v>
      </c>
    </row>
    <row r="57" spans="1:16" ht="57">
      <c r="A57" s="10" t="s">
        <v>73</v>
      </c>
      <c r="B57" s="10" t="s">
        <v>7</v>
      </c>
      <c r="C57" s="10">
        <v>90842</v>
      </c>
      <c r="D57" s="11" t="s">
        <v>332</v>
      </c>
      <c r="E57" s="10" t="s">
        <v>79</v>
      </c>
      <c r="F57" s="12">
        <v>3</v>
      </c>
      <c r="G57" s="12">
        <f t="shared" si="3"/>
        <v>807.21</v>
      </c>
      <c r="H57" s="12">
        <f t="shared" si="4"/>
        <v>2421.63</v>
      </c>
      <c r="K57" s="6">
        <v>836.49</v>
      </c>
      <c r="L57" s="6">
        <f t="shared" si="0"/>
        <v>807.21</v>
      </c>
      <c r="P57" s="4" t="s">
        <v>352</v>
      </c>
    </row>
    <row r="58" spans="1:16" ht="57">
      <c r="A58" s="10" t="s">
        <v>74</v>
      </c>
      <c r="B58" s="10" t="s">
        <v>7</v>
      </c>
      <c r="C58" s="10">
        <v>90843</v>
      </c>
      <c r="D58" s="11" t="s">
        <v>77</v>
      </c>
      <c r="E58" s="10" t="s">
        <v>79</v>
      </c>
      <c r="F58" s="12">
        <v>2</v>
      </c>
      <c r="G58" s="12">
        <f t="shared" si="3"/>
        <v>843.46</v>
      </c>
      <c r="H58" s="12">
        <f t="shared" si="4"/>
        <v>1686.92</v>
      </c>
      <c r="K58" s="6">
        <v>874.05</v>
      </c>
      <c r="L58" s="6">
        <f t="shared" si="0"/>
        <v>843.46</v>
      </c>
    </row>
    <row r="59" spans="1:16" ht="57">
      <c r="A59" s="10" t="s">
        <v>75</v>
      </c>
      <c r="B59" s="10" t="s">
        <v>7</v>
      </c>
      <c r="C59" s="10">
        <v>90844</v>
      </c>
      <c r="D59" s="11" t="s">
        <v>78</v>
      </c>
      <c r="E59" s="10" t="s">
        <v>79</v>
      </c>
      <c r="F59" s="12">
        <v>22</v>
      </c>
      <c r="G59" s="12">
        <f t="shared" si="3"/>
        <v>907.58</v>
      </c>
      <c r="H59" s="12">
        <f t="shared" si="4"/>
        <v>19966.759999999998</v>
      </c>
      <c r="K59" s="6">
        <v>940.5</v>
      </c>
      <c r="L59" s="6">
        <f t="shared" si="0"/>
        <v>907.58</v>
      </c>
    </row>
    <row r="60" spans="1:16" ht="28.5">
      <c r="A60" s="10" t="s">
        <v>76</v>
      </c>
      <c r="B60" s="10" t="s">
        <v>1</v>
      </c>
      <c r="C60" s="10">
        <v>3629</v>
      </c>
      <c r="D60" s="11" t="s">
        <v>350</v>
      </c>
      <c r="E60" s="10" t="s">
        <v>79</v>
      </c>
      <c r="F60" s="12">
        <v>11</v>
      </c>
      <c r="G60" s="12">
        <f t="shared" si="3"/>
        <v>802.42</v>
      </c>
      <c r="H60" s="12">
        <f t="shared" si="4"/>
        <v>8826.6200000000008</v>
      </c>
      <c r="K60" s="6">
        <v>831.52</v>
      </c>
      <c r="L60" s="6">
        <f t="shared" si="0"/>
        <v>802.42</v>
      </c>
    </row>
    <row r="61" spans="1:16">
      <c r="A61" s="10"/>
      <c r="B61" s="10"/>
      <c r="C61" s="10"/>
      <c r="D61" s="11"/>
      <c r="E61" s="10"/>
      <c r="F61" s="12"/>
      <c r="G61" s="12"/>
      <c r="H61" s="12"/>
      <c r="L61" s="6">
        <f t="shared" si="0"/>
        <v>0</v>
      </c>
    </row>
    <row r="62" spans="1:16" s="2" customFormat="1" ht="15">
      <c r="A62" s="7" t="s">
        <v>80</v>
      </c>
      <c r="B62" s="7" t="s">
        <v>81</v>
      </c>
      <c r="C62" s="7"/>
      <c r="D62" s="8"/>
      <c r="E62" s="7"/>
      <c r="F62" s="9"/>
      <c r="G62" s="9"/>
      <c r="H62" s="9">
        <f>SUM(H63:H64)</f>
        <v>23917.040000000001</v>
      </c>
      <c r="I62" s="3"/>
      <c r="J62" s="3"/>
      <c r="K62" s="3"/>
      <c r="L62" s="3">
        <f t="shared" si="0"/>
        <v>0</v>
      </c>
    </row>
    <row r="63" spans="1:16" ht="28.5">
      <c r="A63" s="10" t="s">
        <v>82</v>
      </c>
      <c r="B63" s="10" t="s">
        <v>1</v>
      </c>
      <c r="C63" s="10">
        <v>13096</v>
      </c>
      <c r="D63" s="11" t="s">
        <v>351</v>
      </c>
      <c r="E63" s="10" t="s">
        <v>9</v>
      </c>
      <c r="F63" s="12">
        <v>23.1</v>
      </c>
      <c r="G63" s="12">
        <f>L63</f>
        <v>527.82000000000005</v>
      </c>
      <c r="H63" s="12">
        <f>ROUND(F63*G63,2)</f>
        <v>12192.64</v>
      </c>
      <c r="K63" s="6">
        <v>546.96</v>
      </c>
      <c r="L63" s="6">
        <f t="shared" si="0"/>
        <v>527.82000000000005</v>
      </c>
    </row>
    <row r="64" spans="1:16" ht="42.75">
      <c r="A64" s="10" t="s">
        <v>83</v>
      </c>
      <c r="B64" s="10" t="s">
        <v>7</v>
      </c>
      <c r="C64" s="10">
        <v>100702</v>
      </c>
      <c r="D64" s="11" t="s">
        <v>327</v>
      </c>
      <c r="E64" s="10" t="s">
        <v>9</v>
      </c>
      <c r="F64" s="12">
        <v>25.08</v>
      </c>
      <c r="G64" s="12">
        <f>L64</f>
        <v>467.48</v>
      </c>
      <c r="H64" s="12">
        <f>ROUND(F64*G64,2)</f>
        <v>11724.4</v>
      </c>
      <c r="K64" s="6">
        <v>484.44</v>
      </c>
      <c r="L64" s="6">
        <f t="shared" si="0"/>
        <v>467.48</v>
      </c>
    </row>
    <row r="65" spans="1:12">
      <c r="A65" s="10"/>
      <c r="B65" s="10"/>
      <c r="C65" s="10"/>
      <c r="D65" s="11"/>
      <c r="E65" s="10"/>
      <c r="F65" s="12"/>
      <c r="G65" s="12"/>
      <c r="H65" s="12"/>
      <c r="L65" s="6">
        <f t="shared" si="0"/>
        <v>0</v>
      </c>
    </row>
    <row r="66" spans="1:12" s="2" customFormat="1" ht="15">
      <c r="A66" s="7" t="s">
        <v>84</v>
      </c>
      <c r="B66" s="7" t="s">
        <v>85</v>
      </c>
      <c r="C66" s="7"/>
      <c r="D66" s="8"/>
      <c r="E66" s="7"/>
      <c r="F66" s="9"/>
      <c r="G66" s="9"/>
      <c r="H66" s="9">
        <f>SUM(H67:H68)</f>
        <v>797.09999999999991</v>
      </c>
      <c r="I66" s="3"/>
      <c r="J66" s="3"/>
      <c r="K66" s="3"/>
      <c r="L66" s="3">
        <f t="shared" si="0"/>
        <v>0</v>
      </c>
    </row>
    <row r="67" spans="1:12">
      <c r="A67" s="10" t="s">
        <v>86</v>
      </c>
      <c r="B67" s="10" t="s">
        <v>1</v>
      </c>
      <c r="C67" s="10">
        <v>9733</v>
      </c>
      <c r="D67" s="11" t="s">
        <v>353</v>
      </c>
      <c r="E67" s="10" t="s">
        <v>79</v>
      </c>
      <c r="F67" s="12">
        <v>2</v>
      </c>
      <c r="G67" s="12">
        <f>L67</f>
        <v>200.85</v>
      </c>
      <c r="H67" s="12">
        <f>ROUND(F67*G67,2)</f>
        <v>401.7</v>
      </c>
      <c r="K67" s="6">
        <v>208.13</v>
      </c>
      <c r="L67" s="6">
        <f t="shared" si="0"/>
        <v>200.85</v>
      </c>
    </row>
    <row r="68" spans="1:12">
      <c r="A68" s="10" t="s">
        <v>87</v>
      </c>
      <c r="B68" s="10" t="s">
        <v>7</v>
      </c>
      <c r="C68" s="10">
        <v>100705</v>
      </c>
      <c r="D68" s="11" t="s">
        <v>224</v>
      </c>
      <c r="E68" s="10" t="s">
        <v>79</v>
      </c>
      <c r="F68" s="12">
        <v>6</v>
      </c>
      <c r="G68" s="12">
        <f>L68</f>
        <v>65.900000000000006</v>
      </c>
      <c r="H68" s="12">
        <f>ROUND(F68*G68,2)</f>
        <v>395.4</v>
      </c>
      <c r="K68" s="6">
        <v>68.290000000000006</v>
      </c>
      <c r="L68" s="6">
        <f t="shared" si="0"/>
        <v>65.900000000000006</v>
      </c>
    </row>
    <row r="69" spans="1:12">
      <c r="A69" s="10"/>
      <c r="B69" s="10"/>
      <c r="C69" s="10"/>
      <c r="D69" s="11"/>
      <c r="E69" s="10"/>
      <c r="F69" s="12"/>
      <c r="G69" s="12"/>
      <c r="H69" s="12"/>
      <c r="L69" s="6">
        <f t="shared" si="0"/>
        <v>0</v>
      </c>
    </row>
    <row r="70" spans="1:12" s="2" customFormat="1" ht="15">
      <c r="A70" s="13">
        <v>7</v>
      </c>
      <c r="B70" s="13" t="s">
        <v>88</v>
      </c>
      <c r="C70" s="13"/>
      <c r="D70" s="14"/>
      <c r="E70" s="13"/>
      <c r="F70" s="15"/>
      <c r="G70" s="15"/>
      <c r="H70" s="15">
        <f>SUM(H71:H74)</f>
        <v>77673.48000000001</v>
      </c>
      <c r="I70" s="3"/>
      <c r="J70" s="3"/>
      <c r="K70" s="3"/>
      <c r="L70" s="3">
        <f t="shared" si="0"/>
        <v>0</v>
      </c>
    </row>
    <row r="71" spans="1:12" ht="57">
      <c r="A71" s="10" t="s">
        <v>89</v>
      </c>
      <c r="B71" s="10" t="s">
        <v>7</v>
      </c>
      <c r="C71" s="10">
        <v>87529</v>
      </c>
      <c r="D71" s="11" t="s">
        <v>225</v>
      </c>
      <c r="E71" s="10" t="s">
        <v>9</v>
      </c>
      <c r="F71" s="12">
        <v>418.9</v>
      </c>
      <c r="G71" s="12">
        <f>L71</f>
        <v>24.97</v>
      </c>
      <c r="H71" s="12">
        <f>ROUND(F71*G71,2)</f>
        <v>10459.93</v>
      </c>
      <c r="K71" s="6">
        <v>25.88</v>
      </c>
      <c r="L71" s="6">
        <f t="shared" si="0"/>
        <v>24.97</v>
      </c>
    </row>
    <row r="72" spans="1:12" ht="42.75">
      <c r="A72" s="10" t="s">
        <v>90</v>
      </c>
      <c r="B72" s="10" t="s">
        <v>7</v>
      </c>
      <c r="C72" s="10">
        <v>87879</v>
      </c>
      <c r="D72" s="11" t="s">
        <v>226</v>
      </c>
      <c r="E72" s="10" t="s">
        <v>9</v>
      </c>
      <c r="F72" s="12">
        <v>418.9</v>
      </c>
      <c r="G72" s="12">
        <v>2.99</v>
      </c>
      <c r="H72" s="12">
        <f>ROUND(F72*G72,2)</f>
        <v>1252.51</v>
      </c>
      <c r="K72" s="6">
        <v>2099</v>
      </c>
      <c r="L72" s="6">
        <f t="shared" si="0"/>
        <v>2025.54</v>
      </c>
    </row>
    <row r="73" spans="1:12">
      <c r="A73" s="10" t="s">
        <v>91</v>
      </c>
      <c r="B73" s="10" t="s">
        <v>7</v>
      </c>
      <c r="C73" s="10">
        <v>87273</v>
      </c>
      <c r="D73" s="11"/>
      <c r="E73" s="10" t="s">
        <v>9</v>
      </c>
      <c r="F73" s="12">
        <v>423.52</v>
      </c>
      <c r="G73" s="12">
        <f>L73</f>
        <v>61.37</v>
      </c>
      <c r="H73" s="12">
        <f>ROUND(F73*G73,2)</f>
        <v>25991.42</v>
      </c>
      <c r="K73" s="6">
        <v>63.6</v>
      </c>
      <c r="L73" s="6">
        <f t="shared" si="0"/>
        <v>61.37</v>
      </c>
    </row>
    <row r="74" spans="1:12">
      <c r="A74" s="10" t="s">
        <v>92</v>
      </c>
      <c r="B74" s="10" t="s">
        <v>1</v>
      </c>
      <c r="C74" s="10">
        <v>12420</v>
      </c>
      <c r="D74" s="11"/>
      <c r="E74" s="10" t="s">
        <v>9</v>
      </c>
      <c r="F74" s="12">
        <v>99.65</v>
      </c>
      <c r="G74" s="12">
        <f>L74</f>
        <v>401.1</v>
      </c>
      <c r="H74" s="12">
        <f>ROUND(F74*G74,2)</f>
        <v>39969.620000000003</v>
      </c>
      <c r="K74" s="6">
        <v>415.65</v>
      </c>
      <c r="L74" s="6">
        <f t="shared" si="0"/>
        <v>401.1</v>
      </c>
    </row>
    <row r="75" spans="1:12">
      <c r="A75" s="10"/>
      <c r="B75" s="10"/>
      <c r="C75" s="10"/>
      <c r="D75" s="11"/>
      <c r="E75" s="10"/>
      <c r="F75" s="12"/>
      <c r="G75" s="12"/>
      <c r="H75" s="12"/>
      <c r="L75" s="6">
        <f t="shared" si="0"/>
        <v>0</v>
      </c>
    </row>
    <row r="76" spans="1:12" s="2" customFormat="1" ht="15">
      <c r="A76" s="13">
        <v>8</v>
      </c>
      <c r="B76" s="13" t="s">
        <v>97</v>
      </c>
      <c r="C76" s="13"/>
      <c r="D76" s="14"/>
      <c r="E76" s="13"/>
      <c r="F76" s="15"/>
      <c r="G76" s="15"/>
      <c r="H76" s="15">
        <f>SUM(H77:H80)</f>
        <v>139210.14000000001</v>
      </c>
      <c r="I76" s="3"/>
      <c r="J76" s="3"/>
      <c r="K76" s="3"/>
      <c r="L76" s="3">
        <f t="shared" si="0"/>
        <v>0</v>
      </c>
    </row>
    <row r="77" spans="1:12" ht="57">
      <c r="A77" s="10" t="s">
        <v>93</v>
      </c>
      <c r="B77" s="10" t="s">
        <v>7</v>
      </c>
      <c r="C77" s="10">
        <v>87620</v>
      </c>
      <c r="D77" s="11" t="s">
        <v>227</v>
      </c>
      <c r="E77" s="10" t="s">
        <v>9</v>
      </c>
      <c r="F77" s="12">
        <v>774.83</v>
      </c>
      <c r="G77" s="12">
        <f>L77</f>
        <v>22.3</v>
      </c>
      <c r="H77" s="12">
        <f>ROUND(F77*G77,2)</f>
        <v>17278.71</v>
      </c>
      <c r="K77" s="6">
        <v>23.11</v>
      </c>
      <c r="L77" s="6">
        <f t="shared" ref="L77:L140" si="5">ROUND(K77*$J$11,2)</f>
        <v>22.3</v>
      </c>
    </row>
    <row r="78" spans="1:12" ht="42.75">
      <c r="A78" s="10" t="s">
        <v>94</v>
      </c>
      <c r="B78" s="10" t="s">
        <v>7</v>
      </c>
      <c r="C78" s="10">
        <v>87263</v>
      </c>
      <c r="D78" s="11" t="s">
        <v>228</v>
      </c>
      <c r="E78" s="10" t="s">
        <v>9</v>
      </c>
      <c r="F78" s="12">
        <v>774.83</v>
      </c>
      <c r="G78" s="12">
        <f>L78</f>
        <v>145.32</v>
      </c>
      <c r="H78" s="12">
        <f>ROUND(F78*G78,2)</f>
        <v>112598.3</v>
      </c>
      <c r="K78" s="6">
        <v>150.59</v>
      </c>
      <c r="L78" s="6">
        <f t="shared" si="5"/>
        <v>145.32</v>
      </c>
    </row>
    <row r="79" spans="1:12">
      <c r="A79" s="10" t="s">
        <v>95</v>
      </c>
      <c r="B79" s="10" t="s">
        <v>7</v>
      </c>
      <c r="C79" s="10">
        <v>98504</v>
      </c>
      <c r="D79" s="11" t="s">
        <v>229</v>
      </c>
      <c r="E79" s="10" t="s">
        <v>9</v>
      </c>
      <c r="F79" s="12">
        <v>176.89</v>
      </c>
      <c r="G79" s="12">
        <f>L79</f>
        <v>13.07</v>
      </c>
      <c r="H79" s="12">
        <f>ROUND(F79*G79,2)</f>
        <v>2311.9499999999998</v>
      </c>
      <c r="K79" s="6">
        <v>13.54</v>
      </c>
      <c r="L79" s="6">
        <f t="shared" si="5"/>
        <v>13.07</v>
      </c>
    </row>
    <row r="80" spans="1:12" ht="57">
      <c r="A80" s="10" t="s">
        <v>96</v>
      </c>
      <c r="B80" s="10" t="s">
        <v>7</v>
      </c>
      <c r="C80" s="10">
        <v>101819</v>
      </c>
      <c r="D80" s="11" t="s">
        <v>230</v>
      </c>
      <c r="E80" s="10" t="s">
        <v>9</v>
      </c>
      <c r="F80" s="12">
        <v>155.13</v>
      </c>
      <c r="G80" s="12">
        <f>L80</f>
        <v>45.26</v>
      </c>
      <c r="H80" s="12">
        <f>ROUND(F80*G80,2)</f>
        <v>7021.18</v>
      </c>
      <c r="K80" s="6">
        <v>46.9</v>
      </c>
      <c r="L80" s="6">
        <f t="shared" si="5"/>
        <v>45.26</v>
      </c>
    </row>
    <row r="81" spans="1:12">
      <c r="A81" s="10"/>
      <c r="B81" s="10"/>
      <c r="C81" s="10"/>
      <c r="D81" s="11"/>
      <c r="E81" s="10"/>
      <c r="F81" s="12"/>
      <c r="G81" s="12"/>
      <c r="H81" s="12"/>
      <c r="L81" s="6">
        <f t="shared" si="5"/>
        <v>0</v>
      </c>
    </row>
    <row r="82" spans="1:12" s="2" customFormat="1" ht="15">
      <c r="A82" s="13">
        <v>9</v>
      </c>
      <c r="B82" s="13" t="s">
        <v>99</v>
      </c>
      <c r="C82" s="13"/>
      <c r="D82" s="14"/>
      <c r="E82" s="13"/>
      <c r="F82" s="15"/>
      <c r="G82" s="15"/>
      <c r="H82" s="15">
        <f>H83+H113+H139</f>
        <v>76924.92</v>
      </c>
      <c r="I82" s="3"/>
      <c r="J82" s="3"/>
      <c r="K82" s="3"/>
      <c r="L82" s="3">
        <f t="shared" si="5"/>
        <v>0</v>
      </c>
    </row>
    <row r="83" spans="1:12" s="2" customFormat="1" ht="15">
      <c r="A83" s="7" t="s">
        <v>98</v>
      </c>
      <c r="B83" s="7" t="s">
        <v>334</v>
      </c>
      <c r="C83" s="7"/>
      <c r="D83" s="8"/>
      <c r="E83" s="7"/>
      <c r="F83" s="9"/>
      <c r="G83" s="9"/>
      <c r="H83" s="9">
        <f>SUM(H84:H111)</f>
        <v>26869.970000000005</v>
      </c>
      <c r="I83" s="3"/>
      <c r="J83" s="3"/>
      <c r="K83" s="3"/>
      <c r="L83" s="3">
        <f t="shared" si="5"/>
        <v>0</v>
      </c>
    </row>
    <row r="84" spans="1:12" ht="42.75">
      <c r="A84" s="10" t="s">
        <v>100</v>
      </c>
      <c r="B84" s="10" t="s">
        <v>7</v>
      </c>
      <c r="C84" s="10">
        <v>89707</v>
      </c>
      <c r="D84" s="11" t="s">
        <v>231</v>
      </c>
      <c r="E84" s="10" t="s">
        <v>79</v>
      </c>
      <c r="F84" s="12">
        <v>28</v>
      </c>
      <c r="G84" s="12">
        <v>32.409999999999997</v>
      </c>
      <c r="H84" s="12">
        <f t="shared" ref="H84:H111" si="6">ROUND(F84*G84,2)</f>
        <v>907.48</v>
      </c>
      <c r="K84" s="6">
        <v>34.71</v>
      </c>
      <c r="L84" s="6">
        <f t="shared" si="5"/>
        <v>33.5</v>
      </c>
    </row>
    <row r="85" spans="1:12" ht="42.75">
      <c r="A85" s="10" t="s">
        <v>101</v>
      </c>
      <c r="B85" s="10" t="s">
        <v>7</v>
      </c>
      <c r="C85" s="10">
        <v>89744</v>
      </c>
      <c r="D85" s="11" t="s">
        <v>232</v>
      </c>
      <c r="E85" s="10" t="s">
        <v>79</v>
      </c>
      <c r="F85" s="12">
        <v>13</v>
      </c>
      <c r="G85" s="12">
        <f t="shared" ref="G85:G111" si="7">L85</f>
        <v>21</v>
      </c>
      <c r="H85" s="12">
        <f t="shared" si="6"/>
        <v>273</v>
      </c>
      <c r="K85" s="6">
        <v>21.76</v>
      </c>
      <c r="L85" s="6">
        <f t="shared" si="5"/>
        <v>21</v>
      </c>
    </row>
    <row r="86" spans="1:12" ht="42.75">
      <c r="A86" s="10" t="s">
        <v>102</v>
      </c>
      <c r="B86" s="10" t="s">
        <v>7</v>
      </c>
      <c r="C86" s="10">
        <v>89724</v>
      </c>
      <c r="D86" s="11" t="s">
        <v>233</v>
      </c>
      <c r="E86" s="10" t="s">
        <v>79</v>
      </c>
      <c r="F86" s="12">
        <v>63</v>
      </c>
      <c r="G86" s="12">
        <f t="shared" si="7"/>
        <v>8.4600000000000009</v>
      </c>
      <c r="H86" s="12">
        <f t="shared" si="6"/>
        <v>532.98</v>
      </c>
      <c r="K86" s="6">
        <v>8.77</v>
      </c>
      <c r="L86" s="6">
        <f t="shared" si="5"/>
        <v>8.4600000000000009</v>
      </c>
    </row>
    <row r="87" spans="1:12" ht="42.75">
      <c r="A87" s="10" t="s">
        <v>103</v>
      </c>
      <c r="B87" s="10" t="s">
        <v>7</v>
      </c>
      <c r="C87" s="10">
        <v>89731</v>
      </c>
      <c r="D87" s="11" t="s">
        <v>234</v>
      </c>
      <c r="E87" s="10" t="s">
        <v>79</v>
      </c>
      <c r="F87" s="12">
        <v>38</v>
      </c>
      <c r="G87" s="12">
        <f t="shared" si="7"/>
        <v>8.92</v>
      </c>
      <c r="H87" s="12">
        <f t="shared" si="6"/>
        <v>338.96</v>
      </c>
      <c r="K87" s="6">
        <v>9.24</v>
      </c>
      <c r="L87" s="6">
        <f t="shared" si="5"/>
        <v>8.92</v>
      </c>
    </row>
    <row r="88" spans="1:12" ht="42.75">
      <c r="A88" s="10" t="s">
        <v>104</v>
      </c>
      <c r="B88" s="10" t="s">
        <v>7</v>
      </c>
      <c r="C88" s="10">
        <v>89726</v>
      </c>
      <c r="D88" s="11" t="s">
        <v>235</v>
      </c>
      <c r="E88" s="10" t="s">
        <v>79</v>
      </c>
      <c r="F88" s="12">
        <v>30</v>
      </c>
      <c r="G88" s="12">
        <f t="shared" si="7"/>
        <v>5.5</v>
      </c>
      <c r="H88" s="12">
        <f t="shared" si="6"/>
        <v>165</v>
      </c>
      <c r="K88" s="6">
        <v>5.7</v>
      </c>
      <c r="L88" s="6">
        <f t="shared" si="5"/>
        <v>5.5</v>
      </c>
    </row>
    <row r="89" spans="1:12" ht="42.75">
      <c r="A89" s="10" t="s">
        <v>105</v>
      </c>
      <c r="B89" s="10" t="s">
        <v>7</v>
      </c>
      <c r="C89" s="10">
        <v>89732</v>
      </c>
      <c r="D89" s="11" t="s">
        <v>236</v>
      </c>
      <c r="E89" s="10" t="s">
        <v>79</v>
      </c>
      <c r="F89" s="12">
        <v>25</v>
      </c>
      <c r="G89" s="12">
        <f t="shared" si="7"/>
        <v>9.6199999999999992</v>
      </c>
      <c r="H89" s="12">
        <f t="shared" si="6"/>
        <v>240.5</v>
      </c>
      <c r="K89" s="6">
        <v>9.9700000000000006</v>
      </c>
      <c r="L89" s="6">
        <f t="shared" si="5"/>
        <v>9.6199999999999992</v>
      </c>
    </row>
    <row r="90" spans="1:12" ht="42.75">
      <c r="A90" s="10" t="s">
        <v>106</v>
      </c>
      <c r="B90" s="10" t="s">
        <v>7</v>
      </c>
      <c r="C90" s="10">
        <v>89746</v>
      </c>
      <c r="D90" s="11" t="s">
        <v>237</v>
      </c>
      <c r="E90" s="10" t="s">
        <v>79</v>
      </c>
      <c r="F90" s="12">
        <v>11</v>
      </c>
      <c r="G90" s="12">
        <f t="shared" si="7"/>
        <v>20.93</v>
      </c>
      <c r="H90" s="12">
        <f t="shared" si="6"/>
        <v>230.23</v>
      </c>
      <c r="K90" s="6">
        <v>21.69</v>
      </c>
      <c r="L90" s="6">
        <f t="shared" si="5"/>
        <v>20.93</v>
      </c>
    </row>
    <row r="91" spans="1:12" ht="42.75">
      <c r="A91" s="10" t="s">
        <v>107</v>
      </c>
      <c r="B91" s="10" t="s">
        <v>7</v>
      </c>
      <c r="C91" s="10">
        <v>89797</v>
      </c>
      <c r="D91" s="11" t="s">
        <v>238</v>
      </c>
      <c r="E91" s="10" t="s">
        <v>79</v>
      </c>
      <c r="F91" s="12">
        <v>2</v>
      </c>
      <c r="G91" s="12">
        <f t="shared" si="7"/>
        <v>42.5</v>
      </c>
      <c r="H91" s="12">
        <f t="shared" si="6"/>
        <v>85</v>
      </c>
      <c r="K91" s="6">
        <v>44.04</v>
      </c>
      <c r="L91" s="6">
        <f t="shared" si="5"/>
        <v>42.5</v>
      </c>
    </row>
    <row r="92" spans="1:12" ht="28.5">
      <c r="A92" s="10" t="s">
        <v>108</v>
      </c>
      <c r="B92" s="10" t="s">
        <v>1</v>
      </c>
      <c r="C92" s="10">
        <v>1560</v>
      </c>
      <c r="D92" s="11" t="s">
        <v>354</v>
      </c>
      <c r="E92" s="10" t="s">
        <v>79</v>
      </c>
      <c r="F92" s="12">
        <v>3</v>
      </c>
      <c r="G92" s="12">
        <f t="shared" si="7"/>
        <v>32.97</v>
      </c>
      <c r="H92" s="12">
        <f t="shared" si="6"/>
        <v>98.91</v>
      </c>
      <c r="K92" s="6">
        <v>34.17</v>
      </c>
      <c r="L92" s="6">
        <f t="shared" si="5"/>
        <v>32.97</v>
      </c>
    </row>
    <row r="93" spans="1:12" ht="28.5">
      <c r="A93" s="10" t="s">
        <v>109</v>
      </c>
      <c r="B93" s="10" t="s">
        <v>1</v>
      </c>
      <c r="C93" s="10">
        <v>1562</v>
      </c>
      <c r="D93" s="11" t="s">
        <v>355</v>
      </c>
      <c r="E93" s="10" t="s">
        <v>79</v>
      </c>
      <c r="F93" s="12">
        <v>17</v>
      </c>
      <c r="G93" s="12">
        <f t="shared" si="7"/>
        <v>41.31</v>
      </c>
      <c r="H93" s="12">
        <f t="shared" si="6"/>
        <v>702.27</v>
      </c>
      <c r="K93" s="6">
        <v>42.81</v>
      </c>
      <c r="L93" s="6">
        <f t="shared" si="5"/>
        <v>41.31</v>
      </c>
    </row>
    <row r="94" spans="1:12" ht="42.75">
      <c r="A94" s="10" t="s">
        <v>110</v>
      </c>
      <c r="B94" s="10" t="s">
        <v>7</v>
      </c>
      <c r="C94" s="10">
        <v>89784</v>
      </c>
      <c r="D94" s="11" t="s">
        <v>239</v>
      </c>
      <c r="E94" s="10" t="s">
        <v>79</v>
      </c>
      <c r="F94" s="12">
        <v>28</v>
      </c>
      <c r="G94" s="12">
        <f t="shared" si="7"/>
        <v>17.45</v>
      </c>
      <c r="H94" s="12">
        <f t="shared" si="6"/>
        <v>488.6</v>
      </c>
      <c r="K94" s="6">
        <v>18.079999999999998</v>
      </c>
      <c r="L94" s="6">
        <f t="shared" si="5"/>
        <v>17.45</v>
      </c>
    </row>
    <row r="95" spans="1:12" ht="42.75">
      <c r="A95" s="10" t="s">
        <v>111</v>
      </c>
      <c r="B95" s="10" t="s">
        <v>7</v>
      </c>
      <c r="C95" s="10">
        <v>89796</v>
      </c>
      <c r="D95" s="11" t="s">
        <v>240</v>
      </c>
      <c r="E95" s="10" t="s">
        <v>79</v>
      </c>
      <c r="F95" s="12">
        <v>5</v>
      </c>
      <c r="G95" s="12">
        <f t="shared" si="7"/>
        <v>36.06</v>
      </c>
      <c r="H95" s="12">
        <f t="shared" si="6"/>
        <v>180.3</v>
      </c>
      <c r="K95" s="6">
        <v>37.369999999999997</v>
      </c>
      <c r="L95" s="6">
        <f t="shared" si="5"/>
        <v>36.06</v>
      </c>
    </row>
    <row r="96" spans="1:12" ht="42.75">
      <c r="A96" s="10" t="s">
        <v>112</v>
      </c>
      <c r="B96" s="10" t="s">
        <v>7</v>
      </c>
      <c r="C96" s="10">
        <v>89714</v>
      </c>
      <c r="D96" s="11" t="s">
        <v>241</v>
      </c>
      <c r="E96" s="10" t="s">
        <v>38</v>
      </c>
      <c r="F96" s="12">
        <v>190</v>
      </c>
      <c r="G96" s="12">
        <f t="shared" si="7"/>
        <v>45.24</v>
      </c>
      <c r="H96" s="12">
        <f t="shared" si="6"/>
        <v>8595.6</v>
      </c>
      <c r="K96" s="6">
        <v>46.88</v>
      </c>
      <c r="L96" s="6">
        <f t="shared" si="5"/>
        <v>45.24</v>
      </c>
    </row>
    <row r="97" spans="1:12" ht="42.75">
      <c r="A97" s="10" t="s">
        <v>113</v>
      </c>
      <c r="B97" s="10" t="s">
        <v>7</v>
      </c>
      <c r="C97" s="10">
        <v>89712</v>
      </c>
      <c r="D97" s="11" t="s">
        <v>242</v>
      </c>
      <c r="E97" s="10" t="s">
        <v>38</v>
      </c>
      <c r="F97" s="12">
        <v>100</v>
      </c>
      <c r="G97" s="12">
        <f t="shared" si="7"/>
        <v>23.85</v>
      </c>
      <c r="H97" s="12">
        <f t="shared" si="6"/>
        <v>2385</v>
      </c>
      <c r="K97" s="6">
        <v>24.72</v>
      </c>
      <c r="L97" s="6">
        <f t="shared" si="5"/>
        <v>23.85</v>
      </c>
    </row>
    <row r="98" spans="1:12" ht="42.75">
      <c r="A98" s="10" t="s">
        <v>114</v>
      </c>
      <c r="B98" s="10" t="s">
        <v>7</v>
      </c>
      <c r="C98" s="10">
        <v>89711</v>
      </c>
      <c r="D98" s="11" t="s">
        <v>243</v>
      </c>
      <c r="E98" s="10" t="s">
        <v>38</v>
      </c>
      <c r="F98" s="12">
        <v>18</v>
      </c>
      <c r="G98" s="12">
        <f t="shared" si="7"/>
        <v>15.61</v>
      </c>
      <c r="H98" s="12">
        <f t="shared" si="6"/>
        <v>280.98</v>
      </c>
      <c r="K98" s="6">
        <v>16.18</v>
      </c>
      <c r="L98" s="6">
        <f t="shared" si="5"/>
        <v>15.61</v>
      </c>
    </row>
    <row r="99" spans="1:12" ht="42.75">
      <c r="A99" s="10" t="s">
        <v>115</v>
      </c>
      <c r="B99" s="10" t="s">
        <v>7</v>
      </c>
      <c r="C99" s="10">
        <v>89709</v>
      </c>
      <c r="D99" s="11" t="s">
        <v>244</v>
      </c>
      <c r="E99" s="10" t="s">
        <v>79</v>
      </c>
      <c r="F99" s="12">
        <v>2</v>
      </c>
      <c r="G99" s="12">
        <f t="shared" si="7"/>
        <v>12.58</v>
      </c>
      <c r="H99" s="12">
        <f t="shared" si="6"/>
        <v>25.16</v>
      </c>
      <c r="K99" s="6">
        <v>13.04</v>
      </c>
      <c r="L99" s="6">
        <f t="shared" si="5"/>
        <v>12.58</v>
      </c>
    </row>
    <row r="100" spans="1:12" ht="42.75">
      <c r="A100" s="10" t="s">
        <v>116</v>
      </c>
      <c r="B100" s="10" t="s">
        <v>7</v>
      </c>
      <c r="C100" s="10">
        <v>97902</v>
      </c>
      <c r="D100" s="11" t="s">
        <v>245</v>
      </c>
      <c r="E100" s="10" t="s">
        <v>79</v>
      </c>
      <c r="F100" s="12">
        <v>18</v>
      </c>
      <c r="G100" s="12">
        <f t="shared" si="7"/>
        <v>457.72</v>
      </c>
      <c r="H100" s="12">
        <f t="shared" si="6"/>
        <v>8238.9599999999991</v>
      </c>
      <c r="K100" s="6">
        <v>474.32</v>
      </c>
      <c r="L100" s="6">
        <f t="shared" si="5"/>
        <v>457.72</v>
      </c>
    </row>
    <row r="101" spans="1:12" ht="42.75">
      <c r="A101" s="10" t="s">
        <v>117</v>
      </c>
      <c r="B101" s="10" t="s">
        <v>7</v>
      </c>
      <c r="C101" s="10">
        <v>89849</v>
      </c>
      <c r="D101" s="11" t="s">
        <v>246</v>
      </c>
      <c r="E101" s="10" t="s">
        <v>38</v>
      </c>
      <c r="F101" s="12">
        <v>12</v>
      </c>
      <c r="G101" s="12">
        <f t="shared" si="7"/>
        <v>58.46</v>
      </c>
      <c r="H101" s="12">
        <f t="shared" si="6"/>
        <v>701.52</v>
      </c>
      <c r="K101" s="6">
        <v>60.58</v>
      </c>
      <c r="L101" s="6">
        <f t="shared" si="5"/>
        <v>58.46</v>
      </c>
    </row>
    <row r="102" spans="1:12" ht="42.75">
      <c r="A102" s="10" t="s">
        <v>118</v>
      </c>
      <c r="B102" s="10" t="s">
        <v>7</v>
      </c>
      <c r="C102" s="10">
        <v>89713</v>
      </c>
      <c r="D102" s="11" t="s">
        <v>247</v>
      </c>
      <c r="E102" s="10" t="s">
        <v>38</v>
      </c>
      <c r="F102" s="12">
        <v>14</v>
      </c>
      <c r="G102" s="12">
        <f t="shared" si="7"/>
        <v>36.020000000000003</v>
      </c>
      <c r="H102" s="12">
        <f t="shared" si="6"/>
        <v>504.28</v>
      </c>
      <c r="K102" s="6">
        <v>37.33</v>
      </c>
      <c r="L102" s="6">
        <f t="shared" si="5"/>
        <v>36.020000000000003</v>
      </c>
    </row>
    <row r="103" spans="1:12" ht="28.5">
      <c r="A103" s="10" t="s">
        <v>119</v>
      </c>
      <c r="B103" s="10" t="s">
        <v>1</v>
      </c>
      <c r="C103" s="10">
        <v>4282</v>
      </c>
      <c r="D103" s="11" t="s">
        <v>356</v>
      </c>
      <c r="E103" s="10" t="s">
        <v>79</v>
      </c>
      <c r="F103" s="12">
        <v>2</v>
      </c>
      <c r="G103" s="12">
        <f t="shared" si="7"/>
        <v>46.41</v>
      </c>
      <c r="H103" s="12">
        <f t="shared" si="6"/>
        <v>92.82</v>
      </c>
      <c r="K103" s="6">
        <v>48.09</v>
      </c>
      <c r="L103" s="6">
        <f t="shared" si="5"/>
        <v>46.41</v>
      </c>
    </row>
    <row r="104" spans="1:12" ht="42.75">
      <c r="A104" s="10" t="s">
        <v>120</v>
      </c>
      <c r="B104" s="10" t="s">
        <v>7</v>
      </c>
      <c r="C104" s="10">
        <v>89739</v>
      </c>
      <c r="D104" s="11" t="s">
        <v>248</v>
      </c>
      <c r="E104" s="10" t="s">
        <v>79</v>
      </c>
      <c r="F104" s="12">
        <v>1</v>
      </c>
      <c r="G104" s="12">
        <f t="shared" si="7"/>
        <v>17.309999999999999</v>
      </c>
      <c r="H104" s="12">
        <f t="shared" si="6"/>
        <v>17.309999999999999</v>
      </c>
      <c r="K104" s="6">
        <v>17.940000000000001</v>
      </c>
      <c r="L104" s="6">
        <f t="shared" si="5"/>
        <v>17.309999999999999</v>
      </c>
    </row>
    <row r="105" spans="1:12" ht="42.75">
      <c r="A105" s="10" t="s">
        <v>121</v>
      </c>
      <c r="B105" s="10" t="s">
        <v>7</v>
      </c>
      <c r="C105" s="10">
        <v>89785</v>
      </c>
      <c r="D105" s="11" t="s">
        <v>249</v>
      </c>
      <c r="E105" s="10" t="s">
        <v>79</v>
      </c>
      <c r="F105" s="12">
        <v>11</v>
      </c>
      <c r="G105" s="12">
        <f t="shared" si="7"/>
        <v>19.440000000000001</v>
      </c>
      <c r="H105" s="12">
        <f t="shared" si="6"/>
        <v>213.84</v>
      </c>
      <c r="K105" s="6">
        <v>20.149999999999999</v>
      </c>
      <c r="L105" s="6">
        <f t="shared" si="5"/>
        <v>19.440000000000001</v>
      </c>
    </row>
    <row r="106" spans="1:12" ht="42.75">
      <c r="A106" s="10" t="s">
        <v>122</v>
      </c>
      <c r="B106" s="10" t="s">
        <v>7</v>
      </c>
      <c r="C106" s="10">
        <v>89774</v>
      </c>
      <c r="D106" s="11" t="s">
        <v>250</v>
      </c>
      <c r="E106" s="10" t="s">
        <v>79</v>
      </c>
      <c r="F106" s="12">
        <v>4</v>
      </c>
      <c r="G106" s="12">
        <f t="shared" si="7"/>
        <v>13.27</v>
      </c>
      <c r="H106" s="12">
        <f t="shared" si="6"/>
        <v>53.08</v>
      </c>
      <c r="K106" s="6">
        <v>13.75</v>
      </c>
      <c r="L106" s="6">
        <f t="shared" si="5"/>
        <v>13.27</v>
      </c>
    </row>
    <row r="107" spans="1:12" ht="42.75">
      <c r="A107" s="10" t="s">
        <v>123</v>
      </c>
      <c r="B107" s="10" t="s">
        <v>7</v>
      </c>
      <c r="C107" s="10">
        <v>89778</v>
      </c>
      <c r="D107" s="11" t="s">
        <v>251</v>
      </c>
      <c r="E107" s="10" t="s">
        <v>79</v>
      </c>
      <c r="F107" s="12">
        <v>39</v>
      </c>
      <c r="G107" s="12">
        <f t="shared" si="7"/>
        <v>16.3</v>
      </c>
      <c r="H107" s="12">
        <f t="shared" si="6"/>
        <v>635.70000000000005</v>
      </c>
      <c r="K107" s="6">
        <v>16.89</v>
      </c>
      <c r="L107" s="6">
        <f t="shared" si="5"/>
        <v>16.3</v>
      </c>
    </row>
    <row r="108" spans="1:12" ht="42.75">
      <c r="A108" s="10" t="s">
        <v>124</v>
      </c>
      <c r="B108" s="10" t="s">
        <v>7</v>
      </c>
      <c r="C108" s="10">
        <v>89753</v>
      </c>
      <c r="D108" s="11" t="s">
        <v>252</v>
      </c>
      <c r="E108" s="10" t="s">
        <v>79</v>
      </c>
      <c r="F108" s="12">
        <v>46</v>
      </c>
      <c r="G108" s="12">
        <f t="shared" si="7"/>
        <v>7.82</v>
      </c>
      <c r="H108" s="12">
        <f t="shared" si="6"/>
        <v>359.72</v>
      </c>
      <c r="K108" s="6">
        <v>8.1</v>
      </c>
      <c r="L108" s="6">
        <f t="shared" si="5"/>
        <v>7.82</v>
      </c>
    </row>
    <row r="109" spans="1:12">
      <c r="A109" s="10" t="s">
        <v>125</v>
      </c>
      <c r="B109" s="10" t="s">
        <v>1</v>
      </c>
      <c r="C109" s="10">
        <v>11551</v>
      </c>
      <c r="D109" s="11" t="s">
        <v>357</v>
      </c>
      <c r="E109" s="10" t="s">
        <v>79</v>
      </c>
      <c r="F109" s="12">
        <v>1</v>
      </c>
      <c r="G109" s="12">
        <f t="shared" si="7"/>
        <v>171.16</v>
      </c>
      <c r="H109" s="12">
        <f t="shared" si="6"/>
        <v>171.16</v>
      </c>
      <c r="K109" s="6">
        <v>177.37</v>
      </c>
      <c r="L109" s="6">
        <f t="shared" si="5"/>
        <v>171.16</v>
      </c>
    </row>
    <row r="110" spans="1:12" ht="42.75">
      <c r="A110" s="10" t="s">
        <v>126</v>
      </c>
      <c r="B110" s="10" t="s">
        <v>7</v>
      </c>
      <c r="C110" s="10">
        <v>98104</v>
      </c>
      <c r="D110" s="11" t="s">
        <v>253</v>
      </c>
      <c r="E110" s="10" t="s">
        <v>79</v>
      </c>
      <c r="F110" s="12">
        <v>1</v>
      </c>
      <c r="G110" s="12">
        <f t="shared" si="7"/>
        <v>309.49</v>
      </c>
      <c r="H110" s="12">
        <f t="shared" si="6"/>
        <v>309.49</v>
      </c>
      <c r="K110" s="6">
        <v>320.72000000000003</v>
      </c>
      <c r="L110" s="6">
        <f t="shared" si="5"/>
        <v>309.49</v>
      </c>
    </row>
    <row r="111" spans="1:12" ht="42.75">
      <c r="A111" s="10" t="s">
        <v>127</v>
      </c>
      <c r="B111" s="10" t="s">
        <v>7</v>
      </c>
      <c r="C111" s="10">
        <v>89549</v>
      </c>
      <c r="D111" s="11" t="s">
        <v>254</v>
      </c>
      <c r="E111" s="10" t="s">
        <v>79</v>
      </c>
      <c r="F111" s="12">
        <v>3</v>
      </c>
      <c r="G111" s="12">
        <f t="shared" si="7"/>
        <v>14.04</v>
      </c>
      <c r="H111" s="12">
        <f t="shared" si="6"/>
        <v>42.12</v>
      </c>
      <c r="K111" s="6">
        <v>14.55</v>
      </c>
      <c r="L111" s="6">
        <f t="shared" si="5"/>
        <v>14.04</v>
      </c>
    </row>
    <row r="112" spans="1:12">
      <c r="A112" s="10"/>
      <c r="B112" s="10"/>
      <c r="C112" s="10"/>
      <c r="D112" s="11"/>
      <c r="E112" s="10"/>
      <c r="F112" s="12"/>
      <c r="G112" s="12"/>
      <c r="H112" s="12"/>
      <c r="L112" s="6">
        <f t="shared" si="5"/>
        <v>0</v>
      </c>
    </row>
    <row r="113" spans="1:12" s="2" customFormat="1" ht="15">
      <c r="A113" s="7" t="s">
        <v>128</v>
      </c>
      <c r="B113" s="7" t="s">
        <v>129</v>
      </c>
      <c r="C113" s="7"/>
      <c r="D113" s="8"/>
      <c r="E113" s="7"/>
      <c r="F113" s="9"/>
      <c r="G113" s="9"/>
      <c r="H113" s="9">
        <f>SUM(H114:H137)</f>
        <v>15338.21</v>
      </c>
      <c r="I113" s="3"/>
      <c r="J113" s="3"/>
      <c r="K113" s="3"/>
      <c r="L113" s="3">
        <f t="shared" si="5"/>
        <v>0</v>
      </c>
    </row>
    <row r="114" spans="1:12" ht="28.5">
      <c r="A114" s="10" t="s">
        <v>130</v>
      </c>
      <c r="B114" s="10" t="s">
        <v>7</v>
      </c>
      <c r="C114" s="10">
        <v>89450</v>
      </c>
      <c r="D114" s="11" t="s">
        <v>255</v>
      </c>
      <c r="E114" s="10" t="s">
        <v>38</v>
      </c>
      <c r="F114" s="12">
        <v>23</v>
      </c>
      <c r="G114" s="12">
        <f t="shared" ref="G114:G137" si="8">L114</f>
        <v>31.7</v>
      </c>
      <c r="H114" s="12">
        <f t="shared" ref="H114:H137" si="9">ROUND(F114*G114,2)</f>
        <v>729.1</v>
      </c>
      <c r="K114" s="6">
        <v>32.85</v>
      </c>
      <c r="L114" s="6">
        <f t="shared" si="5"/>
        <v>31.7</v>
      </c>
    </row>
    <row r="115" spans="1:12" ht="28.5">
      <c r="A115" s="10" t="s">
        <v>131</v>
      </c>
      <c r="B115" s="10" t="s">
        <v>7</v>
      </c>
      <c r="C115" s="10">
        <v>89449</v>
      </c>
      <c r="D115" s="11" t="s">
        <v>256</v>
      </c>
      <c r="E115" s="10" t="s">
        <v>38</v>
      </c>
      <c r="F115" s="12">
        <v>166</v>
      </c>
      <c r="G115" s="12">
        <f t="shared" si="8"/>
        <v>19.05</v>
      </c>
      <c r="H115" s="12">
        <f t="shared" si="9"/>
        <v>3162.3</v>
      </c>
      <c r="K115" s="6">
        <v>19.739999999999998</v>
      </c>
      <c r="L115" s="6">
        <f t="shared" si="5"/>
        <v>19.05</v>
      </c>
    </row>
    <row r="116" spans="1:12" ht="28.5">
      <c r="A116" s="10" t="s">
        <v>132</v>
      </c>
      <c r="B116" s="10" t="s">
        <v>7</v>
      </c>
      <c r="C116" s="10">
        <v>89356</v>
      </c>
      <c r="D116" s="11" t="s">
        <v>257</v>
      </c>
      <c r="E116" s="10" t="s">
        <v>38</v>
      </c>
      <c r="F116" s="12">
        <v>169</v>
      </c>
      <c r="G116" s="12">
        <f t="shared" si="8"/>
        <v>16.29</v>
      </c>
      <c r="H116" s="12">
        <f t="shared" si="9"/>
        <v>2753.01</v>
      </c>
      <c r="K116" s="6">
        <v>16.88</v>
      </c>
      <c r="L116" s="6">
        <f t="shared" si="5"/>
        <v>16.29</v>
      </c>
    </row>
    <row r="117" spans="1:12" ht="42.75">
      <c r="A117" s="10" t="s">
        <v>133</v>
      </c>
      <c r="B117" s="10" t="s">
        <v>7</v>
      </c>
      <c r="C117" s="10">
        <v>89383</v>
      </c>
      <c r="D117" s="11" t="s">
        <v>258</v>
      </c>
      <c r="E117" s="10" t="s">
        <v>79</v>
      </c>
      <c r="F117" s="12">
        <v>69</v>
      </c>
      <c r="G117" s="12">
        <f t="shared" si="8"/>
        <v>4.9400000000000004</v>
      </c>
      <c r="H117" s="12">
        <f t="shared" si="9"/>
        <v>340.86</v>
      </c>
      <c r="K117" s="6">
        <v>5.12</v>
      </c>
      <c r="L117" s="6">
        <f t="shared" si="5"/>
        <v>4.9400000000000004</v>
      </c>
    </row>
    <row r="118" spans="1:12" ht="28.5">
      <c r="A118" s="10" t="s">
        <v>134</v>
      </c>
      <c r="B118" s="10" t="s">
        <v>7</v>
      </c>
      <c r="C118" s="10">
        <v>89605</v>
      </c>
      <c r="D118" s="11" t="s">
        <v>259</v>
      </c>
      <c r="E118" s="10" t="s">
        <v>79</v>
      </c>
      <c r="F118" s="12">
        <v>1</v>
      </c>
      <c r="G118" s="12">
        <f t="shared" si="8"/>
        <v>19.5</v>
      </c>
      <c r="H118" s="12">
        <f t="shared" si="9"/>
        <v>19.5</v>
      </c>
      <c r="K118" s="6">
        <v>20.21</v>
      </c>
      <c r="L118" s="6">
        <f t="shared" si="5"/>
        <v>19.5</v>
      </c>
    </row>
    <row r="119" spans="1:12" ht="28.5">
      <c r="A119" s="10" t="s">
        <v>135</v>
      </c>
      <c r="B119" s="10" t="s">
        <v>7</v>
      </c>
      <c r="C119" s="10">
        <v>89579</v>
      </c>
      <c r="D119" s="11" t="s">
        <v>260</v>
      </c>
      <c r="E119" s="10" t="s">
        <v>79</v>
      </c>
      <c r="F119" s="12">
        <v>1</v>
      </c>
      <c r="G119" s="12">
        <f t="shared" si="8"/>
        <v>10.18</v>
      </c>
      <c r="H119" s="12">
        <f t="shared" si="9"/>
        <v>10.18</v>
      </c>
      <c r="K119" s="6">
        <v>10.55</v>
      </c>
      <c r="L119" s="6">
        <f t="shared" si="5"/>
        <v>10.18</v>
      </c>
    </row>
    <row r="120" spans="1:12" ht="42.75">
      <c r="A120" s="10" t="s">
        <v>136</v>
      </c>
      <c r="B120" s="10" t="s">
        <v>7</v>
      </c>
      <c r="C120" s="10">
        <v>90373</v>
      </c>
      <c r="D120" s="11" t="s">
        <v>261</v>
      </c>
      <c r="E120" s="10" t="s">
        <v>79</v>
      </c>
      <c r="F120" s="12">
        <v>66</v>
      </c>
      <c r="G120" s="12">
        <f t="shared" si="8"/>
        <v>12.91</v>
      </c>
      <c r="H120" s="12">
        <f t="shared" si="9"/>
        <v>852.06</v>
      </c>
      <c r="K120" s="6">
        <v>13.38</v>
      </c>
      <c r="L120" s="6">
        <f t="shared" si="5"/>
        <v>12.91</v>
      </c>
    </row>
    <row r="121" spans="1:12">
      <c r="A121" s="10" t="s">
        <v>137</v>
      </c>
      <c r="B121" s="10" t="s">
        <v>1</v>
      </c>
      <c r="C121" s="10">
        <v>4964</v>
      </c>
      <c r="D121" s="11" t="s">
        <v>358</v>
      </c>
      <c r="E121" s="10" t="s">
        <v>79</v>
      </c>
      <c r="F121" s="12">
        <v>1</v>
      </c>
      <c r="G121" s="12">
        <f t="shared" si="8"/>
        <v>14.01</v>
      </c>
      <c r="H121" s="12">
        <f t="shared" si="9"/>
        <v>14.01</v>
      </c>
      <c r="K121" s="6">
        <v>14.52</v>
      </c>
      <c r="L121" s="6">
        <f t="shared" si="5"/>
        <v>14.01</v>
      </c>
    </row>
    <row r="122" spans="1:12" ht="28.5">
      <c r="A122" s="10" t="s">
        <v>138</v>
      </c>
      <c r="B122" s="10" t="s">
        <v>7</v>
      </c>
      <c r="C122" s="10">
        <v>89505</v>
      </c>
      <c r="D122" s="11" t="s">
        <v>262</v>
      </c>
      <c r="E122" s="10" t="s">
        <v>79</v>
      </c>
      <c r="F122" s="12">
        <v>4</v>
      </c>
      <c r="G122" s="12">
        <f t="shared" si="8"/>
        <v>36.619999999999997</v>
      </c>
      <c r="H122" s="12">
        <f t="shared" si="9"/>
        <v>146.47999999999999</v>
      </c>
      <c r="K122" s="6">
        <v>37.950000000000003</v>
      </c>
      <c r="L122" s="6">
        <f t="shared" si="5"/>
        <v>36.619999999999997</v>
      </c>
    </row>
    <row r="123" spans="1:12" ht="28.5">
      <c r="A123" s="10" t="s">
        <v>139</v>
      </c>
      <c r="B123" s="10" t="s">
        <v>7</v>
      </c>
      <c r="C123" s="10">
        <v>89408</v>
      </c>
      <c r="D123" s="11" t="s">
        <v>263</v>
      </c>
      <c r="E123" s="10" t="s">
        <v>79</v>
      </c>
      <c r="F123" s="12">
        <v>48</v>
      </c>
      <c r="G123" s="12">
        <f t="shared" si="8"/>
        <v>4.42</v>
      </c>
      <c r="H123" s="12">
        <f t="shared" si="9"/>
        <v>212.16</v>
      </c>
      <c r="K123" s="6">
        <v>4.58</v>
      </c>
      <c r="L123" s="6">
        <f t="shared" si="5"/>
        <v>4.42</v>
      </c>
    </row>
    <row r="124" spans="1:12" ht="28.5">
      <c r="A124" s="10" t="s">
        <v>140</v>
      </c>
      <c r="B124" s="10" t="s">
        <v>7</v>
      </c>
      <c r="C124" s="10">
        <v>89501</v>
      </c>
      <c r="D124" s="11" t="s">
        <v>264</v>
      </c>
      <c r="E124" s="10" t="s">
        <v>79</v>
      </c>
      <c r="F124" s="12">
        <v>49</v>
      </c>
      <c r="G124" s="12">
        <f t="shared" si="8"/>
        <v>12.21</v>
      </c>
      <c r="H124" s="12">
        <f t="shared" si="9"/>
        <v>598.29</v>
      </c>
      <c r="K124" s="6">
        <v>12.65</v>
      </c>
      <c r="L124" s="6">
        <f t="shared" si="5"/>
        <v>12.21</v>
      </c>
    </row>
    <row r="125" spans="1:12" ht="28.5">
      <c r="A125" s="10" t="s">
        <v>141</v>
      </c>
      <c r="B125" s="10" t="s">
        <v>7</v>
      </c>
      <c r="C125" s="10">
        <v>89404</v>
      </c>
      <c r="D125" s="11" t="s">
        <v>265</v>
      </c>
      <c r="E125" s="10" t="s">
        <v>79</v>
      </c>
      <c r="F125" s="12">
        <v>2</v>
      </c>
      <c r="G125" s="12">
        <f t="shared" si="8"/>
        <v>3.61</v>
      </c>
      <c r="H125" s="12">
        <f t="shared" si="9"/>
        <v>7.22</v>
      </c>
      <c r="K125" s="6">
        <v>3.74</v>
      </c>
      <c r="L125" s="6">
        <f t="shared" si="5"/>
        <v>3.61</v>
      </c>
    </row>
    <row r="126" spans="1:12" ht="42.75">
      <c r="A126" s="10" t="s">
        <v>142</v>
      </c>
      <c r="B126" s="10" t="s">
        <v>7</v>
      </c>
      <c r="C126" s="10">
        <v>89534</v>
      </c>
      <c r="D126" s="11" t="s">
        <v>266</v>
      </c>
      <c r="E126" s="10" t="s">
        <v>79</v>
      </c>
      <c r="F126" s="12">
        <v>3</v>
      </c>
      <c r="G126" s="12">
        <f t="shared" si="8"/>
        <v>3.98</v>
      </c>
      <c r="H126" s="12">
        <f t="shared" si="9"/>
        <v>11.94</v>
      </c>
      <c r="K126" s="6">
        <v>4.12</v>
      </c>
      <c r="L126" s="6">
        <f t="shared" si="5"/>
        <v>3.98</v>
      </c>
    </row>
    <row r="127" spans="1:12" ht="28.5">
      <c r="A127" s="10" t="s">
        <v>143</v>
      </c>
      <c r="B127" s="10" t="s">
        <v>7</v>
      </c>
      <c r="C127" s="10">
        <v>89378</v>
      </c>
      <c r="D127" s="11" t="s">
        <v>267</v>
      </c>
      <c r="E127" s="10" t="s">
        <v>79</v>
      </c>
      <c r="F127" s="12">
        <v>64</v>
      </c>
      <c r="G127" s="12">
        <f t="shared" si="8"/>
        <v>4.83</v>
      </c>
      <c r="H127" s="12">
        <f t="shared" si="9"/>
        <v>309.12</v>
      </c>
      <c r="K127" s="6">
        <v>5</v>
      </c>
      <c r="L127" s="6">
        <f t="shared" si="5"/>
        <v>4.83</v>
      </c>
    </row>
    <row r="128" spans="1:12" ht="28.5">
      <c r="A128" s="10" t="s">
        <v>144</v>
      </c>
      <c r="B128" s="10" t="s">
        <v>7</v>
      </c>
      <c r="C128" s="10">
        <v>89597</v>
      </c>
      <c r="D128" s="11" t="s">
        <v>268</v>
      </c>
      <c r="E128" s="10" t="s">
        <v>79</v>
      </c>
      <c r="F128" s="12">
        <v>1</v>
      </c>
      <c r="G128" s="12">
        <f t="shared" si="8"/>
        <v>20.07</v>
      </c>
      <c r="H128" s="12">
        <f t="shared" si="9"/>
        <v>20.07</v>
      </c>
      <c r="K128" s="6">
        <v>20.8</v>
      </c>
      <c r="L128" s="6">
        <f t="shared" si="5"/>
        <v>20.07</v>
      </c>
    </row>
    <row r="129" spans="1:12" ht="28.5">
      <c r="A129" s="10" t="s">
        <v>145</v>
      </c>
      <c r="B129" s="10" t="s">
        <v>7</v>
      </c>
      <c r="C129" s="10">
        <v>89371</v>
      </c>
      <c r="D129" s="11" t="s">
        <v>269</v>
      </c>
      <c r="E129" s="10" t="s">
        <v>79</v>
      </c>
      <c r="F129" s="12">
        <v>1</v>
      </c>
      <c r="G129" s="12">
        <f t="shared" si="8"/>
        <v>4.05</v>
      </c>
      <c r="H129" s="12">
        <f t="shared" si="9"/>
        <v>4.05</v>
      </c>
      <c r="K129" s="6">
        <v>4.2</v>
      </c>
      <c r="L129" s="6">
        <f t="shared" si="5"/>
        <v>4.05</v>
      </c>
    </row>
    <row r="130" spans="1:12" ht="42.75">
      <c r="A130" s="10" t="s">
        <v>146</v>
      </c>
      <c r="B130" s="10" t="s">
        <v>7</v>
      </c>
      <c r="C130" s="10">
        <v>89396</v>
      </c>
      <c r="D130" s="11" t="s">
        <v>270</v>
      </c>
      <c r="E130" s="10" t="s">
        <v>79</v>
      </c>
      <c r="F130" s="12">
        <v>7</v>
      </c>
      <c r="G130" s="12">
        <f t="shared" si="8"/>
        <v>18.18</v>
      </c>
      <c r="H130" s="12">
        <f t="shared" si="9"/>
        <v>127.26</v>
      </c>
      <c r="K130" s="6">
        <v>18.84</v>
      </c>
      <c r="L130" s="6">
        <f t="shared" si="5"/>
        <v>18.18</v>
      </c>
    </row>
    <row r="131" spans="1:12" ht="28.5">
      <c r="A131" s="10" t="s">
        <v>147</v>
      </c>
      <c r="B131" s="10" t="s">
        <v>7</v>
      </c>
      <c r="C131" s="10">
        <v>89628</v>
      </c>
      <c r="D131" s="11" t="s">
        <v>271</v>
      </c>
      <c r="E131" s="10" t="s">
        <v>79</v>
      </c>
      <c r="F131" s="12">
        <v>1</v>
      </c>
      <c r="G131" s="12">
        <f t="shared" si="8"/>
        <v>46.31</v>
      </c>
      <c r="H131" s="12">
        <f t="shared" si="9"/>
        <v>46.31</v>
      </c>
      <c r="K131" s="6">
        <v>47.99</v>
      </c>
      <c r="L131" s="6">
        <f t="shared" si="5"/>
        <v>46.31</v>
      </c>
    </row>
    <row r="132" spans="1:12" ht="28.5">
      <c r="A132" s="10" t="s">
        <v>148</v>
      </c>
      <c r="B132" s="10" t="s">
        <v>7</v>
      </c>
      <c r="C132" s="10">
        <v>89440</v>
      </c>
      <c r="D132" s="11" t="s">
        <v>272</v>
      </c>
      <c r="E132" s="10" t="s">
        <v>79</v>
      </c>
      <c r="F132" s="12">
        <v>35</v>
      </c>
      <c r="G132" s="12">
        <f t="shared" si="8"/>
        <v>6.38</v>
      </c>
      <c r="H132" s="12">
        <f t="shared" si="9"/>
        <v>223.3</v>
      </c>
      <c r="K132" s="6">
        <v>6.61</v>
      </c>
      <c r="L132" s="6">
        <f t="shared" si="5"/>
        <v>6.38</v>
      </c>
    </row>
    <row r="133" spans="1:12" ht="28.5">
      <c r="A133" s="10" t="s">
        <v>149</v>
      </c>
      <c r="B133" s="10" t="s">
        <v>7</v>
      </c>
      <c r="C133" s="10">
        <v>89625</v>
      </c>
      <c r="D133" s="11" t="s">
        <v>273</v>
      </c>
      <c r="E133" s="10" t="s">
        <v>79</v>
      </c>
      <c r="F133" s="12">
        <v>32</v>
      </c>
      <c r="G133" s="12">
        <f t="shared" si="8"/>
        <v>19.82</v>
      </c>
      <c r="H133" s="12">
        <f t="shared" si="9"/>
        <v>634.24</v>
      </c>
      <c r="K133" s="6">
        <v>20.54</v>
      </c>
      <c r="L133" s="6">
        <f t="shared" si="5"/>
        <v>19.82</v>
      </c>
    </row>
    <row r="134" spans="1:12" ht="42.75">
      <c r="A134" s="10" t="s">
        <v>150</v>
      </c>
      <c r="B134" s="10" t="s">
        <v>7</v>
      </c>
      <c r="C134" s="10">
        <v>94794</v>
      </c>
      <c r="D134" s="11" t="s">
        <v>274</v>
      </c>
      <c r="E134" s="10" t="s">
        <v>79</v>
      </c>
      <c r="F134" s="12">
        <v>2</v>
      </c>
      <c r="G134" s="12">
        <f t="shared" si="8"/>
        <v>172.47</v>
      </c>
      <c r="H134" s="12">
        <f t="shared" si="9"/>
        <v>344.94</v>
      </c>
      <c r="K134" s="6">
        <v>178.73</v>
      </c>
      <c r="L134" s="6">
        <f t="shared" si="5"/>
        <v>172.47</v>
      </c>
    </row>
    <row r="135" spans="1:12" ht="42.75">
      <c r="A135" s="10" t="s">
        <v>151</v>
      </c>
      <c r="B135" s="10" t="s">
        <v>7</v>
      </c>
      <c r="C135" s="10">
        <v>89987</v>
      </c>
      <c r="D135" s="11" t="s">
        <v>275</v>
      </c>
      <c r="E135" s="10" t="s">
        <v>79</v>
      </c>
      <c r="F135" s="12">
        <v>33</v>
      </c>
      <c r="G135" s="12">
        <v>100.73</v>
      </c>
      <c r="H135" s="12">
        <f t="shared" si="9"/>
        <v>3324.09</v>
      </c>
      <c r="K135" s="6">
        <v>10073</v>
      </c>
      <c r="L135" s="6">
        <f t="shared" si="5"/>
        <v>9720.4500000000007</v>
      </c>
    </row>
    <row r="136" spans="1:12" ht="42.75">
      <c r="A136" s="10" t="s">
        <v>152</v>
      </c>
      <c r="B136" s="10" t="s">
        <v>7</v>
      </c>
      <c r="C136" s="10">
        <v>89985</v>
      </c>
      <c r="D136" s="11" t="s">
        <v>276</v>
      </c>
      <c r="E136" s="10" t="s">
        <v>79</v>
      </c>
      <c r="F136" s="12">
        <v>3</v>
      </c>
      <c r="G136" s="12">
        <f>L136</f>
        <v>92.07</v>
      </c>
      <c r="H136" s="12">
        <f t="shared" si="9"/>
        <v>276.20999999999998</v>
      </c>
      <c r="K136" s="6">
        <v>95.41</v>
      </c>
      <c r="L136" s="6">
        <f t="shared" si="5"/>
        <v>92.07</v>
      </c>
    </row>
    <row r="137" spans="1:12" ht="42.75">
      <c r="A137" s="10" t="s">
        <v>153</v>
      </c>
      <c r="B137" s="10" t="s">
        <v>1</v>
      </c>
      <c r="C137" s="10">
        <v>2646</v>
      </c>
      <c r="D137" s="11" t="s">
        <v>359</v>
      </c>
      <c r="E137" s="10" t="s">
        <v>79</v>
      </c>
      <c r="F137" s="12">
        <v>1</v>
      </c>
      <c r="G137" s="12">
        <f t="shared" si="8"/>
        <v>1171.51</v>
      </c>
      <c r="H137" s="12">
        <f t="shared" si="9"/>
        <v>1171.51</v>
      </c>
      <c r="K137" s="6">
        <v>1214</v>
      </c>
      <c r="L137" s="6">
        <f t="shared" si="5"/>
        <v>1171.51</v>
      </c>
    </row>
    <row r="138" spans="1:12">
      <c r="A138" s="10"/>
      <c r="B138" s="10"/>
      <c r="C138" s="10"/>
      <c r="D138" s="11"/>
      <c r="E138" s="10"/>
      <c r="F138" s="12"/>
      <c r="G138" s="12"/>
      <c r="H138" s="12"/>
      <c r="L138" s="6">
        <f t="shared" si="5"/>
        <v>0</v>
      </c>
    </row>
    <row r="139" spans="1:12" s="2" customFormat="1" ht="15">
      <c r="A139" s="7" t="s">
        <v>154</v>
      </c>
      <c r="B139" s="7" t="s">
        <v>155</v>
      </c>
      <c r="C139" s="7"/>
      <c r="D139" s="8"/>
      <c r="E139" s="7"/>
      <c r="F139" s="9"/>
      <c r="G139" s="9"/>
      <c r="H139" s="9">
        <f>SUM(H140:H155)</f>
        <v>34716.739999999991</v>
      </c>
      <c r="I139" s="3"/>
      <c r="J139" s="3"/>
      <c r="K139" s="3"/>
      <c r="L139" s="3">
        <f t="shared" si="5"/>
        <v>0</v>
      </c>
    </row>
    <row r="140" spans="1:12" ht="42.75">
      <c r="A140" s="10" t="s">
        <v>156</v>
      </c>
      <c r="B140" s="10" t="s">
        <v>7</v>
      </c>
      <c r="C140" s="10">
        <v>92367</v>
      </c>
      <c r="D140" s="11" t="s">
        <v>277</v>
      </c>
      <c r="E140" s="10" t="s">
        <v>38</v>
      </c>
      <c r="F140" s="12">
        <v>106</v>
      </c>
      <c r="G140" s="12">
        <f t="shared" ref="G140:G155" si="10">L140</f>
        <v>120.91</v>
      </c>
      <c r="H140" s="12">
        <f t="shared" ref="H140:H155" si="11">ROUND(F140*G140,2)</f>
        <v>12816.46</v>
      </c>
      <c r="K140" s="6">
        <v>125.3</v>
      </c>
      <c r="L140" s="6">
        <f t="shared" si="5"/>
        <v>120.91</v>
      </c>
    </row>
    <row r="141" spans="1:12" ht="57">
      <c r="A141" s="10" t="s">
        <v>157</v>
      </c>
      <c r="B141" s="10" t="s">
        <v>7</v>
      </c>
      <c r="C141" s="10">
        <v>94473</v>
      </c>
      <c r="D141" s="11" t="s">
        <v>278</v>
      </c>
      <c r="E141" s="10" t="s">
        <v>79</v>
      </c>
      <c r="F141" s="12">
        <v>25</v>
      </c>
      <c r="G141" s="12">
        <f t="shared" si="10"/>
        <v>95.51</v>
      </c>
      <c r="H141" s="12">
        <f t="shared" si="11"/>
        <v>2387.75</v>
      </c>
      <c r="K141" s="6">
        <v>98.97</v>
      </c>
      <c r="L141" s="6">
        <f t="shared" ref="L141:L204" si="12">ROUND(K141*$J$11,2)</f>
        <v>95.51</v>
      </c>
    </row>
    <row r="142" spans="1:12" ht="57">
      <c r="A142" s="10" t="s">
        <v>158</v>
      </c>
      <c r="B142" s="10" t="s">
        <v>7</v>
      </c>
      <c r="C142" s="10">
        <v>94467</v>
      </c>
      <c r="D142" s="11" t="s">
        <v>279</v>
      </c>
      <c r="E142" s="10" t="s">
        <v>79</v>
      </c>
      <c r="F142" s="12">
        <v>4</v>
      </c>
      <c r="G142" s="12">
        <f t="shared" si="10"/>
        <v>66.86</v>
      </c>
      <c r="H142" s="12">
        <f t="shared" si="11"/>
        <v>267.44</v>
      </c>
      <c r="K142" s="6">
        <v>69.290000000000006</v>
      </c>
      <c r="L142" s="6">
        <f t="shared" si="12"/>
        <v>66.86</v>
      </c>
    </row>
    <row r="143" spans="1:12" ht="57">
      <c r="A143" s="10" t="s">
        <v>159</v>
      </c>
      <c r="B143" s="10" t="s">
        <v>7</v>
      </c>
      <c r="C143" s="10">
        <v>94478</v>
      </c>
      <c r="D143" s="11" t="s">
        <v>280</v>
      </c>
      <c r="E143" s="10" t="s">
        <v>79</v>
      </c>
      <c r="F143" s="12">
        <v>10</v>
      </c>
      <c r="G143" s="12">
        <f t="shared" si="10"/>
        <v>131.62</v>
      </c>
      <c r="H143" s="12">
        <f t="shared" si="11"/>
        <v>1316.2</v>
      </c>
      <c r="K143" s="6">
        <v>136.38999999999999</v>
      </c>
      <c r="L143" s="6">
        <f t="shared" si="12"/>
        <v>131.62</v>
      </c>
    </row>
    <row r="144" spans="1:12" ht="28.5">
      <c r="A144" s="10" t="s">
        <v>160</v>
      </c>
      <c r="B144" s="10" t="s">
        <v>7</v>
      </c>
      <c r="C144" s="10">
        <v>94499</v>
      </c>
      <c r="D144" s="11" t="s">
        <v>281</v>
      </c>
      <c r="E144" s="10" t="s">
        <v>79</v>
      </c>
      <c r="F144" s="12">
        <v>5</v>
      </c>
      <c r="G144" s="12">
        <f t="shared" si="10"/>
        <v>304.79000000000002</v>
      </c>
      <c r="H144" s="12">
        <f t="shared" si="11"/>
        <v>1523.95</v>
      </c>
      <c r="K144" s="6">
        <v>315.83999999999997</v>
      </c>
      <c r="L144" s="6">
        <f t="shared" si="12"/>
        <v>304.79000000000002</v>
      </c>
    </row>
    <row r="145" spans="1:12" ht="28.5">
      <c r="A145" s="10" t="s">
        <v>161</v>
      </c>
      <c r="B145" s="10" t="s">
        <v>7</v>
      </c>
      <c r="C145" s="10">
        <v>99624</v>
      </c>
      <c r="D145" s="11" t="s">
        <v>282</v>
      </c>
      <c r="E145" s="10" t="s">
        <v>79</v>
      </c>
      <c r="F145" s="12">
        <v>3</v>
      </c>
      <c r="G145" s="12">
        <f t="shared" si="10"/>
        <v>407.86</v>
      </c>
      <c r="H145" s="12">
        <f t="shared" si="11"/>
        <v>1223.58</v>
      </c>
      <c r="K145" s="6">
        <v>422.65</v>
      </c>
      <c r="L145" s="6">
        <f t="shared" si="12"/>
        <v>407.86</v>
      </c>
    </row>
    <row r="146" spans="1:12">
      <c r="A146" s="10" t="s">
        <v>162</v>
      </c>
      <c r="B146" s="10" t="s">
        <v>1</v>
      </c>
      <c r="C146" s="10">
        <v>8940</v>
      </c>
      <c r="D146" s="11" t="s">
        <v>360</v>
      </c>
      <c r="E146" s="10" t="s">
        <v>79</v>
      </c>
      <c r="F146" s="12">
        <v>2</v>
      </c>
      <c r="G146" s="12">
        <f t="shared" si="10"/>
        <v>224.9</v>
      </c>
      <c r="H146" s="12">
        <f t="shared" si="11"/>
        <v>449.8</v>
      </c>
      <c r="K146" s="6">
        <v>233.06</v>
      </c>
      <c r="L146" s="6">
        <f t="shared" si="12"/>
        <v>224.9</v>
      </c>
    </row>
    <row r="147" spans="1:12" ht="57">
      <c r="A147" s="10" t="s">
        <v>163</v>
      </c>
      <c r="B147" s="10" t="s">
        <v>7</v>
      </c>
      <c r="C147" s="10">
        <v>96765</v>
      </c>
      <c r="D147" s="11" t="s">
        <v>283</v>
      </c>
      <c r="E147" s="10" t="s">
        <v>79</v>
      </c>
      <c r="F147" s="12">
        <v>3</v>
      </c>
      <c r="G147" s="12">
        <f t="shared" si="10"/>
        <v>1540.73</v>
      </c>
      <c r="H147" s="12">
        <f t="shared" si="11"/>
        <v>4622.1899999999996</v>
      </c>
      <c r="K147" s="6">
        <v>1596.61</v>
      </c>
      <c r="L147" s="6">
        <f t="shared" si="12"/>
        <v>1540.73</v>
      </c>
    </row>
    <row r="148" spans="1:12" ht="28.5">
      <c r="A148" s="10" t="s">
        <v>164</v>
      </c>
      <c r="B148" s="10" t="s">
        <v>7</v>
      </c>
      <c r="C148" s="10">
        <v>101916</v>
      </c>
      <c r="D148" s="11" t="s">
        <v>284</v>
      </c>
      <c r="E148" s="10" t="s">
        <v>79</v>
      </c>
      <c r="F148" s="12">
        <v>1</v>
      </c>
      <c r="G148" s="12">
        <f t="shared" si="10"/>
        <v>3013.13</v>
      </c>
      <c r="H148" s="12">
        <f t="shared" si="11"/>
        <v>3013.13</v>
      </c>
      <c r="K148" s="6">
        <v>3122.41</v>
      </c>
      <c r="L148" s="6">
        <f t="shared" si="12"/>
        <v>3013.13</v>
      </c>
    </row>
    <row r="149" spans="1:12" ht="28.5">
      <c r="A149" s="10" t="s">
        <v>165</v>
      </c>
      <c r="B149" s="10" t="s">
        <v>7</v>
      </c>
      <c r="C149" s="10">
        <v>101905</v>
      </c>
      <c r="D149" s="11" t="s">
        <v>285</v>
      </c>
      <c r="E149" s="10" t="s">
        <v>79</v>
      </c>
      <c r="F149" s="12">
        <v>7</v>
      </c>
      <c r="G149" s="12">
        <f t="shared" si="10"/>
        <v>266.52999999999997</v>
      </c>
      <c r="H149" s="12">
        <f t="shared" si="11"/>
        <v>1865.71</v>
      </c>
      <c r="K149" s="6">
        <v>276.2</v>
      </c>
      <c r="L149" s="6">
        <f t="shared" si="12"/>
        <v>266.52999999999997</v>
      </c>
    </row>
    <row r="150" spans="1:12" ht="28.5">
      <c r="A150" s="10" t="s">
        <v>166</v>
      </c>
      <c r="B150" s="10" t="s">
        <v>7</v>
      </c>
      <c r="C150" s="10">
        <v>101907</v>
      </c>
      <c r="D150" s="11" t="s">
        <v>286</v>
      </c>
      <c r="E150" s="10" t="s">
        <v>79</v>
      </c>
      <c r="F150" s="12">
        <v>2</v>
      </c>
      <c r="G150" s="12">
        <f t="shared" si="10"/>
        <v>876.6</v>
      </c>
      <c r="H150" s="12">
        <f t="shared" si="11"/>
        <v>1753.2</v>
      </c>
      <c r="K150" s="6">
        <v>908.39</v>
      </c>
      <c r="L150" s="6">
        <f t="shared" si="12"/>
        <v>876.6</v>
      </c>
    </row>
    <row r="151" spans="1:12" ht="28.5">
      <c r="A151" s="10" t="s">
        <v>167</v>
      </c>
      <c r="B151" s="10" t="s">
        <v>7</v>
      </c>
      <c r="C151" s="10">
        <v>101909</v>
      </c>
      <c r="D151" s="11" t="s">
        <v>287</v>
      </c>
      <c r="E151" s="10" t="s">
        <v>79</v>
      </c>
      <c r="F151" s="12">
        <v>7</v>
      </c>
      <c r="G151" s="12">
        <f t="shared" si="10"/>
        <v>302.42</v>
      </c>
      <c r="H151" s="12">
        <f t="shared" si="11"/>
        <v>2116.94</v>
      </c>
      <c r="K151" s="6">
        <v>313.39</v>
      </c>
      <c r="L151" s="6">
        <f t="shared" si="12"/>
        <v>302.42</v>
      </c>
    </row>
    <row r="152" spans="1:12" ht="28.5">
      <c r="A152" s="10" t="s">
        <v>168</v>
      </c>
      <c r="B152" s="10" t="s">
        <v>7</v>
      </c>
      <c r="C152" s="10">
        <v>97599</v>
      </c>
      <c r="D152" s="11" t="s">
        <v>288</v>
      </c>
      <c r="E152" s="10" t="s">
        <v>79</v>
      </c>
      <c r="F152" s="12">
        <v>18</v>
      </c>
      <c r="G152" s="12">
        <f t="shared" si="10"/>
        <v>22.38</v>
      </c>
      <c r="H152" s="12">
        <f t="shared" si="11"/>
        <v>402.84</v>
      </c>
      <c r="K152" s="6">
        <v>23.19</v>
      </c>
      <c r="L152" s="6">
        <f t="shared" si="12"/>
        <v>22.38</v>
      </c>
    </row>
    <row r="153" spans="1:12" ht="42.75">
      <c r="A153" s="10" t="s">
        <v>169</v>
      </c>
      <c r="B153" s="10" t="s">
        <v>1</v>
      </c>
      <c r="C153" s="10">
        <v>11853</v>
      </c>
      <c r="D153" s="11" t="s">
        <v>361</v>
      </c>
      <c r="E153" s="10" t="s">
        <v>79</v>
      </c>
      <c r="F153" s="12">
        <v>21</v>
      </c>
      <c r="G153" s="12">
        <f t="shared" si="10"/>
        <v>38.450000000000003</v>
      </c>
      <c r="H153" s="12">
        <f t="shared" si="11"/>
        <v>807.45</v>
      </c>
      <c r="K153" s="6">
        <v>39.840000000000003</v>
      </c>
      <c r="L153" s="6">
        <f t="shared" si="12"/>
        <v>38.450000000000003</v>
      </c>
    </row>
    <row r="154" spans="1:12" ht="28.5">
      <c r="A154" s="10" t="s">
        <v>170</v>
      </c>
      <c r="B154" s="10" t="s">
        <v>1</v>
      </c>
      <c r="C154" s="10">
        <v>12888</v>
      </c>
      <c r="D154" s="11" t="s">
        <v>362</v>
      </c>
      <c r="E154" s="10" t="s">
        <v>79</v>
      </c>
      <c r="F154" s="12">
        <v>7</v>
      </c>
      <c r="G154" s="12">
        <f t="shared" si="10"/>
        <v>15.01</v>
      </c>
      <c r="H154" s="12">
        <f t="shared" si="11"/>
        <v>105.07</v>
      </c>
      <c r="K154" s="6">
        <v>15.55</v>
      </c>
      <c r="L154" s="6">
        <f t="shared" si="12"/>
        <v>15.01</v>
      </c>
    </row>
    <row r="155" spans="1:12" ht="28.5">
      <c r="A155" s="10" t="s">
        <v>171</v>
      </c>
      <c r="B155" s="10" t="s">
        <v>1</v>
      </c>
      <c r="C155" s="10">
        <v>12894</v>
      </c>
      <c r="D155" s="11" t="s">
        <v>363</v>
      </c>
      <c r="E155" s="10" t="s">
        <v>79</v>
      </c>
      <c r="F155" s="12">
        <v>3</v>
      </c>
      <c r="G155" s="12">
        <f t="shared" si="10"/>
        <v>15.01</v>
      </c>
      <c r="H155" s="12">
        <f t="shared" si="11"/>
        <v>45.03</v>
      </c>
      <c r="K155" s="6">
        <v>15.55</v>
      </c>
      <c r="L155" s="6">
        <f t="shared" si="12"/>
        <v>15.01</v>
      </c>
    </row>
    <row r="156" spans="1:12">
      <c r="A156" s="10"/>
      <c r="B156" s="10"/>
      <c r="C156" s="10"/>
      <c r="D156" s="11"/>
      <c r="E156" s="10"/>
      <c r="F156" s="12"/>
      <c r="G156" s="12"/>
      <c r="H156" s="12"/>
      <c r="L156" s="6">
        <f t="shared" si="12"/>
        <v>0</v>
      </c>
    </row>
    <row r="157" spans="1:12" s="2" customFormat="1" ht="15">
      <c r="A157" s="13">
        <v>10</v>
      </c>
      <c r="B157" s="13" t="s">
        <v>172</v>
      </c>
      <c r="C157" s="13"/>
      <c r="D157" s="14"/>
      <c r="E157" s="13"/>
      <c r="F157" s="15"/>
      <c r="G157" s="15"/>
      <c r="H157" s="15">
        <f>SUM(H158:H182)</f>
        <v>47674.05</v>
      </c>
      <c r="I157" s="3"/>
      <c r="J157" s="3"/>
      <c r="K157" s="3"/>
      <c r="L157" s="3">
        <f t="shared" si="12"/>
        <v>0</v>
      </c>
    </row>
    <row r="158" spans="1:12" ht="28.5">
      <c r="A158" s="10" t="s">
        <v>173</v>
      </c>
      <c r="B158" s="10" t="s">
        <v>7</v>
      </c>
      <c r="C158" s="10">
        <v>91940</v>
      </c>
      <c r="D158" s="11" t="s">
        <v>289</v>
      </c>
      <c r="E158" s="10" t="s">
        <v>79</v>
      </c>
      <c r="F158" s="12">
        <v>248</v>
      </c>
      <c r="G158" s="12">
        <f t="shared" ref="G158:G182" si="13">L158</f>
        <v>9.8000000000000007</v>
      </c>
      <c r="H158" s="12">
        <f t="shared" ref="H158:H182" si="14">ROUND(F158*G158,2)</f>
        <v>2430.4</v>
      </c>
      <c r="K158" s="6">
        <v>10.16</v>
      </c>
      <c r="L158" s="6">
        <f t="shared" si="12"/>
        <v>9.8000000000000007</v>
      </c>
    </row>
    <row r="159" spans="1:12" ht="28.5">
      <c r="A159" s="10" t="s">
        <v>174</v>
      </c>
      <c r="B159" s="10" t="s">
        <v>7</v>
      </c>
      <c r="C159" s="10">
        <v>91997</v>
      </c>
      <c r="D159" s="11" t="s">
        <v>290</v>
      </c>
      <c r="E159" s="10" t="s">
        <v>79</v>
      </c>
      <c r="F159" s="12">
        <v>29</v>
      </c>
      <c r="G159" s="12">
        <f t="shared" si="13"/>
        <v>26.26</v>
      </c>
      <c r="H159" s="12">
        <f t="shared" si="14"/>
        <v>761.54</v>
      </c>
      <c r="K159" s="6">
        <v>27.21</v>
      </c>
      <c r="L159" s="6">
        <f t="shared" si="12"/>
        <v>26.26</v>
      </c>
    </row>
    <row r="160" spans="1:12" ht="28.5">
      <c r="A160" s="10" t="s">
        <v>175</v>
      </c>
      <c r="B160" s="10" t="s">
        <v>7</v>
      </c>
      <c r="C160" s="10">
        <v>91996</v>
      </c>
      <c r="D160" s="11" t="s">
        <v>291</v>
      </c>
      <c r="E160" s="10" t="s">
        <v>79</v>
      </c>
      <c r="F160" s="12">
        <v>195</v>
      </c>
      <c r="G160" s="12">
        <f t="shared" si="13"/>
        <v>24.08</v>
      </c>
      <c r="H160" s="12">
        <f t="shared" si="14"/>
        <v>4695.6000000000004</v>
      </c>
      <c r="K160" s="6">
        <v>24.95</v>
      </c>
      <c r="L160" s="6">
        <f t="shared" si="12"/>
        <v>24.08</v>
      </c>
    </row>
    <row r="161" spans="1:12" ht="28.5">
      <c r="A161" s="10" t="s">
        <v>176</v>
      </c>
      <c r="B161" s="10" t="s">
        <v>7</v>
      </c>
      <c r="C161" s="10">
        <v>91953</v>
      </c>
      <c r="D161" s="11" t="s">
        <v>292</v>
      </c>
      <c r="E161" s="10" t="s">
        <v>79</v>
      </c>
      <c r="F161" s="12">
        <v>38</v>
      </c>
      <c r="G161" s="12">
        <f t="shared" si="13"/>
        <v>20.52</v>
      </c>
      <c r="H161" s="12">
        <f t="shared" si="14"/>
        <v>779.76</v>
      </c>
      <c r="K161" s="6">
        <v>21.26</v>
      </c>
      <c r="L161" s="6">
        <f t="shared" si="12"/>
        <v>20.52</v>
      </c>
    </row>
    <row r="162" spans="1:12" ht="28.5">
      <c r="A162" s="10" t="s">
        <v>177</v>
      </c>
      <c r="B162" s="10" t="s">
        <v>7</v>
      </c>
      <c r="C162" s="10">
        <v>91959</v>
      </c>
      <c r="D162" s="11" t="s">
        <v>293</v>
      </c>
      <c r="E162" s="10" t="s">
        <v>79</v>
      </c>
      <c r="F162" s="12">
        <v>9</v>
      </c>
      <c r="G162" s="12">
        <f t="shared" si="13"/>
        <v>32.549999999999997</v>
      </c>
      <c r="H162" s="12">
        <f t="shared" si="14"/>
        <v>292.95</v>
      </c>
      <c r="K162" s="6">
        <v>33.729999999999997</v>
      </c>
      <c r="L162" s="6">
        <f t="shared" si="12"/>
        <v>32.549999999999997</v>
      </c>
    </row>
    <row r="163" spans="1:12" ht="28.5">
      <c r="A163" s="10" t="s">
        <v>178</v>
      </c>
      <c r="B163" s="10" t="s">
        <v>7</v>
      </c>
      <c r="C163" s="10">
        <v>91936</v>
      </c>
      <c r="D163" s="11" t="s">
        <v>294</v>
      </c>
      <c r="E163" s="10" t="s">
        <v>79</v>
      </c>
      <c r="F163" s="12">
        <v>97</v>
      </c>
      <c r="G163" s="12">
        <f t="shared" si="13"/>
        <v>8.73</v>
      </c>
      <c r="H163" s="12">
        <f t="shared" si="14"/>
        <v>846.81</v>
      </c>
      <c r="K163" s="6">
        <v>9.0500000000000007</v>
      </c>
      <c r="L163" s="6">
        <f t="shared" si="12"/>
        <v>8.73</v>
      </c>
    </row>
    <row r="164" spans="1:12" ht="42.75">
      <c r="A164" s="10" t="s">
        <v>179</v>
      </c>
      <c r="B164" s="10" t="s">
        <v>7</v>
      </c>
      <c r="C164" s="10">
        <v>91875</v>
      </c>
      <c r="D164" s="11" t="s">
        <v>295</v>
      </c>
      <c r="E164" s="10" t="s">
        <v>79</v>
      </c>
      <c r="F164" s="12">
        <v>103</v>
      </c>
      <c r="G164" s="12">
        <f t="shared" si="13"/>
        <v>4.17</v>
      </c>
      <c r="H164" s="12">
        <f t="shared" si="14"/>
        <v>429.51</v>
      </c>
      <c r="K164" s="6">
        <v>4.32</v>
      </c>
      <c r="L164" s="6">
        <f t="shared" si="12"/>
        <v>4.17</v>
      </c>
    </row>
    <row r="165" spans="1:12" ht="42.75">
      <c r="A165" s="10" t="s">
        <v>180</v>
      </c>
      <c r="B165" s="10" t="s">
        <v>7</v>
      </c>
      <c r="C165" s="10">
        <v>91854</v>
      </c>
      <c r="D165" s="11" t="s">
        <v>296</v>
      </c>
      <c r="E165" s="10" t="s">
        <v>38</v>
      </c>
      <c r="F165" s="12">
        <v>750</v>
      </c>
      <c r="G165" s="12">
        <f t="shared" si="13"/>
        <v>6.3</v>
      </c>
      <c r="H165" s="12">
        <f t="shared" si="14"/>
        <v>4725</v>
      </c>
      <c r="K165" s="6">
        <v>6.53</v>
      </c>
      <c r="L165" s="6">
        <f t="shared" si="12"/>
        <v>6.3</v>
      </c>
    </row>
    <row r="166" spans="1:12" ht="28.5">
      <c r="A166" s="10" t="s">
        <v>181</v>
      </c>
      <c r="B166" s="10" t="s">
        <v>7</v>
      </c>
      <c r="C166" s="10">
        <v>95731</v>
      </c>
      <c r="D166" s="11" t="s">
        <v>297</v>
      </c>
      <c r="E166" s="10" t="s">
        <v>38</v>
      </c>
      <c r="F166" s="12">
        <v>210</v>
      </c>
      <c r="G166" s="12">
        <f t="shared" si="13"/>
        <v>8.6300000000000008</v>
      </c>
      <c r="H166" s="12">
        <f t="shared" si="14"/>
        <v>1812.3</v>
      </c>
      <c r="K166" s="6">
        <v>8.94</v>
      </c>
      <c r="L166" s="6">
        <f t="shared" si="12"/>
        <v>8.6300000000000008</v>
      </c>
    </row>
    <row r="167" spans="1:12" ht="42.75">
      <c r="A167" s="10" t="s">
        <v>182</v>
      </c>
      <c r="B167" s="10" t="s">
        <v>7</v>
      </c>
      <c r="C167" s="10">
        <v>91917</v>
      </c>
      <c r="D167" s="11" t="s">
        <v>298</v>
      </c>
      <c r="E167" s="10" t="s">
        <v>79</v>
      </c>
      <c r="F167" s="12">
        <v>89</v>
      </c>
      <c r="G167" s="12">
        <f t="shared" si="13"/>
        <v>11.45</v>
      </c>
      <c r="H167" s="12">
        <f t="shared" si="14"/>
        <v>1019.05</v>
      </c>
      <c r="K167" s="6">
        <v>11.87</v>
      </c>
      <c r="L167" s="6">
        <f t="shared" si="12"/>
        <v>11.45</v>
      </c>
    </row>
    <row r="168" spans="1:12" ht="28.5">
      <c r="A168" s="10" t="s">
        <v>183</v>
      </c>
      <c r="B168" s="10" t="s">
        <v>7</v>
      </c>
      <c r="C168" s="10">
        <v>95738</v>
      </c>
      <c r="D168" s="11" t="s">
        <v>299</v>
      </c>
      <c r="E168" s="10" t="s">
        <v>79</v>
      </c>
      <c r="F168" s="12">
        <v>102</v>
      </c>
      <c r="G168" s="12">
        <f t="shared" si="13"/>
        <v>6.02</v>
      </c>
      <c r="H168" s="12">
        <f t="shared" si="14"/>
        <v>614.04</v>
      </c>
      <c r="K168" s="6">
        <v>6.24</v>
      </c>
      <c r="L168" s="6">
        <f t="shared" si="12"/>
        <v>6.02</v>
      </c>
    </row>
    <row r="169" spans="1:12" ht="42.75">
      <c r="A169" s="10" t="s">
        <v>184</v>
      </c>
      <c r="B169" s="10" t="s">
        <v>7</v>
      </c>
      <c r="C169" s="10">
        <v>101512</v>
      </c>
      <c r="D169" s="11" t="s">
        <v>300</v>
      </c>
      <c r="E169" s="10" t="s">
        <v>79</v>
      </c>
      <c r="F169" s="12">
        <v>1</v>
      </c>
      <c r="G169" s="12">
        <f t="shared" si="13"/>
        <v>2085.0100000000002</v>
      </c>
      <c r="H169" s="12">
        <f t="shared" si="14"/>
        <v>2085.0100000000002</v>
      </c>
      <c r="K169" s="6">
        <v>2160.63</v>
      </c>
      <c r="L169" s="6">
        <f t="shared" si="12"/>
        <v>2085.0100000000002</v>
      </c>
    </row>
    <row r="170" spans="1:12" ht="42.75">
      <c r="A170" s="10" t="s">
        <v>185</v>
      </c>
      <c r="B170" s="10" t="s">
        <v>7</v>
      </c>
      <c r="C170" s="10">
        <v>97589</v>
      </c>
      <c r="D170" s="11" t="s">
        <v>301</v>
      </c>
      <c r="E170" s="10" t="s">
        <v>79</v>
      </c>
      <c r="F170" s="12">
        <v>97</v>
      </c>
      <c r="G170" s="12">
        <f t="shared" si="13"/>
        <v>40.92</v>
      </c>
      <c r="H170" s="12">
        <f t="shared" si="14"/>
        <v>3969.24</v>
      </c>
      <c r="K170" s="6">
        <v>42.4</v>
      </c>
      <c r="L170" s="6">
        <f t="shared" si="12"/>
        <v>40.92</v>
      </c>
    </row>
    <row r="171" spans="1:12" ht="42.75">
      <c r="A171" s="10" t="s">
        <v>186</v>
      </c>
      <c r="B171" s="10" t="s">
        <v>7</v>
      </c>
      <c r="C171" s="10">
        <v>91927</v>
      </c>
      <c r="D171" s="11" t="s">
        <v>302</v>
      </c>
      <c r="E171" s="10" t="s">
        <v>38</v>
      </c>
      <c r="F171" s="12">
        <v>1470</v>
      </c>
      <c r="G171" s="12">
        <f t="shared" si="13"/>
        <v>4.7699999999999996</v>
      </c>
      <c r="H171" s="12">
        <f t="shared" si="14"/>
        <v>7011.9</v>
      </c>
      <c r="K171" s="6">
        <v>4.9400000000000004</v>
      </c>
      <c r="L171" s="6">
        <f t="shared" si="12"/>
        <v>4.7699999999999996</v>
      </c>
    </row>
    <row r="172" spans="1:12" ht="28.5">
      <c r="A172" s="10" t="s">
        <v>187</v>
      </c>
      <c r="B172" s="10" t="s">
        <v>7</v>
      </c>
      <c r="C172" s="10">
        <v>91929</v>
      </c>
      <c r="D172" s="11" t="s">
        <v>303</v>
      </c>
      <c r="E172" s="10" t="s">
        <v>38</v>
      </c>
      <c r="F172" s="12">
        <v>1184</v>
      </c>
      <c r="G172" s="12">
        <f t="shared" si="13"/>
        <v>6.73</v>
      </c>
      <c r="H172" s="12">
        <f t="shared" si="14"/>
        <v>7968.32</v>
      </c>
      <c r="K172" s="6">
        <v>6.97</v>
      </c>
      <c r="L172" s="6">
        <f t="shared" si="12"/>
        <v>6.73</v>
      </c>
    </row>
    <row r="173" spans="1:12" ht="28.5">
      <c r="A173" s="10" t="s">
        <v>188</v>
      </c>
      <c r="B173" s="10" t="s">
        <v>7</v>
      </c>
      <c r="C173" s="10">
        <v>96972</v>
      </c>
      <c r="D173" s="11" t="s">
        <v>304</v>
      </c>
      <c r="E173" s="10" t="s">
        <v>38</v>
      </c>
      <c r="F173" s="12">
        <v>50</v>
      </c>
      <c r="G173" s="12">
        <f t="shared" si="13"/>
        <v>41.76</v>
      </c>
      <c r="H173" s="12">
        <f t="shared" si="14"/>
        <v>2088</v>
      </c>
      <c r="K173" s="6">
        <v>43.27</v>
      </c>
      <c r="L173" s="6">
        <f t="shared" si="12"/>
        <v>41.76</v>
      </c>
    </row>
    <row r="174" spans="1:12" ht="42.75">
      <c r="A174" s="10" t="s">
        <v>189</v>
      </c>
      <c r="B174" s="10" t="s">
        <v>7</v>
      </c>
      <c r="C174" s="10">
        <v>101881</v>
      </c>
      <c r="D174" s="11" t="s">
        <v>305</v>
      </c>
      <c r="E174" s="10" t="s">
        <v>79</v>
      </c>
      <c r="F174" s="12">
        <v>2</v>
      </c>
      <c r="G174" s="12">
        <f t="shared" si="13"/>
        <v>943.26</v>
      </c>
      <c r="H174" s="12">
        <f t="shared" si="14"/>
        <v>1886.52</v>
      </c>
      <c r="K174" s="6">
        <v>977.47</v>
      </c>
      <c r="L174" s="6">
        <f t="shared" si="12"/>
        <v>943.26</v>
      </c>
    </row>
    <row r="175" spans="1:12" ht="28.5">
      <c r="A175" s="10" t="s">
        <v>190</v>
      </c>
      <c r="B175" s="10" t="s">
        <v>7</v>
      </c>
      <c r="C175" s="10">
        <v>93653</v>
      </c>
      <c r="D175" s="11" t="s">
        <v>306</v>
      </c>
      <c r="E175" s="10" t="s">
        <v>79</v>
      </c>
      <c r="F175" s="12">
        <v>1</v>
      </c>
      <c r="G175" s="12">
        <f t="shared" si="13"/>
        <v>9.73</v>
      </c>
      <c r="H175" s="12">
        <f t="shared" si="14"/>
        <v>9.73</v>
      </c>
      <c r="K175" s="6">
        <v>10.08</v>
      </c>
      <c r="L175" s="6">
        <f t="shared" si="12"/>
        <v>9.73</v>
      </c>
    </row>
    <row r="176" spans="1:12" ht="28.5">
      <c r="A176" s="10" t="s">
        <v>191</v>
      </c>
      <c r="B176" s="10" t="s">
        <v>7</v>
      </c>
      <c r="C176" s="10">
        <v>93654</v>
      </c>
      <c r="D176" s="11" t="s">
        <v>307</v>
      </c>
      <c r="E176" s="10" t="s">
        <v>79</v>
      </c>
      <c r="F176" s="12">
        <v>21</v>
      </c>
      <c r="G176" s="12">
        <f t="shared" si="13"/>
        <v>10.119999999999999</v>
      </c>
      <c r="H176" s="12">
        <f t="shared" si="14"/>
        <v>212.52</v>
      </c>
      <c r="K176" s="6">
        <v>10.49</v>
      </c>
      <c r="L176" s="6">
        <f t="shared" si="12"/>
        <v>10.119999999999999</v>
      </c>
    </row>
    <row r="177" spans="1:12" ht="28.5">
      <c r="A177" s="10" t="s">
        <v>192</v>
      </c>
      <c r="B177" s="10" t="s">
        <v>7</v>
      </c>
      <c r="C177" s="10">
        <v>93656</v>
      </c>
      <c r="D177" s="11" t="s">
        <v>308</v>
      </c>
      <c r="E177" s="10" t="s">
        <v>79</v>
      </c>
      <c r="F177" s="12">
        <v>9</v>
      </c>
      <c r="G177" s="12">
        <f t="shared" si="13"/>
        <v>10.9</v>
      </c>
      <c r="H177" s="12">
        <f t="shared" si="14"/>
        <v>98.1</v>
      </c>
      <c r="K177" s="6">
        <v>11.3</v>
      </c>
      <c r="L177" s="6">
        <f t="shared" si="12"/>
        <v>10.9</v>
      </c>
    </row>
    <row r="178" spans="1:12" ht="28.5">
      <c r="A178" s="10" t="s">
        <v>193</v>
      </c>
      <c r="B178" s="10" t="s">
        <v>7</v>
      </c>
      <c r="C178" s="10">
        <v>101895</v>
      </c>
      <c r="D178" s="11" t="s">
        <v>309</v>
      </c>
      <c r="E178" s="10" t="s">
        <v>79</v>
      </c>
      <c r="F178" s="12">
        <v>2</v>
      </c>
      <c r="G178" s="12">
        <f t="shared" si="13"/>
        <v>358.61</v>
      </c>
      <c r="H178" s="12">
        <f t="shared" si="14"/>
        <v>717.22</v>
      </c>
      <c r="K178" s="6">
        <v>371.62</v>
      </c>
      <c r="L178" s="6">
        <f t="shared" si="12"/>
        <v>358.61</v>
      </c>
    </row>
    <row r="179" spans="1:12">
      <c r="A179" s="10" t="s">
        <v>194</v>
      </c>
      <c r="B179" s="10" t="s">
        <v>1</v>
      </c>
      <c r="C179" s="10">
        <v>12149</v>
      </c>
      <c r="D179" s="11" t="s">
        <v>364</v>
      </c>
      <c r="E179" s="10" t="s">
        <v>79</v>
      </c>
      <c r="F179" s="12">
        <v>2</v>
      </c>
      <c r="G179" s="12">
        <f t="shared" si="13"/>
        <v>354.79</v>
      </c>
      <c r="H179" s="12">
        <f t="shared" si="14"/>
        <v>709.58</v>
      </c>
      <c r="K179" s="6">
        <v>367.66</v>
      </c>
      <c r="L179" s="6">
        <f t="shared" si="12"/>
        <v>354.79</v>
      </c>
    </row>
    <row r="180" spans="1:12" ht="28.5">
      <c r="A180" s="10" t="s">
        <v>195</v>
      </c>
      <c r="B180" s="10" t="s">
        <v>1</v>
      </c>
      <c r="C180" s="10">
        <v>8083</v>
      </c>
      <c r="D180" s="11" t="s">
        <v>365</v>
      </c>
      <c r="E180" s="10" t="s">
        <v>38</v>
      </c>
      <c r="F180" s="12">
        <v>25</v>
      </c>
      <c r="G180" s="12">
        <f t="shared" si="13"/>
        <v>70.45</v>
      </c>
      <c r="H180" s="12">
        <f t="shared" si="14"/>
        <v>1761.25</v>
      </c>
      <c r="K180" s="6">
        <v>73</v>
      </c>
      <c r="L180" s="6">
        <f t="shared" si="12"/>
        <v>70.45</v>
      </c>
    </row>
    <row r="181" spans="1:12" ht="57">
      <c r="A181" s="10" t="s">
        <v>196</v>
      </c>
      <c r="B181" s="10" t="s">
        <v>7</v>
      </c>
      <c r="C181" s="10">
        <v>96562</v>
      </c>
      <c r="D181" s="11" t="s">
        <v>310</v>
      </c>
      <c r="E181" s="10" t="s">
        <v>38</v>
      </c>
      <c r="F181" s="12">
        <v>40</v>
      </c>
      <c r="G181" s="12">
        <f t="shared" si="13"/>
        <v>18.36</v>
      </c>
      <c r="H181" s="12">
        <f t="shared" si="14"/>
        <v>734.4</v>
      </c>
      <c r="K181" s="6">
        <v>19.03</v>
      </c>
      <c r="L181" s="6">
        <f t="shared" si="12"/>
        <v>18.36</v>
      </c>
    </row>
    <row r="182" spans="1:12">
      <c r="A182" s="10" t="s">
        <v>197</v>
      </c>
      <c r="B182" s="10" t="s">
        <v>1</v>
      </c>
      <c r="C182" s="10">
        <v>12500</v>
      </c>
      <c r="D182" s="11" t="s">
        <v>366</v>
      </c>
      <c r="E182" s="10" t="s">
        <v>79</v>
      </c>
      <c r="F182" s="12">
        <v>2</v>
      </c>
      <c r="G182" s="12">
        <f t="shared" si="13"/>
        <v>7.65</v>
      </c>
      <c r="H182" s="12">
        <f t="shared" si="14"/>
        <v>15.3</v>
      </c>
      <c r="K182" s="6">
        <v>7.93</v>
      </c>
      <c r="L182" s="6">
        <f t="shared" si="12"/>
        <v>7.65</v>
      </c>
    </row>
    <row r="183" spans="1:12">
      <c r="A183" s="10"/>
      <c r="B183" s="10"/>
      <c r="C183" s="10"/>
      <c r="D183" s="11"/>
      <c r="E183" s="10"/>
      <c r="F183" s="12"/>
      <c r="G183" s="12"/>
      <c r="H183" s="12"/>
      <c r="L183" s="6">
        <f t="shared" si="12"/>
        <v>0</v>
      </c>
    </row>
    <row r="184" spans="1:12" s="2" customFormat="1" ht="15">
      <c r="A184" s="13">
        <v>11</v>
      </c>
      <c r="B184" s="13" t="s">
        <v>198</v>
      </c>
      <c r="C184" s="13"/>
      <c r="D184" s="14"/>
      <c r="E184" s="13"/>
      <c r="F184" s="15"/>
      <c r="G184" s="15"/>
      <c r="H184" s="15">
        <f>SUM(H185:H190)</f>
        <v>78550.340000000011</v>
      </c>
      <c r="I184" s="3"/>
      <c r="J184" s="3"/>
      <c r="K184" s="3"/>
      <c r="L184" s="3">
        <f t="shared" si="12"/>
        <v>0</v>
      </c>
    </row>
    <row r="185" spans="1:12" ht="28.5">
      <c r="A185" s="10" t="s">
        <v>199</v>
      </c>
      <c r="B185" s="10" t="s">
        <v>7</v>
      </c>
      <c r="C185" s="10">
        <v>88489</v>
      </c>
      <c r="D185" s="11" t="s">
        <v>311</v>
      </c>
      <c r="E185" s="10" t="s">
        <v>9</v>
      </c>
      <c r="F185" s="12">
        <v>3708.15</v>
      </c>
      <c r="G185" s="12">
        <f t="shared" ref="G185:G190" si="15">L185</f>
        <v>11.72</v>
      </c>
      <c r="H185" s="12">
        <f t="shared" ref="H185:H190" si="16">ROUND(F185*G185,2)</f>
        <v>43459.519999999997</v>
      </c>
      <c r="K185" s="6">
        <v>12.14</v>
      </c>
      <c r="L185" s="6">
        <f t="shared" si="12"/>
        <v>11.72</v>
      </c>
    </row>
    <row r="186" spans="1:12" ht="28.5">
      <c r="A186" s="10" t="s">
        <v>200</v>
      </c>
      <c r="B186" s="10" t="s">
        <v>7</v>
      </c>
      <c r="C186" s="10">
        <v>96135</v>
      </c>
      <c r="D186" s="11" t="s">
        <v>312</v>
      </c>
      <c r="E186" s="10" t="s">
        <v>9</v>
      </c>
      <c r="F186" s="12">
        <v>994.53</v>
      </c>
      <c r="G186" s="12">
        <f t="shared" si="15"/>
        <v>20.73</v>
      </c>
      <c r="H186" s="12">
        <f t="shared" si="16"/>
        <v>20616.61</v>
      </c>
      <c r="K186" s="6">
        <v>21.48</v>
      </c>
      <c r="L186" s="6">
        <f t="shared" si="12"/>
        <v>20.73</v>
      </c>
    </row>
    <row r="187" spans="1:12" ht="28.5">
      <c r="A187" s="10" t="s">
        <v>201</v>
      </c>
      <c r="B187" s="10" t="s">
        <v>7</v>
      </c>
      <c r="C187" s="10">
        <v>88485</v>
      </c>
      <c r="D187" s="11" t="s">
        <v>313</v>
      </c>
      <c r="E187" s="10" t="s">
        <v>9</v>
      </c>
      <c r="F187" s="12">
        <v>418.9</v>
      </c>
      <c r="G187" s="12">
        <f t="shared" si="15"/>
        <v>2.1</v>
      </c>
      <c r="H187" s="12">
        <f t="shared" si="16"/>
        <v>879.69</v>
      </c>
      <c r="K187" s="6">
        <v>2.1800000000000002</v>
      </c>
      <c r="L187" s="6">
        <f t="shared" si="12"/>
        <v>2.1</v>
      </c>
    </row>
    <row r="188" spans="1:12" ht="28.5">
      <c r="A188" s="10" t="s">
        <v>202</v>
      </c>
      <c r="B188" s="10" t="s">
        <v>7</v>
      </c>
      <c r="C188" s="10">
        <v>88497</v>
      </c>
      <c r="D188" s="11" t="s">
        <v>314</v>
      </c>
      <c r="E188" s="10" t="s">
        <v>9</v>
      </c>
      <c r="F188" s="12">
        <v>961.62</v>
      </c>
      <c r="G188" s="12">
        <f t="shared" si="15"/>
        <v>11.96</v>
      </c>
      <c r="H188" s="12">
        <f t="shared" si="16"/>
        <v>11500.98</v>
      </c>
      <c r="K188" s="6">
        <v>12.39</v>
      </c>
      <c r="L188" s="6">
        <f t="shared" si="12"/>
        <v>11.96</v>
      </c>
    </row>
    <row r="189" spans="1:12" ht="28.5">
      <c r="A189" s="10" t="s">
        <v>203</v>
      </c>
      <c r="B189" s="10" t="s">
        <v>7</v>
      </c>
      <c r="C189" s="10">
        <v>102203</v>
      </c>
      <c r="D189" s="11" t="s">
        <v>315</v>
      </c>
      <c r="E189" s="10" t="s">
        <v>9</v>
      </c>
      <c r="F189" s="12">
        <v>165.06</v>
      </c>
      <c r="G189" s="12">
        <f t="shared" si="15"/>
        <v>7.18</v>
      </c>
      <c r="H189" s="12">
        <f t="shared" si="16"/>
        <v>1185.1300000000001</v>
      </c>
      <c r="K189" s="6">
        <v>7.44</v>
      </c>
      <c r="L189" s="6">
        <f t="shared" si="12"/>
        <v>7.18</v>
      </c>
    </row>
    <row r="190" spans="1:12" ht="42.75">
      <c r="A190" s="10" t="s">
        <v>204</v>
      </c>
      <c r="B190" s="10" t="s">
        <v>7</v>
      </c>
      <c r="C190" s="10">
        <v>100725</v>
      </c>
      <c r="D190" s="11" t="s">
        <v>316</v>
      </c>
      <c r="E190" s="10" t="s">
        <v>9</v>
      </c>
      <c r="F190" s="12">
        <v>57.75</v>
      </c>
      <c r="G190" s="12">
        <f t="shared" si="15"/>
        <v>15.73</v>
      </c>
      <c r="H190" s="12">
        <f t="shared" si="16"/>
        <v>908.41</v>
      </c>
      <c r="K190" s="6">
        <v>16.3</v>
      </c>
      <c r="L190" s="6">
        <f t="shared" si="12"/>
        <v>15.73</v>
      </c>
    </row>
    <row r="191" spans="1:12">
      <c r="A191" s="10"/>
      <c r="B191" s="10"/>
      <c r="C191" s="10"/>
      <c r="D191" s="11"/>
      <c r="E191" s="10"/>
      <c r="F191" s="12"/>
      <c r="G191" s="12"/>
      <c r="H191" s="12"/>
      <c r="L191" s="6">
        <f t="shared" si="12"/>
        <v>0</v>
      </c>
    </row>
    <row r="192" spans="1:12" s="2" customFormat="1" ht="15">
      <c r="A192" s="13">
        <v>12</v>
      </c>
      <c r="B192" s="13" t="s">
        <v>205</v>
      </c>
      <c r="C192" s="13"/>
      <c r="D192" s="14"/>
      <c r="E192" s="13"/>
      <c r="F192" s="15"/>
      <c r="G192" s="15"/>
      <c r="H192" s="15">
        <f>SUM(H193:H204)</f>
        <v>33976.370000000003</v>
      </c>
      <c r="I192" s="3"/>
      <c r="J192" s="3"/>
      <c r="K192" s="3"/>
      <c r="L192" s="3">
        <f t="shared" si="12"/>
        <v>0</v>
      </c>
    </row>
    <row r="193" spans="1:12" ht="42.75">
      <c r="A193" s="10" t="s">
        <v>206</v>
      </c>
      <c r="B193" s="10" t="s">
        <v>1</v>
      </c>
      <c r="C193" s="10">
        <v>12294</v>
      </c>
      <c r="D193" s="11" t="s">
        <v>367</v>
      </c>
      <c r="E193" s="10" t="s">
        <v>79</v>
      </c>
      <c r="F193" s="12">
        <v>2</v>
      </c>
      <c r="G193" s="12">
        <f t="shared" ref="G193:G204" si="17">L193</f>
        <v>2303.54</v>
      </c>
      <c r="H193" s="12">
        <f t="shared" ref="H193:H204" si="18">ROUND(F193*G193,2)</f>
        <v>4607.08</v>
      </c>
      <c r="K193" s="6">
        <v>2387.09</v>
      </c>
      <c r="L193" s="6">
        <f t="shared" si="12"/>
        <v>2303.54</v>
      </c>
    </row>
    <row r="194" spans="1:12" ht="42.75">
      <c r="A194" s="10" t="s">
        <v>207</v>
      </c>
      <c r="B194" s="10" t="s">
        <v>7</v>
      </c>
      <c r="C194" s="10">
        <v>86937</v>
      </c>
      <c r="D194" s="11" t="s">
        <v>317</v>
      </c>
      <c r="E194" s="10" t="s">
        <v>79</v>
      </c>
      <c r="F194" s="12">
        <v>26</v>
      </c>
      <c r="G194" s="12">
        <f t="shared" si="17"/>
        <v>179.28</v>
      </c>
      <c r="H194" s="12">
        <f t="shared" si="18"/>
        <v>4661.28</v>
      </c>
      <c r="K194" s="6">
        <v>185.78</v>
      </c>
      <c r="L194" s="6">
        <f t="shared" si="12"/>
        <v>179.28</v>
      </c>
    </row>
    <row r="195" spans="1:12" ht="28.5">
      <c r="A195" s="10" t="s">
        <v>208</v>
      </c>
      <c r="B195" s="10" t="s">
        <v>7</v>
      </c>
      <c r="C195" s="10">
        <v>86906</v>
      </c>
      <c r="D195" s="11" t="s">
        <v>318</v>
      </c>
      <c r="E195" s="10" t="s">
        <v>79</v>
      </c>
      <c r="F195" s="12">
        <v>26</v>
      </c>
      <c r="G195" s="12">
        <f t="shared" si="17"/>
        <v>59.04</v>
      </c>
      <c r="H195" s="12">
        <f t="shared" si="18"/>
        <v>1535.04</v>
      </c>
      <c r="K195" s="6">
        <v>61.18</v>
      </c>
      <c r="L195" s="6">
        <f t="shared" si="12"/>
        <v>59.04</v>
      </c>
    </row>
    <row r="196" spans="1:12">
      <c r="A196" s="10" t="s">
        <v>209</v>
      </c>
      <c r="B196" s="10" t="s">
        <v>1</v>
      </c>
      <c r="C196" s="10">
        <v>10759</v>
      </c>
      <c r="D196" s="11" t="s">
        <v>368</v>
      </c>
      <c r="E196" s="10" t="s">
        <v>9</v>
      </c>
      <c r="F196" s="12">
        <v>28.2</v>
      </c>
      <c r="G196" s="12">
        <f t="shared" si="17"/>
        <v>375.33</v>
      </c>
      <c r="H196" s="12">
        <f t="shared" si="18"/>
        <v>10584.31</v>
      </c>
      <c r="K196" s="6">
        <v>388.94</v>
      </c>
      <c r="L196" s="6">
        <f t="shared" si="12"/>
        <v>375.33</v>
      </c>
    </row>
    <row r="197" spans="1:12" ht="57">
      <c r="A197" s="10" t="s">
        <v>210</v>
      </c>
      <c r="B197" s="10" t="s">
        <v>7</v>
      </c>
      <c r="C197" s="10">
        <v>86943</v>
      </c>
      <c r="D197" s="11" t="s">
        <v>319</v>
      </c>
      <c r="E197" s="10" t="s">
        <v>79</v>
      </c>
      <c r="F197" s="12">
        <v>4</v>
      </c>
      <c r="G197" s="12">
        <f t="shared" si="17"/>
        <v>209.35</v>
      </c>
      <c r="H197" s="12">
        <f t="shared" si="18"/>
        <v>837.4</v>
      </c>
      <c r="K197" s="6">
        <v>216.94</v>
      </c>
      <c r="L197" s="6">
        <f t="shared" si="12"/>
        <v>209.35</v>
      </c>
    </row>
    <row r="198" spans="1:12" ht="28.5">
      <c r="A198" s="10" t="s">
        <v>211</v>
      </c>
      <c r="B198" s="10" t="s">
        <v>7</v>
      </c>
      <c r="C198" s="10">
        <v>100869</v>
      </c>
      <c r="D198" s="11" t="s">
        <v>320</v>
      </c>
      <c r="E198" s="10" t="s">
        <v>79</v>
      </c>
      <c r="F198" s="12">
        <v>6</v>
      </c>
      <c r="G198" s="12">
        <f t="shared" si="17"/>
        <v>319.36</v>
      </c>
      <c r="H198" s="12">
        <f t="shared" si="18"/>
        <v>1916.16</v>
      </c>
      <c r="K198" s="6">
        <v>330.94</v>
      </c>
      <c r="L198" s="6">
        <f t="shared" si="12"/>
        <v>319.36</v>
      </c>
    </row>
    <row r="199" spans="1:12" ht="28.5">
      <c r="A199" s="10" t="s">
        <v>212</v>
      </c>
      <c r="B199" s="10" t="s">
        <v>7</v>
      </c>
      <c r="C199" s="10">
        <v>100849</v>
      </c>
      <c r="D199" s="11" t="s">
        <v>321</v>
      </c>
      <c r="E199" s="10" t="s">
        <v>79</v>
      </c>
      <c r="F199" s="12">
        <v>16</v>
      </c>
      <c r="G199" s="12">
        <f t="shared" si="17"/>
        <v>39.94</v>
      </c>
      <c r="H199" s="12">
        <f t="shared" si="18"/>
        <v>639.04</v>
      </c>
      <c r="K199" s="6">
        <v>41.39</v>
      </c>
      <c r="L199" s="6">
        <f t="shared" si="12"/>
        <v>39.94</v>
      </c>
    </row>
    <row r="200" spans="1:12" ht="42.75">
      <c r="A200" s="10" t="s">
        <v>213</v>
      </c>
      <c r="B200" s="10" t="s">
        <v>7</v>
      </c>
      <c r="C200" s="10">
        <v>86931</v>
      </c>
      <c r="D200" s="11" t="s">
        <v>322</v>
      </c>
      <c r="E200" s="10" t="s">
        <v>79</v>
      </c>
      <c r="F200" s="12">
        <v>16</v>
      </c>
      <c r="G200" s="12">
        <f t="shared" si="17"/>
        <v>418.05</v>
      </c>
      <c r="H200" s="12">
        <f t="shared" si="18"/>
        <v>6688.8</v>
      </c>
      <c r="K200" s="6">
        <v>433.21</v>
      </c>
      <c r="L200" s="6">
        <f t="shared" si="12"/>
        <v>418.05</v>
      </c>
    </row>
    <row r="201" spans="1:12" ht="57">
      <c r="A201" s="10" t="s">
        <v>214</v>
      </c>
      <c r="B201" s="10" t="s">
        <v>7</v>
      </c>
      <c r="C201" s="10">
        <v>95472</v>
      </c>
      <c r="D201" s="11" t="s">
        <v>323</v>
      </c>
      <c r="E201" s="10" t="s">
        <v>79</v>
      </c>
      <c r="F201" s="12">
        <v>1</v>
      </c>
      <c r="G201" s="12">
        <f t="shared" si="17"/>
        <v>647.28</v>
      </c>
      <c r="H201" s="12">
        <f t="shared" si="18"/>
        <v>647.28</v>
      </c>
      <c r="K201" s="6">
        <v>670.76</v>
      </c>
      <c r="L201" s="6">
        <f t="shared" si="12"/>
        <v>647.28</v>
      </c>
    </row>
    <row r="202" spans="1:12">
      <c r="A202" s="10" t="s">
        <v>215</v>
      </c>
      <c r="B202" s="10" t="s">
        <v>1</v>
      </c>
      <c r="C202" s="10">
        <v>2050</v>
      </c>
      <c r="D202" s="11" t="s">
        <v>369</v>
      </c>
      <c r="E202" s="10" t="s">
        <v>79</v>
      </c>
      <c r="F202" s="12">
        <v>2</v>
      </c>
      <c r="G202" s="12">
        <f t="shared" si="17"/>
        <v>30.76</v>
      </c>
      <c r="H202" s="12">
        <f t="shared" si="18"/>
        <v>61.52</v>
      </c>
      <c r="K202" s="6">
        <v>31.88</v>
      </c>
      <c r="L202" s="6">
        <f t="shared" si="12"/>
        <v>30.76</v>
      </c>
    </row>
    <row r="203" spans="1:12" ht="28.5">
      <c r="A203" s="10" t="s">
        <v>216</v>
      </c>
      <c r="B203" s="10" t="s">
        <v>7</v>
      </c>
      <c r="C203" s="10">
        <v>95546</v>
      </c>
      <c r="D203" s="11" t="s">
        <v>324</v>
      </c>
      <c r="E203" s="10" t="s">
        <v>79</v>
      </c>
      <c r="F203" s="12">
        <v>14</v>
      </c>
      <c r="G203" s="12">
        <f t="shared" si="17"/>
        <v>87.75</v>
      </c>
      <c r="H203" s="12">
        <f t="shared" si="18"/>
        <v>1228.5</v>
      </c>
      <c r="K203" s="6">
        <v>90.93</v>
      </c>
      <c r="L203" s="6">
        <f t="shared" si="12"/>
        <v>87.75</v>
      </c>
    </row>
    <row r="204" spans="1:12" ht="57">
      <c r="A204" s="10" t="s">
        <v>217</v>
      </c>
      <c r="B204" s="10" t="s">
        <v>7</v>
      </c>
      <c r="C204" s="10">
        <v>86929</v>
      </c>
      <c r="D204" s="11" t="s">
        <v>325</v>
      </c>
      <c r="E204" s="10" t="s">
        <v>79</v>
      </c>
      <c r="F204" s="12">
        <v>2</v>
      </c>
      <c r="G204" s="12">
        <f t="shared" si="17"/>
        <v>284.98</v>
      </c>
      <c r="H204" s="12">
        <f t="shared" si="18"/>
        <v>569.96</v>
      </c>
      <c r="K204" s="6">
        <v>295.32</v>
      </c>
      <c r="L204" s="6">
        <f t="shared" si="12"/>
        <v>284.98</v>
      </c>
    </row>
    <row r="205" spans="1:12">
      <c r="A205" s="10"/>
      <c r="B205" s="10"/>
      <c r="C205" s="10"/>
      <c r="D205" s="11"/>
      <c r="E205" s="10"/>
      <c r="F205" s="12"/>
      <c r="G205" s="12"/>
      <c r="H205" s="12"/>
      <c r="L205" s="6">
        <f t="shared" ref="L205:L211" si="19">ROUND(K205*$J$11,2)</f>
        <v>0</v>
      </c>
    </row>
    <row r="206" spans="1:12" s="2" customFormat="1" ht="15">
      <c r="A206" s="13">
        <v>13</v>
      </c>
      <c r="B206" s="13" t="s">
        <v>218</v>
      </c>
      <c r="C206" s="13"/>
      <c r="D206" s="14"/>
      <c r="E206" s="13"/>
      <c r="F206" s="15"/>
      <c r="G206" s="15"/>
      <c r="H206" s="15">
        <f>SUM(H207:H211)</f>
        <v>23910.5</v>
      </c>
      <c r="I206" s="3"/>
      <c r="J206" s="3"/>
      <c r="K206" s="3"/>
      <c r="L206" s="3">
        <f t="shared" si="19"/>
        <v>0</v>
      </c>
    </row>
    <row r="207" spans="1:12" ht="28.5">
      <c r="A207" s="10" t="s">
        <v>219</v>
      </c>
      <c r="B207" s="10" t="s">
        <v>7</v>
      </c>
      <c r="C207" s="10">
        <v>99803</v>
      </c>
      <c r="D207" s="11" t="s">
        <v>326</v>
      </c>
      <c r="E207" s="10" t="s">
        <v>9</v>
      </c>
      <c r="F207" s="12">
        <v>774.83</v>
      </c>
      <c r="G207" s="12">
        <f>L207</f>
        <v>1.36</v>
      </c>
      <c r="H207" s="12">
        <f>ROUND(F207*G207,2)</f>
        <v>1053.77</v>
      </c>
      <c r="K207" s="6">
        <v>1.41</v>
      </c>
      <c r="L207" s="6">
        <f t="shared" si="19"/>
        <v>1.36</v>
      </c>
    </row>
    <row r="208" spans="1:12" ht="42.75">
      <c r="A208" s="10" t="s">
        <v>220</v>
      </c>
      <c r="B208" s="10" t="s">
        <v>1</v>
      </c>
      <c r="C208" s="10">
        <v>10076</v>
      </c>
      <c r="D208" s="11" t="s">
        <v>370</v>
      </c>
      <c r="E208" s="10" t="s">
        <v>38</v>
      </c>
      <c r="F208" s="12">
        <v>32.28</v>
      </c>
      <c r="G208" s="12">
        <f>L208</f>
        <v>391.92</v>
      </c>
      <c r="H208" s="12">
        <f>ROUND(F208*G208,2)</f>
        <v>12651.18</v>
      </c>
      <c r="K208" s="6">
        <v>406.13</v>
      </c>
      <c r="L208" s="6">
        <f t="shared" si="19"/>
        <v>391.92</v>
      </c>
    </row>
    <row r="209" spans="1:12" ht="42.75">
      <c r="A209" s="10" t="s">
        <v>221</v>
      </c>
      <c r="B209" s="10" t="s">
        <v>1</v>
      </c>
      <c r="C209" s="10">
        <v>4420</v>
      </c>
      <c r="D209" s="11" t="s">
        <v>371</v>
      </c>
      <c r="E209" s="10" t="s">
        <v>38</v>
      </c>
      <c r="F209" s="12">
        <v>7.8</v>
      </c>
      <c r="G209" s="12">
        <f>L209</f>
        <v>195.45</v>
      </c>
      <c r="H209" s="12">
        <f>ROUND(F209*G209,2)</f>
        <v>1524.51</v>
      </c>
      <c r="K209" s="6">
        <v>202.54</v>
      </c>
      <c r="L209" s="6">
        <f t="shared" si="19"/>
        <v>195.45</v>
      </c>
    </row>
    <row r="210" spans="1:12">
      <c r="A210" s="10" t="s">
        <v>222</v>
      </c>
      <c r="B210" s="10" t="s">
        <v>1</v>
      </c>
      <c r="C210" s="10">
        <v>12058</v>
      </c>
      <c r="D210" s="11" t="s">
        <v>372</v>
      </c>
      <c r="E210" s="10" t="s">
        <v>79</v>
      </c>
      <c r="F210" s="12">
        <v>16</v>
      </c>
      <c r="G210" s="12">
        <f>L210</f>
        <v>207.44</v>
      </c>
      <c r="H210" s="12">
        <f>ROUND(F210*G210,2)</f>
        <v>3319.04</v>
      </c>
      <c r="K210" s="6">
        <v>214.96</v>
      </c>
      <c r="L210" s="6">
        <f t="shared" si="19"/>
        <v>207.44</v>
      </c>
    </row>
    <row r="211" spans="1:12">
      <c r="A211" s="10" t="s">
        <v>223</v>
      </c>
      <c r="B211" s="10" t="s">
        <v>1</v>
      </c>
      <c r="C211" s="10">
        <v>12055</v>
      </c>
      <c r="D211" s="11" t="s">
        <v>373</v>
      </c>
      <c r="E211" s="10" t="s">
        <v>79</v>
      </c>
      <c r="F211" s="12">
        <v>50</v>
      </c>
      <c r="G211" s="12">
        <f>L211</f>
        <v>107.24</v>
      </c>
      <c r="H211" s="12">
        <f>ROUND(F211*G211,2)</f>
        <v>5362</v>
      </c>
      <c r="K211" s="6">
        <v>111.13</v>
      </c>
      <c r="L211" s="6">
        <f t="shared" si="19"/>
        <v>107.24</v>
      </c>
    </row>
    <row r="213" spans="1:12" ht="15">
      <c r="A213" s="327" t="s">
        <v>380</v>
      </c>
      <c r="B213" s="327"/>
      <c r="C213" s="327"/>
      <c r="D213" s="327"/>
      <c r="E213" s="327"/>
      <c r="F213" s="327"/>
      <c r="G213" s="327"/>
      <c r="H213" s="9">
        <f>H11+H18+H36+H40+H44+H49+H70+H76+H82+H157+H184+H192+H206</f>
        <v>781718.71000000008</v>
      </c>
    </row>
    <row r="214" spans="1:12" ht="15">
      <c r="A214" s="327" t="s">
        <v>381</v>
      </c>
      <c r="B214" s="327"/>
      <c r="C214" s="327"/>
      <c r="D214" s="327"/>
      <c r="E214" s="327"/>
      <c r="F214" s="327"/>
      <c r="G214" s="327"/>
      <c r="H214" s="9" t="e">
        <f>#REF!</f>
        <v>#REF!</v>
      </c>
    </row>
    <row r="215" spans="1:12" ht="15">
      <c r="A215" s="327" t="s">
        <v>379</v>
      </c>
      <c r="B215" s="327"/>
      <c r="C215" s="327"/>
      <c r="D215" s="327"/>
      <c r="E215" s="327"/>
      <c r="F215" s="327"/>
      <c r="G215" s="327"/>
      <c r="H215" s="9" t="e">
        <f>H213+H214</f>
        <v>#REF!</v>
      </c>
    </row>
    <row r="217" spans="1:12">
      <c r="A217" s="328" t="s">
        <v>382</v>
      </c>
      <c r="B217" s="328"/>
      <c r="C217" s="328"/>
      <c r="D217" s="328"/>
      <c r="E217" s="328"/>
      <c r="F217" s="328"/>
      <c r="G217" s="328"/>
      <c r="H217" s="328"/>
    </row>
  </sheetData>
  <mergeCells count="18">
    <mergeCell ref="A213:G213"/>
    <mergeCell ref="A214:G214"/>
    <mergeCell ref="A215:G215"/>
    <mergeCell ref="A217:H217"/>
    <mergeCell ref="A7:H7"/>
    <mergeCell ref="A8:H8"/>
    <mergeCell ref="A5:H5"/>
    <mergeCell ref="A4:H4"/>
    <mergeCell ref="A3:H3"/>
    <mergeCell ref="A2:H2"/>
    <mergeCell ref="G9:G10"/>
    <mergeCell ref="H9:H10"/>
    <mergeCell ref="A9:A10"/>
    <mergeCell ref="B9:B10"/>
    <mergeCell ref="C9:C10"/>
    <mergeCell ref="D9:D10"/>
    <mergeCell ref="E9:E10"/>
    <mergeCell ref="F9:F10"/>
  </mergeCells>
  <phoneticPr fontId="1" type="noConversion"/>
  <pageMargins left="0.511811024" right="0.511811024" top="0.78740157499999996" bottom="0.78740157499999996" header="0.31496062000000002" footer="0.31496062000000002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8"/>
  <sheetViews>
    <sheetView topLeftCell="A34" zoomScale="70" zoomScaleNormal="70" workbookViewId="0">
      <selection activeCell="G44" sqref="G44"/>
    </sheetView>
  </sheetViews>
  <sheetFormatPr defaultRowHeight="15"/>
  <cols>
    <col min="3" max="3" width="68.85546875" customWidth="1"/>
    <col min="4" max="4" width="12.28515625" customWidth="1"/>
    <col min="7" max="7" width="11.28515625" customWidth="1"/>
    <col min="9" max="9" width="12.28515625" customWidth="1"/>
    <col min="10" max="11" width="14.5703125" customWidth="1"/>
    <col min="12" max="12" width="15" customWidth="1"/>
    <col min="14" max="14" width="14.7109375" customWidth="1"/>
  </cols>
  <sheetData>
    <row r="1" spans="1:14" ht="15.75">
      <c r="A1" s="337" t="s">
        <v>383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9"/>
    </row>
    <row r="2" spans="1:14" ht="15.75">
      <c r="A2" s="340" t="s">
        <v>343</v>
      </c>
      <c r="B2" s="341"/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2"/>
    </row>
    <row r="3" spans="1:14">
      <c r="A3" s="343" t="s">
        <v>496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5"/>
    </row>
    <row r="4" spans="1:14">
      <c r="A4" s="343" t="s">
        <v>377</v>
      </c>
      <c r="B4" s="344"/>
      <c r="C4" s="344"/>
      <c r="D4" s="344"/>
      <c r="E4" s="344"/>
      <c r="F4" s="344"/>
      <c r="G4" s="344"/>
      <c r="H4" s="344"/>
      <c r="I4" s="344"/>
      <c r="J4" s="344"/>
      <c r="K4" s="344"/>
      <c r="L4" s="344"/>
      <c r="M4" s="344"/>
      <c r="N4" s="345"/>
    </row>
    <row r="5" spans="1:14">
      <c r="A5" s="92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4"/>
    </row>
    <row r="6" spans="1:14" ht="23.25">
      <c r="A6" s="346" t="s">
        <v>497</v>
      </c>
      <c r="B6" s="347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8"/>
    </row>
    <row r="7" spans="1:14">
      <c r="A7" s="349" t="s">
        <v>498</v>
      </c>
      <c r="B7" s="335" t="s">
        <v>499</v>
      </c>
      <c r="C7" s="349" t="s">
        <v>500</v>
      </c>
      <c r="D7" s="335" t="s">
        <v>501</v>
      </c>
      <c r="E7" s="335" t="s">
        <v>502</v>
      </c>
      <c r="F7" s="332" t="s">
        <v>503</v>
      </c>
      <c r="G7" s="333"/>
      <c r="H7" s="333"/>
      <c r="I7" s="334"/>
      <c r="J7" s="335" t="s">
        <v>504</v>
      </c>
      <c r="K7" s="332" t="s">
        <v>505</v>
      </c>
      <c r="L7" s="333"/>
      <c r="M7" s="333"/>
      <c r="N7" s="334"/>
    </row>
    <row r="8" spans="1:14" ht="16.5">
      <c r="A8" s="350"/>
      <c r="B8" s="336"/>
      <c r="C8" s="350"/>
      <c r="D8" s="336"/>
      <c r="E8" s="336"/>
      <c r="F8" s="95" t="s">
        <v>506</v>
      </c>
      <c r="G8" s="95" t="s">
        <v>507</v>
      </c>
      <c r="H8" s="95" t="s">
        <v>508</v>
      </c>
      <c r="I8" s="95" t="s">
        <v>509</v>
      </c>
      <c r="J8" s="336"/>
      <c r="K8" s="95" t="s">
        <v>510</v>
      </c>
      <c r="L8" s="95" t="s">
        <v>507</v>
      </c>
      <c r="M8" s="95" t="s">
        <v>508</v>
      </c>
      <c r="N8" s="95" t="s">
        <v>511</v>
      </c>
    </row>
    <row r="9" spans="1:14">
      <c r="A9" s="96"/>
      <c r="B9" s="96"/>
      <c r="C9" s="97" t="str">
        <f>[2]ORÇAMENTO!B11</f>
        <v>SERVIÇOS PRELIMINARES</v>
      </c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</row>
    <row r="10" spans="1:14">
      <c r="A10" s="69" t="str">
        <f>[2]ORÇAMENTO!A12</f>
        <v>1.1</v>
      </c>
      <c r="B10" s="69">
        <f>[2]ORÇAMENTO!C12</f>
        <v>51</v>
      </c>
      <c r="C10" s="49" t="str">
        <f>[2]ORÇAMENTO!D12</f>
        <v>Placa de Obra em chapa de aço galvanizado, instalada - Rev 02 01/2022</v>
      </c>
      <c r="D10" s="69" t="str">
        <f>[2]ORÇAMENTO!B12</f>
        <v>ORSE</v>
      </c>
      <c r="E10" s="69" t="str">
        <f>[2]ORÇAMENTO!E12</f>
        <v>m²</v>
      </c>
      <c r="F10" s="22">
        <f>[2]ORÇAMENTO!F12</f>
        <v>4.5</v>
      </c>
      <c r="G10" s="69"/>
      <c r="H10" s="69"/>
      <c r="I10" s="69"/>
      <c r="J10" s="91">
        <f>[2]ORÇAMENTO!G12*26.63%+[2]ORÇAMENTO!G12</f>
        <v>423.12148199999996</v>
      </c>
      <c r="K10" s="91">
        <f>ROUND(F10*J10,2)</f>
        <v>1904.05</v>
      </c>
      <c r="L10" s="91"/>
      <c r="M10" s="91"/>
      <c r="N10" s="91"/>
    </row>
    <row r="11" spans="1:14" ht="30">
      <c r="A11" s="69" t="str">
        <f>[2]ORÇAMENTO!A13</f>
        <v>1.2</v>
      </c>
      <c r="B11" s="69">
        <f>[2]ORÇAMENTO!C13</f>
        <v>97622</v>
      </c>
      <c r="C11" s="49" t="str">
        <f>[2]ORÇAMENTO!D13</f>
        <v>DEMOLIÇÃO DE ALVENARIA DE BLOCOFURADO, DE FORMA MANUAL, SEM REAPROVEITAMENTO</v>
      </c>
      <c r="D11" s="69" t="str">
        <f>[2]ORÇAMENTO!B13</f>
        <v>SINAPI</v>
      </c>
      <c r="E11" s="69" t="str">
        <f>[2]ORÇAMENTO!E13</f>
        <v>m³</v>
      </c>
      <c r="F11" s="22">
        <f>[2]ORÇAMENTO!F13</f>
        <v>63.41</v>
      </c>
      <c r="G11" s="69"/>
      <c r="H11" s="69"/>
      <c r="I11" s="69"/>
      <c r="J11" s="91">
        <f>[2]ORÇAMENTO!G13*26.63%+[2]ORÇAMENTO!G13</f>
        <v>46.473210000000002</v>
      </c>
      <c r="K11" s="91">
        <f t="shared" ref="K11:K97" si="0">ROUND(F11*J11,2)</f>
        <v>2946.87</v>
      </c>
      <c r="L11" s="91"/>
      <c r="M11" s="91"/>
      <c r="N11" s="91"/>
    </row>
    <row r="12" spans="1:14">
      <c r="A12" s="69" t="str">
        <f>[2]ORÇAMENTO!A14</f>
        <v>1.3</v>
      </c>
      <c r="B12" s="69">
        <f>[2]ORÇAMENTO!C14</f>
        <v>3240</v>
      </c>
      <c r="C12" s="49" t="str">
        <f>[2]ORÇAMENTO!D14</f>
        <v>Demolição de piso de alta resistência</v>
      </c>
      <c r="D12" s="69" t="str">
        <f>[2]ORÇAMENTO!B14</f>
        <v>ORSE</v>
      </c>
      <c r="E12" s="69" t="str">
        <f>[2]ORÇAMENTO!E14</f>
        <v>m²</v>
      </c>
      <c r="F12" s="22">
        <f>[2]ORÇAMENTO!F14</f>
        <v>774.83</v>
      </c>
      <c r="G12" s="69"/>
      <c r="H12" s="69"/>
      <c r="I12" s="69"/>
      <c r="J12" s="91">
        <f>[2]ORÇAMENTO!G14*26.63%+[2]ORÇAMENTO!G14</f>
        <v>20.817972000000001</v>
      </c>
      <c r="K12" s="91">
        <f t="shared" si="0"/>
        <v>16130.39</v>
      </c>
      <c r="L12" s="91"/>
      <c r="M12" s="91"/>
      <c r="N12" s="91"/>
    </row>
    <row r="13" spans="1:14" ht="30">
      <c r="A13" s="69" t="str">
        <f>[2]ORÇAMENTO!A15</f>
        <v>1.4</v>
      </c>
      <c r="B13" s="69">
        <f>[2]ORÇAMENTO!C15</f>
        <v>97650</v>
      </c>
      <c r="C13" s="49" t="str">
        <f>[2]ORÇAMENTO!D15</f>
        <v>REMOÇÃO DE TRAMA DE MADEIRA PARA COBERTURA, DE FORMA MANUAL, SEM REAPROVEITAMENTO. AF 12/2017</v>
      </c>
      <c r="D13" s="69" t="str">
        <f>[2]ORÇAMENTO!B15</f>
        <v>SINAPI</v>
      </c>
      <c r="E13" s="69" t="str">
        <f>[2]ORÇAMENTO!E15</f>
        <v>m²</v>
      </c>
      <c r="F13" s="22">
        <f>[2]ORÇAMENTO!F15</f>
        <v>309.93</v>
      </c>
      <c r="G13" s="69"/>
      <c r="H13" s="69"/>
      <c r="I13" s="69"/>
      <c r="J13" s="91">
        <f>[2]ORÇAMENTO!G15*26.63%+[2]ORÇAMENTO!G15</f>
        <v>6.0149249999999999</v>
      </c>
      <c r="K13" s="91">
        <f t="shared" si="0"/>
        <v>1864.21</v>
      </c>
      <c r="L13" s="91"/>
      <c r="M13" s="91"/>
      <c r="N13" s="91"/>
    </row>
    <row r="14" spans="1:14" ht="45">
      <c r="A14" s="64" t="str">
        <f>[2]ORÇAMENTO!A16</f>
        <v>1.5</v>
      </c>
      <c r="B14" s="69">
        <f>[2]ORÇAMENTO!C16</f>
        <v>100981</v>
      </c>
      <c r="C14" s="49" t="str">
        <f>[2]ORÇAMENTO!D16</f>
        <v>CARGA, MANOBRA E DESCARGA DE ENTULHO EM CAMINHÃO BASCULANTE 6 M³ - CARGA COM ESCAVADEIRA HIDRÁULICA (CAÇAMBA DE 0,80 M³/111 HP) E DESCARGA LIVRE (UNIDADE: M³). AF 07/2020</v>
      </c>
      <c r="D14" s="69" t="str">
        <f>[2]ORÇAMENTO!B16</f>
        <v>SINAPI</v>
      </c>
      <c r="E14" s="69" t="str">
        <f>[2]ORÇAMENTO!E16</f>
        <v>m³</v>
      </c>
      <c r="F14" s="22">
        <f>[2]ORÇAMENTO!F16</f>
        <v>102.15</v>
      </c>
      <c r="G14" s="69"/>
      <c r="H14" s="69"/>
      <c r="I14" s="39"/>
      <c r="J14" s="91">
        <f>[2]ORÇAMENTO!G16*26.63%+[2]ORÇAMENTO!G16</f>
        <v>9.1173599999999997</v>
      </c>
      <c r="K14" s="91">
        <f t="shared" si="0"/>
        <v>931.34</v>
      </c>
      <c r="L14" s="91"/>
      <c r="M14" s="91"/>
      <c r="N14" s="91"/>
    </row>
    <row r="15" spans="1:14">
      <c r="A15" s="64" t="s">
        <v>488</v>
      </c>
      <c r="B15" s="89">
        <v>7725</v>
      </c>
      <c r="C15" s="87" t="s">
        <v>512</v>
      </c>
      <c r="D15" s="98" t="s">
        <v>1</v>
      </c>
      <c r="E15" s="89" t="s">
        <v>513</v>
      </c>
      <c r="F15" s="22"/>
      <c r="G15" s="39">
        <f>[2]MEM!L12</f>
        <v>1218.7839999999999</v>
      </c>
      <c r="H15" s="69"/>
      <c r="I15" s="39">
        <v>2115</v>
      </c>
      <c r="J15" s="91">
        <f>'[2]ITENS NOVOS'!I7</f>
        <v>7.46</v>
      </c>
      <c r="K15" s="91"/>
      <c r="L15" s="91">
        <f>G15*J15</f>
        <v>9092.128639999999</v>
      </c>
      <c r="M15" s="91"/>
      <c r="N15" s="91">
        <f>I15*J15</f>
        <v>15777.9</v>
      </c>
    </row>
    <row r="16" spans="1:14" ht="30">
      <c r="A16" s="64" t="s">
        <v>489</v>
      </c>
      <c r="B16" s="90" t="s">
        <v>514</v>
      </c>
      <c r="C16" s="88" t="s">
        <v>515</v>
      </c>
      <c r="D16" s="98" t="s">
        <v>7</v>
      </c>
      <c r="E16" s="90" t="s">
        <v>516</v>
      </c>
      <c r="F16" s="22"/>
      <c r="G16" s="39">
        <f>[2]MEM!L43</f>
        <v>247.3</v>
      </c>
      <c r="H16" s="69"/>
      <c r="I16" s="39">
        <f t="shared" ref="I16:I21" si="1">G16</f>
        <v>247.3</v>
      </c>
      <c r="J16" s="91">
        <f>'[2]ITENS NOVOS'!I8</f>
        <v>5.4499999999999993</v>
      </c>
      <c r="K16" s="91"/>
      <c r="L16" s="91">
        <f t="shared" ref="L16:L22" si="2">G16*J16</f>
        <v>1347.7849999999999</v>
      </c>
      <c r="M16" s="91"/>
      <c r="N16" s="91">
        <f t="shared" ref="N16:N22" si="3">I16*J16</f>
        <v>1347.7849999999999</v>
      </c>
    </row>
    <row r="17" spans="1:14">
      <c r="A17" s="64" t="s">
        <v>490</v>
      </c>
      <c r="B17" s="89">
        <v>3141</v>
      </c>
      <c r="C17" s="87" t="s">
        <v>483</v>
      </c>
      <c r="D17" s="98" t="s">
        <v>1</v>
      </c>
      <c r="E17" s="89" t="s">
        <v>494</v>
      </c>
      <c r="F17" s="22"/>
      <c r="G17" s="39">
        <f>[2]MEM!L74</f>
        <v>36</v>
      </c>
      <c r="H17" s="69"/>
      <c r="I17" s="39">
        <f t="shared" si="1"/>
        <v>36</v>
      </c>
      <c r="J17" s="91">
        <f>'[2]ITENS NOVOS'!I9</f>
        <v>8.09</v>
      </c>
      <c r="K17" s="91"/>
      <c r="L17" s="91">
        <f t="shared" si="2"/>
        <v>291.24</v>
      </c>
      <c r="M17" s="91"/>
      <c r="N17" s="91">
        <f t="shared" si="3"/>
        <v>291.24</v>
      </c>
    </row>
    <row r="18" spans="1:14" ht="30">
      <c r="A18" s="64" t="s">
        <v>491</v>
      </c>
      <c r="B18" s="90" t="s">
        <v>517</v>
      </c>
      <c r="C18" s="88" t="s">
        <v>484</v>
      </c>
      <c r="D18" s="98" t="s">
        <v>7</v>
      </c>
      <c r="E18" s="90" t="s">
        <v>429</v>
      </c>
      <c r="F18" s="22"/>
      <c r="G18" s="39">
        <f>[2]MEM!L103</f>
        <v>14</v>
      </c>
      <c r="H18" s="69"/>
      <c r="I18" s="39">
        <f t="shared" si="1"/>
        <v>14</v>
      </c>
      <c r="J18" s="91">
        <f>'[2]ITENS NOVOS'!I10</f>
        <v>29.919999999999998</v>
      </c>
      <c r="K18" s="91"/>
      <c r="L18" s="91">
        <f t="shared" si="2"/>
        <v>418.88</v>
      </c>
      <c r="M18" s="91"/>
      <c r="N18" s="91">
        <f t="shared" si="3"/>
        <v>418.88</v>
      </c>
    </row>
    <row r="19" spans="1:14" ht="30">
      <c r="A19" s="64" t="s">
        <v>492</v>
      </c>
      <c r="B19" s="90" t="s">
        <v>518</v>
      </c>
      <c r="C19" s="88" t="s">
        <v>485</v>
      </c>
      <c r="D19" s="98" t="s">
        <v>7</v>
      </c>
      <c r="E19" s="90" t="s">
        <v>429</v>
      </c>
      <c r="F19" s="22"/>
      <c r="G19" s="39">
        <f>[2]MEM!L125</f>
        <v>396.84</v>
      </c>
      <c r="H19" s="69"/>
      <c r="I19" s="39">
        <f t="shared" si="1"/>
        <v>396.84</v>
      </c>
      <c r="J19" s="91">
        <f>'[2]ITENS NOVOS'!I11</f>
        <v>4.0599999999999996</v>
      </c>
      <c r="K19" s="91"/>
      <c r="L19" s="91">
        <f t="shared" si="2"/>
        <v>1611.1703999999997</v>
      </c>
      <c r="M19" s="91"/>
      <c r="N19" s="91">
        <f t="shared" si="3"/>
        <v>1611.1703999999997</v>
      </c>
    </row>
    <row r="20" spans="1:14" ht="30">
      <c r="A20" s="64" t="s">
        <v>493</v>
      </c>
      <c r="B20" s="90" t="s">
        <v>519</v>
      </c>
      <c r="C20" s="88" t="s">
        <v>486</v>
      </c>
      <c r="D20" s="98" t="s">
        <v>7</v>
      </c>
      <c r="E20" s="90" t="s">
        <v>495</v>
      </c>
      <c r="F20" s="22"/>
      <c r="G20" s="39">
        <f>[2]MEM!L137</f>
        <v>35.363999999999997</v>
      </c>
      <c r="H20" s="69"/>
      <c r="I20" s="39">
        <f t="shared" si="1"/>
        <v>35.363999999999997</v>
      </c>
      <c r="J20" s="91">
        <f>'[2]ITENS NOVOS'!I12</f>
        <v>229.97000000000003</v>
      </c>
      <c r="K20" s="91"/>
      <c r="L20" s="91">
        <f t="shared" si="2"/>
        <v>8132.6590800000004</v>
      </c>
      <c r="M20" s="91"/>
      <c r="N20" s="91">
        <f t="shared" si="3"/>
        <v>8132.6590800000004</v>
      </c>
    </row>
    <row r="21" spans="1:14" ht="30">
      <c r="A21" s="64" t="s">
        <v>520</v>
      </c>
      <c r="B21" s="90" t="s">
        <v>521</v>
      </c>
      <c r="C21" s="88" t="s">
        <v>487</v>
      </c>
      <c r="D21" s="98" t="s">
        <v>7</v>
      </c>
      <c r="E21" s="90" t="s">
        <v>429</v>
      </c>
      <c r="F21" s="22"/>
      <c r="G21" s="39">
        <f>[2]MEM!L164</f>
        <v>636.83999999999992</v>
      </c>
      <c r="H21" s="69"/>
      <c r="I21" s="39">
        <f t="shared" si="1"/>
        <v>636.83999999999992</v>
      </c>
      <c r="J21" s="91">
        <f>'[2]ITENS NOVOS'!I15</f>
        <v>2.7899999999999996</v>
      </c>
      <c r="K21" s="91"/>
      <c r="L21" s="91">
        <f t="shared" si="2"/>
        <v>1776.7835999999995</v>
      </c>
      <c r="M21" s="91"/>
      <c r="N21" s="91">
        <f t="shared" si="3"/>
        <v>1776.7835999999995</v>
      </c>
    </row>
    <row r="22" spans="1:14">
      <c r="A22" s="64" t="s">
        <v>522</v>
      </c>
      <c r="B22" s="99">
        <v>26</v>
      </c>
      <c r="C22" s="100" t="s">
        <v>523</v>
      </c>
      <c r="D22" s="99" t="s">
        <v>1</v>
      </c>
      <c r="E22" s="90" t="s">
        <v>495</v>
      </c>
      <c r="F22" s="22"/>
      <c r="G22" s="39">
        <f>[2]MEM!L172</f>
        <v>165.39639999999997</v>
      </c>
      <c r="H22" s="69"/>
      <c r="I22" s="39">
        <f>G22</f>
        <v>165.39639999999997</v>
      </c>
      <c r="J22" s="91">
        <f>'[2]ITENS NOVOS'!I35</f>
        <v>18.649999999999999</v>
      </c>
      <c r="K22" s="91"/>
      <c r="L22" s="91">
        <f t="shared" si="2"/>
        <v>3084.642859999999</v>
      </c>
      <c r="M22" s="91"/>
      <c r="N22" s="91">
        <f t="shared" si="3"/>
        <v>3084.642859999999</v>
      </c>
    </row>
    <row r="23" spans="1:14">
      <c r="A23" s="64"/>
      <c r="B23" s="69"/>
      <c r="C23" s="49"/>
      <c r="D23" s="69"/>
      <c r="E23" s="69"/>
      <c r="F23" s="22"/>
      <c r="G23" s="69"/>
      <c r="H23" s="69"/>
      <c r="I23" s="69"/>
      <c r="J23" s="91"/>
      <c r="K23" s="91"/>
      <c r="L23" s="91"/>
      <c r="M23" s="91"/>
      <c r="N23" s="91"/>
    </row>
    <row r="24" spans="1:14">
      <c r="A24" s="101">
        <f>[2]ORÇAMENTO!A18</f>
        <v>2</v>
      </c>
      <c r="B24" s="101"/>
      <c r="C24" s="102" t="str">
        <f>[2]ORÇAMENTO!B18</f>
        <v>INFRA ESTRUTURA E SUPERESTRUTURA</v>
      </c>
      <c r="D24" s="101"/>
      <c r="E24" s="101"/>
      <c r="F24" s="103"/>
      <c r="G24" s="101"/>
      <c r="H24" s="101"/>
      <c r="I24" s="101"/>
      <c r="J24" s="104"/>
      <c r="K24" s="104"/>
      <c r="L24" s="104"/>
      <c r="M24" s="104"/>
      <c r="N24" s="105"/>
    </row>
    <row r="25" spans="1:14" ht="30">
      <c r="A25" s="64" t="str">
        <f>[2]ORÇAMENTO!A19</f>
        <v>2.1</v>
      </c>
      <c r="B25" s="69">
        <f>[2]ORÇAMENTO!C19</f>
        <v>96523</v>
      </c>
      <c r="C25" s="49" t="str">
        <f>[2]ORÇAMENTO!D19</f>
        <v>ESCAVAÇÃO MANUAL PARA BLOCO DE COROAMENTO OU SAPATA (INCLUINDO ESCAVAÇÃO PARA COLOCAÇÃO DE FÔRMAS). AF_06/2017</v>
      </c>
      <c r="D25" s="69" t="str">
        <f>[2]ORÇAMENTO!B19</f>
        <v>SINAPI</v>
      </c>
      <c r="E25" s="69" t="str">
        <f>[2]ORÇAMENTO!E19</f>
        <v>m³</v>
      </c>
      <c r="F25" s="22">
        <f>[2]ORÇAMENTO!F19</f>
        <v>28.86</v>
      </c>
      <c r="G25" s="69"/>
      <c r="H25" s="69"/>
      <c r="I25" s="69"/>
      <c r="J25" s="91">
        <f>[2]ORÇAMENTO!G19*26.63%+[2]ORÇAMENTO!G19</f>
        <v>80.865917999999994</v>
      </c>
      <c r="K25" s="91">
        <f t="shared" si="0"/>
        <v>2333.79</v>
      </c>
      <c r="L25" s="91"/>
      <c r="M25" s="91"/>
      <c r="N25" s="91"/>
    </row>
    <row r="26" spans="1:14" ht="45">
      <c r="A26" s="64" t="str">
        <f>[2]ORÇAMENTO!A20</f>
        <v>2.2</v>
      </c>
      <c r="B26" s="69">
        <f>[2]ORÇAMENTO!C20</f>
        <v>101964</v>
      </c>
      <c r="C26" s="49" t="str">
        <f>[2]ORÇAMENTO!D20</f>
        <v>LAJE PRÉ-MOLDADA UNIDIRECIONAL, BIAPOIADA, PARA FORRO, ENCHIMENTO EM CERÂMICA, VIGOTA CONVENCIONAL, ALTURA TOTAL DA LAJE (ENCHIMENTO+CAPA) = (8+3). AF_11/2020</v>
      </c>
      <c r="D26" s="69" t="str">
        <f>[2]ORÇAMENTO!B20</f>
        <v>SINAPI</v>
      </c>
      <c r="E26" s="69" t="str">
        <f>[2]ORÇAMENTO!E20</f>
        <v>m²</v>
      </c>
      <c r="F26" s="22">
        <f>[2]ORÇAMENTO!F20</f>
        <v>57.88</v>
      </c>
      <c r="G26" s="69"/>
      <c r="H26" s="69"/>
      <c r="I26" s="69"/>
      <c r="J26" s="91">
        <f>[2]ORÇAMENTO!G20*26.63%+[2]ORÇAMENTO!G20</f>
        <v>179.38405799999998</v>
      </c>
      <c r="K26" s="91">
        <f t="shared" si="0"/>
        <v>10382.75</v>
      </c>
      <c r="L26" s="91"/>
      <c r="M26" s="91"/>
      <c r="N26" s="91"/>
    </row>
    <row r="27" spans="1:14" ht="30">
      <c r="A27" s="64" t="str">
        <f>[2]ORÇAMENTO!A21</f>
        <v>2.3</v>
      </c>
      <c r="B27" s="69">
        <f>[2]ORÇAMENTO!C21</f>
        <v>96619</v>
      </c>
      <c r="C27" s="49" t="str">
        <f>[2]ORÇAMENTO!D21</f>
        <v>LASTRO DE CONCRETO MAGRO, APLICADO EM BLOCOS DE COROAMENTO OU SAPATAS, ESPESSURA DE 5 CM. AF_08/2017</v>
      </c>
      <c r="D27" s="69" t="str">
        <f>[2]ORÇAMENTO!B21</f>
        <v>SINAPI</v>
      </c>
      <c r="E27" s="69" t="str">
        <f>[2]ORÇAMENTO!E21</f>
        <v>m²</v>
      </c>
      <c r="F27" s="22">
        <f>[2]ORÇAMENTO!F21</f>
        <v>19.239999999999998</v>
      </c>
      <c r="G27" s="69"/>
      <c r="H27" s="69"/>
      <c r="I27" s="69"/>
      <c r="J27" s="91">
        <f>[2]ORÇAMENTO!G21*26.63%+[2]ORÇAMENTO!G21</f>
        <v>28.808325</v>
      </c>
      <c r="K27" s="91">
        <f t="shared" si="0"/>
        <v>554.27</v>
      </c>
      <c r="L27" s="91"/>
      <c r="M27" s="91"/>
      <c r="N27" s="91"/>
    </row>
    <row r="28" spans="1:14" ht="45">
      <c r="A28" s="64" t="str">
        <f>[2]ORÇAMENTO!A22</f>
        <v>2.4</v>
      </c>
      <c r="B28" s="69">
        <f>[2]ORÇAMENTO!C22</f>
        <v>94971</v>
      </c>
      <c r="C28" s="49" t="str">
        <f>[2]ORÇAMENTO!D22</f>
        <v>CONCRETO FCK = 25MPA, TRAÇO 1:2,3:2,7 (EM MASSA SECA DE CIMENTO/ AREIA MÉDIA/ BRITA 1) - PREPARO MECÂNICO COM BETONEIRA 600 L. AF_05/2021</v>
      </c>
      <c r="D28" s="69" t="str">
        <f>[2]ORÇAMENTO!B22</f>
        <v>SINAPI</v>
      </c>
      <c r="E28" s="69" t="str">
        <f>[2]ORÇAMENTO!E22</f>
        <v>m³</v>
      </c>
      <c r="F28" s="22">
        <f>[2]ORÇAMENTO!F22</f>
        <v>5.8</v>
      </c>
      <c r="G28" s="69"/>
      <c r="H28" s="69"/>
      <c r="I28" s="69"/>
      <c r="J28" s="91">
        <f>[2]ORÇAMENTO!G22*26.63%+[2]ORÇAMENTO!G22</f>
        <v>447.371127</v>
      </c>
      <c r="K28" s="91">
        <f t="shared" si="0"/>
        <v>2594.75</v>
      </c>
      <c r="L28" s="91"/>
      <c r="M28" s="91"/>
      <c r="N28" s="91"/>
    </row>
    <row r="29" spans="1:14" ht="45">
      <c r="A29" s="64" t="str">
        <f>[2]ORÇAMENTO!A23</f>
        <v>2.5</v>
      </c>
      <c r="B29" s="69">
        <f>[2]ORÇAMENTO!C23</f>
        <v>94972</v>
      </c>
      <c r="C29" s="49" t="str">
        <f>[2]ORÇAMENTO!D23</f>
        <v>CONCRETO FCK = 30MPA, TRAÇO 1:2,1:2,5 (EM MASSA SECA DE CIMENTO/ AREIA MÉDIA/ BRITA 1) - PREPARO MECÂNICO COM BETONEIRA 600 L. AF_05/2021</v>
      </c>
      <c r="D29" s="69" t="str">
        <f>[2]ORÇAMENTO!B23</f>
        <v>SINAPI</v>
      </c>
      <c r="E29" s="69" t="str">
        <f>[2]ORÇAMENTO!E23</f>
        <v>m³</v>
      </c>
      <c r="F29" s="22">
        <f>[2]ORÇAMENTO!F23</f>
        <v>30.1</v>
      </c>
      <c r="G29" s="39">
        <f>[2]MEM!L221</f>
        <v>12.295800000000003</v>
      </c>
      <c r="H29" s="69"/>
      <c r="I29" s="22">
        <f>F29+G29</f>
        <v>42.395800000000008</v>
      </c>
      <c r="J29" s="91">
        <f>[2]ORÇAMENTO!G23*26.63%+[2]ORÇAMENTO!G23</f>
        <v>461.95890299999996</v>
      </c>
      <c r="K29" s="91">
        <f t="shared" si="0"/>
        <v>13904.96</v>
      </c>
      <c r="L29" s="91">
        <f>G29*J29</f>
        <v>5680.154279507401</v>
      </c>
      <c r="M29" s="91"/>
      <c r="N29" s="91">
        <f>I29*J29</f>
        <v>19585.117259807401</v>
      </c>
    </row>
    <row r="30" spans="1:14" ht="30">
      <c r="A30" s="64" t="str">
        <f>[2]ORÇAMENTO!A24</f>
        <v>2.6</v>
      </c>
      <c r="B30" s="69">
        <f>[2]ORÇAMENTO!C24</f>
        <v>92873</v>
      </c>
      <c r="C30" s="49" t="str">
        <f>[2]ORÇAMENTO!D24</f>
        <v>LANÇAMENTO COM USO DE BALDES, ADENSAMENTO E ACABAMENTO DE CONCRETO EM ESTRUTURAS. AF_12/2015</v>
      </c>
      <c r="D30" s="69" t="str">
        <f>[2]ORÇAMENTO!B24</f>
        <v>SINAPI</v>
      </c>
      <c r="E30" s="69" t="str">
        <f>[2]ORÇAMENTO!E24</f>
        <v>m³</v>
      </c>
      <c r="F30" s="22">
        <f>[2]ORÇAMENTO!F24</f>
        <v>35.9</v>
      </c>
      <c r="G30" s="69"/>
      <c r="H30" s="69"/>
      <c r="I30" s="69"/>
      <c r="J30" s="91">
        <f>[2]ORÇAMENTO!G24*26.63%+[2]ORÇAMENTO!G24</f>
        <v>242.28117900000001</v>
      </c>
      <c r="K30" s="91">
        <f t="shared" si="0"/>
        <v>8697.89</v>
      </c>
      <c r="L30" s="91"/>
      <c r="M30" s="91"/>
      <c r="N30" s="91"/>
    </row>
    <row r="31" spans="1:14">
      <c r="A31" s="64" t="str">
        <f>[2]ORÇAMENTO!A25</f>
        <v>2.7</v>
      </c>
      <c r="B31" s="69">
        <f>[2]ORÇAMENTO!C25</f>
        <v>90</v>
      </c>
      <c r="C31" s="49" t="str">
        <f>[2]ORÇAMENTO!D25</f>
        <v>Forma plana para fundações, em tábua de pinho, 07 usos.</v>
      </c>
      <c r="D31" s="69" t="str">
        <f>[2]ORÇAMENTO!B25</f>
        <v>ORSE</v>
      </c>
      <c r="E31" s="69" t="str">
        <f>[2]ORÇAMENTO!E25</f>
        <v>m²</v>
      </c>
      <c r="F31" s="22">
        <f>[2]ORÇAMENTO!F25</f>
        <v>19.3</v>
      </c>
      <c r="G31" s="69"/>
      <c r="H31" s="69"/>
      <c r="I31" s="69"/>
      <c r="J31" s="91">
        <f>[2]ORÇAMENTO!G25*26.63%+[2]ORÇAMENTO!G25</f>
        <v>82.765367999999995</v>
      </c>
      <c r="K31" s="91">
        <f t="shared" si="0"/>
        <v>1597.37</v>
      </c>
      <c r="L31" s="91"/>
      <c r="M31" s="91"/>
      <c r="N31" s="91"/>
    </row>
    <row r="32" spans="1:14" ht="30">
      <c r="A32" s="64" t="str">
        <f>[2]ORÇAMENTO!A26</f>
        <v>2.8</v>
      </c>
      <c r="B32" s="69">
        <f>[2]ORÇAMENTO!C26</f>
        <v>3366</v>
      </c>
      <c r="C32" s="49" t="str">
        <f>[2]ORÇAMENTO!D26</f>
        <v>Forma plana para estruturas, em compensado plastificado de 12mm, 07 usos.</v>
      </c>
      <c r="D32" s="69" t="str">
        <f>[2]ORÇAMENTO!B26</f>
        <v>ORSE</v>
      </c>
      <c r="E32" s="69" t="str">
        <f>[2]ORÇAMENTO!E26</f>
        <v>m²</v>
      </c>
      <c r="F32" s="22">
        <f>[2]ORÇAMENTO!F26</f>
        <v>421.3</v>
      </c>
      <c r="G32" s="69"/>
      <c r="H32" s="69"/>
      <c r="I32" s="69"/>
      <c r="J32" s="91">
        <f>[2]ORÇAMENTO!G26*26.63%+[2]ORÇAMENTO!G26</f>
        <v>69.874433999999994</v>
      </c>
      <c r="K32" s="91">
        <f t="shared" si="0"/>
        <v>29438.1</v>
      </c>
      <c r="L32" s="91"/>
      <c r="M32" s="91"/>
      <c r="N32" s="91"/>
    </row>
    <row r="33" spans="1:14" ht="45">
      <c r="A33" s="64" t="str">
        <f>[2]ORÇAMENTO!A27</f>
        <v>2.9</v>
      </c>
      <c r="B33" s="69">
        <f>[2]ORÇAMENTO!C27</f>
        <v>92763</v>
      </c>
      <c r="C33" s="49" t="str">
        <f>[2]ORÇAMENTO!D27</f>
        <v>ARMAÇÃO DE PILAR OU VIGA DE UMA ESTRUTURA CONVENCIONAL DE CONCRETO ARMADO EM UM EDIFÍCIO DE MÚLTIPLOS PAVIMENTOS UTILIZANDO AÇO CA-50 DE 12,5 MM - MONTAGEM. AF_12/2015</v>
      </c>
      <c r="D33" s="69" t="str">
        <f>[2]ORÇAMENTO!B27</f>
        <v>SINAPI</v>
      </c>
      <c r="E33" s="69" t="str">
        <f>[2]ORÇAMENTO!E27</f>
        <v>kg</v>
      </c>
      <c r="F33" s="22">
        <f>[2]ORÇAMENTO!F27</f>
        <v>480.3</v>
      </c>
      <c r="G33" s="39">
        <f>[2]MEM!L249</f>
        <v>99.050000000000011</v>
      </c>
      <c r="H33" s="69"/>
      <c r="I33" s="22">
        <f>F33+G33</f>
        <v>579.35</v>
      </c>
      <c r="J33" s="91">
        <f>[2]ORÇAMENTO!G27*26.63%+[2]ORÇAMENTO!G27</f>
        <v>13.068216</v>
      </c>
      <c r="K33" s="91">
        <f t="shared" si="0"/>
        <v>6276.66</v>
      </c>
      <c r="L33" s="91">
        <f>G33*J33</f>
        <v>1294.4067948000002</v>
      </c>
      <c r="M33" s="91"/>
      <c r="N33" s="91">
        <f>I33*J33</f>
        <v>7571.0709396000002</v>
      </c>
    </row>
    <row r="34" spans="1:14" ht="45">
      <c r="A34" s="64" t="str">
        <f>[2]ORÇAMENTO!A28</f>
        <v>2.10</v>
      </c>
      <c r="B34" s="69">
        <f>[2]ORÇAMENTO!C28</f>
        <v>92762</v>
      </c>
      <c r="C34" s="49" t="str">
        <f>[2]ORÇAMENTO!D28</f>
        <v>ARMAÇÃO DE PILAR OU VIGA DE UMA ESTRUTURA CONVENCIONAL DE CONCRETO ARMADO EM UM EDIFÍCIO DE MÚLTIPLOS PAVIMENTOS UTILIZANDO AÇO CA-50 DE 10,0 MM - MONTAGEM. AF_12/2015</v>
      </c>
      <c r="D34" s="69" t="str">
        <f>[2]ORÇAMENTO!B28</f>
        <v>SINAPI</v>
      </c>
      <c r="E34" s="69" t="str">
        <f>[2]ORÇAMENTO!E28</f>
        <v>kg</v>
      </c>
      <c r="F34" s="22">
        <f>[2]ORÇAMENTO!F28</f>
        <v>1608.2</v>
      </c>
      <c r="G34" s="39">
        <f>[2]MEM!L259</f>
        <v>446.57226000000009</v>
      </c>
      <c r="H34" s="69"/>
      <c r="I34" s="22">
        <f>F34+G34</f>
        <v>2054.7722600000002</v>
      </c>
      <c r="J34" s="91">
        <f>[2]ORÇAMENTO!G28*26.63%+[2]ORÇAMENTO!G28</f>
        <v>15.309566999999999</v>
      </c>
      <c r="K34" s="91">
        <f t="shared" si="0"/>
        <v>24620.85</v>
      </c>
      <c r="L34" s="91">
        <f>G34*J34</f>
        <v>6836.8279348114211</v>
      </c>
      <c r="M34" s="91"/>
      <c r="N34" s="91">
        <f>I34*J34</f>
        <v>31457.673584211421</v>
      </c>
    </row>
    <row r="35" spans="1:14" ht="45">
      <c r="A35" s="64" t="str">
        <f>[2]ORÇAMENTO!A29</f>
        <v>2.11</v>
      </c>
      <c r="B35" s="69">
        <f>[2]ORÇAMENTO!C29</f>
        <v>92764</v>
      </c>
      <c r="C35" s="49" t="str">
        <f>[2]ORÇAMENTO!D29</f>
        <v>ARMAÇÃO DE PILAR OU VIGA DE UMA ESTRUTURA CONVENCIONAL DE CONCRETO ARMADO EM UM EDIFÍCIO DE MÚLTIPLOS PAVIMENTOS UTILIZANDO AÇO CA-50 DE 16,0 MM - MONTAGEM. AF_12/2015</v>
      </c>
      <c r="D35" s="69" t="str">
        <f>[2]ORÇAMENTO!B29</f>
        <v>SINAPI</v>
      </c>
      <c r="E35" s="69" t="str">
        <f>[2]ORÇAMENTO!E29</f>
        <v>kg</v>
      </c>
      <c r="F35" s="22">
        <f>[2]ORÇAMENTO!F29</f>
        <v>63.1</v>
      </c>
      <c r="G35" s="69"/>
      <c r="H35" s="69"/>
      <c r="I35" s="69"/>
      <c r="J35" s="91">
        <f>[2]ORÇAMENTO!G29*26.63%+[2]ORÇAMENTO!G29</f>
        <v>12.625011000000001</v>
      </c>
      <c r="K35" s="91">
        <f t="shared" si="0"/>
        <v>796.64</v>
      </c>
      <c r="L35" s="91"/>
      <c r="M35" s="91"/>
      <c r="N35" s="91"/>
    </row>
    <row r="36" spans="1:14" ht="45">
      <c r="A36" s="64" t="str">
        <f>[2]ORÇAMENTO!A30</f>
        <v>2.12</v>
      </c>
      <c r="B36" s="69">
        <f>[2]ORÇAMENTO!C30</f>
        <v>92759</v>
      </c>
      <c r="C36" s="49" t="str">
        <f>[2]ORÇAMENTO!D30</f>
        <v>ARMAÇÃO DE PILAR OU VIGA DE UMA ESTRUTURA CONVENCIONAL DE CONCRETO ARMADO EM UM EDIFÍCIO DE MÚLTIPLOS PAVIMENTOS UTILIZANDO AÇO CA-60 DE 5,0 MM - MONTAGEM. AF_12/2015</v>
      </c>
      <c r="D36" s="69" t="str">
        <f>[2]ORÇAMENTO!B30</f>
        <v>SINAPI</v>
      </c>
      <c r="E36" s="69" t="str">
        <f>[2]ORÇAMENTO!E30</f>
        <v>kg</v>
      </c>
      <c r="F36" s="22">
        <f>[2]ORÇAMENTO!F30</f>
        <v>651.9</v>
      </c>
      <c r="G36" s="69"/>
      <c r="H36" s="69"/>
      <c r="I36" s="69"/>
      <c r="J36" s="91">
        <f>[2]ORÇAMENTO!G30*26.63%+[2]ORÇAMENTO!G30</f>
        <v>17.715537000000001</v>
      </c>
      <c r="K36" s="91">
        <f t="shared" si="0"/>
        <v>11548.76</v>
      </c>
      <c r="L36" s="91"/>
      <c r="M36" s="91"/>
      <c r="N36" s="91"/>
    </row>
    <row r="37" spans="1:14">
      <c r="A37" s="64" t="str">
        <f>[2]ORÇAMENTO!A31</f>
        <v>2.13</v>
      </c>
      <c r="B37" s="69">
        <f>[2]ORÇAMENTO!C31</f>
        <v>96995</v>
      </c>
      <c r="C37" s="49" t="str">
        <f>[2]ORÇAMENTO!D31</f>
        <v>REATERRO MANUAL APILOADO COM SOQUETE. AF_10/2017</v>
      </c>
      <c r="D37" s="69" t="str">
        <f>[2]ORÇAMENTO!B31</f>
        <v>SINAPI</v>
      </c>
      <c r="E37" s="69" t="str">
        <f>[2]ORÇAMENTO!E31</f>
        <v>m³</v>
      </c>
      <c r="F37" s="22">
        <f>[2]ORÇAMENTO!F31</f>
        <v>24.3</v>
      </c>
      <c r="G37" s="69"/>
      <c r="H37" s="69"/>
      <c r="I37" s="69"/>
      <c r="J37" s="91">
        <f>[2]ORÇAMENTO!G31*26.63%+[2]ORÇAMENTO!G31</f>
        <v>42.775614000000004</v>
      </c>
      <c r="K37" s="91">
        <f t="shared" si="0"/>
        <v>1039.45</v>
      </c>
      <c r="L37" s="91"/>
      <c r="M37" s="91"/>
      <c r="N37" s="91"/>
    </row>
    <row r="38" spans="1:14">
      <c r="A38" s="64" t="str">
        <f>[2]ORÇAMENTO!A32</f>
        <v>2.14</v>
      </c>
      <c r="B38" s="69">
        <f>[2]ORÇAMENTO!C32</f>
        <v>93184</v>
      </c>
      <c r="C38" s="49" t="str">
        <f>[2]ORÇAMENTO!D32</f>
        <v>VERGA PRÉ-MOLDADA PARA PORTAS COM ATÉ 1,5 M DE VÃO. AF_03/2016</v>
      </c>
      <c r="D38" s="69" t="str">
        <f>[2]ORÇAMENTO!B32</f>
        <v>SINAPI</v>
      </c>
      <c r="E38" s="69" t="str">
        <f>[2]ORÇAMENTO!E32</f>
        <v>m</v>
      </c>
      <c r="F38" s="22">
        <f>[2]ORÇAMENTO!F32</f>
        <v>58.14</v>
      </c>
      <c r="G38" s="69"/>
      <c r="H38" s="69"/>
      <c r="I38" s="69"/>
      <c r="J38" s="91">
        <f>[2]ORÇAMENTO!G32*26.63%+[2]ORÇAMENTO!G32</f>
        <v>37.786391999999999</v>
      </c>
      <c r="K38" s="91">
        <f t="shared" si="0"/>
        <v>2196.9</v>
      </c>
      <c r="L38" s="91"/>
      <c r="M38" s="91"/>
      <c r="N38" s="91"/>
    </row>
    <row r="39" spans="1:14">
      <c r="A39" s="64" t="str">
        <f>[2]ORÇAMENTO!A33</f>
        <v>2.15</v>
      </c>
      <c r="B39" s="69">
        <f>[2]ORÇAMENTO!C33</f>
        <v>93182</v>
      </c>
      <c r="C39" s="49" t="str">
        <f>[2]ORÇAMENTO!D33</f>
        <v>VERGA PRÉ-MOLDADA PARA JANELAS COM ATÉ 1,5 M DE VÃO. AF_03/2016</v>
      </c>
      <c r="D39" s="69" t="str">
        <f>[2]ORÇAMENTO!B33</f>
        <v>SINAPI</v>
      </c>
      <c r="E39" s="69" t="str">
        <f>[2]ORÇAMENTO!E33</f>
        <v>m</v>
      </c>
      <c r="F39" s="22">
        <f>[2]ORÇAMENTO!F33</f>
        <v>16.899999999999999</v>
      </c>
      <c r="G39" s="69"/>
      <c r="H39" s="69"/>
      <c r="I39" s="69"/>
      <c r="J39" s="91">
        <f>[2]ORÇAMENTO!G33*26.63%+[2]ORÇAMENTO!G33</f>
        <v>52.184223000000003</v>
      </c>
      <c r="K39" s="91">
        <f t="shared" si="0"/>
        <v>881.91</v>
      </c>
      <c r="L39" s="91"/>
      <c r="M39" s="91"/>
      <c r="N39" s="91"/>
    </row>
    <row r="40" spans="1:14" ht="30">
      <c r="A40" s="64" t="str">
        <f>[2]ORÇAMENTO!A34</f>
        <v>2.16</v>
      </c>
      <c r="B40" s="69">
        <f>[2]ORÇAMENTO!C34</f>
        <v>93194</v>
      </c>
      <c r="C40" s="49" t="str">
        <f>[2]ORÇAMENTO!D34</f>
        <v>CONTRAVERGA PRÉ-MOLDADA PARA VÃOS DE ATÉ 1,5 M DE COMPRIMENTO. AF_03/2016</v>
      </c>
      <c r="D40" s="69" t="str">
        <f>[2]ORÇAMENTO!B34</f>
        <v>SINAPI</v>
      </c>
      <c r="E40" s="69" t="str">
        <f>[2]ORÇAMENTO!E34</f>
        <v>m</v>
      </c>
      <c r="F40" s="22">
        <f>[2]ORÇAMENTO!F34</f>
        <v>16.899999999999999</v>
      </c>
      <c r="G40" s="69"/>
      <c r="H40" s="69"/>
      <c r="I40" s="69"/>
      <c r="J40" s="91">
        <f>[2]ORÇAMENTO!G34*26.63%+[2]ORÇAMENTO!G34</f>
        <v>50.322762000000004</v>
      </c>
      <c r="K40" s="91">
        <f t="shared" si="0"/>
        <v>850.45</v>
      </c>
      <c r="L40" s="91"/>
      <c r="M40" s="91"/>
      <c r="N40" s="91"/>
    </row>
    <row r="41" spans="1:14">
      <c r="A41" s="64" t="s">
        <v>524</v>
      </c>
      <c r="B41" s="106" t="s">
        <v>525</v>
      </c>
      <c r="C41" s="107" t="s">
        <v>526</v>
      </c>
      <c r="D41" s="69" t="s">
        <v>7</v>
      </c>
      <c r="E41" s="106" t="s">
        <v>429</v>
      </c>
      <c r="F41" s="22"/>
      <c r="G41" s="39">
        <f>[2]MEM!L274</f>
        <v>29.880000000000006</v>
      </c>
      <c r="H41" s="69"/>
      <c r="I41" s="39">
        <f>G41</f>
        <v>29.880000000000006</v>
      </c>
      <c r="J41" s="91">
        <f>'[2]ITENS NOVOS'!I36</f>
        <v>5.1800000000000006</v>
      </c>
      <c r="K41" s="91"/>
      <c r="L41" s="91">
        <f>G41*J41</f>
        <v>154.77840000000006</v>
      </c>
      <c r="M41" s="91"/>
      <c r="N41" s="91">
        <f>I41*J41</f>
        <v>154.77840000000006</v>
      </c>
    </row>
    <row r="42" spans="1:14">
      <c r="A42" s="69"/>
      <c r="B42" s="69"/>
      <c r="C42" s="49"/>
      <c r="D42" s="69"/>
      <c r="E42" s="69"/>
      <c r="F42" s="22"/>
      <c r="G42" s="69"/>
      <c r="H42" s="69"/>
      <c r="I42" s="69"/>
      <c r="J42" s="91"/>
      <c r="K42" s="91"/>
      <c r="L42" s="91"/>
      <c r="M42" s="91"/>
      <c r="N42" s="91"/>
    </row>
    <row r="43" spans="1:14">
      <c r="A43" s="101">
        <f>[2]ORÇAMENTO!A36</f>
        <v>3</v>
      </c>
      <c r="B43" s="101"/>
      <c r="C43" s="102" t="str">
        <f>[2]ORÇAMENTO!B36</f>
        <v>ALVENARIA E VEDAÇÕES</v>
      </c>
      <c r="D43" s="101"/>
      <c r="E43" s="101"/>
      <c r="F43" s="103"/>
      <c r="G43" s="101"/>
      <c r="H43" s="101"/>
      <c r="I43" s="101"/>
      <c r="J43" s="104"/>
      <c r="K43" s="104"/>
      <c r="L43" s="104"/>
      <c r="M43" s="105"/>
      <c r="N43" s="105"/>
    </row>
    <row r="44" spans="1:14" ht="45">
      <c r="A44" s="64" t="str">
        <f>[2]ORÇAMENTO!A37</f>
        <v>3.1</v>
      </c>
      <c r="B44" s="69">
        <f>[2]ORÇAMENTO!C37</f>
        <v>103326</v>
      </c>
      <c r="C44" s="63" t="str">
        <f>[3]ORÇAMENTO!$AD$36</f>
        <v>ALVENARIA DE VEDAÇÃO DE BLOCOS CERÂMICOS FURADOS NA HORIZONTAL DE 9X19X19 CM (ESPESSURA 9 CM) E ARGAMASSA DE ASSENTAMENTO COM PREPARO EM BETONEIRA.</v>
      </c>
      <c r="D44" s="69" t="str">
        <f>[2]ORÇAMENTO!B37</f>
        <v>SINAPI</v>
      </c>
      <c r="E44" s="69" t="str">
        <f>[2]ORÇAMENTO!E37</f>
        <v>m²</v>
      </c>
      <c r="F44" s="22">
        <f>[2]ORÇAMENTO!F37</f>
        <v>209.45</v>
      </c>
      <c r="G44" s="39">
        <f>[2]MEM!L317</f>
        <v>239.29999999999998</v>
      </c>
      <c r="H44" s="69"/>
      <c r="I44" s="22">
        <f>F44+G44</f>
        <v>448.75</v>
      </c>
      <c r="J44" s="91">
        <f>[2]ORÇAMENTO!G37*26.63%+[2]ORÇAMENTO!G37</f>
        <v>78.459947999999997</v>
      </c>
      <c r="K44" s="91">
        <f t="shared" si="0"/>
        <v>16433.439999999999</v>
      </c>
      <c r="L44" s="91">
        <f>G44*J44</f>
        <v>18775.465556399999</v>
      </c>
      <c r="M44" s="91"/>
      <c r="N44" s="91">
        <f>I44*J44</f>
        <v>35208.901664999998</v>
      </c>
    </row>
    <row r="45" spans="1:14" ht="30">
      <c r="A45" s="69" t="str">
        <f>[2]ORÇAMENTO!A38</f>
        <v>3.2</v>
      </c>
      <c r="B45" s="69">
        <f>[2]ORÇAMENTO!C38</f>
        <v>191</v>
      </c>
      <c r="C45" s="49" t="str">
        <f>[2]ORÇAMENTO!D38</f>
        <v>Divisória em granito cinza andorinha polido, e=2cm, inclusive com montagem em ferragem - Rev 02.</v>
      </c>
      <c r="D45" s="69" t="str">
        <f>[2]ORÇAMENTO!B38</f>
        <v>ORSE</v>
      </c>
      <c r="E45" s="69" t="str">
        <f>[2]ORÇAMENTO!E38</f>
        <v>m²</v>
      </c>
      <c r="F45" s="22">
        <f>[2]ORÇAMENTO!F38</f>
        <v>53.89</v>
      </c>
      <c r="G45" s="69"/>
      <c r="H45" s="69"/>
      <c r="I45" s="69"/>
      <c r="J45" s="91">
        <f>[2]ORÇAMENTO!G38*26.63%+[2]ORÇAMENTO!G38</f>
        <v>712.59766200000001</v>
      </c>
      <c r="K45" s="91">
        <f t="shared" si="0"/>
        <v>38401.89</v>
      </c>
      <c r="L45" s="91"/>
      <c r="M45" s="91"/>
      <c r="N45" s="91"/>
    </row>
    <row r="46" spans="1:14" ht="30">
      <c r="A46" s="64" t="s">
        <v>527</v>
      </c>
      <c r="B46" s="108" t="s">
        <v>528</v>
      </c>
      <c r="C46" s="109" t="s">
        <v>529</v>
      </c>
      <c r="D46" s="110" t="s">
        <v>530</v>
      </c>
      <c r="E46" s="90" t="s">
        <v>429</v>
      </c>
      <c r="F46" s="22"/>
      <c r="G46" s="39">
        <f>[2]MEM!L338</f>
        <v>85.483000000000004</v>
      </c>
      <c r="H46" s="69"/>
      <c r="I46" s="39">
        <f>G46</f>
        <v>85.483000000000004</v>
      </c>
      <c r="J46" s="91">
        <f>'[2]ITENS NOVOS'!I17</f>
        <v>128.24</v>
      </c>
      <c r="K46" s="91"/>
      <c r="L46" s="91">
        <f>G46*J46</f>
        <v>10962.339920000002</v>
      </c>
      <c r="M46" s="91"/>
      <c r="N46" s="91">
        <f>I46*J46</f>
        <v>10962.339920000002</v>
      </c>
    </row>
    <row r="47" spans="1:14">
      <c r="A47" s="69"/>
      <c r="B47" s="69"/>
      <c r="C47" s="49"/>
      <c r="D47" s="69"/>
      <c r="E47" s="69"/>
      <c r="F47" s="22"/>
      <c r="G47" s="69"/>
      <c r="H47" s="69"/>
      <c r="I47" s="69"/>
      <c r="J47" s="91"/>
      <c r="K47" s="91"/>
      <c r="L47" s="91"/>
      <c r="M47" s="91"/>
      <c r="N47" s="91"/>
    </row>
    <row r="48" spans="1:14">
      <c r="A48" s="111">
        <f>[2]ORÇAMENTO!A40</f>
        <v>4</v>
      </c>
      <c r="B48" s="111"/>
      <c r="C48" s="112" t="str">
        <f>[2]ORÇAMENTO!B40</f>
        <v>IMPERMEABILIZAÇÕES</v>
      </c>
      <c r="D48" s="111"/>
      <c r="E48" s="111"/>
      <c r="F48" s="113"/>
      <c r="G48" s="111"/>
      <c r="H48" s="111"/>
      <c r="I48" s="111"/>
      <c r="J48" s="114"/>
      <c r="K48" s="114"/>
      <c r="L48" s="105"/>
      <c r="M48" s="105"/>
      <c r="N48" s="105"/>
    </row>
    <row r="49" spans="1:14" ht="30">
      <c r="A49" s="69" t="str">
        <f>[2]ORÇAMENTO!A41</f>
        <v>4.1</v>
      </c>
      <c r="B49" s="69">
        <f>[2]ORÇAMENTO!C41</f>
        <v>98557</v>
      </c>
      <c r="C49" s="49" t="str">
        <f>[2]ORÇAMENTO!D41</f>
        <v>IMPERMEABILIZAÇÃO DE SUPERFÍCIE COM EMULSÃO ASFÁLTICA, 2 DEMÃOS AF_06/2018</v>
      </c>
      <c r="D49" s="69" t="str">
        <f>[2]ORÇAMENTO!B41</f>
        <v>SINAPI</v>
      </c>
      <c r="E49" s="69" t="str">
        <f>[2]ORÇAMENTO!E41</f>
        <v>m²</v>
      </c>
      <c r="F49" s="22">
        <f>[2]ORÇAMENTO!F41</f>
        <v>25.12</v>
      </c>
      <c r="G49" s="69"/>
      <c r="H49" s="69"/>
      <c r="I49" s="69"/>
      <c r="J49" s="91">
        <f>[2]ORÇAMENTO!G41*26.63%+[2]ORÇAMENTO!G41</f>
        <v>48.777876000000006</v>
      </c>
      <c r="K49" s="91">
        <f t="shared" si="0"/>
        <v>1225.3</v>
      </c>
      <c r="L49" s="91"/>
      <c r="M49" s="91"/>
      <c r="N49" s="91"/>
    </row>
    <row r="50" spans="1:14" ht="45">
      <c r="A50" s="69" t="str">
        <f>[2]ORÇAMENTO!A42</f>
        <v>4.2</v>
      </c>
      <c r="B50" s="69">
        <f>[2]ORÇAMENTO!C42</f>
        <v>98546</v>
      </c>
      <c r="C50" s="49" t="str">
        <f>[2]ORÇAMENTO!D42</f>
        <v>IMPERMEABILIZAÇÃO DE SUPERFÍCIE COM MANTA ASFÁLTICA, UMA CAMADA, INCLUSIVE APLICAÇÃO DE PRIMER ASFÁLTICO, E=3MM. AF_06/2018</v>
      </c>
      <c r="D50" s="69" t="str">
        <f>[2]ORÇAMENTO!B42</f>
        <v>SINAPI</v>
      </c>
      <c r="E50" s="69" t="str">
        <f>[2]ORÇAMENTO!E42</f>
        <v>m²</v>
      </c>
      <c r="F50" s="22">
        <f>[2]ORÇAMENTO!F42</f>
        <v>57.88</v>
      </c>
      <c r="G50" s="69"/>
      <c r="H50" s="69"/>
      <c r="I50" s="69"/>
      <c r="J50" s="91">
        <f>[2]ORÇAMENTO!G42*26.63%+[2]ORÇAMENTO!G42</f>
        <v>121.108932</v>
      </c>
      <c r="K50" s="91">
        <f t="shared" si="0"/>
        <v>7009.78</v>
      </c>
      <c r="L50" s="91"/>
      <c r="M50" s="91"/>
      <c r="N50" s="91"/>
    </row>
    <row r="51" spans="1:14">
      <c r="A51" s="69"/>
      <c r="B51" s="69"/>
      <c r="C51" s="49"/>
      <c r="D51" s="69"/>
      <c r="E51" s="69"/>
      <c r="F51" s="22"/>
      <c r="G51" s="69"/>
      <c r="H51" s="69"/>
      <c r="I51" s="69"/>
      <c r="J51" s="91"/>
      <c r="K51" s="91"/>
      <c r="L51" s="91"/>
      <c r="M51" s="91"/>
      <c r="N51" s="91"/>
    </row>
    <row r="52" spans="1:14">
      <c r="A52" s="101">
        <f>[2]ORÇAMENTO!A44</f>
        <v>5</v>
      </c>
      <c r="B52" s="101"/>
      <c r="C52" s="102" t="str">
        <f>[2]ORÇAMENTO!B44</f>
        <v>COBERTURAS E PROTEÇÕES</v>
      </c>
      <c r="D52" s="101"/>
      <c r="E52" s="101"/>
      <c r="F52" s="103"/>
      <c r="G52" s="101"/>
      <c r="H52" s="101"/>
      <c r="I52" s="101"/>
      <c r="J52" s="104"/>
      <c r="K52" s="104"/>
      <c r="L52" s="105"/>
      <c r="M52" s="105"/>
      <c r="N52" s="105"/>
    </row>
    <row r="53" spans="1:14" ht="45">
      <c r="A53" s="69" t="str">
        <f>[2]ORÇAMENTO!A45</f>
        <v>5.1</v>
      </c>
      <c r="B53" s="69">
        <f>[2]ORÇAMENTO!C45</f>
        <v>92539</v>
      </c>
      <c r="C53" s="49" t="str">
        <f>[2]ORÇAMENTO!D45</f>
        <v>TRAMA DE MADEIRA COMPOSTA POR RIPAS, CAIBROS E TERÇAS PARA TELHADOS DE ATÉ 2 ÁGUAS PARA TELHA DE ENCAIXE DE CERÂMICA OU DE CONCRETO, INCLUSO TRANSPORTE VERTICAL. AF_07/2019</v>
      </c>
      <c r="D53" s="69" t="str">
        <f>[2]ORÇAMENTO!B45</f>
        <v>SINAPI</v>
      </c>
      <c r="E53" s="69" t="str">
        <f>[2]ORÇAMENTO!E45</f>
        <v>m²</v>
      </c>
      <c r="F53" s="22">
        <f>309.93+106</f>
        <v>415.93</v>
      </c>
      <c r="G53" s="69">
        <f>774.83-309+121</f>
        <v>586.83000000000004</v>
      </c>
      <c r="H53" s="69">
        <v>309.93</v>
      </c>
      <c r="I53" s="69">
        <f>G53</f>
        <v>586.83000000000004</v>
      </c>
      <c r="J53" s="91">
        <f>[2]ORÇAMENTO!G45*26.63%+[2]ORÇAMENTO!G45</f>
        <v>76.573160999999999</v>
      </c>
      <c r="K53" s="91">
        <f t="shared" si="0"/>
        <v>31849.07</v>
      </c>
      <c r="L53" s="91">
        <f>G53*J53</f>
        <v>44935.428069630005</v>
      </c>
      <c r="M53" s="91"/>
      <c r="N53" s="91">
        <f>I53*J53</f>
        <v>44935.428069630005</v>
      </c>
    </row>
    <row r="54" spans="1:14" ht="30">
      <c r="A54" s="69" t="str">
        <f>[2]ORÇAMENTO!A46</f>
        <v>5.2</v>
      </c>
      <c r="B54" s="69">
        <f>[2]ORÇAMENTO!C46</f>
        <v>94201</v>
      </c>
      <c r="C54" s="49" t="str">
        <f>[2]ORÇAMENTO!D46</f>
        <v>TELHAMENTO COM TELHA CERÂMICA CAPA-CANAL, TIPO COLONIAL, COM ATÉ 2 ÁGUAS, INCLUSO TRANSPORTE VERTICAL. AF_07/2019</v>
      </c>
      <c r="D54" s="69" t="str">
        <f>[2]ORÇAMENTO!B46</f>
        <v>SINAPI</v>
      </c>
      <c r="E54" s="69" t="str">
        <f>[2]ORÇAMENTO!E46</f>
        <v>m²</v>
      </c>
      <c r="F54" s="22">
        <f>[2]ORÇAMENTO!F46</f>
        <v>309.93</v>
      </c>
      <c r="G54" s="69"/>
      <c r="H54" s="69"/>
      <c r="I54" s="69"/>
      <c r="J54" s="91">
        <f>[2]ORÇAMENTO!G46*26.63%+[2]ORÇAMENTO!G46</f>
        <v>37.495142999999999</v>
      </c>
      <c r="K54" s="91">
        <f t="shared" si="0"/>
        <v>11620.87</v>
      </c>
      <c r="L54" s="91"/>
      <c r="M54" s="91"/>
      <c r="N54" s="91"/>
    </row>
    <row r="55" spans="1:14" ht="30">
      <c r="A55" s="69" t="str">
        <f>[2]ORÇAMENTO!A47</f>
        <v>5.3</v>
      </c>
      <c r="B55" s="69">
        <f>[2]ORÇAMENTO!C47</f>
        <v>96113</v>
      </c>
      <c r="C55" s="49" t="str">
        <f>[2]ORÇAMENTO!D47</f>
        <v>FORRO EM PLACAS DE GESSO, PARA AMBIENTES COMERCIAIS. AF_05/2017_P</v>
      </c>
      <c r="D55" s="69" t="str">
        <f>[2]ORÇAMENTO!B47</f>
        <v>SINAPI</v>
      </c>
      <c r="E55" s="69" t="str">
        <f>[2]ORÇAMENTO!E47</f>
        <v>m²</v>
      </c>
      <c r="F55" s="22">
        <f>[2]ORÇAMENTO!F47</f>
        <v>774.83</v>
      </c>
      <c r="G55" s="69"/>
      <c r="H55" s="69">
        <v>309.93</v>
      </c>
      <c r="I55" s="69"/>
      <c r="J55" s="91">
        <f>[2]ORÇAMENTO!G47*26.63%+[2]ORÇAMENTO!G47</f>
        <v>38.153618999999999</v>
      </c>
      <c r="K55" s="91">
        <f t="shared" si="0"/>
        <v>29562.57</v>
      </c>
      <c r="L55" s="91"/>
      <c r="M55" s="91"/>
      <c r="N55" s="91"/>
    </row>
    <row r="56" spans="1:14" ht="30">
      <c r="A56" s="69" t="s">
        <v>531</v>
      </c>
      <c r="B56" s="89">
        <v>12625</v>
      </c>
      <c r="C56" s="87" t="s">
        <v>532</v>
      </c>
      <c r="D56" s="89" t="s">
        <v>1</v>
      </c>
      <c r="E56" s="69" t="s">
        <v>9</v>
      </c>
      <c r="F56" s="22"/>
      <c r="G56" s="39">
        <f>[2]MEM!L396</f>
        <v>250</v>
      </c>
      <c r="H56" s="69"/>
      <c r="I56" s="39">
        <f>G56</f>
        <v>250</v>
      </c>
      <c r="J56" s="91">
        <f>'[2]ITENS NOVOS'!I16</f>
        <v>11.57</v>
      </c>
      <c r="K56" s="91"/>
      <c r="L56" s="91">
        <f>G56*J56</f>
        <v>2892.5</v>
      </c>
      <c r="M56" s="91"/>
      <c r="N56" s="91">
        <f>I56*J56</f>
        <v>2892.5</v>
      </c>
    </row>
    <row r="57" spans="1:14">
      <c r="A57" s="69" t="s">
        <v>533</v>
      </c>
      <c r="B57" s="115" t="s">
        <v>534</v>
      </c>
      <c r="C57" s="116" t="s">
        <v>535</v>
      </c>
      <c r="D57" s="110" t="s">
        <v>7</v>
      </c>
      <c r="E57" s="115" t="s">
        <v>429</v>
      </c>
      <c r="F57" s="22"/>
      <c r="G57" s="39">
        <f>[2]MEM!L401</f>
        <v>211.57</v>
      </c>
      <c r="H57" s="69"/>
      <c r="I57" s="39">
        <f>G57</f>
        <v>211.57</v>
      </c>
      <c r="J57" s="117">
        <f>'[2]ITENS NOVOS'!I31</f>
        <v>23.29</v>
      </c>
      <c r="K57" s="91"/>
      <c r="L57" s="91">
        <f>G57*J57</f>
        <v>4927.4652999999998</v>
      </c>
      <c r="M57" s="91"/>
      <c r="N57" s="91">
        <f>I57*J57</f>
        <v>4927.4652999999998</v>
      </c>
    </row>
    <row r="58" spans="1:14">
      <c r="A58" s="69" t="s">
        <v>536</v>
      </c>
      <c r="B58" s="115" t="s">
        <v>537</v>
      </c>
      <c r="C58" s="116" t="s">
        <v>538</v>
      </c>
      <c r="D58" s="110" t="s">
        <v>7</v>
      </c>
      <c r="E58" s="115" t="s">
        <v>429</v>
      </c>
      <c r="F58" s="22"/>
      <c r="G58" s="39">
        <f>[2]MEM!L405</f>
        <v>211.57</v>
      </c>
      <c r="H58" s="69"/>
      <c r="I58" s="39">
        <f>G58</f>
        <v>211.57</v>
      </c>
      <c r="J58" s="117">
        <f>'[2]ITENS NOVOS'!I32</f>
        <v>72.739999999999995</v>
      </c>
      <c r="K58" s="91"/>
      <c r="L58" s="91">
        <f>G58*J58</f>
        <v>15389.601799999999</v>
      </c>
      <c r="M58" s="91"/>
      <c r="N58" s="91">
        <f>I58*J58</f>
        <v>15389.601799999999</v>
      </c>
    </row>
    <row r="59" spans="1:14" ht="30">
      <c r="A59" s="69" t="s">
        <v>539</v>
      </c>
      <c r="B59" s="89">
        <v>8269</v>
      </c>
      <c r="C59" s="87" t="s">
        <v>540</v>
      </c>
      <c r="D59" s="69" t="s">
        <v>1</v>
      </c>
      <c r="E59" s="89" t="s">
        <v>38</v>
      </c>
      <c r="F59" s="22"/>
      <c r="G59" s="39">
        <f>[2]MEM!L409</f>
        <v>118.97</v>
      </c>
      <c r="H59" s="69"/>
      <c r="I59" s="39">
        <f>G59</f>
        <v>118.97</v>
      </c>
      <c r="J59" s="117">
        <f>'[2]ITENS NOVOS'!I33</f>
        <v>173.19</v>
      </c>
      <c r="K59" s="91"/>
      <c r="L59" s="91">
        <f>G59*J59</f>
        <v>20604.4143</v>
      </c>
      <c r="M59" s="91"/>
      <c r="N59" s="91">
        <f>I59*J59</f>
        <v>20604.4143</v>
      </c>
    </row>
    <row r="60" spans="1:14">
      <c r="A60" s="69" t="s">
        <v>541</v>
      </c>
      <c r="B60" s="115" t="s">
        <v>542</v>
      </c>
      <c r="C60" s="116" t="s">
        <v>543</v>
      </c>
      <c r="D60" s="110" t="s">
        <v>7</v>
      </c>
      <c r="E60" s="115" t="s">
        <v>516</v>
      </c>
      <c r="F60" s="22"/>
      <c r="G60" s="39">
        <f>[2]MEM!L417</f>
        <v>25.08</v>
      </c>
      <c r="H60" s="69"/>
      <c r="I60" s="39">
        <f>G60</f>
        <v>25.08</v>
      </c>
      <c r="J60" s="117">
        <f>'[2]ITENS NOVOS'!I34</f>
        <v>25.88</v>
      </c>
      <c r="K60" s="91"/>
      <c r="L60" s="91">
        <f>G60*J60</f>
        <v>649.07039999999995</v>
      </c>
      <c r="M60" s="91"/>
      <c r="N60" s="91">
        <f>I60*J60</f>
        <v>649.07039999999995</v>
      </c>
    </row>
    <row r="61" spans="1:14">
      <c r="A61" s="69"/>
      <c r="B61" s="69"/>
      <c r="C61" s="49"/>
      <c r="D61" s="69"/>
      <c r="E61" s="69"/>
      <c r="F61" s="22"/>
      <c r="G61" s="69"/>
      <c r="H61" s="69"/>
      <c r="I61" s="69"/>
      <c r="J61" s="91"/>
      <c r="K61" s="91"/>
      <c r="L61" s="91"/>
      <c r="M61" s="91"/>
      <c r="N61" s="91"/>
    </row>
    <row r="62" spans="1:14">
      <c r="A62" s="101">
        <f>[2]ORÇAMENTO!A49</f>
        <v>6</v>
      </c>
      <c r="B62" s="101"/>
      <c r="C62" s="102" t="str">
        <f>[2]ORÇAMENTO!B49</f>
        <v>ESQUADRIAS</v>
      </c>
      <c r="D62" s="101"/>
      <c r="E62" s="101"/>
      <c r="F62" s="103"/>
      <c r="G62" s="101"/>
      <c r="H62" s="101"/>
      <c r="I62" s="101"/>
      <c r="J62" s="104"/>
      <c r="K62" s="104"/>
      <c r="L62" s="105"/>
      <c r="M62" s="105"/>
      <c r="N62" s="105"/>
    </row>
    <row r="63" spans="1:14">
      <c r="A63" s="118" t="str">
        <f>[2]ORÇAMENTO!A50</f>
        <v>6.1</v>
      </c>
      <c r="B63" s="118"/>
      <c r="C63" s="119" t="str">
        <f>[2]ORÇAMENTO!B50</f>
        <v>METÁLICA, ALUMÍNIO C/ VIDRO E MADEIRA</v>
      </c>
      <c r="D63" s="118"/>
      <c r="E63" s="118"/>
      <c r="F63" s="120"/>
      <c r="G63" s="118"/>
      <c r="H63" s="118"/>
      <c r="I63" s="118"/>
      <c r="J63" s="121"/>
      <c r="K63" s="121"/>
      <c r="L63" s="121"/>
      <c r="M63" s="121"/>
      <c r="N63" s="121"/>
    </row>
    <row r="64" spans="1:14" ht="60">
      <c r="A64" s="69" t="str">
        <f>[2]ORÇAMENTO!A51</f>
        <v>6.1.1</v>
      </c>
      <c r="B64" s="69">
        <f>[2]ORÇAMENTO!C51</f>
        <v>94570</v>
      </c>
      <c r="C64" s="49" t="str">
        <f>[2]ORÇAMENTO!D51</f>
        <v>JANELA DE ALUMÍNIO DE CORRER COM 2 FOLHAS PARA VIDROS, COM VIDROS, BATENTE, ACABAMENTO COM ACETATO OU BRILHANTE E FERRAGENS. EXCLUSIVE ALIZAR E CONTRAMARCO. FORNECIMENTO E INSTALAÇÃO. AF_12/2019</v>
      </c>
      <c r="D64" s="69" t="str">
        <f>[2]ORÇAMENTO!B51</f>
        <v>SINAPI</v>
      </c>
      <c r="E64" s="69" t="str">
        <f>[2]ORÇAMENTO!E51</f>
        <v>m²</v>
      </c>
      <c r="F64" s="22">
        <f>[2]ORÇAMENTO!F51</f>
        <v>16.559999999999999</v>
      </c>
      <c r="G64" s="69">
        <v>6</v>
      </c>
      <c r="H64" s="69"/>
      <c r="I64" s="22">
        <f>F64+G64</f>
        <v>22.56</v>
      </c>
      <c r="J64" s="91">
        <f>[2]ORÇAMENTO!G51*26.63%+[2]ORÇAMENTO!G51</f>
        <v>771.53126399999996</v>
      </c>
      <c r="K64" s="91">
        <f t="shared" si="0"/>
        <v>12776.56</v>
      </c>
      <c r="L64" s="91">
        <f>G64*J64</f>
        <v>4629.1875839999993</v>
      </c>
      <c r="M64" s="91"/>
      <c r="N64" s="91">
        <f>I64*J64</f>
        <v>17405.745315839999</v>
      </c>
    </row>
    <row r="65" spans="1:14" ht="45">
      <c r="A65" s="69" t="str">
        <f>[2]ORÇAMENTO!A52</f>
        <v>6.1.2</v>
      </c>
      <c r="B65" s="69">
        <f>[2]ORÇAMENTO!C52</f>
        <v>94569</v>
      </c>
      <c r="C65" s="49" t="str">
        <f>[2]ORÇAMENTO!D52</f>
        <v>JANELA DE ALUMÍNIO TIPO MAXIM-AR, COM VIDROS, BATENTE E FERRAGENS. EXCLUSIVE ALIZAR, ACABAMENTO E CONTRAMARCO. FORNECIMENTO E INSTALAÇÃO. AF_12/2019</v>
      </c>
      <c r="D65" s="69" t="str">
        <f>[2]ORÇAMENTO!B52</f>
        <v>SINAPI</v>
      </c>
      <c r="E65" s="69" t="str">
        <f>[2]ORÇAMENTO!E52</f>
        <v>m²</v>
      </c>
      <c r="F65" s="22">
        <f>[2]ORÇAMENTO!F52</f>
        <v>2.5</v>
      </c>
      <c r="G65" s="69">
        <v>8</v>
      </c>
      <c r="H65" s="69"/>
      <c r="I65" s="22">
        <f>F65+G65</f>
        <v>10.5</v>
      </c>
      <c r="J65" s="91">
        <f>[2]ORÇAMENTO!G52*26.63%+[2]ORÇAMENTO!G52</f>
        <v>1448.938449</v>
      </c>
      <c r="K65" s="91">
        <f t="shared" si="0"/>
        <v>3622.35</v>
      </c>
      <c r="L65" s="91">
        <f>G65*J65</f>
        <v>11591.507592</v>
      </c>
      <c r="M65" s="91"/>
      <c r="N65" s="91">
        <f>I65*J65</f>
        <v>15213.853714499999</v>
      </c>
    </row>
    <row r="66" spans="1:14" ht="30">
      <c r="A66" s="69" t="str">
        <f>[2]ORÇAMENTO!A53</f>
        <v>6.1.3</v>
      </c>
      <c r="B66" s="69">
        <f>[2]ORÇAMENTO!C53</f>
        <v>91341</v>
      </c>
      <c r="C66" s="49" t="str">
        <f>[2]ORÇAMENTO!D53</f>
        <v>PORTA EM ALUMÍNIO DE ABRIR TIPO VENEZIANA COM GUARNIÇÃO, FIXAÇÃO COM PARAFUSOS - FORNECIMENTO E INSTALAÇÃO. AF_12/2019</v>
      </c>
      <c r="D66" s="69" t="str">
        <f>[2]ORÇAMENTO!B53</f>
        <v>SINAPI</v>
      </c>
      <c r="E66" s="69" t="str">
        <f>[2]ORÇAMENTO!E53</f>
        <v>m²</v>
      </c>
      <c r="F66" s="22">
        <f>[2]ORÇAMENTO!F53</f>
        <v>7.92</v>
      </c>
      <c r="G66" s="69"/>
      <c r="H66" s="69"/>
      <c r="I66" s="69"/>
      <c r="J66" s="91">
        <f>[2]ORÇAMENTO!G53*26.63%+[2]ORÇAMENTO!G53</f>
        <v>969.51726899999994</v>
      </c>
      <c r="K66" s="91">
        <f t="shared" si="0"/>
        <v>7678.58</v>
      </c>
      <c r="L66" s="91"/>
      <c r="M66" s="91"/>
      <c r="N66" s="91"/>
    </row>
    <row r="67" spans="1:14" ht="30">
      <c r="A67" s="69" t="str">
        <f>[2]ORÇAMENTO!A54</f>
        <v>6.1.4</v>
      </c>
      <c r="B67" s="69">
        <f>[2]ORÇAMENTO!C54</f>
        <v>100701</v>
      </c>
      <c r="C67" s="49" t="str">
        <f>[2]ORÇAMENTO!D54</f>
        <v>PORTA DE FERRO, DE ABRIR, TIPO GRADE COM CHAPA, COM GUARNIÇÕES. AF_12/2019</v>
      </c>
      <c r="D67" s="69" t="str">
        <f>[2]ORÇAMENTO!B54</f>
        <v>SINAPI</v>
      </c>
      <c r="E67" s="69" t="str">
        <f>[2]ORÇAMENTO!E54</f>
        <v>m²</v>
      </c>
      <c r="F67" s="22">
        <f>[2]ORÇAMENTO!F54</f>
        <v>5.31</v>
      </c>
      <c r="G67" s="69"/>
      <c r="H67" s="69"/>
      <c r="I67" s="69"/>
      <c r="J67" s="91">
        <f>[2]ORÇAMENTO!G54*26.63%+[2]ORÇAMENTO!G54</f>
        <v>724.120992</v>
      </c>
      <c r="K67" s="91">
        <f t="shared" si="0"/>
        <v>3845.08</v>
      </c>
      <c r="L67" s="91"/>
      <c r="M67" s="91"/>
      <c r="N67" s="91"/>
    </row>
    <row r="68" spans="1:14" ht="30">
      <c r="A68" s="69" t="str">
        <f>[2]ORÇAMENTO!A55</f>
        <v>6.1.5</v>
      </c>
      <c r="B68" s="69">
        <f>[2]ORÇAMENTO!C55</f>
        <v>12036</v>
      </c>
      <c r="C68" s="49" t="str">
        <f>[2]ORÇAMENTO!D55</f>
        <v>Portão em ferro, em tubo de aço galvanizado 2" e tela ondulada, malha 3/8".</v>
      </c>
      <c r="D68" s="69" t="str">
        <f>[2]ORÇAMENTO!B55</f>
        <v>ORSE</v>
      </c>
      <c r="E68" s="69" t="str">
        <f>[2]ORÇAMENTO!E55</f>
        <v>m²</v>
      </c>
      <c r="F68" s="22">
        <f>[2]ORÇAMENTO!F55</f>
        <v>6.62</v>
      </c>
      <c r="G68" s="69"/>
      <c r="H68" s="69"/>
      <c r="I68" s="69"/>
      <c r="J68" s="91">
        <f>[2]ORÇAMENTO!G55*26.63%+[2]ORÇAMENTO!G55</f>
        <v>940.87356299999999</v>
      </c>
      <c r="K68" s="91">
        <f t="shared" si="0"/>
        <v>6228.58</v>
      </c>
      <c r="L68" s="91"/>
      <c r="M68" s="91"/>
      <c r="N68" s="91"/>
    </row>
    <row r="69" spans="1:14" ht="60">
      <c r="A69" s="69" t="str">
        <f>[2]ORÇAMENTO!A56</f>
        <v>6.1.6</v>
      </c>
      <c r="B69" s="69">
        <f>[2]ORÇAMENTO!C56</f>
        <v>90841</v>
      </c>
      <c r="C69" s="49" t="str">
        <f>[2]ORÇAMENTO!D56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9" s="69" t="str">
        <f>[2]ORÇAMENTO!B56</f>
        <v>SINAPI</v>
      </c>
      <c r="E69" s="69" t="str">
        <f>[2]ORÇAMENTO!E56</f>
        <v>unid</v>
      </c>
      <c r="F69" s="22">
        <f>[2]ORÇAMENTO!F56</f>
        <v>8</v>
      </c>
      <c r="G69" s="69">
        <v>-8</v>
      </c>
      <c r="H69" s="69"/>
      <c r="I69" s="69">
        <v>-8</v>
      </c>
      <c r="J69" s="91">
        <f>[2]ORÇAMENTO!G56*26.63%+[2]ORÇAMENTO!G56</f>
        <v>1013.951736</v>
      </c>
      <c r="K69" s="91">
        <f t="shared" si="0"/>
        <v>8111.61</v>
      </c>
      <c r="L69" s="91">
        <f>G69*J69</f>
        <v>-8111.6138879999999</v>
      </c>
      <c r="M69" s="91"/>
      <c r="N69" s="91">
        <f>I69*J69</f>
        <v>-8111.6138879999999</v>
      </c>
    </row>
    <row r="70" spans="1:14" ht="60">
      <c r="A70" s="69" t="str">
        <f>[2]ORÇAMENTO!A57</f>
        <v>6.1.7</v>
      </c>
      <c r="B70" s="69">
        <f>[2]ORÇAMENTO!C57</f>
        <v>90842</v>
      </c>
      <c r="C70" s="49" t="str">
        <f>[2]ORÇAMENTO!D57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70" s="69" t="str">
        <f>[2]ORÇAMENTO!B57</f>
        <v>SINAPI</v>
      </c>
      <c r="E70" s="69" t="str">
        <f>[2]ORÇAMENTO!E57</f>
        <v>unid</v>
      </c>
      <c r="F70" s="22">
        <f>[2]ORÇAMENTO!F57</f>
        <v>3</v>
      </c>
      <c r="G70" s="69">
        <v>-3</v>
      </c>
      <c r="H70" s="69"/>
      <c r="I70" s="69">
        <v>-3</v>
      </c>
      <c r="J70" s="91">
        <f>[2]ORÇAMENTO!G57*26.63%+[2]ORÇAMENTO!G57</f>
        <v>1022.170023</v>
      </c>
      <c r="K70" s="91">
        <f t="shared" si="0"/>
        <v>3066.51</v>
      </c>
      <c r="L70" s="91">
        <f>G70*J70</f>
        <v>-3066.5100689999999</v>
      </c>
      <c r="M70" s="91"/>
      <c r="N70" s="91">
        <f>I70*J70</f>
        <v>-3066.5100689999999</v>
      </c>
    </row>
    <row r="71" spans="1:14" ht="60">
      <c r="A71" s="69" t="str">
        <f>[2]ORÇAMENTO!A58</f>
        <v>6.1.8</v>
      </c>
      <c r="B71" s="69">
        <f>[2]ORÇAMENTO!C58</f>
        <v>90843</v>
      </c>
      <c r="C71" s="49" t="str">
        <f>[2]ORÇAMENTO!D58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71" s="69" t="str">
        <f>[2]ORÇAMENTO!B58</f>
        <v>SINAPI</v>
      </c>
      <c r="E71" s="69" t="str">
        <f>[2]ORÇAMENTO!E58</f>
        <v>unid</v>
      </c>
      <c r="F71" s="22">
        <f>[2]ORÇAMENTO!F58</f>
        <v>2</v>
      </c>
      <c r="G71" s="69">
        <v>6</v>
      </c>
      <c r="H71" s="69"/>
      <c r="I71" s="22">
        <f>F71+G71</f>
        <v>8</v>
      </c>
      <c r="J71" s="91">
        <f>[2]ORÇAMENTO!G58*26.63%+[2]ORÇAMENTO!G58</f>
        <v>1068.073398</v>
      </c>
      <c r="K71" s="91">
        <f t="shared" si="0"/>
        <v>2136.15</v>
      </c>
      <c r="L71" s="91">
        <f>G71*J71</f>
        <v>6408.440388</v>
      </c>
      <c r="M71" s="91"/>
      <c r="N71" s="91">
        <f>I71*J71</f>
        <v>8544.587184</v>
      </c>
    </row>
    <row r="72" spans="1:14" ht="60">
      <c r="A72" s="69" t="str">
        <f>[2]ORÇAMENTO!A59</f>
        <v>6.1.9</v>
      </c>
      <c r="B72" s="69">
        <f>[2]ORÇAMENTO!C59</f>
        <v>90844</v>
      </c>
      <c r="C72" s="49" t="str">
        <f>[2]ORÇAMENTO!D59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72" s="69" t="str">
        <f>[2]ORÇAMENTO!B59</f>
        <v>SINAPI</v>
      </c>
      <c r="E72" s="69" t="str">
        <f>[2]ORÇAMENTO!E59</f>
        <v>unid</v>
      </c>
      <c r="F72" s="22">
        <f>[2]ORÇAMENTO!F59</f>
        <v>22</v>
      </c>
      <c r="G72" s="69">
        <v>12</v>
      </c>
      <c r="H72" s="69"/>
      <c r="I72" s="22">
        <f>F72+G72</f>
        <v>34</v>
      </c>
      <c r="J72" s="91">
        <f>[2]ORÇAMENTO!G59*26.63%+[2]ORÇAMENTO!G59</f>
        <v>1149.268554</v>
      </c>
      <c r="K72" s="91">
        <f t="shared" si="0"/>
        <v>25283.91</v>
      </c>
      <c r="L72" s="91">
        <f>G72*J72</f>
        <v>13791.222647999999</v>
      </c>
      <c r="M72" s="91"/>
      <c r="N72" s="91">
        <f>I72*J72</f>
        <v>39075.130835999997</v>
      </c>
    </row>
    <row r="73" spans="1:14" ht="30">
      <c r="A73" s="69" t="str">
        <f>[2]ORÇAMENTO!A60</f>
        <v>6.1.10</v>
      </c>
      <c r="B73" s="69">
        <f>[2]ORÇAMENTO!C60</f>
        <v>3629</v>
      </c>
      <c r="C73" s="49" t="str">
        <f>[2]ORÇAMENTO!D60</f>
        <v>Porta em madeira compensada (canela), lisa e semi-oca, 1,00 x 2,10 m, inclusive batentes e ferragens.</v>
      </c>
      <c r="D73" s="69" t="str">
        <f>[2]ORÇAMENTO!B60</f>
        <v>ORSE</v>
      </c>
      <c r="E73" s="69" t="str">
        <f>[2]ORÇAMENTO!E60</f>
        <v>unid</v>
      </c>
      <c r="F73" s="22">
        <f>[2]ORÇAMENTO!F60</f>
        <v>11</v>
      </c>
      <c r="G73" s="69">
        <v>-11</v>
      </c>
      <c r="H73" s="69"/>
      <c r="I73" s="69">
        <v>-11</v>
      </c>
      <c r="J73" s="91">
        <f>[2]ORÇAMENTO!G60*26.63%+[2]ORÇAMENTO!G60</f>
        <v>1016.1044459999999</v>
      </c>
      <c r="K73" s="91">
        <f t="shared" si="0"/>
        <v>11177.15</v>
      </c>
      <c r="L73" s="91">
        <f>G73*J73</f>
        <v>-11177.148905999999</v>
      </c>
      <c r="M73" s="91"/>
      <c r="N73" s="91">
        <f>I73*J73</f>
        <v>-11177.148905999999</v>
      </c>
    </row>
    <row r="74" spans="1:14" ht="45">
      <c r="A74" s="69" t="s">
        <v>544</v>
      </c>
      <c r="B74" s="122" t="s">
        <v>545</v>
      </c>
      <c r="C74" s="123" t="s">
        <v>546</v>
      </c>
      <c r="D74" s="110" t="s">
        <v>7</v>
      </c>
      <c r="E74" s="122" t="s">
        <v>429</v>
      </c>
      <c r="F74" s="22"/>
      <c r="G74" s="39">
        <f>[2]MEM!L428</f>
        <v>17.490000000000002</v>
      </c>
      <c r="H74" s="69"/>
      <c r="I74" s="39">
        <f>G74</f>
        <v>17.490000000000002</v>
      </c>
      <c r="J74" s="91">
        <f>'[2]ITENS NOVOS'!I22</f>
        <v>1647.3500000000001</v>
      </c>
      <c r="K74" s="91"/>
      <c r="L74" s="91">
        <f t="shared" ref="L74:L82" si="4">G74*J74</f>
        <v>28812.151500000007</v>
      </c>
      <c r="M74" s="91"/>
      <c r="N74" s="91">
        <f t="shared" ref="N74:N82" si="5">I74*J74</f>
        <v>28812.151500000007</v>
      </c>
    </row>
    <row r="75" spans="1:14" ht="60">
      <c r="A75" s="69" t="s">
        <v>547</v>
      </c>
      <c r="B75" s="108">
        <v>12093</v>
      </c>
      <c r="C75" s="109" t="s">
        <v>548</v>
      </c>
      <c r="D75" s="124" t="s">
        <v>1</v>
      </c>
      <c r="E75" s="108" t="s">
        <v>513</v>
      </c>
      <c r="F75" s="22"/>
      <c r="G75" s="39">
        <f>[2]MEM!L433</f>
        <v>5.5</v>
      </c>
      <c r="H75" s="69"/>
      <c r="I75" s="39">
        <f t="shared" ref="I75:I82" si="6">G75</f>
        <v>5.5</v>
      </c>
      <c r="J75" s="91">
        <f>'[2]ITENS NOVOS'!I23</f>
        <v>592.45000000000005</v>
      </c>
      <c r="K75" s="91"/>
      <c r="L75" s="91">
        <f t="shared" si="4"/>
        <v>3258.4750000000004</v>
      </c>
      <c r="M75" s="91"/>
      <c r="N75" s="91">
        <f t="shared" si="5"/>
        <v>3258.4750000000004</v>
      </c>
    </row>
    <row r="76" spans="1:14" ht="30">
      <c r="A76" s="69" t="s">
        <v>549</v>
      </c>
      <c r="B76" s="108">
        <v>11955</v>
      </c>
      <c r="C76" s="109" t="s">
        <v>550</v>
      </c>
      <c r="D76" s="124" t="s">
        <v>1</v>
      </c>
      <c r="E76" s="108" t="s">
        <v>513</v>
      </c>
      <c r="F76" s="22"/>
      <c r="G76" s="39">
        <f>[2]MEM!L439</f>
        <v>14.775</v>
      </c>
      <c r="H76" s="69"/>
      <c r="I76" s="39">
        <f t="shared" si="6"/>
        <v>14.775</v>
      </c>
      <c r="J76" s="91">
        <f>'[2]ITENS NOVOS'!I24</f>
        <v>401.54</v>
      </c>
      <c r="K76" s="91"/>
      <c r="L76" s="91">
        <f t="shared" si="4"/>
        <v>5932.7535000000007</v>
      </c>
      <c r="M76" s="91"/>
      <c r="N76" s="91">
        <f t="shared" si="5"/>
        <v>5932.7535000000007</v>
      </c>
    </row>
    <row r="77" spans="1:14" ht="30">
      <c r="A77" s="69" t="s">
        <v>551</v>
      </c>
      <c r="B77" s="125">
        <v>1924</v>
      </c>
      <c r="C77" s="126" t="s">
        <v>552</v>
      </c>
      <c r="D77" s="124" t="s">
        <v>1</v>
      </c>
      <c r="E77" s="125" t="s">
        <v>513</v>
      </c>
      <c r="F77" s="22"/>
      <c r="G77" s="39">
        <f>[2]MEM!L445</f>
        <v>112.77000000000001</v>
      </c>
      <c r="H77" s="69"/>
      <c r="I77" s="39">
        <f t="shared" si="6"/>
        <v>112.77000000000001</v>
      </c>
      <c r="J77" s="91">
        <f>'[2]ITENS NOVOS'!I28</f>
        <v>105.72</v>
      </c>
      <c r="K77" s="91"/>
      <c r="L77" s="91">
        <f t="shared" si="4"/>
        <v>11922.044400000001</v>
      </c>
      <c r="M77" s="91"/>
      <c r="N77" s="91">
        <f t="shared" si="5"/>
        <v>11922.044400000001</v>
      </c>
    </row>
    <row r="78" spans="1:14">
      <c r="A78" s="69" t="s">
        <v>553</v>
      </c>
      <c r="B78" s="108">
        <v>1770</v>
      </c>
      <c r="C78" s="109" t="s">
        <v>554</v>
      </c>
      <c r="D78" s="124" t="s">
        <v>1</v>
      </c>
      <c r="E78" s="108" t="s">
        <v>38</v>
      </c>
      <c r="F78" s="22"/>
      <c r="G78" s="39">
        <f>[2]MEM!L455</f>
        <v>23.799999999999997</v>
      </c>
      <c r="H78" s="69"/>
      <c r="I78" s="39">
        <f t="shared" si="6"/>
        <v>23.799999999999997</v>
      </c>
      <c r="J78" s="91">
        <f>'[2]ITENS NOVOS'!I29</f>
        <v>80.109999999999985</v>
      </c>
      <c r="K78" s="91"/>
      <c r="L78" s="91">
        <f t="shared" si="4"/>
        <v>1906.6179999999995</v>
      </c>
      <c r="M78" s="91"/>
      <c r="N78" s="91">
        <f t="shared" si="5"/>
        <v>1906.6179999999995</v>
      </c>
    </row>
    <row r="79" spans="1:14" s="40" customFormat="1">
      <c r="A79" s="127" t="s">
        <v>555</v>
      </c>
      <c r="B79" s="128" t="s">
        <v>556</v>
      </c>
      <c r="C79" s="129" t="s">
        <v>557</v>
      </c>
      <c r="D79" s="130" t="s">
        <v>7</v>
      </c>
      <c r="E79" s="128" t="s">
        <v>429</v>
      </c>
      <c r="F79" s="131"/>
      <c r="G79" s="132">
        <f>[2]MEM!L462</f>
        <v>4.9799999999999995</v>
      </c>
      <c r="H79" s="127"/>
      <c r="I79" s="39">
        <f t="shared" si="6"/>
        <v>4.9799999999999995</v>
      </c>
      <c r="J79" s="91">
        <f>'[2]ITENS NOVOS'!I30</f>
        <v>270.79000000000002</v>
      </c>
      <c r="K79" s="91"/>
      <c r="L79" s="91">
        <f t="shared" si="4"/>
        <v>1348.5342000000001</v>
      </c>
      <c r="M79" s="133"/>
      <c r="N79" s="91">
        <f t="shared" si="5"/>
        <v>1348.5342000000001</v>
      </c>
    </row>
    <row r="80" spans="1:14" ht="30">
      <c r="A80" s="134" t="s">
        <v>558</v>
      </c>
      <c r="B80" s="135">
        <v>4723</v>
      </c>
      <c r="C80" s="135" t="s">
        <v>559</v>
      </c>
      <c r="D80" s="124" t="s">
        <v>1</v>
      </c>
      <c r="E80" s="89" t="s">
        <v>494</v>
      </c>
      <c r="F80" s="136"/>
      <c r="G80" s="137">
        <v>3</v>
      </c>
      <c r="H80" s="134"/>
      <c r="I80" s="39">
        <f t="shared" si="6"/>
        <v>3</v>
      </c>
      <c r="J80" s="138">
        <f>'[2]ITENS NOVOS'!I25</f>
        <v>1767.96</v>
      </c>
      <c r="K80" s="91"/>
      <c r="L80" s="91">
        <f t="shared" si="4"/>
        <v>5303.88</v>
      </c>
      <c r="M80" s="138"/>
      <c r="N80" s="91">
        <f t="shared" si="5"/>
        <v>5303.88</v>
      </c>
    </row>
    <row r="81" spans="1:16" ht="30">
      <c r="A81" s="134" t="s">
        <v>560</v>
      </c>
      <c r="B81" s="135">
        <v>7149</v>
      </c>
      <c r="C81" s="135" t="s">
        <v>561</v>
      </c>
      <c r="D81" s="124" t="s">
        <v>1</v>
      </c>
      <c r="E81" s="89" t="s">
        <v>494</v>
      </c>
      <c r="F81" s="136"/>
      <c r="G81" s="137">
        <v>4</v>
      </c>
      <c r="H81" s="134"/>
      <c r="I81" s="39">
        <f t="shared" si="6"/>
        <v>4</v>
      </c>
      <c r="J81" s="138">
        <f>'[2]ITENS NOVOS'!I26</f>
        <v>1561.3099999999997</v>
      </c>
      <c r="K81" s="91"/>
      <c r="L81" s="91">
        <f t="shared" si="4"/>
        <v>6245.2399999999989</v>
      </c>
      <c r="M81" s="138"/>
      <c r="N81" s="91">
        <f t="shared" si="5"/>
        <v>6245.2399999999989</v>
      </c>
    </row>
    <row r="82" spans="1:16" ht="30">
      <c r="A82" s="134" t="s">
        <v>562</v>
      </c>
      <c r="B82" s="135">
        <v>7148</v>
      </c>
      <c r="C82" s="135" t="s">
        <v>563</v>
      </c>
      <c r="D82" s="124" t="s">
        <v>1</v>
      </c>
      <c r="E82" s="89" t="s">
        <v>494</v>
      </c>
      <c r="F82" s="136"/>
      <c r="G82" s="137">
        <v>3</v>
      </c>
      <c r="H82" s="134"/>
      <c r="I82" s="39">
        <f t="shared" si="6"/>
        <v>3</v>
      </c>
      <c r="J82" s="138">
        <f>'[2]ITENS NOVOS'!I27</f>
        <v>1445.62</v>
      </c>
      <c r="K82" s="91"/>
      <c r="L82" s="91">
        <f t="shared" si="4"/>
        <v>4336.8599999999997</v>
      </c>
      <c r="M82" s="138"/>
      <c r="N82" s="91">
        <f t="shared" si="5"/>
        <v>4336.8599999999997</v>
      </c>
    </row>
    <row r="83" spans="1:16">
      <c r="A83" s="69"/>
      <c r="B83" s="69"/>
      <c r="C83" s="49"/>
      <c r="D83" s="69"/>
      <c r="E83" s="69"/>
      <c r="F83" s="22"/>
      <c r="G83" s="69"/>
      <c r="H83" s="69"/>
      <c r="I83" s="69"/>
      <c r="J83" s="91"/>
      <c r="K83" s="91"/>
      <c r="L83" s="91"/>
      <c r="M83" s="91"/>
      <c r="N83" s="91"/>
    </row>
    <row r="84" spans="1:16">
      <c r="A84" s="101" t="str">
        <f>[2]ORÇAMENTO!A62</f>
        <v>6.2</v>
      </c>
      <c r="B84" s="101"/>
      <c r="C84" s="102" t="str">
        <f>[2]ORÇAMENTO!B62</f>
        <v>VIDRO</v>
      </c>
      <c r="D84" s="96"/>
      <c r="E84" s="96"/>
      <c r="F84" s="139"/>
      <c r="G84" s="96"/>
      <c r="H84" s="96"/>
      <c r="I84" s="96"/>
      <c r="J84" s="105"/>
      <c r="K84" s="105"/>
      <c r="L84" s="105"/>
      <c r="M84" s="105"/>
      <c r="N84" s="105"/>
    </row>
    <row r="85" spans="1:16" ht="30">
      <c r="A85" s="69" t="str">
        <f>[2]ORÇAMENTO!A63</f>
        <v>6.2.1</v>
      </c>
      <c r="B85" s="69">
        <f>[2]ORÇAMENTO!C63</f>
        <v>13096</v>
      </c>
      <c r="C85" s="49" t="str">
        <f>[2]ORÇAMENTO!D63</f>
        <v>Porta em vidro temperado 10mm, incolor,inclusive ferragens de fixação e instalação, exclusive puxador.</v>
      </c>
      <c r="D85" s="69" t="str">
        <f>[2]ORÇAMENTO!B63</f>
        <v>ORSE</v>
      </c>
      <c r="E85" s="69" t="str">
        <f>[2]ORÇAMENTO!E63</f>
        <v>m²</v>
      </c>
      <c r="F85" s="22">
        <f>[2]ORÇAMENTO!F63</f>
        <v>23.1</v>
      </c>
      <c r="G85" s="69"/>
      <c r="H85" s="69"/>
      <c r="I85" s="69"/>
      <c r="J85" s="91">
        <f>[2]ORÇAMENTO!G63*26.63%+[2]ORÇAMENTO!G63</f>
        <v>668.37846600000012</v>
      </c>
      <c r="K85" s="91">
        <f t="shared" si="0"/>
        <v>15439.54</v>
      </c>
      <c r="L85" s="91"/>
      <c r="M85" s="91"/>
      <c r="N85" s="91"/>
    </row>
    <row r="86" spans="1:16" ht="45">
      <c r="A86" s="69" t="str">
        <f>[2]ORÇAMENTO!A64</f>
        <v>6.2.2</v>
      </c>
      <c r="B86" s="69">
        <f>[2]ORÇAMENTO!C64</f>
        <v>100702</v>
      </c>
      <c r="C86" s="49" t="str">
        <f>[2]ORÇAMENTO!D64</f>
        <v>PORTA DE CORRER DE ALUMÍNIO, COM DUAS FOLHAS PARA VIDRO, INCLUSO VIDRO LISO INCOLOR, FECHADURA E PUXADOR, SEM ALIZAR. AF_12/2019</v>
      </c>
      <c r="D86" s="69" t="str">
        <f>[2]ORÇAMENTO!B64</f>
        <v>SINAPI</v>
      </c>
      <c r="E86" s="69" t="str">
        <f>[2]ORÇAMENTO!E64</f>
        <v>m²</v>
      </c>
      <c r="F86" s="22">
        <f>[2]ORÇAMENTO!F64</f>
        <v>25.08</v>
      </c>
      <c r="G86" s="69"/>
      <c r="H86" s="69"/>
      <c r="I86" s="69"/>
      <c r="J86" s="91">
        <f>[2]ORÇAMENTO!G64*26.63%+[2]ORÇAMENTO!G64</f>
        <v>591.96992399999999</v>
      </c>
      <c r="K86" s="91">
        <f t="shared" si="0"/>
        <v>14846.61</v>
      </c>
      <c r="L86" s="91"/>
      <c r="M86" s="91"/>
      <c r="N86" s="91"/>
    </row>
    <row r="87" spans="1:16" ht="30">
      <c r="A87" s="69" t="s">
        <v>564</v>
      </c>
      <c r="B87" s="89">
        <v>11347</v>
      </c>
      <c r="C87" s="87" t="s">
        <v>565</v>
      </c>
      <c r="D87" s="89" t="s">
        <v>1</v>
      </c>
      <c r="E87" s="69" t="s">
        <v>9</v>
      </c>
      <c r="F87" s="22"/>
      <c r="G87" s="39">
        <v>16.149999999999999</v>
      </c>
      <c r="H87" s="69"/>
      <c r="I87" s="39">
        <f>G87</f>
        <v>16.149999999999999</v>
      </c>
      <c r="J87" s="91">
        <f>'[2]ITENS NOVOS'!I18</f>
        <v>1850.25</v>
      </c>
      <c r="K87" s="91"/>
      <c r="L87" s="91">
        <f>G87*J87</f>
        <v>29881.537499999999</v>
      </c>
      <c r="M87" s="91"/>
      <c r="N87" s="91">
        <f>I87*J87</f>
        <v>29881.537499999999</v>
      </c>
    </row>
    <row r="88" spans="1:16">
      <c r="A88" s="69"/>
      <c r="B88" s="69"/>
      <c r="C88" s="49"/>
      <c r="D88" s="69"/>
      <c r="E88" s="69"/>
      <c r="F88" s="22"/>
      <c r="G88" s="69"/>
      <c r="H88" s="69"/>
      <c r="I88" s="69"/>
      <c r="J88" s="91"/>
      <c r="K88" s="91"/>
      <c r="L88" s="91"/>
      <c r="M88" s="91"/>
      <c r="N88" s="91"/>
    </row>
    <row r="89" spans="1:16">
      <c r="A89" s="101" t="str">
        <f>[2]ORÇAMENTO!A66</f>
        <v>6.3</v>
      </c>
      <c r="B89" s="101"/>
      <c r="C89" s="102" t="str">
        <f>[2]ORÇAMENTO!B66</f>
        <v>FERRAGENS</v>
      </c>
      <c r="D89" s="96"/>
      <c r="E89" s="96"/>
      <c r="F89" s="139"/>
      <c r="G89" s="96"/>
      <c r="H89" s="96"/>
      <c r="I89" s="96"/>
      <c r="J89" s="105"/>
      <c r="K89" s="105"/>
      <c r="L89" s="105"/>
      <c r="M89" s="105"/>
      <c r="N89" s="105"/>
    </row>
    <row r="90" spans="1:16" ht="30">
      <c r="A90" s="69" t="str">
        <f>[2]ORÇAMENTO!A67</f>
        <v>6.3.1</v>
      </c>
      <c r="B90" s="69">
        <f>[2]ORÇAMENTO!C67</f>
        <v>9733</v>
      </c>
      <c r="C90" s="49" t="str">
        <f>[2]ORÇAMENTO!D67</f>
        <v>Puxador duplo para porta, em alumínio polido, d = 1", I = 40mm, ref. 3008, Vesfer</v>
      </c>
      <c r="D90" s="69" t="str">
        <f>[2]ORÇAMENTO!B67</f>
        <v>ORSE</v>
      </c>
      <c r="E90" s="69" t="str">
        <f>[2]ORÇAMENTO!E67</f>
        <v>unid</v>
      </c>
      <c r="F90" s="22">
        <f>[2]ORÇAMENTO!F67</f>
        <v>2</v>
      </c>
      <c r="G90" s="69"/>
      <c r="H90" s="69"/>
      <c r="I90" s="69"/>
      <c r="J90" s="91">
        <f>[2]ORÇAMENTO!G67*26.63%+[2]ORÇAMENTO!G67</f>
        <v>254.336355</v>
      </c>
      <c r="K90" s="91">
        <f t="shared" si="0"/>
        <v>508.67</v>
      </c>
      <c r="L90" s="91"/>
      <c r="M90" s="91"/>
      <c r="N90" s="91"/>
    </row>
    <row r="91" spans="1:16">
      <c r="A91" s="69" t="str">
        <f>[2]ORÇAMENTO!A68</f>
        <v>6.3.2</v>
      </c>
      <c r="B91" s="69">
        <f>[2]ORÇAMENTO!C68</f>
        <v>100705</v>
      </c>
      <c r="C91" s="49" t="str">
        <f>[2]ORÇAMENTO!D68</f>
        <v>TARJETA TIPO LIVRE/OCUPADO PARA PORTA DE BANHEIRO. AF_12/2019</v>
      </c>
      <c r="D91" s="69" t="str">
        <f>[2]ORÇAMENTO!B68</f>
        <v>SINAPI</v>
      </c>
      <c r="E91" s="69" t="str">
        <f>[2]ORÇAMENTO!E68</f>
        <v>unid</v>
      </c>
      <c r="F91" s="22">
        <f>[2]ORÇAMENTO!F68</f>
        <v>6</v>
      </c>
      <c r="G91" s="69"/>
      <c r="H91" s="69"/>
      <c r="I91" s="69"/>
      <c r="J91" s="91">
        <f>[2]ORÇAMENTO!G68*26.63%+[2]ORÇAMENTO!G68</f>
        <v>83.449170000000009</v>
      </c>
      <c r="K91" s="91">
        <f t="shared" si="0"/>
        <v>500.7</v>
      </c>
      <c r="L91" s="91"/>
      <c r="M91" s="91"/>
      <c r="N91" s="91"/>
    </row>
    <row r="92" spans="1:16">
      <c r="A92" s="69"/>
      <c r="B92" s="69"/>
      <c r="C92" s="49"/>
      <c r="D92" s="69"/>
      <c r="E92" s="69"/>
      <c r="F92" s="22"/>
      <c r="G92" s="69"/>
      <c r="H92" s="69"/>
      <c r="I92" s="69"/>
      <c r="J92" s="91"/>
      <c r="K92" s="91"/>
      <c r="L92" s="91"/>
      <c r="M92" s="91"/>
      <c r="N92" s="91"/>
    </row>
    <row r="93" spans="1:16">
      <c r="A93" s="101">
        <f>[2]ORÇAMENTO!A70</f>
        <v>7</v>
      </c>
      <c r="B93" s="101"/>
      <c r="C93" s="102" t="str">
        <f>[2]ORÇAMENTO!B70</f>
        <v>REVESTIMENTO</v>
      </c>
      <c r="D93" s="101"/>
      <c r="E93" s="101"/>
      <c r="F93" s="103"/>
      <c r="G93" s="101"/>
      <c r="H93" s="101"/>
      <c r="I93" s="101"/>
      <c r="J93" s="104"/>
      <c r="K93" s="104"/>
      <c r="L93" s="105"/>
      <c r="M93" s="105"/>
      <c r="N93" s="105"/>
    </row>
    <row r="94" spans="1:16" ht="60">
      <c r="A94" s="69" t="str">
        <f>[2]ORÇAMENTO!A71</f>
        <v>7.1</v>
      </c>
      <c r="B94" s="69">
        <f>[2]ORÇAMENTO!C71</f>
        <v>87529</v>
      </c>
      <c r="C94" s="49" t="str">
        <f>[2]ORÇAMENTO!D71</f>
        <v>MASSA ÚNICA, PARA RECEBIMENTO DE PINTURA, EM ARGAMASSA TRAÇO 1:2:8, PREPARO MECÂNICO COM BETONEIRA 400L, APLICADA MANUALMENTE EM FACES INTERNAS DE PAREDES, ESPESSURA DE 20MM, COM EXECUÇÃO DE TALISCAS. AF_06/2014</v>
      </c>
      <c r="D94" s="69" t="str">
        <f>[2]ORÇAMENTO!B71</f>
        <v>SINAPI</v>
      </c>
      <c r="E94" s="69" t="str">
        <f>[2]ORÇAMENTO!E71</f>
        <v>m²</v>
      </c>
      <c r="F94" s="22">
        <f>[2]ORÇAMENTO!F71</f>
        <v>418.9</v>
      </c>
      <c r="G94" s="39">
        <f>[2]MEM!L476</f>
        <v>610.58999999999992</v>
      </c>
      <c r="H94" s="69"/>
      <c r="I94" s="22">
        <f>F94+G94</f>
        <v>1029.4899999999998</v>
      </c>
      <c r="J94" s="91">
        <f>[2]ORÇAMENTO!G71*26.63%+[2]ORÇAMENTO!G71</f>
        <v>31.619510999999999</v>
      </c>
      <c r="K94" s="91">
        <f t="shared" si="0"/>
        <v>13245.41</v>
      </c>
      <c r="L94" s="91">
        <f>G94*J94</f>
        <v>19306.557221489998</v>
      </c>
      <c r="M94" s="91"/>
      <c r="N94" s="91">
        <f>I94*J94</f>
        <v>32551.970379389993</v>
      </c>
      <c r="P94" s="1"/>
    </row>
    <row r="95" spans="1:16" ht="45">
      <c r="A95" s="69" t="str">
        <f>[2]ORÇAMENTO!A72</f>
        <v>7.2</v>
      </c>
      <c r="B95" s="69">
        <f>[2]ORÇAMENTO!C72</f>
        <v>87879</v>
      </c>
      <c r="C95" s="49" t="str">
        <f>[2]ORÇAMENTO!D72</f>
        <v>CHAPISCO APLICADO EM ALVENARIAS E ESTRUTURAS DE CONCRETO INTERNAS, COM COLHER DE PEDREIRO.  ARGAMASSA TRAÇO 1:3 COM PREPARO EM BETONEIRA 400L. AF_06/2014</v>
      </c>
      <c r="D95" s="69" t="str">
        <f>[2]ORÇAMENTO!B72</f>
        <v>SINAPI</v>
      </c>
      <c r="E95" s="69" t="str">
        <f>[2]ORÇAMENTO!E72</f>
        <v>m²</v>
      </c>
      <c r="F95" s="22">
        <f>[2]ORÇAMENTO!F72</f>
        <v>418.9</v>
      </c>
      <c r="G95" s="39">
        <f>[2]MEM!L538</f>
        <v>610.58999999999992</v>
      </c>
      <c r="H95" s="69"/>
      <c r="I95" s="22">
        <f>F95+G95</f>
        <v>1029.4899999999998</v>
      </c>
      <c r="J95" s="91">
        <f>[2]ORÇAMENTO!G72*26.63%+[2]ORÇAMENTO!G72</f>
        <v>3.7862370000000003</v>
      </c>
      <c r="K95" s="91">
        <f t="shared" si="0"/>
        <v>1586.05</v>
      </c>
      <c r="L95" s="91">
        <f>G95*J95</f>
        <v>2311.8384498299997</v>
      </c>
      <c r="M95" s="91"/>
      <c r="N95" s="91">
        <f>I95*J95</f>
        <v>3897.8931291299996</v>
      </c>
    </row>
    <row r="96" spans="1:16" ht="45">
      <c r="A96" s="69" t="str">
        <f>[2]ORÇAMENTO!A73</f>
        <v>7.3</v>
      </c>
      <c r="B96" s="69">
        <f>[2]ORÇAMENTO!C73</f>
        <v>87273</v>
      </c>
      <c r="C96" s="49" t="str">
        <f>[2]ORÇAMENTO!D73</f>
        <v>REVESTIMENTO CERÂMICO PARA PAREDES INTERNAS COM PLACAS TIPO ESMALTADA EXTRA DE DIMENSÕES 33X45 CM APLICADAS EM AMBIENTES DE ÁREA MAIOR QUE 5 M² NA ALTURA INTEIRA DAS PAREDES. AF_06/2014</v>
      </c>
      <c r="D96" s="69" t="str">
        <f>[2]ORÇAMENTO!B73</f>
        <v>SINAPI</v>
      </c>
      <c r="E96" s="69" t="str">
        <f>[2]ORÇAMENTO!E73</f>
        <v>m²</v>
      </c>
      <c r="F96" s="22">
        <f>[2]ORÇAMENTO!F73</f>
        <v>423.52</v>
      </c>
      <c r="G96" s="69"/>
      <c r="H96" s="69"/>
      <c r="I96" s="69"/>
      <c r="J96" s="91">
        <f>[2]ORÇAMENTO!G73*26.63%+[2]ORÇAMENTO!G73</f>
        <v>77.712830999999994</v>
      </c>
      <c r="K96" s="91">
        <f t="shared" si="0"/>
        <v>32912.94</v>
      </c>
      <c r="L96" s="91"/>
      <c r="M96" s="91"/>
      <c r="N96" s="91"/>
    </row>
    <row r="97" spans="1:14">
      <c r="A97" s="69" t="str">
        <f>[2]ORÇAMENTO!A74</f>
        <v>7.4</v>
      </c>
      <c r="B97" s="69">
        <f>[2]ORÇAMENTO!C74</f>
        <v>12420</v>
      </c>
      <c r="C97" s="49">
        <f>[2]ORÇAMENTO!D74</f>
        <v>0</v>
      </c>
      <c r="D97" s="69" t="str">
        <f>[2]ORÇAMENTO!B74</f>
        <v>ORSE</v>
      </c>
      <c r="E97" s="69" t="str">
        <f>[2]ORÇAMENTO!E74</f>
        <v>m²</v>
      </c>
      <c r="F97" s="22">
        <f>[2]ORÇAMENTO!F74</f>
        <v>99.65</v>
      </c>
      <c r="G97" s="69"/>
      <c r="H97" s="69"/>
      <c r="I97" s="69"/>
      <c r="J97" s="91">
        <f>[2]ORÇAMENTO!G74*26.63%+[2]ORÇAMENTO!G74</f>
        <v>507.91293000000002</v>
      </c>
      <c r="K97" s="91">
        <f t="shared" si="0"/>
        <v>50613.52</v>
      </c>
      <c r="L97" s="91"/>
      <c r="M97" s="91"/>
      <c r="N97" s="91"/>
    </row>
    <row r="98" spans="1:14">
      <c r="A98" s="69"/>
      <c r="B98" s="69"/>
      <c r="C98" s="49"/>
      <c r="D98" s="69"/>
      <c r="E98" s="69"/>
      <c r="F98" s="22"/>
      <c r="G98" s="69"/>
      <c r="H98" s="69"/>
      <c r="I98" s="69"/>
      <c r="J98" s="91"/>
      <c r="K98" s="91"/>
      <c r="L98" s="91"/>
      <c r="M98" s="91"/>
      <c r="N98" s="91"/>
    </row>
    <row r="99" spans="1:14">
      <c r="A99" s="101">
        <f>[2]ORÇAMENTO!A76</f>
        <v>8</v>
      </c>
      <c r="B99" s="101"/>
      <c r="C99" s="102" t="str">
        <f>[2]ORÇAMENTO!B76</f>
        <v>PAVIMENTAÇÃO</v>
      </c>
      <c r="D99" s="101"/>
      <c r="E99" s="101"/>
      <c r="F99" s="103"/>
      <c r="G99" s="101"/>
      <c r="H99" s="101"/>
      <c r="I99" s="101"/>
      <c r="J99" s="104"/>
      <c r="K99" s="104"/>
      <c r="L99" s="105"/>
      <c r="M99" s="105"/>
      <c r="N99" s="105"/>
    </row>
    <row r="100" spans="1:14" ht="45">
      <c r="A100" s="69" t="str">
        <f>[2]ORÇAMENTO!A77</f>
        <v>8.1</v>
      </c>
      <c r="B100" s="69">
        <f>[2]ORÇAMENTO!C77</f>
        <v>87620</v>
      </c>
      <c r="C100" s="49" t="str">
        <f>[2]ORÇAMENTO!D77</f>
        <v>CONTRAPISO EM ARGAMASSA TRAÇO 1:4 (CIMENTO E AREIA), PREPARO MECÂNICO COM BETONEIRA 400 L, APLICADO EM ÁREAS SECAS SOBRE LAJE, ADERIDO, ACABAMENTO NÃO REFORÇADO, ESPESSURA 2CM. AF_07/2021</v>
      </c>
      <c r="D100" s="69" t="str">
        <f>[2]ORÇAMENTO!B77</f>
        <v>SINAPI</v>
      </c>
      <c r="E100" s="69" t="str">
        <f>[2]ORÇAMENTO!E77</f>
        <v>m²</v>
      </c>
      <c r="F100" s="22">
        <f>[2]ORÇAMENTO!F77</f>
        <v>774.83</v>
      </c>
      <c r="G100" s="69"/>
      <c r="H100" s="69"/>
      <c r="I100" s="69"/>
      <c r="J100" s="91">
        <f>[2]ORÇAMENTO!G77*26.63%+[2]ORÇAMENTO!G77</f>
        <v>28.238489999999999</v>
      </c>
      <c r="K100" s="91">
        <f t="shared" ref="K100:K163" si="7">ROUND(F100*J100,2)</f>
        <v>21880.03</v>
      </c>
      <c r="L100" s="91"/>
      <c r="M100" s="91"/>
      <c r="N100" s="91"/>
    </row>
    <row r="101" spans="1:14" ht="45">
      <c r="A101" s="69" t="str">
        <f>[2]ORÇAMENTO!A78</f>
        <v>8.2</v>
      </c>
      <c r="B101" s="69">
        <f>[2]ORÇAMENTO!C78</f>
        <v>87263</v>
      </c>
      <c r="C101" s="49" t="str">
        <f>[2]ORÇAMENTO!D78</f>
        <v>REVESTIMENTO CERÂMICO PARA PISO COM PLACAS TIPO PORCELANATO DE DIMENSÕES 60X60 CM APLICADA EM AMBIENTES DE ÁREA MAIOR QUE 10 M². AF_06/2014</v>
      </c>
      <c r="D101" s="69" t="str">
        <f>[2]ORÇAMENTO!B78</f>
        <v>SINAPI</v>
      </c>
      <c r="E101" s="69" t="str">
        <f>[2]ORÇAMENTO!E78</f>
        <v>m²</v>
      </c>
      <c r="F101" s="22">
        <f>[2]ORÇAMENTO!F78</f>
        <v>774.83</v>
      </c>
      <c r="G101" s="69"/>
      <c r="H101" s="69"/>
      <c r="I101" s="69"/>
      <c r="J101" s="91">
        <f>[2]ORÇAMENTO!G78*26.63%+[2]ORÇAMENTO!G78</f>
        <v>184.01871599999998</v>
      </c>
      <c r="K101" s="91">
        <f t="shared" si="7"/>
        <v>142583.22</v>
      </c>
      <c r="L101" s="91"/>
      <c r="M101" s="91"/>
      <c r="N101" s="91"/>
    </row>
    <row r="102" spans="1:14">
      <c r="A102" s="69" t="str">
        <f>[2]ORÇAMENTO!A79</f>
        <v>8.3</v>
      </c>
      <c r="B102" s="69">
        <f>[2]ORÇAMENTO!C79</f>
        <v>98504</v>
      </c>
      <c r="C102" s="49" t="str">
        <f>[2]ORÇAMENTO!D79</f>
        <v>PLANTIO DE GRAMA EM PLACAS. AF_05/2018</v>
      </c>
      <c r="D102" s="69" t="str">
        <f>[2]ORÇAMENTO!B79</f>
        <v>SINAPI</v>
      </c>
      <c r="E102" s="69" t="str">
        <f>[2]ORÇAMENTO!E79</f>
        <v>m²</v>
      </c>
      <c r="F102" s="22">
        <f>[2]ORÇAMENTO!F79</f>
        <v>176.89</v>
      </c>
      <c r="G102" s="69"/>
      <c r="H102" s="69"/>
      <c r="I102" s="69"/>
      <c r="J102" s="91">
        <f>[2]ORÇAMENTO!G79*26.63%+[2]ORÇAMENTO!G79</f>
        <v>16.550540999999999</v>
      </c>
      <c r="K102" s="91">
        <f t="shared" si="7"/>
        <v>2927.63</v>
      </c>
      <c r="L102" s="91"/>
      <c r="M102" s="91"/>
      <c r="N102" s="91"/>
    </row>
    <row r="103" spans="1:14" ht="60">
      <c r="A103" s="69" t="str">
        <f>[2]ORÇAMENTO!A80</f>
        <v>8.4</v>
      </c>
      <c r="B103" s="69">
        <f>[2]ORÇAMENTO!C80</f>
        <v>101819</v>
      </c>
      <c r="C103" s="49" t="str">
        <f>[2]ORÇAMENTO!D80</f>
        <v>RECOMPOSIÇÃO DE PAVIMENTO EM PARALELEPÍPEDOS, REJUNTAMENTO COM ARGAMASSA, COM REAPROVEITAMENTO DOS PARALELEPÍPEDOS, PARA O FECHAMENTO DE VALAS - INCLUSO RETIRADA E COLOCAÇÃO DO MATERIAL. AF_12/2020</v>
      </c>
      <c r="D103" s="69" t="str">
        <f>[2]ORÇAMENTO!B80</f>
        <v>SINAPI</v>
      </c>
      <c r="E103" s="69" t="str">
        <f>[2]ORÇAMENTO!E80</f>
        <v>m²</v>
      </c>
      <c r="F103" s="22">
        <f>[2]ORÇAMENTO!F80</f>
        <v>155.13</v>
      </c>
      <c r="G103" s="69"/>
      <c r="H103" s="69"/>
      <c r="I103" s="69"/>
      <c r="J103" s="91">
        <f>[2]ORÇAMENTO!G80*26.63%+[2]ORÇAMENTO!G80</f>
        <v>57.312737999999996</v>
      </c>
      <c r="K103" s="91">
        <f t="shared" si="7"/>
        <v>8890.93</v>
      </c>
      <c r="L103" s="91"/>
      <c r="M103" s="91"/>
      <c r="N103" s="91"/>
    </row>
    <row r="104" spans="1:14" ht="30">
      <c r="A104" s="64" t="s">
        <v>566</v>
      </c>
      <c r="B104" s="108">
        <v>95241</v>
      </c>
      <c r="C104" s="140" t="s">
        <v>567</v>
      </c>
      <c r="D104" s="69" t="s">
        <v>7</v>
      </c>
      <c r="E104" s="124" t="s">
        <v>9</v>
      </c>
      <c r="F104" s="22"/>
      <c r="G104" s="39">
        <f>[2]MEM!L603</f>
        <v>736.73</v>
      </c>
      <c r="H104" s="69"/>
      <c r="I104" s="39">
        <f>G104</f>
        <v>736.73</v>
      </c>
      <c r="J104" s="91">
        <f>'[2]ITENS NOVOS'!I21</f>
        <v>27.809999999999995</v>
      </c>
      <c r="K104" s="91"/>
      <c r="L104" s="91">
        <f>G104*J104</f>
        <v>20488.461299999995</v>
      </c>
      <c r="M104" s="91"/>
      <c r="N104" s="91">
        <f>I104*J104</f>
        <v>20488.461299999995</v>
      </c>
    </row>
    <row r="105" spans="1:14">
      <c r="A105" s="101">
        <f>[2]ORÇAMENTO!A82</f>
        <v>9</v>
      </c>
      <c r="B105" s="101"/>
      <c r="C105" s="102" t="str">
        <f>[2]ORÇAMENTO!B82</f>
        <v>INSTALAÇÕES HIDRO-SANITÁRIAS-PLUVIAL-INCÊNDIO</v>
      </c>
      <c r="D105" s="101"/>
      <c r="E105" s="101"/>
      <c r="F105" s="103"/>
      <c r="G105" s="101"/>
      <c r="H105" s="101"/>
      <c r="I105" s="101"/>
      <c r="J105" s="104"/>
      <c r="K105" s="104"/>
      <c r="L105" s="105"/>
      <c r="M105" s="105"/>
      <c r="N105" s="105"/>
    </row>
    <row r="106" spans="1:14">
      <c r="A106" s="118" t="str">
        <f>[2]ORÇAMENTO!A83</f>
        <v>9.1</v>
      </c>
      <c r="B106" s="118"/>
      <c r="C106" s="119" t="str">
        <f>[2]ORÇAMENTO!B83</f>
        <v xml:space="preserve">SISTEMA PREDIAL DE ESGOTO SANITÁRIO -NBR 9160 </v>
      </c>
      <c r="D106" s="118"/>
      <c r="E106" s="118"/>
      <c r="F106" s="120"/>
      <c r="G106" s="118"/>
      <c r="H106" s="118"/>
      <c r="I106" s="118"/>
      <c r="J106" s="121"/>
      <c r="K106" s="121"/>
      <c r="L106" s="121"/>
      <c r="M106" s="121"/>
      <c r="N106" s="121"/>
    </row>
    <row r="107" spans="1:14" ht="45">
      <c r="A107" s="69" t="str">
        <f>[2]ORÇAMENTO!A84</f>
        <v>9.1.1</v>
      </c>
      <c r="B107" s="69">
        <f>[2]ORÇAMENTO!C84</f>
        <v>89707</v>
      </c>
      <c r="C107" s="49" t="str">
        <f>[2]ORÇAMENTO!D84</f>
        <v>CAIXA SIFONADA, PVC, DN 100 X 100 X 50 MM, JUNTA ELÁSTICA, FORNECIDA E INSTALADA EM RAMAL DE DESCARGA OU EM RAMAL DE ESGOTO SANITÁRIO. AF_12/2014</v>
      </c>
      <c r="D107" s="69" t="str">
        <f>[2]ORÇAMENTO!B84</f>
        <v>SINAPI</v>
      </c>
      <c r="E107" s="69" t="str">
        <f>[2]ORÇAMENTO!E84</f>
        <v>unid</v>
      </c>
      <c r="F107" s="22">
        <f>[2]ORÇAMENTO!F84</f>
        <v>28</v>
      </c>
      <c r="G107" s="69"/>
      <c r="H107" s="69"/>
      <c r="I107" s="69"/>
      <c r="J107" s="91">
        <f>[2]ORÇAMENTO!G84*26.63%+[2]ORÇAMENTO!G84</f>
        <v>41.040782999999998</v>
      </c>
      <c r="K107" s="91">
        <f t="shared" si="7"/>
        <v>1149.1400000000001</v>
      </c>
      <c r="L107" s="91"/>
      <c r="M107" s="91"/>
      <c r="N107" s="91"/>
    </row>
    <row r="108" spans="1:14" ht="45">
      <c r="A108" s="69" t="str">
        <f>[2]ORÇAMENTO!A85</f>
        <v>9.1.2</v>
      </c>
      <c r="B108" s="69">
        <f>[2]ORÇAMENTO!C85</f>
        <v>89744</v>
      </c>
      <c r="C108" s="49" t="str">
        <f>[2]ORÇAMENTO!D85</f>
        <v>JOELHO 90 GRAUS, PVC, SERIE NORMAL, ESGOTO PREDIAL, DN 100 MM, JUNTA ELÁSTICA, FORNECIDO E INSTALADO EM RAMAL DE DESCARGA OU RAMAL DE ESGOTO SANITÁRIO. AF_12/2014</v>
      </c>
      <c r="D108" s="69" t="str">
        <f>[2]ORÇAMENTO!B85</f>
        <v>SINAPI</v>
      </c>
      <c r="E108" s="69" t="str">
        <f>[2]ORÇAMENTO!E85</f>
        <v>unid</v>
      </c>
      <c r="F108" s="22">
        <f>[2]ORÇAMENTO!F85</f>
        <v>13</v>
      </c>
      <c r="G108" s="69"/>
      <c r="H108" s="69"/>
      <c r="I108" s="69"/>
      <c r="J108" s="91">
        <f>[2]ORÇAMENTO!G85*26.63%+[2]ORÇAMENTO!G85</f>
        <v>26.592300000000002</v>
      </c>
      <c r="K108" s="91">
        <f t="shared" si="7"/>
        <v>345.7</v>
      </c>
      <c r="L108" s="91"/>
      <c r="M108" s="91"/>
      <c r="N108" s="91"/>
    </row>
    <row r="109" spans="1:14" ht="45">
      <c r="A109" s="69" t="str">
        <f>[2]ORÇAMENTO!A86</f>
        <v>9.1.3</v>
      </c>
      <c r="B109" s="69">
        <f>[2]ORÇAMENTO!C86</f>
        <v>89724</v>
      </c>
      <c r="C109" s="49" t="str">
        <f>[2]ORÇAMENTO!D86</f>
        <v>JOELHO 90 GRAUS, PVC, SERIE NORMAL, ESGOTO PREDIAL, DN 40 MM, JUNTA SOLDÁVEL, FORNECIDO E INSTALADO EM RAMAL DE DESCARGA OU RAMAL DE ESGOTO SANITÁRIO. AF_12/2014</v>
      </c>
      <c r="D109" s="69" t="str">
        <f>[2]ORÇAMENTO!B86</f>
        <v>SINAPI</v>
      </c>
      <c r="E109" s="69" t="str">
        <f>[2]ORÇAMENTO!E86</f>
        <v>unid</v>
      </c>
      <c r="F109" s="22">
        <f>[2]ORÇAMENTO!F86</f>
        <v>63</v>
      </c>
      <c r="G109" s="69"/>
      <c r="H109" s="69"/>
      <c r="I109" s="69"/>
      <c r="J109" s="91">
        <f>[2]ORÇAMENTO!G86*26.63%+[2]ORÇAMENTO!G86</f>
        <v>10.712898000000001</v>
      </c>
      <c r="K109" s="91">
        <f t="shared" si="7"/>
        <v>674.91</v>
      </c>
      <c r="L109" s="91"/>
      <c r="M109" s="91"/>
      <c r="N109" s="91"/>
    </row>
    <row r="110" spans="1:14" ht="45">
      <c r="A110" s="69" t="str">
        <f>[2]ORÇAMENTO!A87</f>
        <v>9.1.4</v>
      </c>
      <c r="B110" s="69">
        <f>[2]ORÇAMENTO!C87</f>
        <v>89731</v>
      </c>
      <c r="C110" s="49" t="str">
        <f>[2]ORÇAMENTO!D87</f>
        <v>JOELHO 90 GRAUS, PVC, SERIE NORMAL, ESGOTO PREDIAL, DN 50 MM, JUNTA ELÁSTICA, FORNECIDO E INSTALADO EM RAMAL DE DESCARGA OU RAMAL DE ESGOTO SANITÁRIO. AF_12/2014</v>
      </c>
      <c r="D110" s="69" t="str">
        <f>[2]ORÇAMENTO!B87</f>
        <v>SINAPI</v>
      </c>
      <c r="E110" s="69" t="str">
        <f>[2]ORÇAMENTO!E87</f>
        <v>unid</v>
      </c>
      <c r="F110" s="22">
        <f>[2]ORÇAMENTO!F87</f>
        <v>38</v>
      </c>
      <c r="G110" s="69"/>
      <c r="H110" s="69"/>
      <c r="I110" s="69"/>
      <c r="J110" s="91">
        <f>[2]ORÇAMENTO!G87*26.63%+[2]ORÇAMENTO!G87</f>
        <v>11.295396</v>
      </c>
      <c r="K110" s="91">
        <f t="shared" si="7"/>
        <v>429.23</v>
      </c>
      <c r="L110" s="91"/>
      <c r="M110" s="91"/>
      <c r="N110" s="91"/>
    </row>
    <row r="111" spans="1:14" ht="45">
      <c r="A111" s="69" t="str">
        <f>[2]ORÇAMENTO!A88</f>
        <v>9.1.5</v>
      </c>
      <c r="B111" s="69">
        <f>[2]ORÇAMENTO!C88</f>
        <v>89726</v>
      </c>
      <c r="C111" s="49" t="str">
        <f>[2]ORÇAMENTO!D88</f>
        <v>JOELHO 45 GRAUS, PVC, SERIE NORMAL, ESGOTO PREDIAL, DN 40 MM, JUNTA SOLDÁVEL, FORNECIDO E INSTALADO EM RAMAL DE DESCARGA OU RAMAL DE ESGOTO SANITÁRIO. AF_12/2014</v>
      </c>
      <c r="D111" s="69" t="str">
        <f>[2]ORÇAMENTO!B88</f>
        <v>SINAPI</v>
      </c>
      <c r="E111" s="69" t="str">
        <f>[2]ORÇAMENTO!E88</f>
        <v>unid</v>
      </c>
      <c r="F111" s="22">
        <f>[2]ORÇAMENTO!F88</f>
        <v>30</v>
      </c>
      <c r="G111" s="69"/>
      <c r="H111" s="69"/>
      <c r="I111" s="69"/>
      <c r="J111" s="91">
        <f>[2]ORÇAMENTO!G88*26.63%+[2]ORÇAMENTO!G88</f>
        <v>6.9646499999999998</v>
      </c>
      <c r="K111" s="91">
        <f t="shared" si="7"/>
        <v>208.94</v>
      </c>
      <c r="L111" s="91"/>
      <c r="M111" s="91"/>
      <c r="N111" s="91"/>
    </row>
    <row r="112" spans="1:14" ht="45">
      <c r="A112" s="69" t="str">
        <f>[2]ORÇAMENTO!A89</f>
        <v>9.1.6</v>
      </c>
      <c r="B112" s="69">
        <f>[2]ORÇAMENTO!C89</f>
        <v>89732</v>
      </c>
      <c r="C112" s="49" t="str">
        <f>[2]ORÇAMENTO!D89</f>
        <v>JOELHO 45 GRAUS, PVC, SERIE NORMAL, ESGOTO PREDIAL, DN 50 MM, JUNTA ELÁSTICA, FORNECIDO E INSTALADO EM RAMAL DE DESCARGA OU RAMAL DE ESGOTO SANITÁRIO. AF_12/2014</v>
      </c>
      <c r="D112" s="69" t="str">
        <f>[2]ORÇAMENTO!B89</f>
        <v>SINAPI</v>
      </c>
      <c r="E112" s="69" t="str">
        <f>[2]ORÇAMENTO!E89</f>
        <v>unid</v>
      </c>
      <c r="F112" s="22">
        <f>[2]ORÇAMENTO!F89</f>
        <v>25</v>
      </c>
      <c r="G112" s="69"/>
      <c r="H112" s="69"/>
      <c r="I112" s="69"/>
      <c r="J112" s="91">
        <f>[2]ORÇAMENTO!G89*26.63%+[2]ORÇAMENTO!G89</f>
        <v>12.181805999999998</v>
      </c>
      <c r="K112" s="91">
        <f t="shared" si="7"/>
        <v>304.55</v>
      </c>
      <c r="L112" s="91"/>
      <c r="M112" s="91"/>
      <c r="N112" s="91"/>
    </row>
    <row r="113" spans="1:14" ht="45">
      <c r="A113" s="69" t="str">
        <f>[2]ORÇAMENTO!A90</f>
        <v>9.1.7</v>
      </c>
      <c r="B113" s="69">
        <f>[2]ORÇAMENTO!C90</f>
        <v>89746</v>
      </c>
      <c r="C113" s="49" t="str">
        <f>[2]ORÇAMENTO!D90</f>
        <v>JOELHO 45 GRAUS, PVC, SERIE NORMAL, ESGOTO PREDIAL, DN 100 MM, JUNTA ELÁSTICA, FORNECIDO E INSTALADO EM RAMAL DE DESCARGA OU RAMAL DE ESGOTO SANITÁRIO. AF_12/2014</v>
      </c>
      <c r="D113" s="69" t="str">
        <f>[2]ORÇAMENTO!B90</f>
        <v>SINAPI</v>
      </c>
      <c r="E113" s="69" t="str">
        <f>[2]ORÇAMENTO!E90</f>
        <v>unid</v>
      </c>
      <c r="F113" s="22">
        <f>[2]ORÇAMENTO!F90</f>
        <v>11</v>
      </c>
      <c r="G113" s="69"/>
      <c r="H113" s="69"/>
      <c r="I113" s="69"/>
      <c r="J113" s="91">
        <f>[2]ORÇAMENTO!G90*26.63%+[2]ORÇAMENTO!G90</f>
        <v>26.503658999999999</v>
      </c>
      <c r="K113" s="91">
        <f t="shared" si="7"/>
        <v>291.54000000000002</v>
      </c>
      <c r="L113" s="91"/>
      <c r="M113" s="91"/>
      <c r="N113" s="91"/>
    </row>
    <row r="114" spans="1:14" ht="45">
      <c r="A114" s="69" t="str">
        <f>[2]ORÇAMENTO!A91</f>
        <v>9.1.8</v>
      </c>
      <c r="B114" s="69">
        <f>[2]ORÇAMENTO!C91</f>
        <v>89797</v>
      </c>
      <c r="C114" s="49" t="str">
        <f>[2]ORÇAMENTO!D91</f>
        <v>JUNÇÃO SIMPLES, PVC, SERIE NORMAL, ESGOTO PREDIAL, DN 100 X 100 MM, JUNTA ELÁSTICA, FORNECIDO E INSTALADO EM RAMAL DE DESCARGA OU RAMAL DE ESGOTO SANITÁRIO. AF_12/2014</v>
      </c>
      <c r="D114" s="69" t="str">
        <f>[2]ORÇAMENTO!B91</f>
        <v>SINAPI</v>
      </c>
      <c r="E114" s="69" t="str">
        <f>[2]ORÇAMENTO!E91</f>
        <v>unid</v>
      </c>
      <c r="F114" s="22">
        <f>[2]ORÇAMENTO!F91</f>
        <v>2</v>
      </c>
      <c r="G114" s="69"/>
      <c r="H114" s="69"/>
      <c r="I114" s="69"/>
      <c r="J114" s="91">
        <f>[2]ORÇAMENTO!G91*26.63%+[2]ORÇAMENTO!G91</f>
        <v>53.817749999999997</v>
      </c>
      <c r="K114" s="91">
        <f t="shared" si="7"/>
        <v>107.64</v>
      </c>
      <c r="L114" s="91"/>
      <c r="M114" s="91"/>
      <c r="N114" s="91"/>
    </row>
    <row r="115" spans="1:14" ht="30">
      <c r="A115" s="69" t="str">
        <f>[2]ORÇAMENTO!A92</f>
        <v>9.1.9</v>
      </c>
      <c r="B115" s="69">
        <f>[2]ORÇAMENTO!C92</f>
        <v>1560</v>
      </c>
      <c r="C115" s="49" t="str">
        <f>[2]ORÇAMENTO!D92</f>
        <v>Junção simples em pvc rígido soldável, para esgoto primário, diâm = 75 x 50 mm.</v>
      </c>
      <c r="D115" s="69" t="str">
        <f>[2]ORÇAMENTO!B92</f>
        <v>ORSE</v>
      </c>
      <c r="E115" s="69" t="str">
        <f>[2]ORÇAMENTO!E92</f>
        <v>unid</v>
      </c>
      <c r="F115" s="22">
        <f>[2]ORÇAMENTO!F92</f>
        <v>3</v>
      </c>
      <c r="G115" s="69"/>
      <c r="H115" s="69"/>
      <c r="I115" s="69"/>
      <c r="J115" s="91">
        <f>[2]ORÇAMENTO!G92*26.63%+[2]ORÇAMENTO!G92</f>
        <v>41.749910999999997</v>
      </c>
      <c r="K115" s="91">
        <f t="shared" si="7"/>
        <v>125.25</v>
      </c>
      <c r="L115" s="91"/>
      <c r="M115" s="91"/>
      <c r="N115" s="91"/>
    </row>
    <row r="116" spans="1:14" ht="30">
      <c r="A116" s="69" t="str">
        <f>[2]ORÇAMENTO!A93</f>
        <v>9.1.10</v>
      </c>
      <c r="B116" s="69">
        <f>[2]ORÇAMENTO!C93</f>
        <v>1562</v>
      </c>
      <c r="C116" s="49" t="str">
        <f>[2]ORÇAMENTO!D93</f>
        <v>Junção simples em pvc rígido soldável, para esgoto primário, diâm = 100 x 50 mm.</v>
      </c>
      <c r="D116" s="69" t="str">
        <f>[2]ORÇAMENTO!B93</f>
        <v>ORSE</v>
      </c>
      <c r="E116" s="69" t="str">
        <f>[2]ORÇAMENTO!E93</f>
        <v>unid</v>
      </c>
      <c r="F116" s="22">
        <f>[2]ORÇAMENTO!F93</f>
        <v>17</v>
      </c>
      <c r="G116" s="69"/>
      <c r="H116" s="69"/>
      <c r="I116" s="69"/>
      <c r="J116" s="91">
        <f>[2]ORÇAMENTO!G93*26.63%+[2]ORÇAMENTO!G93</f>
        <v>52.310853000000002</v>
      </c>
      <c r="K116" s="91">
        <f t="shared" si="7"/>
        <v>889.28</v>
      </c>
      <c r="L116" s="91"/>
      <c r="M116" s="91"/>
      <c r="N116" s="91"/>
    </row>
    <row r="117" spans="1:14" ht="45">
      <c r="A117" s="69" t="str">
        <f>[2]ORÇAMENTO!A94</f>
        <v>9.1.11</v>
      </c>
      <c r="B117" s="69">
        <f>[2]ORÇAMENTO!C94</f>
        <v>89784</v>
      </c>
      <c r="C117" s="49" t="str">
        <f>[2]ORÇAMENTO!D94</f>
        <v>TE, PVC, SERIE NORMAL, ESGOTO PREDIAL, DN 50 X 50 MM, JUNTA ELÁSTICA, FORNECIDO E INSTALADO EM RAMAL DE DESCARGA OU RAMAL DE ESGOTO SANITÁRIO. AF_12/2014</v>
      </c>
      <c r="D117" s="69" t="str">
        <f>[2]ORÇAMENTO!B94</f>
        <v>SINAPI</v>
      </c>
      <c r="E117" s="69" t="str">
        <f>[2]ORÇAMENTO!E94</f>
        <v>unid</v>
      </c>
      <c r="F117" s="22">
        <f>[2]ORÇAMENTO!F94</f>
        <v>28</v>
      </c>
      <c r="G117" s="69"/>
      <c r="H117" s="69"/>
      <c r="I117" s="69"/>
      <c r="J117" s="91">
        <f>[2]ORÇAMENTO!G94*26.63%+[2]ORÇAMENTO!G94</f>
        <v>22.096934999999998</v>
      </c>
      <c r="K117" s="91">
        <f t="shared" si="7"/>
        <v>618.71</v>
      </c>
      <c r="L117" s="91"/>
      <c r="M117" s="91"/>
      <c r="N117" s="91"/>
    </row>
    <row r="118" spans="1:14" ht="45">
      <c r="A118" s="69" t="str">
        <f>[2]ORÇAMENTO!A95</f>
        <v>9.1.12</v>
      </c>
      <c r="B118" s="69">
        <f>[2]ORÇAMENTO!C95</f>
        <v>89796</v>
      </c>
      <c r="C118" s="49" t="str">
        <f>[2]ORÇAMENTO!D95</f>
        <v>TE, PVC, SERIE NORMAL, ESGOTO PREDIAL, DN 100 X 100 MM, JUNTA ELÁSTICA, FORNECIDO E INSTALADO EM RAMAL DE DESCARGA OU RAMAL DE ESGOTO SANITÁRIO. AF_12/2014</v>
      </c>
      <c r="D118" s="69" t="str">
        <f>[2]ORÇAMENTO!B95</f>
        <v>SINAPI</v>
      </c>
      <c r="E118" s="69" t="str">
        <f>[2]ORÇAMENTO!E95</f>
        <v>unid</v>
      </c>
      <c r="F118" s="22">
        <f>[2]ORÇAMENTO!F95</f>
        <v>5</v>
      </c>
      <c r="G118" s="69"/>
      <c r="H118" s="69"/>
      <c r="I118" s="69"/>
      <c r="J118" s="91">
        <f>[2]ORÇAMENTO!G95*26.63%+[2]ORÇAMENTO!G95</f>
        <v>45.662778000000003</v>
      </c>
      <c r="K118" s="91">
        <f t="shared" si="7"/>
        <v>228.31</v>
      </c>
      <c r="L118" s="91"/>
      <c r="M118" s="91"/>
      <c r="N118" s="91"/>
    </row>
    <row r="119" spans="1:14" ht="45">
      <c r="A119" s="69" t="str">
        <f>[2]ORÇAMENTO!A96</f>
        <v>9.1.13</v>
      </c>
      <c r="B119" s="69">
        <f>[2]ORÇAMENTO!C96</f>
        <v>89714</v>
      </c>
      <c r="C119" s="49" t="str">
        <f>[2]ORÇAMENTO!D96</f>
        <v>TUBO PVC, SERIE NORMAL, ESGOTO PREDIAL, DN 100 MM, FORNECIDO E INSTALADO EM RAMAL DE DESCARGA OU RAMAL DE ESGOTO SANITÁRIO. AF_12/2014</v>
      </c>
      <c r="D119" s="69" t="str">
        <f>[2]ORÇAMENTO!B96</f>
        <v>SINAPI</v>
      </c>
      <c r="E119" s="69" t="str">
        <f>[2]ORÇAMENTO!E96</f>
        <v>m</v>
      </c>
      <c r="F119" s="22">
        <f>[2]ORÇAMENTO!F96</f>
        <v>190</v>
      </c>
      <c r="G119" s="69"/>
      <c r="H119" s="69"/>
      <c r="I119" s="69"/>
      <c r="J119" s="91">
        <f>[2]ORÇAMENTO!G96*26.63%+[2]ORÇAMENTO!G96</f>
        <v>57.287412000000003</v>
      </c>
      <c r="K119" s="91">
        <f t="shared" si="7"/>
        <v>10884.61</v>
      </c>
      <c r="L119" s="91"/>
      <c r="M119" s="91"/>
      <c r="N119" s="91"/>
    </row>
    <row r="120" spans="1:14" ht="45">
      <c r="A120" s="69" t="str">
        <f>[2]ORÇAMENTO!A97</f>
        <v>9.1.14</v>
      </c>
      <c r="B120" s="69">
        <f>[2]ORÇAMENTO!C97</f>
        <v>89712</v>
      </c>
      <c r="C120" s="49" t="str">
        <f>[2]ORÇAMENTO!D97</f>
        <v>TUBO PVC, SERIE NORMAL, ESGOTO PREDIAL, DN 50 MM, FORNECIDO E INSTALADO EM RAMAL DE DESCARGA OU RAMAL DE ESGOTO SANITÁRIO. AF_12/2014</v>
      </c>
      <c r="D120" s="69" t="str">
        <f>[2]ORÇAMENTO!B97</f>
        <v>SINAPI</v>
      </c>
      <c r="E120" s="69" t="str">
        <f>[2]ORÇAMENTO!E97</f>
        <v>m</v>
      </c>
      <c r="F120" s="22">
        <f>[2]ORÇAMENTO!F97</f>
        <v>100</v>
      </c>
      <c r="G120" s="69"/>
      <c r="H120" s="69"/>
      <c r="I120" s="69"/>
      <c r="J120" s="91">
        <f>[2]ORÇAMENTO!G97*26.63%+[2]ORÇAMENTO!G97</f>
        <v>30.201255000000003</v>
      </c>
      <c r="K120" s="91">
        <f t="shared" si="7"/>
        <v>3020.13</v>
      </c>
      <c r="L120" s="91"/>
      <c r="M120" s="91"/>
      <c r="N120" s="91"/>
    </row>
    <row r="121" spans="1:14" ht="45">
      <c r="A121" s="69" t="str">
        <f>[2]ORÇAMENTO!A98</f>
        <v>9.1.15</v>
      </c>
      <c r="B121" s="69">
        <f>[2]ORÇAMENTO!C98</f>
        <v>89711</v>
      </c>
      <c r="C121" s="49" t="str">
        <f>[2]ORÇAMENTO!D98</f>
        <v>TUBO PVC, SERIE NORMAL, ESGOTO PREDIAL, DN 40 MM, FORNECIDO E INSTALADO EM RAMAL DE DESCARGA OU RAMAL DE ESGOTO SANITÁRIO. AF_12/2014</v>
      </c>
      <c r="D121" s="69" t="str">
        <f>[2]ORÇAMENTO!B98</f>
        <v>SINAPI</v>
      </c>
      <c r="E121" s="69" t="str">
        <f>[2]ORÇAMENTO!E98</f>
        <v>m</v>
      </c>
      <c r="F121" s="22">
        <f>[2]ORÇAMENTO!F98</f>
        <v>18</v>
      </c>
      <c r="G121" s="69"/>
      <c r="H121" s="69"/>
      <c r="I121" s="69"/>
      <c r="J121" s="91">
        <f>[2]ORÇAMENTO!G98*26.63%+[2]ORÇAMENTO!G98</f>
        <v>19.766942999999998</v>
      </c>
      <c r="K121" s="91">
        <f t="shared" si="7"/>
        <v>355.8</v>
      </c>
      <c r="L121" s="91"/>
      <c r="M121" s="91"/>
      <c r="N121" s="91"/>
    </row>
    <row r="122" spans="1:14" ht="45">
      <c r="A122" s="69" t="str">
        <f>[2]ORÇAMENTO!A99</f>
        <v>9.1.16</v>
      </c>
      <c r="B122" s="69">
        <f>[2]ORÇAMENTO!C99</f>
        <v>89709</v>
      </c>
      <c r="C122" s="49" t="str">
        <f>[2]ORÇAMENTO!D99</f>
        <v>RALO SIFONADO, PVC, DN 100 X 40 MM, JUNTA SOLDÁVEL, FORNECIDO E INSTALADO EM RAMAL DE DESCARGA OU EM RAMAL DE ESGOTO SANITÁRIO. AF_12/2014</v>
      </c>
      <c r="D122" s="69" t="str">
        <f>[2]ORÇAMENTO!B99</f>
        <v>SINAPI</v>
      </c>
      <c r="E122" s="69" t="str">
        <f>[2]ORÇAMENTO!E99</f>
        <v>unid</v>
      </c>
      <c r="F122" s="22">
        <f>[2]ORÇAMENTO!F99</f>
        <v>2</v>
      </c>
      <c r="G122" s="69"/>
      <c r="H122" s="69"/>
      <c r="I122" s="69"/>
      <c r="J122" s="91">
        <f>[2]ORÇAMENTO!G99*26.63%+[2]ORÇAMENTO!G99</f>
        <v>15.930054</v>
      </c>
      <c r="K122" s="91">
        <f t="shared" si="7"/>
        <v>31.86</v>
      </c>
      <c r="L122" s="91"/>
      <c r="M122" s="91"/>
      <c r="N122" s="91"/>
    </row>
    <row r="123" spans="1:14" ht="45">
      <c r="A123" s="69" t="str">
        <f>[2]ORÇAMENTO!A100</f>
        <v>9.1.17</v>
      </c>
      <c r="B123" s="69">
        <f>[2]ORÇAMENTO!C100</f>
        <v>97902</v>
      </c>
      <c r="C123" s="49" t="str">
        <f>[2]ORÇAMENTO!D100</f>
        <v>CAIXA ENTERRADA HIDRÁULICA RETANGULAR EM ALVENARIA COM TIJOLOS CERÂMICOS MACIÇOS, DIMENSÕES INTERNAS: 0,6X0,6X0,6 M PARA REDE DE ESGOTO. AF_12/2020</v>
      </c>
      <c r="D123" s="69" t="str">
        <f>[2]ORÇAMENTO!B100</f>
        <v>SINAPI</v>
      </c>
      <c r="E123" s="69" t="str">
        <f>[2]ORÇAMENTO!E100</f>
        <v>unid</v>
      </c>
      <c r="F123" s="22">
        <f>[2]ORÇAMENTO!F100</f>
        <v>18</v>
      </c>
      <c r="G123" s="69"/>
      <c r="H123" s="69"/>
      <c r="I123" s="69"/>
      <c r="J123" s="91">
        <f>[2]ORÇAMENTO!G100*26.63%+[2]ORÇAMENTO!G100</f>
        <v>579.61083600000006</v>
      </c>
      <c r="K123" s="91">
        <f t="shared" si="7"/>
        <v>10433</v>
      </c>
      <c r="L123" s="91"/>
      <c r="M123" s="91"/>
      <c r="N123" s="91"/>
    </row>
    <row r="124" spans="1:14" ht="30">
      <c r="A124" s="69" t="str">
        <f>[2]ORÇAMENTO!A101</f>
        <v>9.1.18</v>
      </c>
      <c r="B124" s="69">
        <f>[2]ORÇAMENTO!C101</f>
        <v>89849</v>
      </c>
      <c r="C124" s="49" t="str">
        <f>[2]ORÇAMENTO!D101</f>
        <v>TUBO PVC, SERIE NORMAL, ESGOTO PREDIAL, DN 150 MM, FORNECIDO E INSTALADO EM SUBCOLETOR AÉREO DE ESGOTO SANITÁRIO. AF_12/2014</v>
      </c>
      <c r="D124" s="69" t="str">
        <f>[2]ORÇAMENTO!B101</f>
        <v>SINAPI</v>
      </c>
      <c r="E124" s="69" t="str">
        <f>[2]ORÇAMENTO!E101</f>
        <v>m</v>
      </c>
      <c r="F124" s="22">
        <f>[2]ORÇAMENTO!F101</f>
        <v>12</v>
      </c>
      <c r="G124" s="69"/>
      <c r="H124" s="69"/>
      <c r="I124" s="69"/>
      <c r="J124" s="91">
        <f>[2]ORÇAMENTO!G101*26.63%+[2]ORÇAMENTO!G101</f>
        <v>74.027897999999993</v>
      </c>
      <c r="K124" s="91">
        <f t="shared" si="7"/>
        <v>888.33</v>
      </c>
      <c r="L124" s="91"/>
      <c r="M124" s="91"/>
      <c r="N124" s="91"/>
    </row>
    <row r="125" spans="1:14" ht="45">
      <c r="A125" s="69" t="str">
        <f>[2]ORÇAMENTO!A102</f>
        <v>9.1.19</v>
      </c>
      <c r="B125" s="69">
        <f>[2]ORÇAMENTO!C102</f>
        <v>89713</v>
      </c>
      <c r="C125" s="49" t="str">
        <f>[2]ORÇAMENTO!D102</f>
        <v>TUBO PVC, SERIE NORMAL, ESGOTO PREDIAL, DN 75 MM, FORNECIDO E INSTALADO EM RAMAL DE DESCARGA OU RAMAL DE ESGOTO SANITÁRIO. AF_12/2014</v>
      </c>
      <c r="D125" s="69" t="str">
        <f>[2]ORÇAMENTO!B102</f>
        <v>SINAPI</v>
      </c>
      <c r="E125" s="69" t="str">
        <f>[2]ORÇAMENTO!E102</f>
        <v>m</v>
      </c>
      <c r="F125" s="22">
        <f>[2]ORÇAMENTO!F102</f>
        <v>14</v>
      </c>
      <c r="G125" s="69"/>
      <c r="H125" s="69"/>
      <c r="I125" s="69"/>
      <c r="J125" s="91">
        <f>[2]ORÇAMENTO!G102*26.63%+[2]ORÇAMENTO!G102</f>
        <v>45.612126000000004</v>
      </c>
      <c r="K125" s="91">
        <f t="shared" si="7"/>
        <v>638.57000000000005</v>
      </c>
      <c r="L125" s="91"/>
      <c r="M125" s="91"/>
      <c r="N125" s="91"/>
    </row>
    <row r="126" spans="1:14" ht="30">
      <c r="A126" s="69" t="str">
        <f>[2]ORÇAMENTO!A103</f>
        <v>9.1.20</v>
      </c>
      <c r="B126" s="69">
        <f>[2]ORÇAMENTO!C103</f>
        <v>4282</v>
      </c>
      <c r="C126" s="49" t="str">
        <f>[2]ORÇAMENTO!D103</f>
        <v>Caixa sifonada em pvc, 150 x150 x50 mm, com tampa cega, acabamento branco, akros ou similar.</v>
      </c>
      <c r="D126" s="69" t="str">
        <f>[2]ORÇAMENTO!B103</f>
        <v>ORSE</v>
      </c>
      <c r="E126" s="69" t="str">
        <f>[2]ORÇAMENTO!E103</f>
        <v>unid</v>
      </c>
      <c r="F126" s="22">
        <f>[2]ORÇAMENTO!F103</f>
        <v>2</v>
      </c>
      <c r="G126" s="69"/>
      <c r="H126" s="69"/>
      <c r="I126" s="69"/>
      <c r="J126" s="91">
        <f>[2]ORÇAMENTO!G103*26.63%+[2]ORÇAMENTO!G103</f>
        <v>58.768982999999992</v>
      </c>
      <c r="K126" s="91">
        <f t="shared" si="7"/>
        <v>117.54</v>
      </c>
      <c r="L126" s="91"/>
      <c r="M126" s="91"/>
      <c r="N126" s="91"/>
    </row>
    <row r="127" spans="1:14" ht="45">
      <c r="A127" s="69" t="str">
        <f>[2]ORÇAMENTO!A104</f>
        <v>9.1.21</v>
      </c>
      <c r="B127" s="69">
        <f>[2]ORÇAMENTO!C104</f>
        <v>89739</v>
      </c>
      <c r="C127" s="49" t="str">
        <f>[2]ORÇAMENTO!D104</f>
        <v>JOELHO 45 GRAUS, PVC, SERIE NORMAL, ESGOTO PREDIAL, DN 75 MM, JUNTA ELÁSTICA, FORNECIDO E INSTALADO EM RAMAL DE DESCARGA OU RAMAL DE ESGOTO SANITÁRIO. AF_12/2014</v>
      </c>
      <c r="D127" s="69" t="str">
        <f>[2]ORÇAMENTO!B104</f>
        <v>SINAPI</v>
      </c>
      <c r="E127" s="69" t="str">
        <f>[2]ORÇAMENTO!E104</f>
        <v>unid</v>
      </c>
      <c r="F127" s="22">
        <f>[2]ORÇAMENTO!F104</f>
        <v>1</v>
      </c>
      <c r="G127" s="69"/>
      <c r="H127" s="69"/>
      <c r="I127" s="69"/>
      <c r="J127" s="91">
        <f>[2]ORÇAMENTO!G104*26.63%+[2]ORÇAMENTO!G104</f>
        <v>21.919652999999997</v>
      </c>
      <c r="K127" s="91">
        <f t="shared" si="7"/>
        <v>21.92</v>
      </c>
      <c r="L127" s="91"/>
      <c r="M127" s="91"/>
      <c r="N127" s="91"/>
    </row>
    <row r="128" spans="1:14" ht="45">
      <c r="A128" s="69" t="str">
        <f>[2]ORÇAMENTO!A105</f>
        <v>9.1.22</v>
      </c>
      <c r="B128" s="69">
        <f>[2]ORÇAMENTO!C105</f>
        <v>89785</v>
      </c>
      <c r="C128" s="49" t="str">
        <f>[2]ORÇAMENTO!D105</f>
        <v>JUNÇÃO SIMPLES, PVC, SERIE NORMAL, ESGOTO PREDIAL, DN 50 X 50 MM, JUNTA ELÁSTICA, FORNECIDO E INSTALADO EM RAMAL DE DESCARGA OU RAMAL DE ESGOTO SANITÁRIO. AF_12/2014</v>
      </c>
      <c r="D128" s="69" t="str">
        <f>[2]ORÇAMENTO!B105</f>
        <v>SINAPI</v>
      </c>
      <c r="E128" s="69" t="str">
        <f>[2]ORÇAMENTO!E105</f>
        <v>unid</v>
      </c>
      <c r="F128" s="22">
        <f>[2]ORÇAMENTO!F105</f>
        <v>11</v>
      </c>
      <c r="G128" s="69"/>
      <c r="H128" s="69"/>
      <c r="I128" s="69"/>
      <c r="J128" s="91">
        <f>[2]ORÇAMENTO!G105*26.63%+[2]ORÇAMENTO!G105</f>
        <v>24.616872000000001</v>
      </c>
      <c r="K128" s="91">
        <f t="shared" si="7"/>
        <v>270.79000000000002</v>
      </c>
      <c r="L128" s="91"/>
      <c r="M128" s="91"/>
      <c r="N128" s="91"/>
    </row>
    <row r="129" spans="1:14" ht="45">
      <c r="A129" s="69" t="str">
        <f>[2]ORÇAMENTO!A106</f>
        <v>9.1.23</v>
      </c>
      <c r="B129" s="69">
        <f>[2]ORÇAMENTO!C106</f>
        <v>89774</v>
      </c>
      <c r="C129" s="49" t="str">
        <f>[2]ORÇAMENTO!D106</f>
        <v>LUVA SIMPLES, PVC, SERIE NORMAL, ESGOTO PREDIAL, DN 75 MM, JUNTA ELÁSTICA, FORNECIDO E INSTALADO EM RAMAL DE DESCARGA OU RAMAL DE ESGOTO SANITÁRIO. AF_12/2014</v>
      </c>
      <c r="D129" s="69" t="str">
        <f>[2]ORÇAMENTO!B106</f>
        <v>SINAPI</v>
      </c>
      <c r="E129" s="69" t="str">
        <f>[2]ORÇAMENTO!E106</f>
        <v>unid</v>
      </c>
      <c r="F129" s="22">
        <f>[2]ORÇAMENTO!F106</f>
        <v>4</v>
      </c>
      <c r="G129" s="69"/>
      <c r="H129" s="69"/>
      <c r="I129" s="69"/>
      <c r="J129" s="91">
        <f>[2]ORÇAMENTO!G106*26.63%+[2]ORÇAMENTO!G106</f>
        <v>16.803801</v>
      </c>
      <c r="K129" s="91">
        <f t="shared" si="7"/>
        <v>67.22</v>
      </c>
      <c r="L129" s="91"/>
      <c r="M129" s="91"/>
      <c r="N129" s="91"/>
    </row>
    <row r="130" spans="1:14" ht="45">
      <c r="A130" s="69" t="str">
        <f>[2]ORÇAMENTO!A107</f>
        <v>9.1.24</v>
      </c>
      <c r="B130" s="69">
        <f>[2]ORÇAMENTO!C107</f>
        <v>89778</v>
      </c>
      <c r="C130" s="49" t="str">
        <f>[2]ORÇAMENTO!D107</f>
        <v>LUVA SIMPLES, PVC, SERIE NORMAL, ESGOTO PREDIAL, DN 100 MM, JUNTA ELÁSTICA, FORNECIDO E INSTALADO EM RAMAL DE DESCARGA OU RAMAL DE ESGOTO SANITÁRIO. AF_12/2014</v>
      </c>
      <c r="D130" s="69" t="str">
        <f>[2]ORÇAMENTO!B107</f>
        <v>SINAPI</v>
      </c>
      <c r="E130" s="69" t="str">
        <f>[2]ORÇAMENTO!E107</f>
        <v>unid</v>
      </c>
      <c r="F130" s="22">
        <f>[2]ORÇAMENTO!F107</f>
        <v>39</v>
      </c>
      <c r="G130" s="69"/>
      <c r="H130" s="69"/>
      <c r="I130" s="69"/>
      <c r="J130" s="91">
        <f>[2]ORÇAMENTO!G107*26.63%+[2]ORÇAMENTO!G107</f>
        <v>20.640689999999999</v>
      </c>
      <c r="K130" s="91">
        <f t="shared" si="7"/>
        <v>804.99</v>
      </c>
      <c r="L130" s="91"/>
      <c r="M130" s="91"/>
      <c r="N130" s="91"/>
    </row>
    <row r="131" spans="1:14" ht="45">
      <c r="A131" s="69" t="str">
        <f>[2]ORÇAMENTO!A108</f>
        <v>9.1.25</v>
      </c>
      <c r="B131" s="69">
        <f>[2]ORÇAMENTO!C108</f>
        <v>89753</v>
      </c>
      <c r="C131" s="49" t="str">
        <f>[2]ORÇAMENTO!D108</f>
        <v>LUVA SIMPLES, PVC, SERIE NORMAL, ESGOTO PREDIAL, DN 50 MM, JUNTA ELÁSTICA, FORNECIDO E INSTALADO EM RAMAL DE DESCARGA OU RAMAL DE ESGOTO SANITÁRIO. AF_12/2014</v>
      </c>
      <c r="D131" s="69" t="str">
        <f>[2]ORÇAMENTO!B108</f>
        <v>SINAPI</v>
      </c>
      <c r="E131" s="69" t="str">
        <f>[2]ORÇAMENTO!E108</f>
        <v>unid</v>
      </c>
      <c r="F131" s="22">
        <f>[2]ORÇAMENTO!F108</f>
        <v>46</v>
      </c>
      <c r="G131" s="69"/>
      <c r="H131" s="69"/>
      <c r="I131" s="69"/>
      <c r="J131" s="91">
        <f>[2]ORÇAMENTO!G108*26.63%+[2]ORÇAMENTO!G108</f>
        <v>9.9024660000000004</v>
      </c>
      <c r="K131" s="91">
        <f t="shared" si="7"/>
        <v>455.51</v>
      </c>
      <c r="L131" s="91"/>
      <c r="M131" s="91"/>
      <c r="N131" s="91"/>
    </row>
    <row r="132" spans="1:14">
      <c r="A132" s="69" t="str">
        <f>[2]ORÇAMENTO!A109</f>
        <v>9.1.26</v>
      </c>
      <c r="B132" s="69">
        <f>[2]ORÇAMENTO!C109</f>
        <v>11551</v>
      </c>
      <c r="C132" s="49" t="str">
        <f>[2]ORÇAMENTO!D109</f>
        <v>Caixa de espuma em alvenaria 40x40x50cm - Rer 01.</v>
      </c>
      <c r="D132" s="69" t="str">
        <f>[2]ORÇAMENTO!B109</f>
        <v>ORSE</v>
      </c>
      <c r="E132" s="69" t="str">
        <f>[2]ORÇAMENTO!E109</f>
        <v>unid</v>
      </c>
      <c r="F132" s="22">
        <f>[2]ORÇAMENTO!F109</f>
        <v>1</v>
      </c>
      <c r="G132" s="69"/>
      <c r="H132" s="69"/>
      <c r="I132" s="69"/>
      <c r="J132" s="91">
        <f>[2]ORÇAMENTO!G109*26.63%+[2]ORÇAMENTO!G109</f>
        <v>216.73990799999999</v>
      </c>
      <c r="K132" s="91">
        <f t="shared" si="7"/>
        <v>216.74</v>
      </c>
      <c r="L132" s="91"/>
      <c r="M132" s="91"/>
      <c r="N132" s="91"/>
    </row>
    <row r="133" spans="1:14" ht="45">
      <c r="A133" s="69" t="str">
        <f>[2]ORÇAMENTO!A110</f>
        <v>9.1.27</v>
      </c>
      <c r="B133" s="69">
        <f>[2]ORÇAMENTO!C110</f>
        <v>98104</v>
      </c>
      <c r="C133" s="49" t="str">
        <f>[2]ORÇAMENTO!D110</f>
        <v>CAIXA DE GORDURA SIMPLES (CAPACIDADE: 36L), RETANGULAR, EM ALVENARIA COM TIJOLOS CERÂMICOS MACIÇOS, DIMENSÕES INTERNAS = 0,2X0,4 M, ALTURA INTERNA = 0,8 M. AF_12/2020</v>
      </c>
      <c r="D133" s="69" t="str">
        <f>[2]ORÇAMENTO!B110</f>
        <v>SINAPI</v>
      </c>
      <c r="E133" s="69" t="str">
        <f>[2]ORÇAMENTO!E110</f>
        <v>unid</v>
      </c>
      <c r="F133" s="22">
        <f>[2]ORÇAMENTO!F110</f>
        <v>1</v>
      </c>
      <c r="G133" s="69"/>
      <c r="H133" s="69"/>
      <c r="I133" s="69"/>
      <c r="J133" s="91">
        <f>[2]ORÇAMENTO!G110*26.63%+[2]ORÇAMENTO!G110</f>
        <v>391.90718700000002</v>
      </c>
      <c r="K133" s="91">
        <f t="shared" si="7"/>
        <v>391.91</v>
      </c>
      <c r="L133" s="91"/>
      <c r="M133" s="91"/>
      <c r="N133" s="91"/>
    </row>
    <row r="134" spans="1:14" ht="45">
      <c r="A134" s="69" t="str">
        <f>[2]ORÇAMENTO!A111</f>
        <v>9.1.28</v>
      </c>
      <c r="B134" s="69">
        <f>[2]ORÇAMENTO!C111</f>
        <v>89549</v>
      </c>
      <c r="C134" s="49" t="str">
        <f>[2]ORÇAMENTO!D111</f>
        <v>REDUÇÃO EXCÊNTRICA, PVC, SERIE R, ÁGUA PLUVIAL, DN 75 X 50 MM, JUNTA ELÁSTICA, FORNECIDO E INSTALADO EM RAMAL DE ENCAMINHAMENTO. AF_12/2014</v>
      </c>
      <c r="D134" s="69" t="str">
        <f>[2]ORÇAMENTO!B111</f>
        <v>SINAPI</v>
      </c>
      <c r="E134" s="69" t="str">
        <f>[2]ORÇAMENTO!E111</f>
        <v>unid</v>
      </c>
      <c r="F134" s="22">
        <f>[2]ORÇAMENTO!F111</f>
        <v>3</v>
      </c>
      <c r="G134" s="69"/>
      <c r="H134" s="69"/>
      <c r="I134" s="69"/>
      <c r="J134" s="91">
        <f>[2]ORÇAMENTO!G111*26.63%+[2]ORÇAMENTO!G111</f>
        <v>17.778852000000001</v>
      </c>
      <c r="K134" s="91">
        <f t="shared" si="7"/>
        <v>53.34</v>
      </c>
      <c r="L134" s="91"/>
      <c r="M134" s="91"/>
      <c r="N134" s="91"/>
    </row>
    <row r="135" spans="1:14">
      <c r="A135" s="69"/>
      <c r="B135" s="69"/>
      <c r="C135" s="49"/>
      <c r="D135" s="69"/>
      <c r="E135" s="69"/>
      <c r="F135" s="22"/>
      <c r="G135" s="69"/>
      <c r="H135" s="69"/>
      <c r="I135" s="69"/>
      <c r="J135" s="91"/>
      <c r="K135" s="91"/>
      <c r="L135" s="91"/>
      <c r="M135" s="91"/>
      <c r="N135" s="91"/>
    </row>
    <row r="136" spans="1:14">
      <c r="A136" s="101" t="str">
        <f>[2]ORÇAMENTO!A113</f>
        <v>9.2</v>
      </c>
      <c r="B136" s="101"/>
      <c r="C136" s="102" t="str">
        <f>[2]ORÇAMENTO!B113</f>
        <v>SISTEMA PREDIAL DE ÁGUA FRIA - NBR 5626</v>
      </c>
      <c r="D136" s="96"/>
      <c r="E136" s="96"/>
      <c r="F136" s="139"/>
      <c r="G136" s="96"/>
      <c r="H136" s="96"/>
      <c r="I136" s="96"/>
      <c r="J136" s="105"/>
      <c r="K136" s="105"/>
      <c r="L136" s="105"/>
      <c r="M136" s="105"/>
      <c r="N136" s="105"/>
    </row>
    <row r="137" spans="1:14" ht="30">
      <c r="A137" s="69" t="str">
        <f>[2]ORÇAMENTO!A114</f>
        <v>9.2.1</v>
      </c>
      <c r="B137" s="69">
        <f>[2]ORÇAMENTO!C114</f>
        <v>89450</v>
      </c>
      <c r="C137" s="49" t="str">
        <f>[2]ORÇAMENTO!D114</f>
        <v>TUBO, PVC, SOLDÁVEL, DN 60MM, INSTALADO EM PRUMADA DE ÁGUA - FORNECIMENTO E INSTALAÇÃO. AF_12/2014</v>
      </c>
      <c r="D137" s="69" t="str">
        <f>[2]ORÇAMENTO!B114</f>
        <v>SINAPI</v>
      </c>
      <c r="E137" s="69" t="str">
        <f>[2]ORÇAMENTO!E114</f>
        <v>m</v>
      </c>
      <c r="F137" s="22">
        <f>[2]ORÇAMENTO!F114</f>
        <v>23</v>
      </c>
      <c r="G137" s="69"/>
      <c r="H137" s="69"/>
      <c r="I137" s="69"/>
      <c r="J137" s="91">
        <f>[2]ORÇAMENTO!G114*26.63%+[2]ORÇAMENTO!G114</f>
        <v>40.141709999999996</v>
      </c>
      <c r="K137" s="91">
        <f t="shared" si="7"/>
        <v>923.26</v>
      </c>
      <c r="L137" s="91"/>
      <c r="M137" s="91"/>
      <c r="N137" s="91"/>
    </row>
    <row r="138" spans="1:14" ht="30">
      <c r="A138" s="69" t="str">
        <f>[2]ORÇAMENTO!A115</f>
        <v>9.2.2</v>
      </c>
      <c r="B138" s="69">
        <f>[2]ORÇAMENTO!C115</f>
        <v>89449</v>
      </c>
      <c r="C138" s="49" t="str">
        <f>[2]ORÇAMENTO!D115</f>
        <v>TUBO, PVC, SOLDÁVEL, DN 50MM, INSTALADO EM PRUMADA DE ÁGUA - FORNECIMENTO E INSTALAÇÃO. AF_12/2014</v>
      </c>
      <c r="D138" s="69" t="str">
        <f>[2]ORÇAMENTO!B115</f>
        <v>SINAPI</v>
      </c>
      <c r="E138" s="69" t="str">
        <f>[2]ORÇAMENTO!E115</f>
        <v>m</v>
      </c>
      <c r="F138" s="22">
        <f>[2]ORÇAMENTO!F115</f>
        <v>166</v>
      </c>
      <c r="G138" s="69"/>
      <c r="H138" s="69"/>
      <c r="I138" s="69"/>
      <c r="J138" s="91">
        <f>[2]ORÇAMENTO!G115*26.63%+[2]ORÇAMENTO!G115</f>
        <v>24.123015000000002</v>
      </c>
      <c r="K138" s="91">
        <f t="shared" si="7"/>
        <v>4004.42</v>
      </c>
      <c r="L138" s="91"/>
      <c r="M138" s="91"/>
      <c r="N138" s="91"/>
    </row>
    <row r="139" spans="1:14" ht="30">
      <c r="A139" s="69" t="str">
        <f>[2]ORÇAMENTO!A116</f>
        <v>9.2.3</v>
      </c>
      <c r="B139" s="69">
        <f>[2]ORÇAMENTO!C116</f>
        <v>89356</v>
      </c>
      <c r="C139" s="49" t="str">
        <f>[2]ORÇAMENTO!D116</f>
        <v>TUBO, PVC, SOLDÁVEL, DN 25MM, INSTALADO EM RAMAL OU SUB-RAMAL DE ÁGUA - FORNECIMENTO E INSTALAÇÃO. AF_12/2014</v>
      </c>
      <c r="D139" s="69" t="str">
        <f>[2]ORÇAMENTO!B116</f>
        <v>SINAPI</v>
      </c>
      <c r="E139" s="69" t="str">
        <f>[2]ORÇAMENTO!E116</f>
        <v>m</v>
      </c>
      <c r="F139" s="22">
        <f>[2]ORÇAMENTO!F116</f>
        <v>169</v>
      </c>
      <c r="G139" s="69"/>
      <c r="H139" s="69"/>
      <c r="I139" s="69"/>
      <c r="J139" s="91">
        <f>[2]ORÇAMENTO!G116*26.63%+[2]ORÇAMENTO!G116</f>
        <v>20.628026999999999</v>
      </c>
      <c r="K139" s="91">
        <f t="shared" si="7"/>
        <v>3486.14</v>
      </c>
      <c r="L139" s="91"/>
      <c r="M139" s="91"/>
      <c r="N139" s="91"/>
    </row>
    <row r="140" spans="1:14" ht="45">
      <c r="A140" s="69" t="str">
        <f>[2]ORÇAMENTO!A117</f>
        <v>9.2.4</v>
      </c>
      <c r="B140" s="69">
        <f>[2]ORÇAMENTO!C117</f>
        <v>89383</v>
      </c>
      <c r="C140" s="49" t="str">
        <f>[2]ORÇAMENTO!D117</f>
        <v>ADAPTADOR CURTO COM BOLSA E ROSCA PARA REGISTRO, PVC, SOLDÁVEL, DN 25MM X 3/4, INSTALADO EM RAMAL OU SUB-RAMAL DE ÁGUA - FORNECIMENTO E INSTALAÇÃO. AF_12/2014</v>
      </c>
      <c r="D140" s="69" t="str">
        <f>[2]ORÇAMENTO!B117</f>
        <v>SINAPI</v>
      </c>
      <c r="E140" s="69" t="str">
        <f>[2]ORÇAMENTO!E117</f>
        <v>unid</v>
      </c>
      <c r="F140" s="22">
        <f>[2]ORÇAMENTO!F117</f>
        <v>69</v>
      </c>
      <c r="G140" s="69"/>
      <c r="H140" s="69"/>
      <c r="I140" s="69"/>
      <c r="J140" s="91">
        <f>[2]ORÇAMENTO!G117*26.63%+[2]ORÇAMENTO!G117</f>
        <v>6.2555220000000009</v>
      </c>
      <c r="K140" s="91">
        <f t="shared" si="7"/>
        <v>431.63</v>
      </c>
      <c r="L140" s="91"/>
      <c r="M140" s="91"/>
      <c r="N140" s="91"/>
    </row>
    <row r="141" spans="1:14" ht="30">
      <c r="A141" s="69" t="str">
        <f>[2]ORÇAMENTO!A118</f>
        <v>9.2.5</v>
      </c>
      <c r="B141" s="69">
        <f>[2]ORÇAMENTO!C118</f>
        <v>89605</v>
      </c>
      <c r="C141" s="49" t="str">
        <f>[2]ORÇAMENTO!D118</f>
        <v>LUVA DE REDUÇÃO, PVC, SOLDÁVEL, DN 60MM X 50MM, INSTALADO EM PRUMADA DE ÁGUA - FORNECIMENTO E INSTALAÇÃO. AF_12/2014</v>
      </c>
      <c r="D141" s="69" t="str">
        <f>[2]ORÇAMENTO!B118</f>
        <v>SINAPI</v>
      </c>
      <c r="E141" s="69" t="str">
        <f>[2]ORÇAMENTO!E118</f>
        <v>unid</v>
      </c>
      <c r="F141" s="22">
        <f>[2]ORÇAMENTO!F118</f>
        <v>1</v>
      </c>
      <c r="G141" s="69"/>
      <c r="H141" s="69"/>
      <c r="I141" s="69"/>
      <c r="J141" s="91">
        <f>[2]ORÇAMENTO!G118*26.63%+[2]ORÇAMENTO!G118</f>
        <v>24.69285</v>
      </c>
      <c r="K141" s="91">
        <f t="shared" si="7"/>
        <v>24.69</v>
      </c>
      <c r="L141" s="91"/>
      <c r="M141" s="91"/>
      <c r="N141" s="91"/>
    </row>
    <row r="142" spans="1:14" ht="30">
      <c r="A142" s="69" t="str">
        <f>[2]ORÇAMENTO!A119</f>
        <v>9.2.6</v>
      </c>
      <c r="B142" s="69">
        <f>[2]ORÇAMENTO!C119</f>
        <v>89579</v>
      </c>
      <c r="C142" s="49" t="str">
        <f>[2]ORÇAMENTO!D119</f>
        <v>LUVA DE REDUÇÃO, PVC, SOLDÁVEL, DN 50MM X 25MM, INSTALADO EM PRUMADA DE ÁGUA   FORNECIMENTO E INSTALAÇÃO. AF_12/2014</v>
      </c>
      <c r="D142" s="69" t="str">
        <f>[2]ORÇAMENTO!B119</f>
        <v>SINAPI</v>
      </c>
      <c r="E142" s="69" t="str">
        <f>[2]ORÇAMENTO!E119</f>
        <v>unid</v>
      </c>
      <c r="F142" s="22">
        <f>[2]ORÇAMENTO!F119</f>
        <v>1</v>
      </c>
      <c r="G142" s="69"/>
      <c r="H142" s="69"/>
      <c r="I142" s="69"/>
      <c r="J142" s="91">
        <f>[2]ORÇAMENTO!G119*26.63%+[2]ORÇAMENTO!G119</f>
        <v>12.890934</v>
      </c>
      <c r="K142" s="91">
        <f t="shared" si="7"/>
        <v>12.89</v>
      </c>
      <c r="L142" s="91"/>
      <c r="M142" s="91"/>
      <c r="N142" s="91"/>
    </row>
    <row r="143" spans="1:14" ht="45">
      <c r="A143" s="69" t="str">
        <f>[2]ORÇAMENTO!A120</f>
        <v>9.2.7</v>
      </c>
      <c r="B143" s="69">
        <f>[2]ORÇAMENTO!C120</f>
        <v>90373</v>
      </c>
      <c r="C143" s="49" t="str">
        <f>[2]ORÇAMENTO!D120</f>
        <v>JOELHO 90 GRAUS COM BUCHA DE LATÃO, PVC, SOLDÁVEL, DN 25MM, X 1/2 INSTALADO EM RAMAL OU SUB-RAMAL DE ÁGUA - FORNECIMENTO E INSTALAÇÃO. AF_12/2014</v>
      </c>
      <c r="D143" s="69" t="str">
        <f>[2]ORÇAMENTO!B120</f>
        <v>SINAPI</v>
      </c>
      <c r="E143" s="69" t="str">
        <f>[2]ORÇAMENTO!E120</f>
        <v>unid</v>
      </c>
      <c r="F143" s="22">
        <f>[2]ORÇAMENTO!F120</f>
        <v>66</v>
      </c>
      <c r="G143" s="69"/>
      <c r="H143" s="69"/>
      <c r="I143" s="69"/>
      <c r="J143" s="91">
        <f>[2]ORÇAMENTO!G120*26.63%+[2]ORÇAMENTO!G120</f>
        <v>16.347933000000001</v>
      </c>
      <c r="K143" s="91">
        <f t="shared" si="7"/>
        <v>1078.96</v>
      </c>
      <c r="L143" s="91"/>
      <c r="M143" s="91"/>
      <c r="N143" s="91"/>
    </row>
    <row r="144" spans="1:14">
      <c r="A144" s="69" t="str">
        <f>[2]ORÇAMENTO!A121</f>
        <v>9.2.8</v>
      </c>
      <c r="B144" s="69">
        <f>[2]ORÇAMENTO!C121</f>
        <v>4964</v>
      </c>
      <c r="C144" s="49" t="str">
        <f>[2]ORÇAMENTO!D121</f>
        <v>Joelho de 90º pvc rígido soldável c/ bucha de latão, d=20mmx1/2".</v>
      </c>
      <c r="D144" s="69" t="str">
        <f>[2]ORÇAMENTO!B121</f>
        <v>ORSE</v>
      </c>
      <c r="E144" s="69" t="str">
        <f>[2]ORÇAMENTO!E121</f>
        <v>unid</v>
      </c>
      <c r="F144" s="22">
        <f>[2]ORÇAMENTO!F121</f>
        <v>1</v>
      </c>
      <c r="G144" s="69"/>
      <c r="H144" s="69"/>
      <c r="I144" s="69"/>
      <c r="J144" s="91">
        <f>[2]ORÇAMENTO!G121*26.63%+[2]ORÇAMENTO!G121</f>
        <v>17.740863000000001</v>
      </c>
      <c r="K144" s="91">
        <f t="shared" si="7"/>
        <v>17.739999999999998</v>
      </c>
      <c r="L144" s="91"/>
      <c r="M144" s="91"/>
      <c r="N144" s="91"/>
    </row>
    <row r="145" spans="1:14" ht="30">
      <c r="A145" s="69" t="str">
        <f>[2]ORÇAMENTO!A122</f>
        <v>9.2.9</v>
      </c>
      <c r="B145" s="69">
        <f>[2]ORÇAMENTO!C122</f>
        <v>89505</v>
      </c>
      <c r="C145" s="49" t="str">
        <f>[2]ORÇAMENTO!D122</f>
        <v>JOELHO 90 GRAUS, PVC, SOLDÁVEL, DN 60MM, INSTALADO EM PRUMADA DE ÁGUA - FORNECIMENTO E INSTALAÇÃO. AF_12/2014</v>
      </c>
      <c r="D145" s="69" t="str">
        <f>[2]ORÇAMENTO!B122</f>
        <v>SINAPI</v>
      </c>
      <c r="E145" s="69" t="str">
        <f>[2]ORÇAMENTO!E122</f>
        <v>unid</v>
      </c>
      <c r="F145" s="22">
        <f>[2]ORÇAMENTO!F122</f>
        <v>4</v>
      </c>
      <c r="G145" s="69"/>
      <c r="H145" s="69"/>
      <c r="I145" s="69"/>
      <c r="J145" s="91">
        <f>[2]ORÇAMENTO!G122*26.63%+[2]ORÇAMENTO!G122</f>
        <v>46.371905999999996</v>
      </c>
      <c r="K145" s="91">
        <f t="shared" si="7"/>
        <v>185.49</v>
      </c>
      <c r="L145" s="91"/>
      <c r="M145" s="91"/>
      <c r="N145" s="91"/>
    </row>
    <row r="146" spans="1:14" ht="30">
      <c r="A146" s="69" t="str">
        <f>[2]ORÇAMENTO!A123</f>
        <v>9.2.10</v>
      </c>
      <c r="B146" s="69">
        <f>[2]ORÇAMENTO!C123</f>
        <v>89408</v>
      </c>
      <c r="C146" s="49" t="str">
        <f>[2]ORÇAMENTO!D123</f>
        <v>JOELHO 90 GRAUS, PVC, SOLDÁVEL, DN 25MM, INSTALADO EM RAMAL DE DISTRIBUIÇÃO DE ÁGUA - FORNECIMENTO E INSTALAÇÃO. AF_12/2014</v>
      </c>
      <c r="D146" s="69" t="str">
        <f>[2]ORÇAMENTO!B123</f>
        <v>SINAPI</v>
      </c>
      <c r="E146" s="69" t="str">
        <f>[2]ORÇAMENTO!E123</f>
        <v>unid</v>
      </c>
      <c r="F146" s="22">
        <f>[2]ORÇAMENTO!F123</f>
        <v>48</v>
      </c>
      <c r="G146" s="69"/>
      <c r="H146" s="69"/>
      <c r="I146" s="69"/>
      <c r="J146" s="91">
        <f>[2]ORÇAMENTO!G123*26.63%+[2]ORÇAMENTO!G123</f>
        <v>5.5970459999999997</v>
      </c>
      <c r="K146" s="91">
        <f t="shared" si="7"/>
        <v>268.66000000000003</v>
      </c>
      <c r="L146" s="91"/>
      <c r="M146" s="91"/>
      <c r="N146" s="91"/>
    </row>
    <row r="147" spans="1:14" ht="30">
      <c r="A147" s="69" t="str">
        <f>[2]ORÇAMENTO!A124</f>
        <v>9.2.11</v>
      </c>
      <c r="B147" s="69">
        <f>[2]ORÇAMENTO!C124</f>
        <v>89501</v>
      </c>
      <c r="C147" s="49" t="str">
        <f>[2]ORÇAMENTO!D124</f>
        <v>JOELHO 90 GRAUS, PVC, SOLDÁVEL, DN 50MM, INSTALADO EM PRUMADA DE ÁGUA - FORNECIMENTO E INSTALAÇÃO. AF_12/2014</v>
      </c>
      <c r="D147" s="69" t="str">
        <f>[2]ORÇAMENTO!B124</f>
        <v>SINAPI</v>
      </c>
      <c r="E147" s="69" t="str">
        <f>[2]ORÇAMENTO!E124</f>
        <v>unid</v>
      </c>
      <c r="F147" s="22">
        <f>[2]ORÇAMENTO!F124</f>
        <v>49</v>
      </c>
      <c r="G147" s="69"/>
      <c r="H147" s="69"/>
      <c r="I147" s="69"/>
      <c r="J147" s="91">
        <f>[2]ORÇAMENTO!G124*26.63%+[2]ORÇAMENTO!G124</f>
        <v>15.461523000000001</v>
      </c>
      <c r="K147" s="91">
        <f t="shared" si="7"/>
        <v>757.61</v>
      </c>
      <c r="L147" s="91"/>
      <c r="M147" s="91"/>
      <c r="N147" s="91"/>
    </row>
    <row r="148" spans="1:14" ht="30">
      <c r="A148" s="69" t="str">
        <f>[2]ORÇAMENTO!A125</f>
        <v>9.2.12</v>
      </c>
      <c r="B148" s="69">
        <f>[2]ORÇAMENTO!C125</f>
        <v>89404</v>
      </c>
      <c r="C148" s="49" t="str">
        <f>[2]ORÇAMENTO!D125</f>
        <v>JOELHO 90 GRAUS, PVC, SOLDÁVEL, DN 20MM, INSTALADO EM RAMAL DE DISTRIBUIÇÃO DE ÁGUA - FORNECIMENTO E INSTALAÇÃO. AF_12/2014</v>
      </c>
      <c r="D148" s="69" t="str">
        <f>[2]ORÇAMENTO!B125</f>
        <v>SINAPI</v>
      </c>
      <c r="E148" s="69" t="str">
        <f>[2]ORÇAMENTO!E125</f>
        <v>unid</v>
      </c>
      <c r="F148" s="22">
        <f>[2]ORÇAMENTO!F125</f>
        <v>2</v>
      </c>
      <c r="G148" s="69"/>
      <c r="H148" s="69"/>
      <c r="I148" s="69"/>
      <c r="J148" s="91">
        <f>[2]ORÇAMENTO!G125*26.63%+[2]ORÇAMENTO!G125</f>
        <v>4.5713429999999997</v>
      </c>
      <c r="K148" s="91">
        <f t="shared" si="7"/>
        <v>9.14</v>
      </c>
      <c r="L148" s="91"/>
      <c r="M148" s="91"/>
      <c r="N148" s="91"/>
    </row>
    <row r="149" spans="1:14" ht="45">
      <c r="A149" s="69" t="str">
        <f>[2]ORÇAMENTO!A126</f>
        <v>9.2.13</v>
      </c>
      <c r="B149" s="69">
        <f>[2]ORÇAMENTO!C126</f>
        <v>89534</v>
      </c>
      <c r="C149" s="49" t="str">
        <f>[2]ORÇAMENTO!D126</f>
        <v>LUVA SOLDÁVEL E COM ROSCA, PVC, SOLDÁVEL, DN 25MM X 3/4, INSTALADO EM PRUMADA DE ÁGUA - FORNECIMENTO E INSTALAÇÃO. AF_12/2014</v>
      </c>
      <c r="D149" s="69" t="str">
        <f>[2]ORÇAMENTO!B126</f>
        <v>SINAPI</v>
      </c>
      <c r="E149" s="69" t="str">
        <f>[2]ORÇAMENTO!E126</f>
        <v>unid</v>
      </c>
      <c r="F149" s="22">
        <f>[2]ORÇAMENTO!F126</f>
        <v>3</v>
      </c>
      <c r="G149" s="69"/>
      <c r="H149" s="69"/>
      <c r="I149" s="69"/>
      <c r="J149" s="91">
        <f>[2]ORÇAMENTO!G126*26.63%+[2]ORÇAMENTO!G126</f>
        <v>5.0398740000000002</v>
      </c>
      <c r="K149" s="91">
        <f t="shared" si="7"/>
        <v>15.12</v>
      </c>
      <c r="L149" s="91"/>
      <c r="M149" s="91"/>
      <c r="N149" s="91"/>
    </row>
    <row r="150" spans="1:14" ht="30">
      <c r="A150" s="69" t="str">
        <f>[2]ORÇAMENTO!A127</f>
        <v>9.2.14</v>
      </c>
      <c r="B150" s="69">
        <f>[2]ORÇAMENTO!C127</f>
        <v>89378</v>
      </c>
      <c r="C150" s="49" t="str">
        <f>[2]ORÇAMENTO!D127</f>
        <v>LUVA, PVC, SOLDÁVEL, DN 25MM, INSTALADO EM RAMAL OU SUB-RAMAL DE ÁGUA - FORNECIMENTO E INSTALAÇÃO. AF_12/2014</v>
      </c>
      <c r="D150" s="69" t="str">
        <f>[2]ORÇAMENTO!B127</f>
        <v>SINAPI</v>
      </c>
      <c r="E150" s="69" t="str">
        <f>[2]ORÇAMENTO!E127</f>
        <v>unid</v>
      </c>
      <c r="F150" s="22">
        <f>[2]ORÇAMENTO!F127</f>
        <v>64</v>
      </c>
      <c r="G150" s="69"/>
      <c r="H150" s="69"/>
      <c r="I150" s="69"/>
      <c r="J150" s="91">
        <f>[2]ORÇAMENTO!G127*26.63%+[2]ORÇAMENTO!G127</f>
        <v>6.1162289999999997</v>
      </c>
      <c r="K150" s="91">
        <f t="shared" si="7"/>
        <v>391.44</v>
      </c>
      <c r="L150" s="91"/>
      <c r="M150" s="91"/>
      <c r="N150" s="91"/>
    </row>
    <row r="151" spans="1:14" ht="30">
      <c r="A151" s="69" t="str">
        <f>[2]ORÇAMENTO!A128</f>
        <v>9.2.15</v>
      </c>
      <c r="B151" s="69">
        <f>[2]ORÇAMENTO!C128</f>
        <v>89597</v>
      </c>
      <c r="C151" s="49" t="str">
        <f>[2]ORÇAMENTO!D128</f>
        <v>LUVA, PVC, SOLDÁVEL, DN 60MM, INSTALADO EM PRUMADA DE ÁGUA - FORNECIMENTO E INSTALAÇÃO. AF_12/2014</v>
      </c>
      <c r="D151" s="69" t="str">
        <f>[2]ORÇAMENTO!B128</f>
        <v>SINAPI</v>
      </c>
      <c r="E151" s="69" t="str">
        <f>[2]ORÇAMENTO!E128</f>
        <v>unid</v>
      </c>
      <c r="F151" s="22">
        <f>[2]ORÇAMENTO!F128</f>
        <v>1</v>
      </c>
      <c r="G151" s="69"/>
      <c r="H151" s="69"/>
      <c r="I151" s="69"/>
      <c r="J151" s="91">
        <f>[2]ORÇAMENTO!G128*26.63%+[2]ORÇAMENTO!G128</f>
        <v>25.414641</v>
      </c>
      <c r="K151" s="91">
        <f t="shared" si="7"/>
        <v>25.41</v>
      </c>
      <c r="L151" s="91"/>
      <c r="M151" s="91"/>
      <c r="N151" s="91"/>
    </row>
    <row r="152" spans="1:14" ht="30">
      <c r="A152" s="69" t="str">
        <f>[2]ORÇAMENTO!A129</f>
        <v>9.2.16</v>
      </c>
      <c r="B152" s="69">
        <f>[2]ORÇAMENTO!C129</f>
        <v>89371</v>
      </c>
      <c r="C152" s="49" t="str">
        <f>[2]ORÇAMENTO!D129</f>
        <v>LUVA, PVC, SOLDÁVEL, DN 20MM, INSTALADO EM RAMAL OU SUB-RAMAL DE ÁGUA - FORNECIMENTO E INSTALAÇÃO. AF_12/2014</v>
      </c>
      <c r="D152" s="69" t="str">
        <f>[2]ORÇAMENTO!B129</f>
        <v>SINAPI</v>
      </c>
      <c r="E152" s="69" t="str">
        <f>[2]ORÇAMENTO!E129</f>
        <v>unid</v>
      </c>
      <c r="F152" s="22">
        <f>[2]ORÇAMENTO!F129</f>
        <v>1</v>
      </c>
      <c r="G152" s="69"/>
      <c r="H152" s="69"/>
      <c r="I152" s="69"/>
      <c r="J152" s="91">
        <f>[2]ORÇAMENTO!G129*26.63%+[2]ORÇAMENTO!G129</f>
        <v>5.1285150000000002</v>
      </c>
      <c r="K152" s="91">
        <f t="shared" si="7"/>
        <v>5.13</v>
      </c>
      <c r="L152" s="91"/>
      <c r="M152" s="91"/>
      <c r="N152" s="91"/>
    </row>
    <row r="153" spans="1:14" ht="45">
      <c r="A153" s="69" t="str">
        <f>[2]ORÇAMENTO!A130</f>
        <v>9.2.17</v>
      </c>
      <c r="B153" s="69">
        <f>[2]ORÇAMENTO!C130</f>
        <v>89396</v>
      </c>
      <c r="C153" s="49" t="str">
        <f>[2]ORÇAMENTO!D130</f>
        <v>TÊ COM BUCHA DE LATÃO NA BOLSA CENTRAL, PVC, SOLDÁVEL, DN 25MM X 1/2, INSTALADO EM RAMAL OU SUB-RAMAL DE ÁGUA - FORNECIMENTO E INSTALAÇÃO. AF_12/2014</v>
      </c>
      <c r="D153" s="69" t="str">
        <f>[2]ORÇAMENTO!B130</f>
        <v>SINAPI</v>
      </c>
      <c r="E153" s="69" t="str">
        <f>[2]ORÇAMENTO!E130</f>
        <v>unid</v>
      </c>
      <c r="F153" s="22">
        <f>[2]ORÇAMENTO!F130</f>
        <v>7</v>
      </c>
      <c r="G153" s="69"/>
      <c r="H153" s="69"/>
      <c r="I153" s="69"/>
      <c r="J153" s="91">
        <f>[2]ORÇAMENTO!G130*26.63%+[2]ORÇAMENTO!G130</f>
        <v>23.021334</v>
      </c>
      <c r="K153" s="91">
        <f t="shared" si="7"/>
        <v>161.15</v>
      </c>
      <c r="L153" s="91"/>
      <c r="M153" s="91"/>
      <c r="N153" s="91"/>
    </row>
    <row r="154" spans="1:14" ht="30">
      <c r="A154" s="69" t="str">
        <f>[2]ORÇAMENTO!A131</f>
        <v>9.2.18</v>
      </c>
      <c r="B154" s="69">
        <f>[2]ORÇAMENTO!C131</f>
        <v>89628</v>
      </c>
      <c r="C154" s="49" t="str">
        <f>[2]ORÇAMENTO!D131</f>
        <v>TE, PVC, SOLDÁVEL, DN 60MM, INSTALADO EM PRUMADA DE ÁGUA - FORNECIMENTO E INSTALAÇÃO. AF_12/2014</v>
      </c>
      <c r="D154" s="69" t="str">
        <f>[2]ORÇAMENTO!B131</f>
        <v>SINAPI</v>
      </c>
      <c r="E154" s="69" t="str">
        <f>[2]ORÇAMENTO!E131</f>
        <v>unid</v>
      </c>
      <c r="F154" s="22">
        <f>[2]ORÇAMENTO!F131</f>
        <v>1</v>
      </c>
      <c r="G154" s="69"/>
      <c r="H154" s="69"/>
      <c r="I154" s="69"/>
      <c r="J154" s="91">
        <f>[2]ORÇAMENTO!G131*26.63%+[2]ORÇAMENTO!G131</f>
        <v>58.642353</v>
      </c>
      <c r="K154" s="91">
        <f t="shared" si="7"/>
        <v>58.64</v>
      </c>
      <c r="L154" s="91"/>
      <c r="M154" s="91"/>
      <c r="N154" s="91"/>
    </row>
    <row r="155" spans="1:14" ht="30">
      <c r="A155" s="69" t="str">
        <f>[2]ORÇAMENTO!A132</f>
        <v>9.2.19</v>
      </c>
      <c r="B155" s="69">
        <f>[2]ORÇAMENTO!C132</f>
        <v>89440</v>
      </c>
      <c r="C155" s="49" t="str">
        <f>[2]ORÇAMENTO!D132</f>
        <v>TE, PVC, SOLDÁVEL, DN 25MM, INSTALADO EM RAMAL DE DISTRIBUIÇÃO DE ÁGUA - FORNECIMENTO E INSTALAÇÃO. AF_12/2014</v>
      </c>
      <c r="D155" s="69" t="str">
        <f>[2]ORÇAMENTO!B132</f>
        <v>SINAPI</v>
      </c>
      <c r="E155" s="69" t="str">
        <f>[2]ORÇAMENTO!E132</f>
        <v>unid</v>
      </c>
      <c r="F155" s="22">
        <f>[2]ORÇAMENTO!F132</f>
        <v>35</v>
      </c>
      <c r="G155" s="69"/>
      <c r="H155" s="69"/>
      <c r="I155" s="69"/>
      <c r="J155" s="91">
        <f>[2]ORÇAMENTO!G132*26.63%+[2]ORÇAMENTO!G132</f>
        <v>8.0789939999999998</v>
      </c>
      <c r="K155" s="91">
        <f t="shared" si="7"/>
        <v>282.76</v>
      </c>
      <c r="L155" s="91"/>
      <c r="M155" s="91"/>
      <c r="N155" s="91"/>
    </row>
    <row r="156" spans="1:14" ht="30">
      <c r="A156" s="69" t="str">
        <f>[2]ORÇAMENTO!A133</f>
        <v>9.2.20</v>
      </c>
      <c r="B156" s="69">
        <f>[2]ORÇAMENTO!C133</f>
        <v>89625</v>
      </c>
      <c r="C156" s="49" t="str">
        <f>[2]ORÇAMENTO!D133</f>
        <v>TE, PVC, SOLDÁVEL, DN 50MM, INSTALADO EM PRUMADA DE ÁGUA - FORNECIMENTO E INSTALAÇÃO. AF_12/2014</v>
      </c>
      <c r="D156" s="69" t="str">
        <f>[2]ORÇAMENTO!B133</f>
        <v>SINAPI</v>
      </c>
      <c r="E156" s="69" t="str">
        <f>[2]ORÇAMENTO!E133</f>
        <v>unid</v>
      </c>
      <c r="F156" s="22">
        <f>[2]ORÇAMENTO!F133</f>
        <v>32</v>
      </c>
      <c r="G156" s="69"/>
      <c r="H156" s="69"/>
      <c r="I156" s="69"/>
      <c r="J156" s="91">
        <f>[2]ORÇAMENTO!G133*26.63%+[2]ORÇAMENTO!G133</f>
        <v>25.098065999999999</v>
      </c>
      <c r="K156" s="91">
        <f t="shared" si="7"/>
        <v>803.14</v>
      </c>
      <c r="L156" s="91"/>
      <c r="M156" s="91"/>
      <c r="N156" s="91"/>
    </row>
    <row r="157" spans="1:14" ht="45">
      <c r="A157" s="69" t="str">
        <f>[2]ORÇAMENTO!A134</f>
        <v>9.2.21</v>
      </c>
      <c r="B157" s="69">
        <f>[2]ORÇAMENTO!C134</f>
        <v>94794</v>
      </c>
      <c r="C157" s="49" t="str">
        <f>[2]ORÇAMENTO!D134</f>
        <v>REGISTRO DE GAVETA BRUTO, LATÃO, ROSCÁVEL, 1 1/2", COM ACABAMENTO E CANOPLA CROMADOS - FORNECIMENTO E INSTALAÇÃO. AF_08/2021</v>
      </c>
      <c r="D157" s="69" t="str">
        <f>[2]ORÇAMENTO!B134</f>
        <v>SINAPI</v>
      </c>
      <c r="E157" s="69" t="str">
        <f>[2]ORÇAMENTO!E134</f>
        <v>unid</v>
      </c>
      <c r="F157" s="22">
        <f>[2]ORÇAMENTO!F134</f>
        <v>2</v>
      </c>
      <c r="G157" s="69"/>
      <c r="H157" s="69"/>
      <c r="I157" s="69"/>
      <c r="J157" s="91">
        <f>[2]ORÇAMENTO!G134*26.63%+[2]ORÇAMENTO!G134</f>
        <v>218.39876099999998</v>
      </c>
      <c r="K157" s="91">
        <f t="shared" si="7"/>
        <v>436.8</v>
      </c>
      <c r="L157" s="91"/>
      <c r="M157" s="91"/>
      <c r="N157" s="91"/>
    </row>
    <row r="158" spans="1:14" ht="30">
      <c r="A158" s="69" t="str">
        <f>[2]ORÇAMENTO!A135</f>
        <v>9.2.22</v>
      </c>
      <c r="B158" s="69">
        <f>[2]ORÇAMENTO!C135</f>
        <v>89987</v>
      </c>
      <c r="C158" s="49" t="str">
        <f>[2]ORÇAMENTO!D135</f>
        <v>REGISTRO DE GAVETA BRUTO, LATÃO, ROSCÁVEL, 3/4", COM ACABAMENTO E CANOPLA CROMADOS - FORNECIMENTO E INSTALAÇÃO. AF_08/2021</v>
      </c>
      <c r="D158" s="69" t="str">
        <f>[2]ORÇAMENTO!B135</f>
        <v>SINAPI</v>
      </c>
      <c r="E158" s="69" t="str">
        <f>[2]ORÇAMENTO!E135</f>
        <v>unid</v>
      </c>
      <c r="F158" s="22">
        <f>[2]ORÇAMENTO!F135</f>
        <v>33</v>
      </c>
      <c r="G158" s="69"/>
      <c r="H158" s="69"/>
      <c r="I158" s="69"/>
      <c r="J158" s="91">
        <f>[2]ORÇAMENTO!G135*26.63%+[2]ORÇAMENTO!G135</f>
        <v>127.554399</v>
      </c>
      <c r="K158" s="91">
        <f t="shared" si="7"/>
        <v>4209.3</v>
      </c>
      <c r="L158" s="91"/>
      <c r="M158" s="91"/>
      <c r="N158" s="91"/>
    </row>
    <row r="159" spans="1:14" ht="45">
      <c r="A159" s="69" t="str">
        <f>[2]ORÇAMENTO!A136</f>
        <v>9.2.23</v>
      </c>
      <c r="B159" s="69">
        <f>[2]ORÇAMENTO!C136</f>
        <v>89985</v>
      </c>
      <c r="C159" s="49" t="str">
        <f>[2]ORÇAMENTO!D136</f>
        <v>REGISTRO DE PRESSÃO BRUTO, LATÃO, ROSCÁVEL, 3/4", COM ACABAMENTO E CANOPLA CROMADOS - FORNECIMENTO E INSTALAÇÃO. AF_08/2021</v>
      </c>
      <c r="D159" s="69" t="str">
        <f>[2]ORÇAMENTO!B136</f>
        <v>SINAPI</v>
      </c>
      <c r="E159" s="69" t="str">
        <f>[2]ORÇAMENTO!E136</f>
        <v>unid</v>
      </c>
      <c r="F159" s="22">
        <f>[2]ORÇAMENTO!F136</f>
        <v>3</v>
      </c>
      <c r="G159" s="69"/>
      <c r="H159" s="69"/>
      <c r="I159" s="69"/>
      <c r="J159" s="91">
        <f>[2]ORÇAMENTO!G136*26.63%+[2]ORÇAMENTO!G136</f>
        <v>116.58824099999998</v>
      </c>
      <c r="K159" s="91">
        <f t="shared" si="7"/>
        <v>349.76</v>
      </c>
      <c r="L159" s="91"/>
      <c r="M159" s="91"/>
      <c r="N159" s="91"/>
    </row>
    <row r="160" spans="1:14" ht="45">
      <c r="A160" s="69" t="str">
        <f>[2]ORÇAMENTO!A137</f>
        <v>9.2.24</v>
      </c>
      <c r="B160" s="69">
        <f>[2]ORÇAMENTO!C137</f>
        <v>2646</v>
      </c>
      <c r="C160" s="49" t="str">
        <f>[2]ORÇAMENTO!D137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60" s="69" t="str">
        <f>[2]ORÇAMENTO!B137</f>
        <v>ORSE</v>
      </c>
      <c r="E160" s="69" t="str">
        <f>[2]ORÇAMENTO!E137</f>
        <v>unid</v>
      </c>
      <c r="F160" s="22">
        <f>[2]ORÇAMENTO!F137</f>
        <v>1</v>
      </c>
      <c r="G160" s="69"/>
      <c r="H160" s="69"/>
      <c r="I160" s="69"/>
      <c r="J160" s="91">
        <f>[2]ORÇAMENTO!G137*26.63%+[2]ORÇAMENTO!G137</f>
        <v>1483.483113</v>
      </c>
      <c r="K160" s="91">
        <f t="shared" si="7"/>
        <v>1483.48</v>
      </c>
      <c r="L160" s="91"/>
      <c r="M160" s="91"/>
      <c r="N160" s="91"/>
    </row>
    <row r="161" spans="1:14">
      <c r="A161" s="69"/>
      <c r="B161" s="69"/>
      <c r="C161" s="49"/>
      <c r="D161" s="69"/>
      <c r="E161" s="69"/>
      <c r="F161" s="22"/>
      <c r="G161" s="69"/>
      <c r="H161" s="69"/>
      <c r="I161" s="69"/>
      <c r="J161" s="91"/>
      <c r="K161" s="91"/>
      <c r="L161" s="91"/>
      <c r="M161" s="91"/>
      <c r="N161" s="91"/>
    </row>
    <row r="162" spans="1:14">
      <c r="A162" s="101" t="str">
        <f>[2]ORÇAMENTO!A139</f>
        <v>9.3</v>
      </c>
      <c r="B162" s="101"/>
      <c r="C162" s="102" t="str">
        <f>[2]ORÇAMENTO!B139</f>
        <v>COMBATE A  INCÊNDIO</v>
      </c>
      <c r="D162" s="101"/>
      <c r="E162" s="101"/>
      <c r="F162" s="103"/>
      <c r="G162" s="101"/>
      <c r="H162" s="101"/>
      <c r="I162" s="101"/>
      <c r="J162" s="104"/>
      <c r="K162" s="104"/>
      <c r="L162" s="105"/>
      <c r="M162" s="105"/>
      <c r="N162" s="105"/>
    </row>
    <row r="163" spans="1:14" ht="45">
      <c r="A163" s="69" t="str">
        <f>[2]ORÇAMENTO!A140</f>
        <v>9.3.1</v>
      </c>
      <c r="B163" s="69">
        <f>[2]ORÇAMENTO!C140</f>
        <v>92367</v>
      </c>
      <c r="C163" s="49" t="str">
        <f>[2]ORÇAMENTO!D140</f>
        <v>TUBO DE AÇO GALVANIZADO COM COSTURA, CLASSE MÉDIA, DN 65 (2 1/2"), CONEXÃO ROSQUEADA, INSTALADO EM REDE DE ALIMENTAÇÃO PARA HIDRANTE - FORNECIMENTO E INSTALAÇÃO. AF_10/2020</v>
      </c>
      <c r="D163" s="69" t="str">
        <f>[2]ORÇAMENTO!B140</f>
        <v>SINAPI</v>
      </c>
      <c r="E163" s="69" t="str">
        <f>[2]ORÇAMENTO!E140</f>
        <v>m</v>
      </c>
      <c r="F163" s="22">
        <f>[2]ORÇAMENTO!F140</f>
        <v>106</v>
      </c>
      <c r="G163" s="69"/>
      <c r="H163" s="69"/>
      <c r="I163" s="69"/>
      <c r="J163" s="91">
        <f>[2]ORÇAMENTO!G140*26.63%+[2]ORÇAMENTO!G140</f>
        <v>153.10833299999999</v>
      </c>
      <c r="K163" s="91">
        <f t="shared" si="7"/>
        <v>16229.48</v>
      </c>
      <c r="L163" s="91"/>
      <c r="M163" s="91"/>
      <c r="N163" s="91"/>
    </row>
    <row r="164" spans="1:14" ht="60">
      <c r="A164" s="69" t="str">
        <f>[2]ORÇAMENTO!A141</f>
        <v>9.3.2</v>
      </c>
      <c r="B164" s="69">
        <f>[2]ORÇAMENTO!C141</f>
        <v>94473</v>
      </c>
      <c r="C164" s="49" t="str">
        <f>[2]ORÇAMENTO!D141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4" s="69" t="str">
        <f>[2]ORÇAMENTO!B141</f>
        <v>SINAPI</v>
      </c>
      <c r="E164" s="69" t="str">
        <f>[2]ORÇAMENTO!E141</f>
        <v>unid</v>
      </c>
      <c r="F164" s="22">
        <f>[2]ORÇAMENTO!F141</f>
        <v>25</v>
      </c>
      <c r="G164" s="69"/>
      <c r="H164" s="69"/>
      <c r="I164" s="69"/>
      <c r="J164" s="91">
        <f>[2]ORÇAMENTO!G141*26.63%+[2]ORÇAMENTO!G141</f>
        <v>120.94431300000001</v>
      </c>
      <c r="K164" s="91">
        <f t="shared" ref="K164:K227" si="8">ROUND(F164*J164,2)</f>
        <v>3023.61</v>
      </c>
      <c r="L164" s="91"/>
      <c r="M164" s="91"/>
      <c r="N164" s="91"/>
    </row>
    <row r="165" spans="1:14" ht="60">
      <c r="A165" s="69" t="str">
        <f>[2]ORÇAMENTO!A142</f>
        <v>9.3.3</v>
      </c>
      <c r="B165" s="69">
        <f>[2]ORÇAMENTO!C142</f>
        <v>94467</v>
      </c>
      <c r="C165" s="49" t="str">
        <f>[2]ORÇAMENTO!D142</f>
        <v>LUVA, EM FERRO GALVANIZADO, CONEXÃO ROSQUEADA, DN 65 (2 1/2), INSTALADO EM RESERVAÇÃO DE ÁGUA DE EDIFICAÇÃO QUE POSSUA RESERVATÓRIO DE FIBRA/FIBROCIMENTO  FORNECIMENTO E INSTALAÇÃO. AF_06/2016</v>
      </c>
      <c r="D165" s="69" t="str">
        <f>[2]ORÇAMENTO!B142</f>
        <v>SINAPI</v>
      </c>
      <c r="E165" s="69" t="str">
        <f>[2]ORÇAMENTO!E142</f>
        <v>unid</v>
      </c>
      <c r="F165" s="22">
        <f>[2]ORÇAMENTO!F142</f>
        <v>4</v>
      </c>
      <c r="G165" s="69"/>
      <c r="H165" s="69"/>
      <c r="I165" s="69"/>
      <c r="J165" s="91">
        <f>[2]ORÇAMENTO!G142*26.63%+[2]ORÇAMENTO!G142</f>
        <v>84.664817999999997</v>
      </c>
      <c r="K165" s="91">
        <f t="shared" si="8"/>
        <v>338.66</v>
      </c>
      <c r="L165" s="91"/>
      <c r="M165" s="91"/>
      <c r="N165" s="91"/>
    </row>
    <row r="166" spans="1:14" ht="60">
      <c r="A166" s="69" t="str">
        <f>[2]ORÇAMENTO!A143</f>
        <v>9.3.4</v>
      </c>
      <c r="B166" s="69">
        <f>[2]ORÇAMENTO!C143</f>
        <v>94478</v>
      </c>
      <c r="C166" s="49" t="str">
        <f>[2]ORÇAMENTO!D143</f>
        <v>TÊ, EM FERRO GALVANIZADO, CONEXÃO ROSQUEADA, DN 65 (2 1/2), INSTALADO EM RESERVAÇÃO DE ÁGUA DE EDIFICAÇÃO QUE POSSUA RESERVATÓRIO DE FIBRA/FIBROCIMENTO  FORNECIMENTO E INSTALAÇÃO. AF_06/2016</v>
      </c>
      <c r="D166" s="69" t="str">
        <f>[2]ORÇAMENTO!B143</f>
        <v>SINAPI</v>
      </c>
      <c r="E166" s="69" t="str">
        <f>[2]ORÇAMENTO!E143</f>
        <v>unid</v>
      </c>
      <c r="F166" s="22">
        <f>[2]ORÇAMENTO!F143</f>
        <v>10</v>
      </c>
      <c r="G166" s="69"/>
      <c r="H166" s="69"/>
      <c r="I166" s="69"/>
      <c r="J166" s="91">
        <f>[2]ORÇAMENTO!G143*26.63%+[2]ORÇAMENTO!G143</f>
        <v>166.67040600000001</v>
      </c>
      <c r="K166" s="91">
        <f t="shared" si="8"/>
        <v>1666.7</v>
      </c>
      <c r="L166" s="91"/>
      <c r="M166" s="91"/>
      <c r="N166" s="91"/>
    </row>
    <row r="167" spans="1:14" ht="30">
      <c r="A167" s="69" t="str">
        <f>[2]ORÇAMENTO!A144</f>
        <v>9.3.5</v>
      </c>
      <c r="B167" s="69">
        <f>[2]ORÇAMENTO!C144</f>
        <v>94499</v>
      </c>
      <c r="C167" s="49" t="str">
        <f>[2]ORÇAMENTO!D144</f>
        <v>REGISTRO DE GAVETA BRUTO, LATÃO, ROSCÁVEL, 2 1/2" - FORNECIMENTO E INSTALAÇÃO. AF_08/2021</v>
      </c>
      <c r="D167" s="69" t="str">
        <f>[2]ORÇAMENTO!B144</f>
        <v>SINAPI</v>
      </c>
      <c r="E167" s="69" t="str">
        <f>[2]ORÇAMENTO!E144</f>
        <v>unid</v>
      </c>
      <c r="F167" s="22">
        <f>[2]ORÇAMENTO!F144</f>
        <v>5</v>
      </c>
      <c r="G167" s="69"/>
      <c r="H167" s="69"/>
      <c r="I167" s="69"/>
      <c r="J167" s="91">
        <f>[2]ORÇAMENTO!G144*26.63%+[2]ORÇAMENTO!G144</f>
        <v>385.95557700000001</v>
      </c>
      <c r="K167" s="91">
        <f t="shared" si="8"/>
        <v>1929.78</v>
      </c>
      <c r="L167" s="91"/>
      <c r="M167" s="91"/>
      <c r="N167" s="91"/>
    </row>
    <row r="168" spans="1:14" ht="30">
      <c r="A168" s="69" t="str">
        <f>[2]ORÇAMENTO!A145</f>
        <v>9.3.6</v>
      </c>
      <c r="B168" s="69">
        <f>[2]ORÇAMENTO!C145</f>
        <v>99624</v>
      </c>
      <c r="C168" s="49" t="str">
        <f>[2]ORÇAMENTO!D145</f>
        <v>VÁLVULA DE RETENÇÃO HORIZONTAL, DE BRONZE, ROSCÁVEL, 2 1/2" - FORNECIMENTO E INSTALAÇÃO. AF_08/2021</v>
      </c>
      <c r="D168" s="69" t="str">
        <f>[2]ORÇAMENTO!B145</f>
        <v>SINAPI</v>
      </c>
      <c r="E168" s="69" t="str">
        <f>[2]ORÇAMENTO!E145</f>
        <v>unid</v>
      </c>
      <c r="F168" s="22">
        <f>[2]ORÇAMENTO!F145</f>
        <v>3</v>
      </c>
      <c r="G168" s="69"/>
      <c r="H168" s="69"/>
      <c r="I168" s="69"/>
      <c r="J168" s="91">
        <f>[2]ORÇAMENTO!G145*26.63%+[2]ORÇAMENTO!G145</f>
        <v>516.473118</v>
      </c>
      <c r="K168" s="91">
        <f t="shared" si="8"/>
        <v>1549.42</v>
      </c>
      <c r="L168" s="91"/>
      <c r="M168" s="91"/>
      <c r="N168" s="91"/>
    </row>
    <row r="169" spans="1:14">
      <c r="A169" s="69" t="str">
        <f>[2]ORÇAMENTO!A146</f>
        <v>9.3.7</v>
      </c>
      <c r="B169" s="69">
        <f>[2]ORÇAMENTO!C146</f>
        <v>8940</v>
      </c>
      <c r="C169" s="49" t="str">
        <f>[2]ORÇAMENTO!D146</f>
        <v>Válvula de fluxo contínuo galvanizada (p/incêndio)</v>
      </c>
      <c r="D169" s="69" t="str">
        <f>[2]ORÇAMENTO!B146</f>
        <v>ORSE</v>
      </c>
      <c r="E169" s="69" t="str">
        <f>[2]ORÇAMENTO!E146</f>
        <v>unid</v>
      </c>
      <c r="F169" s="22">
        <f>[2]ORÇAMENTO!F146</f>
        <v>2</v>
      </c>
      <c r="G169" s="69"/>
      <c r="H169" s="69"/>
      <c r="I169" s="69"/>
      <c r="J169" s="91">
        <f>[2]ORÇAMENTO!G146*26.63%+[2]ORÇAMENTO!G146</f>
        <v>284.79086999999998</v>
      </c>
      <c r="K169" s="91">
        <f t="shared" si="8"/>
        <v>569.58000000000004</v>
      </c>
      <c r="L169" s="91"/>
      <c r="M169" s="91"/>
      <c r="N169" s="91"/>
    </row>
    <row r="170" spans="1:14" ht="60">
      <c r="A170" s="69" t="str">
        <f>[2]ORÇAMENTO!A147</f>
        <v>9.3.8</v>
      </c>
      <c r="B170" s="69">
        <f>[2]ORÇAMENTO!C147</f>
        <v>96765</v>
      </c>
      <c r="C170" s="49" t="str">
        <f>[2]ORÇAMENTO!D147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70" s="69" t="str">
        <f>[2]ORÇAMENTO!B147</f>
        <v>SINAPI</v>
      </c>
      <c r="E170" s="69" t="str">
        <f>[2]ORÇAMENTO!E147</f>
        <v>unid</v>
      </c>
      <c r="F170" s="22">
        <f>[2]ORÇAMENTO!F147</f>
        <v>3</v>
      </c>
      <c r="G170" s="69"/>
      <c r="H170" s="69"/>
      <c r="I170" s="69"/>
      <c r="J170" s="91">
        <f>[2]ORÇAMENTO!G147*26.63%+[2]ORÇAMENTO!G147</f>
        <v>1951.0263989999999</v>
      </c>
      <c r="K170" s="91">
        <f t="shared" si="8"/>
        <v>5853.08</v>
      </c>
      <c r="L170" s="91"/>
      <c r="M170" s="91"/>
      <c r="N170" s="91"/>
    </row>
    <row r="171" spans="1:14" ht="30">
      <c r="A171" s="69" t="str">
        <f>[2]ORÇAMENTO!A148</f>
        <v>9.3.9</v>
      </c>
      <c r="B171" s="69">
        <f>[2]ORÇAMENTO!C148</f>
        <v>101916</v>
      </c>
      <c r="C171" s="49" t="str">
        <f>[2]ORÇAMENTO!D148</f>
        <v>HIDRANTE SUBTERRÂNEO PREDIAL (COM CURVA LONGA E CAIXA), DN 75 MM - FORNECIMENTO E INSTALAÇÃO. AF_10/2020</v>
      </c>
      <c r="D171" s="69" t="str">
        <f>[2]ORÇAMENTO!B148</f>
        <v>SINAPI</v>
      </c>
      <c r="E171" s="69" t="str">
        <f>[2]ORÇAMENTO!E148</f>
        <v>unid</v>
      </c>
      <c r="F171" s="22">
        <f>[2]ORÇAMENTO!F148</f>
        <v>1</v>
      </c>
      <c r="G171" s="69"/>
      <c r="H171" s="69"/>
      <c r="I171" s="69"/>
      <c r="J171" s="91">
        <f>[2]ORÇAMENTO!G148*26.63%+[2]ORÇAMENTO!G148</f>
        <v>3815.526519</v>
      </c>
      <c r="K171" s="91">
        <f t="shared" si="8"/>
        <v>3815.53</v>
      </c>
      <c r="L171" s="91"/>
      <c r="M171" s="91"/>
      <c r="N171" s="91"/>
    </row>
    <row r="172" spans="1:14" ht="30">
      <c r="A172" s="69" t="str">
        <f>[2]ORÇAMENTO!A149</f>
        <v>9.3.10</v>
      </c>
      <c r="B172" s="69">
        <f>[2]ORÇAMENTO!C149</f>
        <v>101905</v>
      </c>
      <c r="C172" s="49" t="str">
        <f>[2]ORÇAMENTO!D149</f>
        <v>EXTINTOR DE INCÊNDIO PORTÁTIL COM CARGA DE ÁGUA PRESSURIZADA DE 10 L, CLASSE A - FORNECIMENTO E INSTALAÇÃO. AF_10/2020_P</v>
      </c>
      <c r="D172" s="69" t="str">
        <f>[2]ORÇAMENTO!B149</f>
        <v>SINAPI</v>
      </c>
      <c r="E172" s="69" t="str">
        <f>[2]ORÇAMENTO!E149</f>
        <v>unid</v>
      </c>
      <c r="F172" s="22">
        <f>[2]ORÇAMENTO!F149</f>
        <v>7</v>
      </c>
      <c r="G172" s="69"/>
      <c r="H172" s="69"/>
      <c r="I172" s="69"/>
      <c r="J172" s="91">
        <f>[2]ORÇAMENTO!G149*26.63%+[2]ORÇAMENTO!G149</f>
        <v>337.50693899999999</v>
      </c>
      <c r="K172" s="91">
        <f t="shared" si="8"/>
        <v>2362.5500000000002</v>
      </c>
      <c r="L172" s="91"/>
      <c r="M172" s="91"/>
      <c r="N172" s="91"/>
    </row>
    <row r="173" spans="1:14" ht="30">
      <c r="A173" s="69" t="str">
        <f>[2]ORÇAMENTO!A150</f>
        <v>9.3.11</v>
      </c>
      <c r="B173" s="69">
        <f>[2]ORÇAMENTO!C150</f>
        <v>101907</v>
      </c>
      <c r="C173" s="49" t="str">
        <f>[2]ORÇAMENTO!D150</f>
        <v>EXTINTOR DE INCÊNDIO PORTÁTIL COM CARGA DE CO2 DE 6 KG, CLASSE BC - FORNECIMENTO E INSTALAÇÃO. AF_10/2020_P</v>
      </c>
      <c r="D173" s="69" t="str">
        <f>[2]ORÇAMENTO!B150</f>
        <v>SINAPI</v>
      </c>
      <c r="E173" s="69" t="str">
        <f>[2]ORÇAMENTO!E150</f>
        <v>unid</v>
      </c>
      <c r="F173" s="22">
        <f>[2]ORÇAMENTO!F150</f>
        <v>2</v>
      </c>
      <c r="G173" s="69"/>
      <c r="H173" s="69"/>
      <c r="I173" s="69"/>
      <c r="J173" s="91">
        <f>[2]ORÇAMENTO!G150*26.63%+[2]ORÇAMENTO!G150</f>
        <v>1110.0385799999999</v>
      </c>
      <c r="K173" s="91">
        <f t="shared" si="8"/>
        <v>2220.08</v>
      </c>
      <c r="L173" s="91"/>
      <c r="M173" s="91"/>
      <c r="N173" s="91"/>
    </row>
    <row r="174" spans="1:14" ht="30">
      <c r="A174" s="69" t="str">
        <f>[2]ORÇAMENTO!A151</f>
        <v>9.3.12</v>
      </c>
      <c r="B174" s="69">
        <f>[2]ORÇAMENTO!C151</f>
        <v>101909</v>
      </c>
      <c r="C174" s="49" t="str">
        <f>[2]ORÇAMENTO!D151</f>
        <v>EXTINTOR DE INCÊNDIO PORTÁTIL COM CARGA DE PQS DE 8 KG, CLASSE BC - FORNECIMENTO E INSTALAÇÃO. AF_10/2020_P</v>
      </c>
      <c r="D174" s="69" t="str">
        <f>[2]ORÇAMENTO!B151</f>
        <v>SINAPI</v>
      </c>
      <c r="E174" s="69" t="str">
        <f>[2]ORÇAMENTO!E151</f>
        <v>unid</v>
      </c>
      <c r="F174" s="22">
        <f>[2]ORÇAMENTO!F151</f>
        <v>7</v>
      </c>
      <c r="G174" s="69"/>
      <c r="H174" s="69"/>
      <c r="I174" s="69"/>
      <c r="J174" s="91">
        <f>[2]ORÇAMENTO!G151*26.63%+[2]ORÇAMENTO!G151</f>
        <v>382.95444600000002</v>
      </c>
      <c r="K174" s="91">
        <f t="shared" si="8"/>
        <v>2680.68</v>
      </c>
      <c r="L174" s="91"/>
      <c r="M174" s="91"/>
      <c r="N174" s="91"/>
    </row>
    <row r="175" spans="1:14" ht="30">
      <c r="A175" s="69" t="str">
        <f>[2]ORÇAMENTO!A152</f>
        <v>9.3.13</v>
      </c>
      <c r="B175" s="69">
        <f>[2]ORÇAMENTO!C152</f>
        <v>97599</v>
      </c>
      <c r="C175" s="49" t="str">
        <f>[2]ORÇAMENTO!D152</f>
        <v>LUMINÁRIA DE EMERGÊNCIA, COM 30 LÂMPADAS LED DE 2 W, SEM REATOR - FORNECIMENTO E INSTALAÇÃO. AF_02/2020</v>
      </c>
      <c r="D175" s="69" t="str">
        <f>[2]ORÇAMENTO!B152</f>
        <v>SINAPI</v>
      </c>
      <c r="E175" s="69" t="str">
        <f>[2]ORÇAMENTO!E152</f>
        <v>unid</v>
      </c>
      <c r="F175" s="22">
        <f>[2]ORÇAMENTO!F152</f>
        <v>18</v>
      </c>
      <c r="G175" s="69"/>
      <c r="H175" s="69"/>
      <c r="I175" s="69"/>
      <c r="J175" s="91">
        <f>[2]ORÇAMENTO!G152*26.63%+[2]ORÇAMENTO!G152</f>
        <v>28.339793999999998</v>
      </c>
      <c r="K175" s="91">
        <f t="shared" si="8"/>
        <v>510.12</v>
      </c>
      <c r="L175" s="91"/>
      <c r="M175" s="91"/>
      <c r="N175" s="91"/>
    </row>
    <row r="176" spans="1:14" ht="45">
      <c r="A176" s="69" t="str">
        <f>[2]ORÇAMENTO!A153</f>
        <v>9.3.14</v>
      </c>
      <c r="B176" s="69">
        <f>[2]ORÇAMENTO!C153</f>
        <v>11853</v>
      </c>
      <c r="C176" s="49" t="str">
        <f>[2]ORÇAMENTO!D153</f>
        <v>Placa de sinalização de segurança contra incêndio, fotoluminescente, retangular, (20x40)cm, em pvc de 2cm anti-chamas (simblos, cores, e pictograma conforme nbr 13434)</v>
      </c>
      <c r="D176" s="69" t="str">
        <f>[2]ORÇAMENTO!B153</f>
        <v>ORSE</v>
      </c>
      <c r="E176" s="69" t="str">
        <f>[2]ORÇAMENTO!E153</f>
        <v>unid</v>
      </c>
      <c r="F176" s="22">
        <f>[2]ORÇAMENTO!F153</f>
        <v>21</v>
      </c>
      <c r="G176" s="69"/>
      <c r="H176" s="69"/>
      <c r="I176" s="69"/>
      <c r="J176" s="91">
        <f>[2]ORÇAMENTO!G153*26.63%+[2]ORÇAMENTO!G153</f>
        <v>48.689235000000004</v>
      </c>
      <c r="K176" s="91">
        <f t="shared" si="8"/>
        <v>1022.47</v>
      </c>
      <c r="L176" s="91"/>
      <c r="M176" s="91"/>
      <c r="N176" s="91"/>
    </row>
    <row r="177" spans="1:14" ht="30">
      <c r="A177" s="69" t="str">
        <f>[2]ORÇAMENTO!A154</f>
        <v>9.3.15</v>
      </c>
      <c r="B177" s="69">
        <f>[2]ORÇAMENTO!C154</f>
        <v>12888</v>
      </c>
      <c r="C177" s="49" t="str">
        <f>[2]ORÇAMENTO!D154</f>
        <v>Placa de sinalização, fotoluminescente, em pvc, com logotipo "Extintor de incêndio portátil"- Placa E5</v>
      </c>
      <c r="D177" s="69" t="str">
        <f>[2]ORÇAMENTO!B154</f>
        <v>ORSE</v>
      </c>
      <c r="E177" s="69" t="str">
        <f>[2]ORÇAMENTO!E154</f>
        <v>unid</v>
      </c>
      <c r="F177" s="22">
        <f>[2]ORÇAMENTO!F154</f>
        <v>7</v>
      </c>
      <c r="G177" s="69"/>
      <c r="H177" s="69"/>
      <c r="I177" s="69"/>
      <c r="J177" s="91">
        <f>[2]ORÇAMENTO!G154*26.63%+[2]ORÇAMENTO!G154</f>
        <v>19.007162999999998</v>
      </c>
      <c r="K177" s="91">
        <f t="shared" si="8"/>
        <v>133.05000000000001</v>
      </c>
      <c r="L177" s="91"/>
      <c r="M177" s="91"/>
      <c r="N177" s="91"/>
    </row>
    <row r="178" spans="1:14" ht="30">
      <c r="A178" s="69" t="str">
        <f>[2]ORÇAMENTO!A155</f>
        <v>9.3.16</v>
      </c>
      <c r="B178" s="69">
        <f>[2]ORÇAMENTO!C155</f>
        <v>12894</v>
      </c>
      <c r="C178" s="49" t="str">
        <f>[2]ORÇAMENTO!D155</f>
        <v>Placa de sinalização, fotoluminescente, em pvc, com logotipo "Hidrante de incêndio"- Placa E9</v>
      </c>
      <c r="D178" s="69" t="str">
        <f>[2]ORÇAMENTO!B155</f>
        <v>ORSE</v>
      </c>
      <c r="E178" s="69" t="str">
        <f>[2]ORÇAMENTO!E155</f>
        <v>unid</v>
      </c>
      <c r="F178" s="22">
        <f>[2]ORÇAMENTO!F155</f>
        <v>3</v>
      </c>
      <c r="G178" s="69"/>
      <c r="H178" s="69"/>
      <c r="I178" s="69"/>
      <c r="J178" s="91">
        <f>[2]ORÇAMENTO!G155*26.63%+[2]ORÇAMENTO!G155</f>
        <v>19.007162999999998</v>
      </c>
      <c r="K178" s="91">
        <f t="shared" si="8"/>
        <v>57.02</v>
      </c>
      <c r="L178" s="91"/>
      <c r="M178" s="91"/>
      <c r="N178" s="91"/>
    </row>
    <row r="179" spans="1:14">
      <c r="A179" s="69"/>
      <c r="B179" s="69"/>
      <c r="C179" s="49"/>
      <c r="D179" s="69"/>
      <c r="E179" s="69"/>
      <c r="F179" s="22"/>
      <c r="G179" s="69"/>
      <c r="H179" s="69"/>
      <c r="I179" s="69"/>
      <c r="J179" s="91"/>
      <c r="K179" s="91"/>
      <c r="L179" s="91"/>
      <c r="M179" s="91"/>
      <c r="N179" s="91"/>
    </row>
    <row r="180" spans="1:14">
      <c r="A180" s="101">
        <f>[2]ORÇAMENTO!A157</f>
        <v>10</v>
      </c>
      <c r="B180" s="101"/>
      <c r="C180" s="102" t="str">
        <f>[2]ORÇAMENTO!B157</f>
        <v>INSTALAÇÕES ELÉTRICAS</v>
      </c>
      <c r="D180" s="101"/>
      <c r="E180" s="101"/>
      <c r="F180" s="103"/>
      <c r="G180" s="101"/>
      <c r="H180" s="101"/>
      <c r="I180" s="101"/>
      <c r="J180" s="104"/>
      <c r="K180" s="104"/>
      <c r="L180" s="105"/>
      <c r="M180" s="105"/>
      <c r="N180" s="105"/>
    </row>
    <row r="181" spans="1:14" ht="30">
      <c r="A181" s="69" t="str">
        <f>[2]ORÇAMENTO!A158</f>
        <v>10.1</v>
      </c>
      <c r="B181" s="69">
        <f>[2]ORÇAMENTO!C158</f>
        <v>91940</v>
      </c>
      <c r="C181" s="49" t="str">
        <f>[2]ORÇAMENTO!D158</f>
        <v>CAIXA RETANGULAR 4" X 2" MÉDIA (1,30 M DO PISO), PVC, INSTALADA EM PAREDE - FORNECIMENTO E INSTALAÇÃO. AF_12/20</v>
      </c>
      <c r="D181" s="69" t="str">
        <f>[2]ORÇAMENTO!B158</f>
        <v>SINAPI</v>
      </c>
      <c r="E181" s="69" t="str">
        <f>[2]ORÇAMENTO!E158</f>
        <v>unid</v>
      </c>
      <c r="F181" s="22">
        <f>[2]ORÇAMENTO!F158</f>
        <v>248</v>
      </c>
      <c r="G181" s="69"/>
      <c r="H181" s="69"/>
      <c r="I181" s="69"/>
      <c r="J181" s="91">
        <f>[2]ORÇAMENTO!G158*26.63%+[2]ORÇAMENTO!G158</f>
        <v>12.409740000000001</v>
      </c>
      <c r="K181" s="91">
        <f t="shared" si="8"/>
        <v>3077.62</v>
      </c>
      <c r="L181" s="91"/>
      <c r="M181" s="91"/>
      <c r="N181" s="91"/>
    </row>
    <row r="182" spans="1:14" ht="30">
      <c r="A182" s="69" t="str">
        <f>[2]ORÇAMENTO!A159</f>
        <v>10.2</v>
      </c>
      <c r="B182" s="69">
        <f>[2]ORÇAMENTO!C159</f>
        <v>91997</v>
      </c>
      <c r="C182" s="49" t="str">
        <f>[2]ORÇAMENTO!D159</f>
        <v>TOMADA MÉDIA DE EMBUTIR (1 MÓDULO), 2P+T 20 A, INCLUINDO SUPORTE E PLACA - FORNECIMENTO E INSTALAÇÃO. AF_12/2015</v>
      </c>
      <c r="D182" s="69" t="str">
        <f>[2]ORÇAMENTO!B159</f>
        <v>SINAPI</v>
      </c>
      <c r="E182" s="69" t="str">
        <f>[2]ORÇAMENTO!E159</f>
        <v>unid</v>
      </c>
      <c r="F182" s="22">
        <f>[2]ORÇAMENTO!F159</f>
        <v>29</v>
      </c>
      <c r="G182" s="69"/>
      <c r="H182" s="69"/>
      <c r="I182" s="69"/>
      <c r="J182" s="91">
        <f>[2]ORÇAMENTO!G159*26.63%+[2]ORÇAMENTO!G159</f>
        <v>33.253038000000004</v>
      </c>
      <c r="K182" s="91">
        <f t="shared" si="8"/>
        <v>964.34</v>
      </c>
      <c r="L182" s="91"/>
      <c r="M182" s="91"/>
      <c r="N182" s="91"/>
    </row>
    <row r="183" spans="1:14" ht="30">
      <c r="A183" s="69" t="str">
        <f>[2]ORÇAMENTO!A160</f>
        <v>10.3</v>
      </c>
      <c r="B183" s="69">
        <f>[2]ORÇAMENTO!C160</f>
        <v>91996</v>
      </c>
      <c r="C183" s="49" t="str">
        <f>[2]ORÇAMENTO!D160</f>
        <v>TOMADA MÉDIA DE EMBUTIR (1 MÓDULO), 2P+T 10 A, INCLUINDO SUPORTE E PLACA - FORNECIMENTO E INSTALAÇÃO. AF_12/2015</v>
      </c>
      <c r="D183" s="69" t="str">
        <f>[2]ORÇAMENTO!B160</f>
        <v>SINAPI</v>
      </c>
      <c r="E183" s="69" t="str">
        <f>[2]ORÇAMENTO!E160</f>
        <v>unid</v>
      </c>
      <c r="F183" s="22">
        <f>[2]ORÇAMENTO!F160</f>
        <v>195</v>
      </c>
      <c r="G183" s="69"/>
      <c r="H183" s="69"/>
      <c r="I183" s="69"/>
      <c r="J183" s="91">
        <f>[2]ORÇAMENTO!G160*26.63%+[2]ORÇAMENTO!G160</f>
        <v>30.492503999999997</v>
      </c>
      <c r="K183" s="91">
        <f t="shared" si="8"/>
        <v>5946.04</v>
      </c>
      <c r="L183" s="91"/>
      <c r="M183" s="91"/>
      <c r="N183" s="91"/>
    </row>
    <row r="184" spans="1:14" ht="30">
      <c r="A184" s="69" t="str">
        <f>[2]ORÇAMENTO!A161</f>
        <v>10.4</v>
      </c>
      <c r="B184" s="69">
        <f>[2]ORÇAMENTO!C161</f>
        <v>91953</v>
      </c>
      <c r="C184" s="49" t="str">
        <f>[2]ORÇAMENTO!D161</f>
        <v>INTERRUPTOR SIMPLES (1 MÓDULO), 10A/250V, INCLUINDO SUPORTE E PLACA - FORNECIMENTO E INSTALAÇÃO. AF_12/2015</v>
      </c>
      <c r="D184" s="69" t="str">
        <f>[2]ORÇAMENTO!B161</f>
        <v>SINAPI</v>
      </c>
      <c r="E184" s="69" t="str">
        <f>[2]ORÇAMENTO!E161</f>
        <v>unid</v>
      </c>
      <c r="F184" s="22">
        <f>[2]ORÇAMENTO!F161</f>
        <v>38</v>
      </c>
      <c r="G184" s="69"/>
      <c r="H184" s="69"/>
      <c r="I184" s="69"/>
      <c r="J184" s="91">
        <f>[2]ORÇAMENTO!G161*26.63%+[2]ORÇAMENTO!G161</f>
        <v>25.984476000000001</v>
      </c>
      <c r="K184" s="91">
        <f t="shared" si="8"/>
        <v>987.41</v>
      </c>
      <c r="L184" s="91"/>
      <c r="M184" s="91"/>
      <c r="N184" s="91"/>
    </row>
    <row r="185" spans="1:14" ht="30">
      <c r="A185" s="69" t="str">
        <f>[2]ORÇAMENTO!A162</f>
        <v>10.5</v>
      </c>
      <c r="B185" s="69">
        <f>[2]ORÇAMENTO!C162</f>
        <v>91959</v>
      </c>
      <c r="C185" s="49" t="str">
        <f>[2]ORÇAMENTO!D162</f>
        <v>INTERRUPTOR SIMPLES (2 MÓDULOS), 10A/250V, INCLUINDO SUPORTE E PLACA - FORNECIMENTO E INSTALAÇÃO. AF_12/2015</v>
      </c>
      <c r="D185" s="69" t="str">
        <f>[2]ORÇAMENTO!B162</f>
        <v>SINAPI</v>
      </c>
      <c r="E185" s="69" t="str">
        <f>[2]ORÇAMENTO!E162</f>
        <v>unid</v>
      </c>
      <c r="F185" s="22">
        <f>[2]ORÇAMENTO!F162</f>
        <v>9</v>
      </c>
      <c r="G185" s="69"/>
      <c r="H185" s="69"/>
      <c r="I185" s="69"/>
      <c r="J185" s="91">
        <f>[2]ORÇAMENTO!G162*26.63%+[2]ORÇAMENTO!G162</f>
        <v>41.218064999999996</v>
      </c>
      <c r="K185" s="91">
        <f t="shared" si="8"/>
        <v>370.96</v>
      </c>
      <c r="L185" s="91"/>
      <c r="M185" s="91"/>
      <c r="N185" s="91"/>
    </row>
    <row r="186" spans="1:14" ht="30">
      <c r="A186" s="69" t="str">
        <f>[2]ORÇAMENTO!A163</f>
        <v>10.6</v>
      </c>
      <c r="B186" s="69">
        <f>[2]ORÇAMENTO!C163</f>
        <v>91936</v>
      </c>
      <c r="C186" s="49" t="str">
        <f>[2]ORÇAMENTO!D163</f>
        <v>CAIXA OCTOGONAL 4" X 4", PVC, INSTALADA EM LAJE - FORNECIMENTO E INSTALAÇÃO. AF_12/2015</v>
      </c>
      <c r="D186" s="69" t="str">
        <f>[2]ORÇAMENTO!B163</f>
        <v>SINAPI</v>
      </c>
      <c r="E186" s="69" t="str">
        <f>[2]ORÇAMENTO!E163</f>
        <v>unid</v>
      </c>
      <c r="F186" s="22">
        <f>[2]ORÇAMENTO!F163</f>
        <v>97</v>
      </c>
      <c r="G186" s="69"/>
      <c r="H186" s="69"/>
      <c r="I186" s="69"/>
      <c r="J186" s="91">
        <f>[2]ORÇAMENTO!G163*26.63%+[2]ORÇAMENTO!G163</f>
        <v>11.054799000000001</v>
      </c>
      <c r="K186" s="91">
        <f t="shared" si="8"/>
        <v>1072.32</v>
      </c>
      <c r="L186" s="91"/>
      <c r="M186" s="91"/>
      <c r="N186" s="91"/>
    </row>
    <row r="187" spans="1:14" ht="45">
      <c r="A187" s="69" t="str">
        <f>[2]ORÇAMENTO!A164</f>
        <v>10.7</v>
      </c>
      <c r="B187" s="69">
        <f>[2]ORÇAMENTO!C164</f>
        <v>91875</v>
      </c>
      <c r="C187" s="49" t="str">
        <f>[2]ORÇAMENTO!D164</f>
        <v>LUVA PARA ELETRODUTO, PVC, ROSCÁVEL, DN 25 MM (3/4"), PARA CIRCUITOS TERMINAIS, INSTALADA EM FORRO - FORNECIMENTO E INSTALAÇÃO. AF_12/2015</v>
      </c>
      <c r="D187" s="69" t="str">
        <f>[2]ORÇAMENTO!B164</f>
        <v>SINAPI</v>
      </c>
      <c r="E187" s="69" t="str">
        <f>[2]ORÇAMENTO!E164</f>
        <v>unid</v>
      </c>
      <c r="F187" s="22">
        <f>[2]ORÇAMENTO!F164</f>
        <v>103</v>
      </c>
      <c r="G187" s="69"/>
      <c r="H187" s="69"/>
      <c r="I187" s="69"/>
      <c r="J187" s="91">
        <f>[2]ORÇAMENTO!G164*26.63%+[2]ORÇAMENTO!G164</f>
        <v>5.2804710000000004</v>
      </c>
      <c r="K187" s="91">
        <f t="shared" si="8"/>
        <v>543.89</v>
      </c>
      <c r="L187" s="91"/>
      <c r="M187" s="91"/>
      <c r="N187" s="91"/>
    </row>
    <row r="188" spans="1:14" ht="45">
      <c r="A188" s="69" t="str">
        <f>[2]ORÇAMENTO!A165</f>
        <v>10.8</v>
      </c>
      <c r="B188" s="69">
        <f>[2]ORÇAMENTO!C165</f>
        <v>91854</v>
      </c>
      <c r="C188" s="49" t="str">
        <f>[2]ORÇAMENTO!D165</f>
        <v>ELETRODUTO FLEXÍVEL CORRUGADO, PVC, DN 25 MM (3/4"), PARA CIRCUITOS TERMINAIS, INSTALADO EM PAREDE - FORNECIMENTO E INSTALAÇÃO. AF_12/2015</v>
      </c>
      <c r="D188" s="69" t="str">
        <f>[2]ORÇAMENTO!B165</f>
        <v>SINAPI</v>
      </c>
      <c r="E188" s="69" t="str">
        <f>[2]ORÇAMENTO!E165</f>
        <v>m</v>
      </c>
      <c r="F188" s="22">
        <f>[2]ORÇAMENTO!F165</f>
        <v>750</v>
      </c>
      <c r="G188" s="69"/>
      <c r="H188" s="69"/>
      <c r="I188" s="69"/>
      <c r="J188" s="91">
        <f>[2]ORÇAMENTO!G165*26.63%+[2]ORÇAMENTO!G165</f>
        <v>7.9776899999999999</v>
      </c>
      <c r="K188" s="91">
        <f t="shared" si="8"/>
        <v>5983.27</v>
      </c>
      <c r="L188" s="91"/>
      <c r="M188" s="91"/>
      <c r="N188" s="91"/>
    </row>
    <row r="189" spans="1:14" ht="30">
      <c r="A189" s="69" t="str">
        <f>[2]ORÇAMENTO!A166</f>
        <v>10.9</v>
      </c>
      <c r="B189" s="69">
        <f>[2]ORÇAMENTO!C166</f>
        <v>95731</v>
      </c>
      <c r="C189" s="49" t="str">
        <f>[2]ORÇAMENTO!D166</f>
        <v>ELETRODUTO RÍGIDO SOLDÁVEL, PVC, DN 32 MM (1), APARENTE, INSTALADO EM PAREDE - FORNECIMENTO E INSTALAÇÃO. AF_11/2016_P</v>
      </c>
      <c r="D189" s="69" t="str">
        <f>[2]ORÇAMENTO!B166</f>
        <v>SINAPI</v>
      </c>
      <c r="E189" s="69" t="str">
        <f>[2]ORÇAMENTO!E166</f>
        <v>m</v>
      </c>
      <c r="F189" s="22">
        <f>[2]ORÇAMENTO!F166</f>
        <v>210</v>
      </c>
      <c r="G189" s="69"/>
      <c r="H189" s="69"/>
      <c r="I189" s="69"/>
      <c r="J189" s="91">
        <f>[2]ORÇAMENTO!G166*26.63%+[2]ORÇAMENTO!G166</f>
        <v>10.928169</v>
      </c>
      <c r="K189" s="91">
        <f t="shared" si="8"/>
        <v>2294.92</v>
      </c>
      <c r="L189" s="91"/>
      <c r="M189" s="91"/>
      <c r="N189" s="91"/>
    </row>
    <row r="190" spans="1:14" ht="45">
      <c r="A190" s="69" t="str">
        <f>[2]ORÇAMENTO!A167</f>
        <v>10.10</v>
      </c>
      <c r="B190" s="69">
        <f>[2]ORÇAMENTO!C167</f>
        <v>91917</v>
      </c>
      <c r="C190" s="49" t="str">
        <f>[2]ORÇAMENTO!D167</f>
        <v>CURVA 90 GRAUS PARA ELETRODUTO, PVC, ROSCÁVEL, DN 32 MM (1"), PARA CIRCUITOS TERMINAIS, INSTALADA EM PAREDE - FORNECIMENTO E INSTALAÇÃO. AF_12/2015</v>
      </c>
      <c r="D190" s="69" t="str">
        <f>[2]ORÇAMENTO!B167</f>
        <v>SINAPI</v>
      </c>
      <c r="E190" s="69" t="str">
        <f>[2]ORÇAMENTO!E167</f>
        <v>unid</v>
      </c>
      <c r="F190" s="22">
        <f>[2]ORÇAMENTO!F167</f>
        <v>89</v>
      </c>
      <c r="G190" s="69"/>
      <c r="H190" s="69"/>
      <c r="I190" s="69"/>
      <c r="J190" s="91">
        <f>[2]ORÇAMENTO!G167*26.63%+[2]ORÇAMENTO!G167</f>
        <v>14.499134999999999</v>
      </c>
      <c r="K190" s="91">
        <f t="shared" si="8"/>
        <v>1290.42</v>
      </c>
      <c r="L190" s="91"/>
      <c r="M190" s="91"/>
      <c r="N190" s="91"/>
    </row>
    <row r="191" spans="1:14" ht="30">
      <c r="A191" s="69" t="str">
        <f>[2]ORÇAMENTO!A168</f>
        <v>10.11</v>
      </c>
      <c r="B191" s="69">
        <f>[2]ORÇAMENTO!C168</f>
        <v>95738</v>
      </c>
      <c r="C191" s="49" t="str">
        <f>[2]ORÇAMENTO!D168</f>
        <v>LUVA PARA ELETRODUTO, PVC, SOLDÁVEL, DN 32 MM (1), APARENTE, INSTALADA EM PAREDE - FORNECIMENTO E INSTALAÇÃO. AF_11/2016_P</v>
      </c>
      <c r="D191" s="69" t="str">
        <f>[2]ORÇAMENTO!B168</f>
        <v>SINAPI</v>
      </c>
      <c r="E191" s="69" t="str">
        <f>[2]ORÇAMENTO!E168</f>
        <v>unid</v>
      </c>
      <c r="F191" s="22">
        <f>[2]ORÇAMENTO!F168</f>
        <v>102</v>
      </c>
      <c r="G191" s="69"/>
      <c r="H191" s="69"/>
      <c r="I191" s="69"/>
      <c r="J191" s="91">
        <f>[2]ORÇAMENTO!G168*26.63%+[2]ORÇAMENTO!G168</f>
        <v>7.6231259999999992</v>
      </c>
      <c r="K191" s="91">
        <f t="shared" si="8"/>
        <v>777.56</v>
      </c>
      <c r="L191" s="91"/>
      <c r="M191" s="91"/>
      <c r="N191" s="91"/>
    </row>
    <row r="192" spans="1:14" ht="45">
      <c r="A192" s="69" t="str">
        <f>[2]ORÇAMENTO!A169</f>
        <v>10.12</v>
      </c>
      <c r="B192" s="69">
        <f>[2]ORÇAMENTO!C169</f>
        <v>101512</v>
      </c>
      <c r="C192" s="49" t="str">
        <f>[2]ORÇAMENTO!D169</f>
        <v>ENTRADA DE ENERGIA ELÉTRICA, AÉREA, TRIFÁSICA, COM CAIXA DE EMBUTIR, CABO DE 35 MM2 E DISJUNTOR DIN 50A (NÃO INCLUSO O POSTE DE CONCRETO). AF_07/2020</v>
      </c>
      <c r="D192" s="69" t="str">
        <f>[2]ORÇAMENTO!B169</f>
        <v>SINAPI</v>
      </c>
      <c r="E192" s="69" t="str">
        <f>[2]ORÇAMENTO!E169</f>
        <v>unid</v>
      </c>
      <c r="F192" s="22">
        <f>[2]ORÇAMENTO!F169</f>
        <v>1</v>
      </c>
      <c r="G192" s="69"/>
      <c r="H192" s="69"/>
      <c r="I192" s="69"/>
      <c r="J192" s="91">
        <f>[2]ORÇAMENTO!G169*26.63%+[2]ORÇAMENTO!G169</f>
        <v>2640.2481630000002</v>
      </c>
      <c r="K192" s="91">
        <f t="shared" si="8"/>
        <v>2640.25</v>
      </c>
      <c r="L192" s="91"/>
      <c r="M192" s="91"/>
      <c r="N192" s="91"/>
    </row>
    <row r="193" spans="1:14" ht="45">
      <c r="A193" s="69" t="str">
        <f>[2]ORÇAMENTO!A170</f>
        <v>10.13</v>
      </c>
      <c r="B193" s="69">
        <f>[2]ORÇAMENTO!C170</f>
        <v>97589</v>
      </c>
      <c r="C193" s="49" t="str">
        <f>[2]ORÇAMENTO!D170</f>
        <v>LUMINÁRIA TIPO PLAFON EM PLÁSTICO, DE SOBREPOR, COM 1 LÂMPADA FLUORESCENTE DE 15 W, SEM REATOR - FORNECIMENTO E INSTALAÇÃO. AF_02/2020</v>
      </c>
      <c r="D193" s="69" t="str">
        <f>[2]ORÇAMENTO!B170</f>
        <v>SINAPI</v>
      </c>
      <c r="E193" s="69" t="str">
        <f>[2]ORÇAMENTO!E170</f>
        <v>unid</v>
      </c>
      <c r="F193" s="22">
        <f>[2]ORÇAMENTO!F170</f>
        <v>97</v>
      </c>
      <c r="G193" s="69"/>
      <c r="H193" s="69"/>
      <c r="I193" s="69"/>
      <c r="J193" s="91">
        <f>[2]ORÇAMENTO!G170*26.63%+[2]ORÇAMENTO!G170</f>
        <v>51.816996000000003</v>
      </c>
      <c r="K193" s="91">
        <f t="shared" si="8"/>
        <v>5026.25</v>
      </c>
      <c r="L193" s="91"/>
      <c r="M193" s="91"/>
      <c r="N193" s="91"/>
    </row>
    <row r="194" spans="1:14" ht="30">
      <c r="A194" s="69" t="str">
        <f>[2]ORÇAMENTO!A171</f>
        <v>10.14</v>
      </c>
      <c r="B194" s="69">
        <f>[2]ORÇAMENTO!C171</f>
        <v>91927</v>
      </c>
      <c r="C194" s="49" t="str">
        <f>[2]ORÇAMENTO!D171</f>
        <v>CABO DE COBRE FLEXÍVEL ISOLADO, 2,5 MM², ANTI-CHAMA 0,6/1,0 KV, PARA CIRCUITOS TERMINAIS - FORNECIMENTO E INSTALAÇÃO. AF_12/2015</v>
      </c>
      <c r="D194" s="69" t="str">
        <f>[2]ORÇAMENTO!B171</f>
        <v>SINAPI</v>
      </c>
      <c r="E194" s="69" t="str">
        <f>[2]ORÇAMENTO!E171</f>
        <v>m</v>
      </c>
      <c r="F194" s="22">
        <f>[2]ORÇAMENTO!F171</f>
        <v>1470</v>
      </c>
      <c r="G194" s="69"/>
      <c r="H194" s="69"/>
      <c r="I194" s="69"/>
      <c r="J194" s="91">
        <f>[2]ORÇAMENTO!G171*26.63%+[2]ORÇAMENTO!G171</f>
        <v>6.0402509999999996</v>
      </c>
      <c r="K194" s="91">
        <f t="shared" si="8"/>
        <v>8879.17</v>
      </c>
      <c r="L194" s="91"/>
      <c r="M194" s="91"/>
      <c r="N194" s="91"/>
    </row>
    <row r="195" spans="1:14" ht="30">
      <c r="A195" s="69" t="str">
        <f>[2]ORÇAMENTO!A172</f>
        <v>10.15</v>
      </c>
      <c r="B195" s="69">
        <f>[2]ORÇAMENTO!C172</f>
        <v>91929</v>
      </c>
      <c r="C195" s="49" t="str">
        <f>[2]ORÇAMENTO!D172</f>
        <v>CABO DE COBRE FLEXÍVEL ISOLADO, 4 MM², ANTI-CHAMA 0,6/1,0 KV, PARA CIRCUITOS TERMINAIS - FORNECIMENTO E INSTALAÇÃO. AF_12/2015</v>
      </c>
      <c r="D195" s="69" t="str">
        <f>[2]ORÇAMENTO!B172</f>
        <v>SINAPI</v>
      </c>
      <c r="E195" s="69" t="str">
        <f>[2]ORÇAMENTO!E172</f>
        <v>m</v>
      </c>
      <c r="F195" s="22">
        <f>[2]ORÇAMENTO!F172</f>
        <v>1184</v>
      </c>
      <c r="G195" s="69"/>
      <c r="H195" s="69"/>
      <c r="I195" s="69"/>
      <c r="J195" s="91">
        <f>[2]ORÇAMENTO!G172*26.63%+[2]ORÇAMENTO!G172</f>
        <v>8.5221990000000005</v>
      </c>
      <c r="K195" s="91">
        <f t="shared" si="8"/>
        <v>10090.280000000001</v>
      </c>
      <c r="L195" s="91"/>
      <c r="M195" s="91"/>
      <c r="N195" s="91"/>
    </row>
    <row r="196" spans="1:14" ht="30">
      <c r="A196" s="69" t="str">
        <f>[2]ORÇAMENTO!A173</f>
        <v>10.16</v>
      </c>
      <c r="B196" s="69">
        <f>[2]ORÇAMENTO!C173</f>
        <v>96972</v>
      </c>
      <c r="C196" s="49" t="str">
        <f>[2]ORÇAMENTO!D173</f>
        <v>CORDOALHA DE COBRE NU 25 MM², NÃO ENTERRADA, COM ISOLADOR - FORNECIMENTO E INSTALAÇÃO. AF_12/2017</v>
      </c>
      <c r="D196" s="69" t="str">
        <f>[2]ORÇAMENTO!B173</f>
        <v>SINAPI</v>
      </c>
      <c r="E196" s="69" t="str">
        <f>[2]ORÇAMENTO!E173</f>
        <v>m</v>
      </c>
      <c r="F196" s="22">
        <f>[2]ORÇAMENTO!F173</f>
        <v>50</v>
      </c>
      <c r="G196" s="69"/>
      <c r="H196" s="69"/>
      <c r="I196" s="69"/>
      <c r="J196" s="91">
        <f>[2]ORÇAMENTO!G173*26.63%+[2]ORÇAMENTO!G173</f>
        <v>52.880687999999999</v>
      </c>
      <c r="K196" s="91">
        <f t="shared" si="8"/>
        <v>2644.03</v>
      </c>
      <c r="L196" s="91"/>
      <c r="M196" s="91"/>
      <c r="N196" s="91"/>
    </row>
    <row r="197" spans="1:14" ht="45">
      <c r="A197" s="69" t="str">
        <f>[2]ORÇAMENTO!A174</f>
        <v>10.17</v>
      </c>
      <c r="B197" s="69">
        <f>[2]ORÇAMENTO!C174</f>
        <v>101881</v>
      </c>
      <c r="C197" s="49" t="str">
        <f>[2]ORÇAMENTO!D174</f>
        <v>QUADRO DE DISTRIBUIÇÃO DE ENERGIA EM CHAPA DE AÇO GALVANIZADO, DE EMBUTIR, COM BARRAMENTO TRIFÁSICO, PARA 40 DISJUNTORES DIN 100A - FORNECIMENTO E INSTALAÇÃO. AF_10/2020</v>
      </c>
      <c r="D197" s="69" t="str">
        <f>[2]ORÇAMENTO!B174</f>
        <v>SINAPI</v>
      </c>
      <c r="E197" s="69" t="str">
        <f>[2]ORÇAMENTO!E174</f>
        <v>unid</v>
      </c>
      <c r="F197" s="22">
        <f>[2]ORÇAMENTO!F174</f>
        <v>2</v>
      </c>
      <c r="G197" s="69"/>
      <c r="H197" s="69"/>
      <c r="I197" s="69"/>
      <c r="J197" s="91">
        <f>[2]ORÇAMENTO!G174*26.63%+[2]ORÇAMENTO!G174</f>
        <v>1194.4501379999999</v>
      </c>
      <c r="K197" s="91">
        <f t="shared" si="8"/>
        <v>2388.9</v>
      </c>
      <c r="L197" s="91"/>
      <c r="M197" s="91"/>
      <c r="N197" s="91"/>
    </row>
    <row r="198" spans="1:14" ht="30">
      <c r="A198" s="69" t="str">
        <f>[2]ORÇAMENTO!A175</f>
        <v>10.18</v>
      </c>
      <c r="B198" s="69">
        <f>[2]ORÇAMENTO!C175</f>
        <v>93653</v>
      </c>
      <c r="C198" s="49" t="str">
        <f>[2]ORÇAMENTO!D175</f>
        <v>DISJUNTOR MONOPOLAR TIPO DIN, CORRENTE NOMINAL DE 10A - FORNECIMENTO E INSTALAÇÃO. AF_10/2020</v>
      </c>
      <c r="D198" s="69" t="str">
        <f>[2]ORÇAMENTO!B175</f>
        <v>SINAPI</v>
      </c>
      <c r="E198" s="69" t="str">
        <f>[2]ORÇAMENTO!E175</f>
        <v>unid</v>
      </c>
      <c r="F198" s="22">
        <f>[2]ORÇAMENTO!F175</f>
        <v>1</v>
      </c>
      <c r="G198" s="69"/>
      <c r="H198" s="69"/>
      <c r="I198" s="69"/>
      <c r="J198" s="91">
        <f>[2]ORÇAMENTO!G175*26.63%+[2]ORÇAMENTO!G175</f>
        <v>12.321099</v>
      </c>
      <c r="K198" s="91">
        <f t="shared" si="8"/>
        <v>12.32</v>
      </c>
      <c r="L198" s="91"/>
      <c r="M198" s="91"/>
      <c r="N198" s="91"/>
    </row>
    <row r="199" spans="1:14" ht="30">
      <c r="A199" s="69" t="str">
        <f>[2]ORÇAMENTO!A176</f>
        <v>10.19</v>
      </c>
      <c r="B199" s="69">
        <f>[2]ORÇAMENTO!C176</f>
        <v>93654</v>
      </c>
      <c r="C199" s="49" t="str">
        <f>[2]ORÇAMENTO!D176</f>
        <v>DISJUNTOR MONOPOLAR TIPO DIN, CORRENTE NOMINAL DE 16A - FORNECIMENTO E INSTALAÇÃO. AF_10/2020</v>
      </c>
      <c r="D199" s="69" t="str">
        <f>[2]ORÇAMENTO!B176</f>
        <v>SINAPI</v>
      </c>
      <c r="E199" s="69" t="str">
        <f>[2]ORÇAMENTO!E176</f>
        <v>unid</v>
      </c>
      <c r="F199" s="22">
        <f>[2]ORÇAMENTO!F176</f>
        <v>21</v>
      </c>
      <c r="G199" s="69"/>
      <c r="H199" s="69"/>
      <c r="I199" s="69"/>
      <c r="J199" s="91">
        <f>[2]ORÇAMENTO!G176*26.63%+[2]ORÇAMENTO!G176</f>
        <v>12.814955999999999</v>
      </c>
      <c r="K199" s="91">
        <f t="shared" si="8"/>
        <v>269.11</v>
      </c>
      <c r="L199" s="91"/>
      <c r="M199" s="91"/>
      <c r="N199" s="91"/>
    </row>
    <row r="200" spans="1:14" ht="30">
      <c r="A200" s="69" t="str">
        <f>[2]ORÇAMENTO!A177</f>
        <v>10.20</v>
      </c>
      <c r="B200" s="69">
        <f>[2]ORÇAMENTO!C177</f>
        <v>93656</v>
      </c>
      <c r="C200" s="49" t="str">
        <f>[2]ORÇAMENTO!D177</f>
        <v>DISJUNTOR MONOPOLAR TIPO DIN, CORRENTE NOMINAL DE 25A - FORNECIMENTO E INSTALAÇÃO. AF_10/2020</v>
      </c>
      <c r="D200" s="69" t="str">
        <f>[2]ORÇAMENTO!B177</f>
        <v>SINAPI</v>
      </c>
      <c r="E200" s="69" t="str">
        <f>[2]ORÇAMENTO!E177</f>
        <v>unid</v>
      </c>
      <c r="F200" s="22">
        <f>[2]ORÇAMENTO!F177</f>
        <v>9</v>
      </c>
      <c r="G200" s="69"/>
      <c r="H200" s="69"/>
      <c r="I200" s="69"/>
      <c r="J200" s="91">
        <f>[2]ORÇAMENTO!G177*26.63%+[2]ORÇAMENTO!G177</f>
        <v>13.802670000000001</v>
      </c>
      <c r="K200" s="91">
        <f t="shared" si="8"/>
        <v>124.22</v>
      </c>
      <c r="L200" s="91"/>
      <c r="M200" s="91"/>
      <c r="N200" s="91"/>
    </row>
    <row r="201" spans="1:14" ht="30">
      <c r="A201" s="69" t="str">
        <f>[2]ORÇAMENTO!A178</f>
        <v>10.21</v>
      </c>
      <c r="B201" s="69">
        <f>[2]ORÇAMENTO!C178</f>
        <v>101895</v>
      </c>
      <c r="C201" s="49" t="str">
        <f>[2]ORÇAMENTO!D178</f>
        <v>DISJUNTOR TERMOMAGNÉTICO TRIPOLAR , CORRENTE NOMINAL DE 125A - FORNECIMENTO E INSTALAÇÃO. AF_10/2020</v>
      </c>
      <c r="D201" s="69" t="str">
        <f>[2]ORÇAMENTO!B178</f>
        <v>SINAPI</v>
      </c>
      <c r="E201" s="69" t="str">
        <f>[2]ORÇAMENTO!E178</f>
        <v>unid</v>
      </c>
      <c r="F201" s="22">
        <f>[2]ORÇAMENTO!F178</f>
        <v>2</v>
      </c>
      <c r="G201" s="69"/>
      <c r="H201" s="69"/>
      <c r="I201" s="69"/>
      <c r="J201" s="91">
        <f>[2]ORÇAMENTO!G178*26.63%+[2]ORÇAMENTO!G178</f>
        <v>454.107843</v>
      </c>
      <c r="K201" s="91">
        <f t="shared" si="8"/>
        <v>908.22</v>
      </c>
      <c r="L201" s="91"/>
      <c r="M201" s="91"/>
      <c r="N201" s="91"/>
    </row>
    <row r="202" spans="1:14">
      <c r="A202" s="69" t="str">
        <f>[2]ORÇAMENTO!A179</f>
        <v>10.22</v>
      </c>
      <c r="B202" s="69">
        <f>[2]ORÇAMENTO!C179</f>
        <v>12149</v>
      </c>
      <c r="C202" s="49" t="str">
        <f>[2]ORÇAMENTO!D179</f>
        <v>Dispositivo DR tetrapolar 100A, tipo AC, 30MA</v>
      </c>
      <c r="D202" s="69" t="str">
        <f>[2]ORÇAMENTO!B179</f>
        <v>ORSE</v>
      </c>
      <c r="E202" s="69" t="str">
        <f>[2]ORÇAMENTO!E179</f>
        <v>unid</v>
      </c>
      <c r="F202" s="22">
        <f>[2]ORÇAMENTO!F179</f>
        <v>2</v>
      </c>
      <c r="G202" s="69"/>
      <c r="H202" s="69"/>
      <c r="I202" s="69"/>
      <c r="J202" s="91">
        <f>[2]ORÇAMENTO!G179*26.63%+[2]ORÇAMENTO!G179</f>
        <v>449.270577</v>
      </c>
      <c r="K202" s="91">
        <f t="shared" si="8"/>
        <v>898.54</v>
      </c>
      <c r="L202" s="91"/>
      <c r="M202" s="91"/>
      <c r="N202" s="91"/>
    </row>
    <row r="203" spans="1:14" ht="30">
      <c r="A203" s="69" t="str">
        <f>[2]ORÇAMENTO!A180</f>
        <v>10.23</v>
      </c>
      <c r="B203" s="69">
        <f>[2]ORÇAMENTO!C180</f>
        <v>8083</v>
      </c>
      <c r="C203" s="49" t="str">
        <f>[2]ORÇAMENTO!D180</f>
        <v>Fornecimento e instalação de eletrocalha perfurada 200x70x3000mm (ref. Mopa ou similar).</v>
      </c>
      <c r="D203" s="69" t="str">
        <f>[2]ORÇAMENTO!B180</f>
        <v>ORSE</v>
      </c>
      <c r="E203" s="69" t="str">
        <f>[2]ORÇAMENTO!E180</f>
        <v>m</v>
      </c>
      <c r="F203" s="22">
        <f>[2]ORÇAMENTO!F180</f>
        <v>25</v>
      </c>
      <c r="G203" s="69"/>
      <c r="H203" s="69"/>
      <c r="I203" s="69"/>
      <c r="J203" s="91">
        <f>[2]ORÇAMENTO!G180*26.63%+[2]ORÇAMENTO!G180</f>
        <v>89.210835000000003</v>
      </c>
      <c r="K203" s="91">
        <f t="shared" si="8"/>
        <v>2230.27</v>
      </c>
      <c r="L203" s="91"/>
      <c r="M203" s="91"/>
      <c r="N203" s="91"/>
    </row>
    <row r="204" spans="1:14" ht="60">
      <c r="A204" s="69" t="str">
        <f>[2]ORÇAMENTO!A181</f>
        <v>10.24</v>
      </c>
      <c r="B204" s="69">
        <f>[2]ORÇAMENTO!C181</f>
        <v>96562</v>
      </c>
      <c r="C204" s="49" t="str">
        <f>[2]ORÇAMENTO!D181</f>
        <v>SUPORTE PARA ELETROCALHA LISA OU PERFURADA EM AÇO GALVANIZADO, LARGURA 200 OU 400 MM E ALTURA 50 MM, ESPAÇADO A CADA 1,5 M, EM PERFILADO DE SEÇÃO 38X76 MM, POR METRO DE ELETRECOLHA FIXADA. AF_07/2017</v>
      </c>
      <c r="D204" s="69" t="str">
        <f>[2]ORÇAMENTO!B181</f>
        <v>SINAPI</v>
      </c>
      <c r="E204" s="69" t="str">
        <f>[2]ORÇAMENTO!E181</f>
        <v>m</v>
      </c>
      <c r="F204" s="22">
        <f>[2]ORÇAMENTO!F181</f>
        <v>40</v>
      </c>
      <c r="G204" s="69"/>
      <c r="H204" s="69"/>
      <c r="I204" s="69"/>
      <c r="J204" s="91">
        <f>[2]ORÇAMENTO!G181*26.63%+[2]ORÇAMENTO!G181</f>
        <v>23.249268000000001</v>
      </c>
      <c r="K204" s="91">
        <f t="shared" si="8"/>
        <v>929.97</v>
      </c>
      <c r="L204" s="91"/>
      <c r="M204" s="91"/>
      <c r="N204" s="91"/>
    </row>
    <row r="205" spans="1:14">
      <c r="A205" s="69" t="str">
        <f>[2]ORÇAMENTO!A182</f>
        <v>10.25</v>
      </c>
      <c r="B205" s="69">
        <f>[2]ORÇAMENTO!C182</f>
        <v>12500</v>
      </c>
      <c r="C205" s="49" t="str">
        <f>[2]ORÇAMENTO!D182</f>
        <v>Cantoneira "ZZ" para fixação de perfilado, ref. Mopa ou similar.</v>
      </c>
      <c r="D205" s="69" t="str">
        <f>[2]ORÇAMENTO!B182</f>
        <v>ORSE</v>
      </c>
      <c r="E205" s="69" t="str">
        <f>[2]ORÇAMENTO!E182</f>
        <v>unid</v>
      </c>
      <c r="F205" s="22">
        <f>[2]ORÇAMENTO!F182</f>
        <v>2</v>
      </c>
      <c r="G205" s="69"/>
      <c r="H205" s="69"/>
      <c r="I205" s="69"/>
      <c r="J205" s="91">
        <f>[2]ORÇAMENTO!G182*26.63%+[2]ORÇAMENTO!G182</f>
        <v>9.6871950000000009</v>
      </c>
      <c r="K205" s="91">
        <f t="shared" si="8"/>
        <v>19.37</v>
      </c>
      <c r="L205" s="91"/>
      <c r="M205" s="91"/>
      <c r="N205" s="91"/>
    </row>
    <row r="206" spans="1:14">
      <c r="A206" s="69"/>
      <c r="B206" s="69"/>
      <c r="C206" s="49"/>
      <c r="D206" s="69"/>
      <c r="E206" s="69"/>
      <c r="F206" s="22"/>
      <c r="G206" s="69"/>
      <c r="H206" s="69"/>
      <c r="I206" s="69"/>
      <c r="J206" s="91"/>
      <c r="K206" s="91"/>
      <c r="L206" s="91"/>
      <c r="M206" s="91"/>
      <c r="N206" s="91"/>
    </row>
    <row r="207" spans="1:14">
      <c r="A207" s="101">
        <f>[2]ORÇAMENTO!A184</f>
        <v>11</v>
      </c>
      <c r="B207" s="101"/>
      <c r="C207" s="102" t="str">
        <f>[2]ORÇAMENTO!B184</f>
        <v>PINTURA</v>
      </c>
      <c r="D207" s="96"/>
      <c r="E207" s="96"/>
      <c r="F207" s="139"/>
      <c r="G207" s="96"/>
      <c r="H207" s="96"/>
      <c r="I207" s="96"/>
      <c r="J207" s="105"/>
      <c r="K207" s="105"/>
      <c r="L207" s="105"/>
      <c r="M207" s="105"/>
      <c r="N207" s="105"/>
    </row>
    <row r="208" spans="1:14" ht="30">
      <c r="A208" s="69" t="str">
        <f>[2]ORÇAMENTO!A185</f>
        <v>11.1</v>
      </c>
      <c r="B208" s="69">
        <f>[2]ORÇAMENTO!C185</f>
        <v>88489</v>
      </c>
      <c r="C208" s="49" t="str">
        <f>[2]ORÇAMENTO!D185</f>
        <v>APLICAÇÃO MANUAL DE PINTURA COM TINTA LÁTEX ACRÍLICA EM PAREDES, DUAS DEMÃOS. AF_06/2014</v>
      </c>
      <c r="D208" s="69" t="str">
        <f>[2]ORÇAMENTO!B185</f>
        <v>SINAPI</v>
      </c>
      <c r="E208" s="69" t="str">
        <f>[2]ORÇAMENTO!E185</f>
        <v>m²</v>
      </c>
      <c r="F208" s="22">
        <f>[2]ORÇAMENTO!F185</f>
        <v>3708.15</v>
      </c>
      <c r="G208" s="69"/>
      <c r="H208" s="69"/>
      <c r="I208" s="69"/>
      <c r="J208" s="91">
        <f>[2]ORÇAMENTO!G185*26.63%+[2]ORÇAMENTO!G185</f>
        <v>14.841036000000001</v>
      </c>
      <c r="K208" s="91">
        <f t="shared" si="8"/>
        <v>55032.79</v>
      </c>
      <c r="L208" s="91"/>
      <c r="M208" s="91"/>
      <c r="N208" s="91"/>
    </row>
    <row r="209" spans="1:14" ht="30">
      <c r="A209" s="69" t="str">
        <f>[2]ORÇAMENTO!A186</f>
        <v>11.2</v>
      </c>
      <c r="B209" s="69">
        <f>[2]ORÇAMENTO!C186</f>
        <v>96135</v>
      </c>
      <c r="C209" s="49" t="str">
        <f>[2]ORÇAMENTO!D186</f>
        <v>APLICAÇÃO MANUAL DE MASSA ACRÍLICA EM PAREDES EXTERNAS DE CASAS, DUAS DEMÃOS. AF_05/2017</v>
      </c>
      <c r="D209" s="69" t="str">
        <f>[2]ORÇAMENTO!B186</f>
        <v>SINAPI</v>
      </c>
      <c r="E209" s="69" t="str">
        <f>[2]ORÇAMENTO!E186</f>
        <v>m²</v>
      </c>
      <c r="F209" s="22">
        <f>[2]ORÇAMENTO!F186</f>
        <v>994.53</v>
      </c>
      <c r="G209" s="69"/>
      <c r="H209" s="69"/>
      <c r="I209" s="69"/>
      <c r="J209" s="91">
        <f>[2]ORÇAMENTO!G186*26.63%+[2]ORÇAMENTO!G186</f>
        <v>26.250399000000002</v>
      </c>
      <c r="K209" s="91">
        <f t="shared" si="8"/>
        <v>26106.81</v>
      </c>
      <c r="L209" s="91"/>
      <c r="M209" s="91"/>
      <c r="N209" s="91"/>
    </row>
    <row r="210" spans="1:14" ht="30">
      <c r="A210" s="69" t="str">
        <f>[2]ORÇAMENTO!A187</f>
        <v>11.3</v>
      </c>
      <c r="B210" s="69">
        <f>[2]ORÇAMENTO!C187</f>
        <v>88485</v>
      </c>
      <c r="C210" s="49" t="str">
        <f>[2]ORÇAMENTO!D187</f>
        <v>APLICAÇÃO DE FUNDO SELADOR ACRÍLICO EM PAREDES, UMA DEMÃO. AF_06/2014</v>
      </c>
      <c r="D210" s="69" t="str">
        <f>[2]ORÇAMENTO!B187</f>
        <v>SINAPI</v>
      </c>
      <c r="E210" s="69" t="str">
        <f>[2]ORÇAMENTO!E187</f>
        <v>m²</v>
      </c>
      <c r="F210" s="22">
        <f>[2]ORÇAMENTO!F187</f>
        <v>418.9</v>
      </c>
      <c r="G210" s="69"/>
      <c r="H210" s="69"/>
      <c r="I210" s="69"/>
      <c r="J210" s="91">
        <f>[2]ORÇAMENTO!G187*26.63%+[2]ORÇAMENTO!G187</f>
        <v>2.65923</v>
      </c>
      <c r="K210" s="91">
        <f t="shared" si="8"/>
        <v>1113.95</v>
      </c>
      <c r="L210" s="91"/>
      <c r="M210" s="91"/>
      <c r="N210" s="91"/>
    </row>
    <row r="211" spans="1:14" ht="30">
      <c r="A211" s="69" t="str">
        <f>[2]ORÇAMENTO!A188</f>
        <v>11.4</v>
      </c>
      <c r="B211" s="69">
        <f>[2]ORÇAMENTO!C188</f>
        <v>88497</v>
      </c>
      <c r="C211" s="49" t="str">
        <f>[2]ORÇAMENTO!D188</f>
        <v>APLICAÇÃO E LIXAMENTO DE MASSA LÁTEX EM PAREDES, DUAS DEMÃOS. AF_06/2014</v>
      </c>
      <c r="D211" s="69" t="str">
        <f>[2]ORÇAMENTO!B188</f>
        <v>SINAPI</v>
      </c>
      <c r="E211" s="69" t="str">
        <f>[2]ORÇAMENTO!E188</f>
        <v>m²</v>
      </c>
      <c r="F211" s="22">
        <f>[2]ORÇAMENTO!F188</f>
        <v>961.62</v>
      </c>
      <c r="G211" s="69"/>
      <c r="H211" s="69"/>
      <c r="I211" s="69"/>
      <c r="J211" s="91">
        <f>[2]ORÇAMENTO!G188*26.63%+[2]ORÇAMENTO!G188</f>
        <v>15.144948000000001</v>
      </c>
      <c r="K211" s="91">
        <f t="shared" si="8"/>
        <v>14563.68</v>
      </c>
      <c r="L211" s="91"/>
      <c r="M211" s="91"/>
      <c r="N211" s="91"/>
    </row>
    <row r="212" spans="1:14" ht="30">
      <c r="A212" s="69" t="str">
        <f>[2]ORÇAMENTO!A189</f>
        <v>11.5</v>
      </c>
      <c r="B212" s="69">
        <f>[2]ORÇAMENTO!C189</f>
        <v>102203</v>
      </c>
      <c r="C212" s="49" t="str">
        <f>[2]ORÇAMENTO!D189</f>
        <v>PINTURA VERNIZ (INCOLOR) ALQUÍDICO EM MADEIRA, USO INTERNO E EXTERNO, 1 DEMÃO. AF_01/2021</v>
      </c>
      <c r="D212" s="69" t="str">
        <f>[2]ORÇAMENTO!B189</f>
        <v>SINAPI</v>
      </c>
      <c r="E212" s="69" t="str">
        <f>[2]ORÇAMENTO!E189</f>
        <v>m²</v>
      </c>
      <c r="F212" s="22">
        <f>[2]ORÇAMENTO!F189</f>
        <v>165.06</v>
      </c>
      <c r="G212" s="69"/>
      <c r="H212" s="69"/>
      <c r="I212" s="69"/>
      <c r="J212" s="91">
        <f>[2]ORÇAMENTO!G189*26.63%+[2]ORÇAMENTO!G189</f>
        <v>9.0920339999999999</v>
      </c>
      <c r="K212" s="91">
        <f t="shared" si="8"/>
        <v>1500.73</v>
      </c>
      <c r="L212" s="91"/>
      <c r="M212" s="91"/>
      <c r="N212" s="91"/>
    </row>
    <row r="213" spans="1:14" ht="45">
      <c r="A213" s="69" t="str">
        <f>[2]ORÇAMENTO!A190</f>
        <v>11.6</v>
      </c>
      <c r="B213" s="69">
        <f>[2]ORÇAMENTO!C190</f>
        <v>100725</v>
      </c>
      <c r="C213" s="49" t="str">
        <f>[2]ORÇAMENTO!D190</f>
        <v>PINTURA COM TINTA ALQUÍDICA DE FUNDO E ACABAMENTO (ESMALTE SINTÉTICO GRAFITE) PULVERIZADA SOBRE SUPERFÍCIES METÁLICAS (EXCETO PERFIL) EXECUTADO EM OBRA (POR DEMÃO). AF_01/2020_P</v>
      </c>
      <c r="D213" s="69" t="str">
        <f>[2]ORÇAMENTO!B190</f>
        <v>SINAPI</v>
      </c>
      <c r="E213" s="69" t="str">
        <f>[2]ORÇAMENTO!E190</f>
        <v>m²</v>
      </c>
      <c r="F213" s="22">
        <f>[2]ORÇAMENTO!F190</f>
        <v>57.75</v>
      </c>
      <c r="G213" s="69"/>
      <c r="H213" s="69"/>
      <c r="I213" s="69"/>
      <c r="J213" s="91">
        <f>[2]ORÇAMENTO!G190*26.63%+[2]ORÇAMENTO!G190</f>
        <v>19.918899</v>
      </c>
      <c r="K213" s="91">
        <f t="shared" si="8"/>
        <v>1150.32</v>
      </c>
      <c r="L213" s="91"/>
      <c r="M213" s="91"/>
      <c r="N213" s="91"/>
    </row>
    <row r="214" spans="1:14">
      <c r="A214" s="69"/>
      <c r="B214" s="69"/>
      <c r="C214" s="49"/>
      <c r="D214" s="69"/>
      <c r="E214" s="69"/>
      <c r="F214" s="22"/>
      <c r="G214" s="69"/>
      <c r="H214" s="69"/>
      <c r="I214" s="69"/>
      <c r="J214" s="91"/>
      <c r="K214" s="91"/>
      <c r="L214" s="91"/>
      <c r="M214" s="91"/>
      <c r="N214" s="91"/>
    </row>
    <row r="215" spans="1:14">
      <c r="A215" s="101">
        <f>[2]ORÇAMENTO!A192</f>
        <v>12</v>
      </c>
      <c r="B215" s="101"/>
      <c r="C215" s="102" t="str">
        <f>[2]ORÇAMENTO!B192</f>
        <v>BANCADAS, LOUÇAS, METAIS E ACESSÓRIOS</v>
      </c>
      <c r="D215" s="101"/>
      <c r="E215" s="101"/>
      <c r="F215" s="103"/>
      <c r="G215" s="101"/>
      <c r="H215" s="101"/>
      <c r="I215" s="101"/>
      <c r="J215" s="104"/>
      <c r="K215" s="104"/>
      <c r="L215" s="105"/>
      <c r="M215" s="105"/>
      <c r="N215" s="105"/>
    </row>
    <row r="216" spans="1:14" ht="45">
      <c r="A216" s="69" t="str">
        <f>[2]ORÇAMENTO!A193</f>
        <v>12.1</v>
      </c>
      <c r="B216" s="69">
        <f>[2]ORÇAMENTO!C193</f>
        <v>12294</v>
      </c>
      <c r="C216" s="49" t="str">
        <f>[2]ORÇAMENTO!D193</f>
        <v>Pia de cozinha com bancada em granito cinza andorinha, e=2cm, dim 3,40x0,60m, com duas cubas de aço inóx, sifão cromado, válvula cromada, torneira cromada 1/2", inclusive rodopia 10cm, assentada.</v>
      </c>
      <c r="D216" s="69" t="str">
        <f>[2]ORÇAMENTO!B193</f>
        <v>ORSE</v>
      </c>
      <c r="E216" s="69" t="str">
        <f>[2]ORÇAMENTO!E193</f>
        <v>unid</v>
      </c>
      <c r="F216" s="22">
        <f>[2]ORÇAMENTO!F193</f>
        <v>2</v>
      </c>
      <c r="G216" s="69"/>
      <c r="H216" s="69"/>
      <c r="I216" s="69"/>
      <c r="J216" s="91">
        <f>[2]ORÇAMENTO!G193*26.63%+[2]ORÇAMENTO!G193</f>
        <v>2916.972702</v>
      </c>
      <c r="K216" s="91">
        <f t="shared" si="8"/>
        <v>5833.95</v>
      </c>
      <c r="L216" s="91"/>
      <c r="M216" s="91"/>
      <c r="N216" s="91"/>
    </row>
    <row r="217" spans="1:14" ht="45">
      <c r="A217" s="69" t="str">
        <f>[2]ORÇAMENTO!A194</f>
        <v>12.2</v>
      </c>
      <c r="B217" s="69">
        <f>[2]ORÇAMENTO!C194</f>
        <v>86937</v>
      </c>
      <c r="C217" s="49" t="str">
        <f>[2]ORÇAMENTO!D194</f>
        <v>CUBA DE EMBUTIR OVAL EM LOUÇA BRANCA, 35 X 50CM OU EQUIVALENTE, INCLUSO VÁLVULA EM METAL CROMADO E SIFÃO FLEXÍVEL EM PVC - FORNECIMENTO E INSTALAÇÃO. AF_01/2020</v>
      </c>
      <c r="D217" s="69" t="str">
        <f>[2]ORÇAMENTO!B194</f>
        <v>SINAPI</v>
      </c>
      <c r="E217" s="69" t="str">
        <f>[2]ORÇAMENTO!E194</f>
        <v>unid</v>
      </c>
      <c r="F217" s="22">
        <f>[2]ORÇAMENTO!F194</f>
        <v>26</v>
      </c>
      <c r="G217" s="69"/>
      <c r="H217" s="69"/>
      <c r="I217" s="69"/>
      <c r="J217" s="91">
        <f>[2]ORÇAMENTO!G194*26.63%+[2]ORÇAMENTO!G194</f>
        <v>227.02226400000001</v>
      </c>
      <c r="K217" s="91">
        <f t="shared" si="8"/>
        <v>5902.58</v>
      </c>
      <c r="L217" s="91"/>
      <c r="M217" s="91"/>
      <c r="N217" s="91"/>
    </row>
    <row r="218" spans="1:14" ht="30">
      <c r="A218" s="69" t="str">
        <f>[2]ORÇAMENTO!A195</f>
        <v>12.3</v>
      </c>
      <c r="B218" s="69">
        <f>[2]ORÇAMENTO!C195</f>
        <v>86906</v>
      </c>
      <c r="C218" s="49" t="str">
        <f>[2]ORÇAMENTO!D195</f>
        <v>TORNEIRA CROMADA DE MESA, 1/2 OU 3/4, PARA LAVATÓRIO, PADRÃO POPULAR - FORNECIMENTO E INSTALAÇÃO. AF_01/2020</v>
      </c>
      <c r="D218" s="69" t="str">
        <f>[2]ORÇAMENTO!B195</f>
        <v>SINAPI</v>
      </c>
      <c r="E218" s="69" t="str">
        <f>[2]ORÇAMENTO!E195</f>
        <v>unid</v>
      </c>
      <c r="F218" s="22">
        <f>[2]ORÇAMENTO!F195</f>
        <v>26</v>
      </c>
      <c r="G218" s="69"/>
      <c r="H218" s="69"/>
      <c r="I218" s="69"/>
      <c r="J218" s="91">
        <f>[2]ORÇAMENTO!G195*26.63%+[2]ORÇAMENTO!G195</f>
        <v>74.762351999999993</v>
      </c>
      <c r="K218" s="91">
        <f t="shared" si="8"/>
        <v>1943.82</v>
      </c>
      <c r="L218" s="91"/>
      <c r="M218" s="91"/>
      <c r="N218" s="91"/>
    </row>
    <row r="219" spans="1:14">
      <c r="A219" s="69" t="str">
        <f>[2]ORÇAMENTO!A196</f>
        <v>12.4</v>
      </c>
      <c r="B219" s="69">
        <f>[2]ORÇAMENTO!C196</f>
        <v>10759</v>
      </c>
      <c r="C219" s="49" t="str">
        <f>[2]ORÇAMENTO!D196</f>
        <v>Bancada em granito cinza andorinha, e=2cm.</v>
      </c>
      <c r="D219" s="69" t="str">
        <f>[2]ORÇAMENTO!B196</f>
        <v>ORSE</v>
      </c>
      <c r="E219" s="69" t="str">
        <f>[2]ORÇAMENTO!E196</f>
        <v>m²</v>
      </c>
      <c r="F219" s="22">
        <f>[2]ORÇAMENTO!F196</f>
        <v>28.2</v>
      </c>
      <c r="G219" s="69"/>
      <c r="H219" s="69"/>
      <c r="I219" s="69"/>
      <c r="J219" s="91">
        <f>[2]ORÇAMENTO!G196*26.63%+[2]ORÇAMENTO!G196</f>
        <v>475.28037899999998</v>
      </c>
      <c r="K219" s="91">
        <f t="shared" si="8"/>
        <v>13402.91</v>
      </c>
      <c r="L219" s="91"/>
      <c r="M219" s="91"/>
      <c r="N219" s="91"/>
    </row>
    <row r="220" spans="1:14" ht="60">
      <c r="A220" s="69" t="str">
        <f>[2]ORÇAMENTO!A197</f>
        <v>12.5</v>
      </c>
      <c r="B220" s="69">
        <f>[2]ORÇAMENTO!C197</f>
        <v>86943</v>
      </c>
      <c r="C220" s="49" t="str">
        <f>[2]ORÇAMENTO!D197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20" s="69" t="str">
        <f>[2]ORÇAMENTO!B197</f>
        <v>SINAPI</v>
      </c>
      <c r="E220" s="69" t="str">
        <f>[2]ORÇAMENTO!E197</f>
        <v>unid</v>
      </c>
      <c r="F220" s="22">
        <f>[2]ORÇAMENTO!F197</f>
        <v>4</v>
      </c>
      <c r="G220" s="69"/>
      <c r="H220" s="69"/>
      <c r="I220" s="69"/>
      <c r="J220" s="91">
        <f>[2]ORÇAMENTO!G197*26.63%+[2]ORÇAMENTO!G197</f>
        <v>265.09990499999998</v>
      </c>
      <c r="K220" s="91">
        <f t="shared" si="8"/>
        <v>1060.4000000000001</v>
      </c>
      <c r="L220" s="91"/>
      <c r="M220" s="91"/>
      <c r="N220" s="91"/>
    </row>
    <row r="221" spans="1:14" ht="30">
      <c r="A221" s="69" t="str">
        <f>[2]ORÇAMENTO!A198</f>
        <v>12.6</v>
      </c>
      <c r="B221" s="69">
        <f>[2]ORÇAMENTO!C198</f>
        <v>100869</v>
      </c>
      <c r="C221" s="49" t="str">
        <f>[2]ORÇAMENTO!D198</f>
        <v>BARRA DE APOIO RETA, EM ACO INOX POLIDO, COMPRIMENTO 90 CM,  FIXADA NA PAREDE - FORNECIMENTO E INSTALAÇÃO. AF_01/2020</v>
      </c>
      <c r="D221" s="69" t="str">
        <f>[2]ORÇAMENTO!B198</f>
        <v>SINAPI</v>
      </c>
      <c r="E221" s="69" t="str">
        <f>[2]ORÇAMENTO!E198</f>
        <v>unid</v>
      </c>
      <c r="F221" s="22">
        <f>[2]ORÇAMENTO!F198</f>
        <v>6</v>
      </c>
      <c r="G221" s="69"/>
      <c r="H221" s="69"/>
      <c r="I221" s="69"/>
      <c r="J221" s="91">
        <f>[2]ORÇAMENTO!G198*26.63%+[2]ORÇAMENTO!G198</f>
        <v>404.40556800000002</v>
      </c>
      <c r="K221" s="91">
        <f t="shared" si="8"/>
        <v>2426.4299999999998</v>
      </c>
      <c r="L221" s="91"/>
      <c r="M221" s="91"/>
      <c r="N221" s="91"/>
    </row>
    <row r="222" spans="1:14" ht="30">
      <c r="A222" s="69" t="str">
        <f>[2]ORÇAMENTO!A199</f>
        <v>12.7</v>
      </c>
      <c r="B222" s="69">
        <f>[2]ORÇAMENTO!C199</f>
        <v>100849</v>
      </c>
      <c r="C222" s="49" t="str">
        <f>[2]ORÇAMENTO!D199</f>
        <v>ASSENTO SANITÁRIO CONVENCIONAL - FORNECIMENTO E INSTALACAO. AF_01/2020</v>
      </c>
      <c r="D222" s="69" t="str">
        <f>[2]ORÇAMENTO!B199</f>
        <v>SINAPI</v>
      </c>
      <c r="E222" s="69" t="str">
        <f>[2]ORÇAMENTO!E199</f>
        <v>unid</v>
      </c>
      <c r="F222" s="22">
        <f>[2]ORÇAMENTO!F199</f>
        <v>16</v>
      </c>
      <c r="G222" s="69"/>
      <c r="H222" s="69"/>
      <c r="I222" s="69"/>
      <c r="J222" s="91">
        <f>[2]ORÇAMENTO!G199*26.63%+[2]ORÇAMENTO!G199</f>
        <v>50.576021999999995</v>
      </c>
      <c r="K222" s="91">
        <f t="shared" si="8"/>
        <v>809.22</v>
      </c>
      <c r="L222" s="91"/>
      <c r="M222" s="91"/>
      <c r="N222" s="91"/>
    </row>
    <row r="223" spans="1:14" ht="45">
      <c r="A223" s="69" t="str">
        <f>[2]ORÇAMENTO!A200</f>
        <v>12.8</v>
      </c>
      <c r="B223" s="69">
        <f>[2]ORÇAMENTO!C200</f>
        <v>86931</v>
      </c>
      <c r="C223" s="49" t="str">
        <f>[2]ORÇAMENTO!D200</f>
        <v>VASO SANITÁRIO SIFONADO COM CAIXA ACOPLADA LOUÇA BRANCA, INCLUSO ENGATE FLEXÍVEL EM PLÁSTICO BRANCO, 1/2  X 40CM - FORNECIMENTO E INSTALAÇÃO. AF_01/2020</v>
      </c>
      <c r="D223" s="69" t="str">
        <f>[2]ORÇAMENTO!B200</f>
        <v>SINAPI</v>
      </c>
      <c r="E223" s="69" t="str">
        <f>[2]ORÇAMENTO!E200</f>
        <v>unid</v>
      </c>
      <c r="F223" s="22">
        <f>[2]ORÇAMENTO!F200</f>
        <v>16</v>
      </c>
      <c r="G223" s="69"/>
      <c r="H223" s="69"/>
      <c r="I223" s="69"/>
      <c r="J223" s="91">
        <f>[2]ORÇAMENTO!G200*26.63%+[2]ORÇAMENTO!G200</f>
        <v>529.37671499999999</v>
      </c>
      <c r="K223" s="91">
        <f t="shared" si="8"/>
        <v>8470.0300000000007</v>
      </c>
      <c r="L223" s="91"/>
      <c r="M223" s="91"/>
      <c r="N223" s="91"/>
    </row>
    <row r="224" spans="1:14" ht="60">
      <c r="A224" s="69" t="str">
        <f>[2]ORÇAMENTO!A201</f>
        <v>12.9</v>
      </c>
      <c r="B224" s="69">
        <f>[2]ORÇAMENTO!C201</f>
        <v>95472</v>
      </c>
      <c r="C224" s="49" t="str">
        <f>[2]ORÇAMENTO!D201</f>
        <v>VASO SANITARIO SIFONADO CONVENCIONAL PARA PCD SEM FURO FRONTAL COM LOUÇA BRANCA SEM ASSENTO, INCLUSO CONJUNTO DE LIGAÇÃO PARA BACIA SANITÁRIA AJUSTÁVEL - FORNECIMENTO E INSTALAÇÃO. AF_01/2020</v>
      </c>
      <c r="D224" s="69" t="str">
        <f>[2]ORÇAMENTO!B201</f>
        <v>SINAPI</v>
      </c>
      <c r="E224" s="69" t="str">
        <f>[2]ORÇAMENTO!E201</f>
        <v>unid</v>
      </c>
      <c r="F224" s="22">
        <f>[2]ORÇAMENTO!F201</f>
        <v>1</v>
      </c>
      <c r="G224" s="69"/>
      <c r="H224" s="69"/>
      <c r="I224" s="69"/>
      <c r="J224" s="91">
        <f>[2]ORÇAMENTO!G201*26.63%+[2]ORÇAMENTO!G201</f>
        <v>819.65066400000001</v>
      </c>
      <c r="K224" s="91">
        <f t="shared" si="8"/>
        <v>819.65</v>
      </c>
      <c r="L224" s="91"/>
      <c r="M224" s="91"/>
      <c r="N224" s="91"/>
    </row>
    <row r="225" spans="1:14">
      <c r="A225" s="69" t="str">
        <f>[2]ORÇAMENTO!A202</f>
        <v>12.10</v>
      </c>
      <c r="B225" s="69">
        <f>[2]ORÇAMENTO!C202</f>
        <v>2050</v>
      </c>
      <c r="C225" s="49" t="str">
        <f>[2]ORÇAMENTO!D202</f>
        <v>Chuveiro plástico sem registro.</v>
      </c>
      <c r="D225" s="69" t="str">
        <f>[2]ORÇAMENTO!B202</f>
        <v>ORSE</v>
      </c>
      <c r="E225" s="69" t="str">
        <f>[2]ORÇAMENTO!E202</f>
        <v>unid</v>
      </c>
      <c r="F225" s="22">
        <f>[2]ORÇAMENTO!F202</f>
        <v>2</v>
      </c>
      <c r="G225" s="69"/>
      <c r="H225" s="69"/>
      <c r="I225" s="69"/>
      <c r="J225" s="91">
        <f>[2]ORÇAMENTO!G202*26.63%+[2]ORÇAMENTO!G202</f>
        <v>38.951388000000001</v>
      </c>
      <c r="K225" s="91">
        <f t="shared" si="8"/>
        <v>77.900000000000006</v>
      </c>
      <c r="L225" s="91"/>
      <c r="M225" s="91"/>
      <c r="N225" s="91"/>
    </row>
    <row r="226" spans="1:14" ht="30">
      <c r="A226" s="69" t="str">
        <f>[2]ORÇAMENTO!A203</f>
        <v>12.11</v>
      </c>
      <c r="B226" s="69">
        <f>[2]ORÇAMENTO!C203</f>
        <v>95546</v>
      </c>
      <c r="C226" s="49" t="str">
        <f>[2]ORÇAMENTO!D203</f>
        <v>KIT DE ACESSORIOS PARA BANHEIRO EM METAL CROMADO, 5 PECAS, INCLUSO FIXAÇÃO. AF_01/2020</v>
      </c>
      <c r="D226" s="69" t="str">
        <f>[2]ORÇAMENTO!B203</f>
        <v>SINAPI</v>
      </c>
      <c r="E226" s="69" t="str">
        <f>[2]ORÇAMENTO!E203</f>
        <v>unid</v>
      </c>
      <c r="F226" s="22">
        <f>[2]ORÇAMENTO!F203</f>
        <v>14</v>
      </c>
      <c r="G226" s="69"/>
      <c r="H226" s="69"/>
      <c r="I226" s="69"/>
      <c r="J226" s="91">
        <f>[2]ORÇAMENTO!G203*26.63%+[2]ORÇAMENTO!G203</f>
        <v>111.117825</v>
      </c>
      <c r="K226" s="91">
        <f t="shared" si="8"/>
        <v>1555.65</v>
      </c>
      <c r="L226" s="91"/>
      <c r="M226" s="91"/>
      <c r="N226" s="91"/>
    </row>
    <row r="227" spans="1:14" ht="60">
      <c r="A227" s="69" t="str">
        <f>[2]ORÇAMENTO!A204</f>
        <v>12.12</v>
      </c>
      <c r="B227" s="69">
        <f>[2]ORÇAMENTO!C204</f>
        <v>86929</v>
      </c>
      <c r="C227" s="49" t="str">
        <f>[2]ORÇAMENTO!D204</f>
        <v>TANQUE DE MÁRMORE SINTÉTICO SUSPENSO, 22L OU EQUIVALENTE, INCLUSO SIFÃO FLEXÍVEL EM PVC, VÁLVULA PLÁSTICA E TORNEIRA DE METAL CROMADO PADRÃO POPULAR - FORNECIMENTO E INSTALAÇÃO. AF_01/2020</v>
      </c>
      <c r="D227" s="69" t="str">
        <f>[2]ORÇAMENTO!B204</f>
        <v>SINAPI</v>
      </c>
      <c r="E227" s="69" t="str">
        <f>[2]ORÇAMENTO!E204</f>
        <v>unid</v>
      </c>
      <c r="F227" s="22">
        <f>[2]ORÇAMENTO!F204</f>
        <v>2</v>
      </c>
      <c r="G227" s="69"/>
      <c r="H227" s="69"/>
      <c r="I227" s="69"/>
      <c r="J227" s="91">
        <f>[2]ORÇAMENTO!G204*26.63%+[2]ORÇAMENTO!G204</f>
        <v>360.87017400000002</v>
      </c>
      <c r="K227" s="91">
        <f t="shared" si="8"/>
        <v>721.74</v>
      </c>
      <c r="L227" s="91"/>
      <c r="M227" s="91"/>
      <c r="N227" s="91"/>
    </row>
    <row r="228" spans="1:14">
      <c r="A228" s="69"/>
      <c r="B228" s="69"/>
      <c r="C228" s="49"/>
      <c r="D228" s="69"/>
      <c r="E228" s="69"/>
      <c r="F228" s="22"/>
      <c r="G228" s="69"/>
      <c r="H228" s="69"/>
      <c r="I228" s="69"/>
      <c r="J228" s="91"/>
      <c r="K228" s="91"/>
      <c r="L228" s="91"/>
      <c r="M228" s="91"/>
      <c r="N228" s="91"/>
    </row>
    <row r="229" spans="1:14">
      <c r="A229" s="101">
        <f>[2]ORÇAMENTO!A206</f>
        <v>13</v>
      </c>
      <c r="B229" s="101"/>
      <c r="C229" s="102" t="str">
        <f>[2]ORÇAMENTO!B206</f>
        <v>SERVIÇOS COMPLEMENTARES</v>
      </c>
      <c r="D229" s="101"/>
      <c r="E229" s="101"/>
      <c r="F229" s="103"/>
      <c r="G229" s="101"/>
      <c r="H229" s="101"/>
      <c r="I229" s="101"/>
      <c r="J229" s="104"/>
      <c r="K229" s="104"/>
      <c r="L229" s="105"/>
      <c r="M229" s="105"/>
      <c r="N229" s="105"/>
    </row>
    <row r="230" spans="1:14" ht="30">
      <c r="A230" s="69" t="str">
        <f>[2]ORÇAMENTO!A207</f>
        <v>13.1</v>
      </c>
      <c r="B230" s="69">
        <f>[2]ORÇAMENTO!C207</f>
        <v>99803</v>
      </c>
      <c r="C230" s="49" t="str">
        <f>[2]ORÇAMENTO!D207</f>
        <v>LIMPEZA DE PISO CERÂMICO OU PORCELANATO COM PANO ÚMIDO. AF_04/2019</v>
      </c>
      <c r="D230" s="69" t="str">
        <f>[2]ORÇAMENTO!B207</f>
        <v>SINAPI</v>
      </c>
      <c r="E230" s="69" t="str">
        <f>[2]ORÇAMENTO!E207</f>
        <v>m²</v>
      </c>
      <c r="F230" s="22">
        <f>[2]ORÇAMENTO!F207</f>
        <v>774.83</v>
      </c>
      <c r="G230" s="69"/>
      <c r="H230" s="69"/>
      <c r="I230" s="69"/>
      <c r="J230" s="91">
        <f>[2]ORÇAMENTO!G207*26.63%+[2]ORÇAMENTO!G207</f>
        <v>1.7221680000000001</v>
      </c>
      <c r="K230" s="91">
        <f>ROUND(F230*J230,2)</f>
        <v>1334.39</v>
      </c>
      <c r="L230" s="91"/>
      <c r="M230" s="91"/>
      <c r="N230" s="91"/>
    </row>
    <row r="231" spans="1:14" ht="45">
      <c r="A231" s="69" t="str">
        <f>[2]ORÇAMENTO!A208</f>
        <v>13.2</v>
      </c>
      <c r="B231" s="69">
        <f>[2]ORÇAMENTO!C208</f>
        <v>10076</v>
      </c>
      <c r="C231" s="49" t="str">
        <f>[2]ORÇAMENTO!D208</f>
        <v>Corrimão em tubo de aço galvanizado (altura = 1,05 m), com barras verticais a cada 2,00m (1.1/2"), barra horizontal  superior (2"), barra horizontal intermediária (dupla) (1.1/2") e barra horizontal inferior (1").</v>
      </c>
      <c r="D231" s="69" t="str">
        <f>[2]ORÇAMENTO!B208</f>
        <v>ORSE</v>
      </c>
      <c r="E231" s="69" t="str">
        <f>[2]ORÇAMENTO!E208</f>
        <v>m</v>
      </c>
      <c r="F231" s="22">
        <f>[2]ORÇAMENTO!F208</f>
        <v>32.28</v>
      </c>
      <c r="G231" s="69"/>
      <c r="H231" s="69"/>
      <c r="I231" s="69"/>
      <c r="J231" s="91">
        <f>[2]ORÇAMENTO!G208*26.63%+[2]ORÇAMENTO!G208</f>
        <v>496.288296</v>
      </c>
      <c r="K231" s="91">
        <f>ROUND(F231*J231,2)</f>
        <v>16020.19</v>
      </c>
      <c r="L231" s="91"/>
      <c r="M231" s="91"/>
      <c r="N231" s="91"/>
    </row>
    <row r="232" spans="1:14" ht="45">
      <c r="A232" s="69" t="str">
        <f>[2]ORÇAMENTO!A209</f>
        <v>13.3</v>
      </c>
      <c r="B232" s="69">
        <f>[2]ORÇAMENTO!C209</f>
        <v>4420</v>
      </c>
      <c r="C232" s="49" t="str">
        <f>[2]ORÇAMENTO!D209</f>
        <v>Banco de concreto em alvenaria de tijolo maciço, assento em concreto simples, sem encosto, revestido em todas as faces com cerâmica Elizabeth 20x20cm ou similar.</v>
      </c>
      <c r="D232" s="69" t="str">
        <f>[2]ORÇAMENTO!B209</f>
        <v>ORSE</v>
      </c>
      <c r="E232" s="69" t="str">
        <f>[2]ORÇAMENTO!E209</f>
        <v>m</v>
      </c>
      <c r="F232" s="22">
        <f>[2]ORÇAMENTO!F209</f>
        <v>7.8</v>
      </c>
      <c r="G232" s="69"/>
      <c r="H232" s="69"/>
      <c r="I232" s="69"/>
      <c r="J232" s="91">
        <f>[2]ORÇAMENTO!G209*26.63%+[2]ORÇAMENTO!G209</f>
        <v>247.498335</v>
      </c>
      <c r="K232" s="91">
        <f>ROUND(F232*J232,2)</f>
        <v>1930.49</v>
      </c>
      <c r="L232" s="91"/>
      <c r="M232" s="91"/>
      <c r="N232" s="91"/>
    </row>
    <row r="233" spans="1:14">
      <c r="A233" s="69" t="str">
        <f>[2]ORÇAMENTO!A210</f>
        <v>13.4</v>
      </c>
      <c r="B233" s="69">
        <f>[2]ORÇAMENTO!C210</f>
        <v>12058</v>
      </c>
      <c r="C233" s="49" t="str">
        <f>[2]ORÇAMENTO!D210</f>
        <v>Letra em alumínio 50x50cm - instalado</v>
      </c>
      <c r="D233" s="69" t="str">
        <f>[2]ORÇAMENTO!B210</f>
        <v>ORSE</v>
      </c>
      <c r="E233" s="69" t="str">
        <f>[2]ORÇAMENTO!E210</f>
        <v>unid</v>
      </c>
      <c r="F233" s="22">
        <f>[2]ORÇAMENTO!F210</f>
        <v>16</v>
      </c>
      <c r="G233" s="69"/>
      <c r="H233" s="69"/>
      <c r="I233" s="69"/>
      <c r="J233" s="91">
        <f>[2]ORÇAMENTO!G210*26.63%+[2]ORÇAMENTO!G210</f>
        <v>262.68127199999998</v>
      </c>
      <c r="K233" s="91">
        <f>ROUND(F233*J233,2)</f>
        <v>4202.8999999999996</v>
      </c>
      <c r="L233" s="91"/>
      <c r="M233" s="91"/>
      <c r="N233" s="91"/>
    </row>
    <row r="234" spans="1:14">
      <c r="A234" s="69" t="str">
        <f>[2]ORÇAMENTO!A211</f>
        <v>13.5</v>
      </c>
      <c r="B234" s="69">
        <f>[2]ORÇAMENTO!C211</f>
        <v>12055</v>
      </c>
      <c r="C234" s="49" t="str">
        <f>[2]ORÇAMENTO!D211</f>
        <v>Letra em alumínio 25x25cm - instalado</v>
      </c>
      <c r="D234" s="69" t="str">
        <f>[2]ORÇAMENTO!B211</f>
        <v>ORSE</v>
      </c>
      <c r="E234" s="69" t="str">
        <f>[2]ORÇAMENTO!E211</f>
        <v>unid</v>
      </c>
      <c r="F234" s="22">
        <f>[2]ORÇAMENTO!F211</f>
        <v>50</v>
      </c>
      <c r="G234" s="69"/>
      <c r="H234" s="69"/>
      <c r="I234" s="69"/>
      <c r="J234" s="91">
        <f>[2]ORÇAMENTO!G211*26.63%+[2]ORÇAMENTO!G211</f>
        <v>135.798012</v>
      </c>
      <c r="K234" s="91">
        <f>ROUND(F234*J234,2)</f>
        <v>6789.9</v>
      </c>
      <c r="L234" s="91"/>
      <c r="M234" s="91"/>
      <c r="N234" s="91"/>
    </row>
    <row r="235" spans="1:14">
      <c r="A235" s="69"/>
      <c r="B235" s="69"/>
      <c r="C235" s="49"/>
      <c r="D235" s="69"/>
      <c r="E235" s="69"/>
      <c r="F235" s="22"/>
      <c r="G235" s="69"/>
      <c r="H235" s="69"/>
      <c r="I235" s="69"/>
      <c r="J235" s="91"/>
      <c r="K235" s="91">
        <f>SUM(K10:K234)</f>
        <v>998007.12000000046</v>
      </c>
      <c r="L235" s="91">
        <f>SUM(L10:L234)</f>
        <v>313977.77875546878</v>
      </c>
      <c r="M235" s="91"/>
      <c r="N235" s="91">
        <f>SUM(N10:N234)</f>
        <v>440549.88567410875</v>
      </c>
    </row>
    <row r="236" spans="1:14">
      <c r="F236" s="1"/>
    </row>
    <row r="237" spans="1:14">
      <c r="F237" s="1"/>
    </row>
    <row r="238" spans="1:14">
      <c r="F238" s="1"/>
    </row>
  </sheetData>
  <mergeCells count="13">
    <mergeCell ref="F7:I7"/>
    <mergeCell ref="J7:J8"/>
    <mergeCell ref="K7:N7"/>
    <mergeCell ref="A1:N1"/>
    <mergeCell ref="A2:N2"/>
    <mergeCell ref="A3:N3"/>
    <mergeCell ref="A4:N4"/>
    <mergeCell ref="A6:N6"/>
    <mergeCell ref="A7:A8"/>
    <mergeCell ref="B7:B8"/>
    <mergeCell ref="C7:C8"/>
    <mergeCell ref="D7:D8"/>
    <mergeCell ref="E7:E8"/>
  </mergeCells>
  <hyperlinks>
    <hyperlink ref="C15" r:id="rId1" display="http://orse.cehop.se.gov.br/composicao.asp?font_sg_fonte=ORSE&amp;serv_nr_codigo=7725&amp;peri_nr_ano=2022&amp;peri_nr_mes=2&amp;peri_nr_ordem=1" xr:uid="{00000000-0004-0000-0100-000000000000}"/>
    <hyperlink ref="C17" r:id="rId2" display="http://orse.cehop.se.gov.br/composicao.asp?font_sg_fonte=ORSE&amp;serv_nr_codigo=3141&amp;peri_nr_ano=2022&amp;peri_nr_mes=2&amp;peri_nr_ordem=1" xr:uid="{00000000-0004-0000-0100-000001000000}"/>
    <hyperlink ref="B15" r:id="rId3" display="http://orse.cehop.se.gov.br/composicao.asp?font_sg_fonte=ORSE&amp;serv_nr_codigo=7725&amp;peri_nr_ano=2022&amp;peri_nr_mes=2&amp;peri_nr_ordem=1" xr:uid="{00000000-0004-0000-0100-000002000000}"/>
    <hyperlink ref="B17" r:id="rId4" display="http://orse.cehop.se.gov.br/composicao.asp?font_sg_fonte=ORSE&amp;serv_nr_codigo=3141&amp;peri_nr_ano=2022&amp;peri_nr_mes=2&amp;peri_nr_ordem=1" xr:uid="{00000000-0004-0000-0100-000003000000}"/>
    <hyperlink ref="E15" r:id="rId5" display="http://orse.cehop.se.gov.br/composicao.asp?font_sg_fonte=ORSE&amp;serv_nr_codigo=7725&amp;peri_nr_ano=2022&amp;peri_nr_mes=2&amp;peri_nr_ordem=1" xr:uid="{00000000-0004-0000-0100-000004000000}"/>
    <hyperlink ref="E17" r:id="rId6" display="http://orse.cehop.se.gov.br/composicao.asp?font_sg_fonte=ORSE&amp;serv_nr_codigo=3141&amp;peri_nr_ano=2022&amp;peri_nr_mes=2&amp;peri_nr_ordem=1" xr:uid="{00000000-0004-0000-0100-000005000000}"/>
    <hyperlink ref="B56" r:id="rId7" display="http://orse.cehop.se.gov.br/composicao.asp?font_sg_fonte=ORSE&amp;serv_nr_codigo=12625&amp;peri_nr_ano=2022&amp;peri_nr_mes=2&amp;peri_nr_ordem=1" xr:uid="{00000000-0004-0000-0100-000006000000}"/>
    <hyperlink ref="C56" r:id="rId8" display="http://orse.cehop.se.gov.br/composicao.asp?font_sg_fonte=ORSE&amp;serv_nr_codigo=12625&amp;peri_nr_ano=2022&amp;peri_nr_mes=2&amp;peri_nr_ordem=1" xr:uid="{00000000-0004-0000-0100-000007000000}"/>
    <hyperlink ref="D56" r:id="rId9" display="http://orse.cehop.se.gov.br/composicao.asp?font_sg_fonte=ORSE&amp;serv_nr_codigo=12625&amp;peri_nr_ano=2022&amp;peri_nr_mes=2&amp;peri_nr_ordem=1" xr:uid="{00000000-0004-0000-0100-000008000000}"/>
    <hyperlink ref="B87" r:id="rId10" display="http://orse.cehop.se.gov.br/composicao.asp?font_sg_fonte=ORSE&amp;serv_nr_codigo=11347&amp;peri_nr_ano=2022&amp;peri_nr_mes=2&amp;peri_nr_ordem=1" xr:uid="{00000000-0004-0000-0100-000009000000}"/>
    <hyperlink ref="C87" r:id="rId11" display="http://orse.cehop.se.gov.br/composicao.asp?font_sg_fonte=ORSE&amp;serv_nr_codigo=11347&amp;peri_nr_ano=2022&amp;peri_nr_mes=2&amp;peri_nr_ordem=1" xr:uid="{00000000-0004-0000-0100-00000A000000}"/>
    <hyperlink ref="D87" r:id="rId12" display="http://orse.cehop.se.gov.br/composicao.asp?font_sg_fonte=ORSE&amp;serv_nr_codigo=11347&amp;peri_nr_ano=2022&amp;peri_nr_mes=2&amp;peri_nr_ordem=1" xr:uid="{00000000-0004-0000-0100-00000B000000}"/>
    <hyperlink ref="B46" r:id="rId13" display="https://sites.seinfra.ce.gov.br/siproce/desonerada/html/C0074.html?a=1620068787511" xr:uid="{00000000-0004-0000-0100-00000C000000}"/>
    <hyperlink ref="C46" r:id="rId14" display="https://sites.seinfra.ce.gov.br/siproce/desonerada/html/C0074.html?a=1620068787511" xr:uid="{00000000-0004-0000-0100-00000D000000}"/>
    <hyperlink ref="B22" r:id="rId15" display="http://orse.cehop.se.gov.br/composicao.asp?font_sg_fonte=ORSE&amp;serv_nr_codigo=26&amp;peri_nr_ano=2022&amp;peri_nr_mes=2&amp;peri_nr_ordem=1" xr:uid="{00000000-0004-0000-0100-00000E000000}"/>
    <hyperlink ref="C22" r:id="rId16" display="http://orse.cehop.se.gov.br/composicao.asp?font_sg_fonte=ORSE&amp;serv_nr_codigo=26&amp;peri_nr_ano=2022&amp;peri_nr_mes=2&amp;peri_nr_ordem=1" xr:uid="{00000000-0004-0000-0100-00000F000000}"/>
    <hyperlink ref="B59" r:id="rId17" display="http://orse.cehop.se.gov.br/composicao.asp?font_sg_fonte=ORSE&amp;serv_nr_codigo=8269&amp;peri_nr_ano=2022&amp;peri_nr_mes=2&amp;peri_nr_ordem=1" xr:uid="{00000000-0004-0000-0100-000010000000}"/>
    <hyperlink ref="C59" r:id="rId18" display="http://orse.cehop.se.gov.br/composicao.asp?font_sg_fonte=ORSE&amp;serv_nr_codigo=8269&amp;peri_nr_ano=2022&amp;peri_nr_mes=2&amp;peri_nr_ordem=1" xr:uid="{00000000-0004-0000-0100-000011000000}"/>
    <hyperlink ref="E59" r:id="rId19" display="http://orse.cehop.se.gov.br/composicao.asp?font_sg_fonte=ORSE&amp;serv_nr_codigo=8269&amp;peri_nr_ano=2022&amp;peri_nr_mes=2&amp;peri_nr_ordem=1" xr:uid="{00000000-0004-0000-0100-000012000000}"/>
    <hyperlink ref="B75" r:id="rId20" display="http://orse.cehop.se.gov.br/composicao.asp?font_sg_fonte=ORSE&amp;serv_nr_codigo=12093&amp;peri_nr_ano=2022&amp;peri_nr_mes=2&amp;peri_nr_ordem=1" xr:uid="{00000000-0004-0000-0100-000013000000}"/>
    <hyperlink ref="C75" r:id="rId21" display="http://orse.cehop.se.gov.br/composicao.asp?font_sg_fonte=ORSE&amp;serv_nr_codigo=12093&amp;peri_nr_ano=2022&amp;peri_nr_mes=2&amp;peri_nr_ordem=1" xr:uid="{00000000-0004-0000-0100-000014000000}"/>
    <hyperlink ref="B76" r:id="rId22" display="http://orse.cehop.se.gov.br/composicao.asp?font_sg_fonte=ORSE&amp;serv_nr_codigo=11955&amp;peri_nr_ano=2022&amp;peri_nr_mes=2&amp;peri_nr_ordem=1" xr:uid="{00000000-0004-0000-0100-000015000000}"/>
    <hyperlink ref="C76" r:id="rId23" display="http://orse.cehop.se.gov.br/composicao.asp?font_sg_fonte=ORSE&amp;serv_nr_codigo=11955&amp;peri_nr_ano=2022&amp;peri_nr_mes=2&amp;peri_nr_ordem=1" xr:uid="{00000000-0004-0000-0100-000016000000}"/>
    <hyperlink ref="B80" r:id="rId24" display="http://orse.cehop.se.gov.br/composicao.asp?font_sg_fonte=ORSE&amp;serv_nr_codigo=4723&amp;peri_nr_ano=2022&amp;peri_nr_mes=2&amp;peri_nr_ordem=1" xr:uid="{00000000-0004-0000-0100-000017000000}"/>
    <hyperlink ref="C80" r:id="rId25" display="http://orse.cehop.se.gov.br/composicao.asp?font_sg_fonte=ORSE&amp;serv_nr_codigo=4723&amp;peri_nr_ano=2022&amp;peri_nr_mes=2&amp;peri_nr_ordem=1" xr:uid="{00000000-0004-0000-0100-000018000000}"/>
    <hyperlink ref="B81" r:id="rId26" display="http://orse.cehop.se.gov.br/composicao.asp?font_sg_fonte=ORSE&amp;serv_nr_codigo=7149&amp;peri_nr_ano=2022&amp;peri_nr_mes=2&amp;peri_nr_ordem=1" xr:uid="{00000000-0004-0000-0100-000019000000}"/>
    <hyperlink ref="C81" r:id="rId27" display="http://orse.cehop.se.gov.br/composicao.asp?font_sg_fonte=ORSE&amp;serv_nr_codigo=7149&amp;peri_nr_ano=2022&amp;peri_nr_mes=2&amp;peri_nr_ordem=1" xr:uid="{00000000-0004-0000-0100-00001A000000}"/>
    <hyperlink ref="B82" r:id="rId28" display="http://orse.cehop.se.gov.br/composicao.asp?font_sg_fonte=ORSE&amp;serv_nr_codigo=7148&amp;peri_nr_ano=2022&amp;peri_nr_mes=2&amp;peri_nr_ordem=1" xr:uid="{00000000-0004-0000-0100-00001B000000}"/>
    <hyperlink ref="C82" r:id="rId29" display="http://orse.cehop.se.gov.br/composicao.asp?font_sg_fonte=ORSE&amp;serv_nr_codigo=7148&amp;peri_nr_ano=2022&amp;peri_nr_mes=2&amp;peri_nr_ordem=1" xr:uid="{00000000-0004-0000-0100-00001C000000}"/>
    <hyperlink ref="E75" r:id="rId30" display="http://orse.cehop.se.gov.br/composicao.asp?font_sg_fonte=ORSE&amp;serv_nr_codigo=12093&amp;peri_nr_ano=2022&amp;peri_nr_mes=2&amp;peri_nr_ordem=1" xr:uid="{00000000-0004-0000-0100-00001D000000}"/>
    <hyperlink ref="E76" r:id="rId31" display="http://orse.cehop.se.gov.br/composicao.asp?font_sg_fonte=ORSE&amp;serv_nr_codigo=11955&amp;peri_nr_ano=2022&amp;peri_nr_mes=2&amp;peri_nr_ordem=1" xr:uid="{00000000-0004-0000-0100-00001E000000}"/>
    <hyperlink ref="E80" r:id="rId32" display="http://orse.cehop.se.gov.br/composicao.asp?font_sg_fonte=ORSE&amp;serv_nr_codigo=4723&amp;peri_nr_ano=2022&amp;peri_nr_mes=2&amp;peri_nr_ordem=1" xr:uid="{00000000-0004-0000-0100-00001F000000}"/>
    <hyperlink ref="E81" r:id="rId33" display="http://orse.cehop.se.gov.br/composicao.asp?font_sg_fonte=ORSE&amp;serv_nr_codigo=7149&amp;peri_nr_ano=2022&amp;peri_nr_mes=2&amp;peri_nr_ordem=1" xr:uid="{00000000-0004-0000-0100-000020000000}"/>
    <hyperlink ref="E82" r:id="rId34" display="http://orse.cehop.se.gov.br/composicao.asp?font_sg_fonte=ORSE&amp;serv_nr_codigo=7148&amp;peri_nr_ano=2022&amp;peri_nr_mes=2&amp;peri_nr_ordem=1" xr:uid="{00000000-0004-0000-0100-000021000000}"/>
    <hyperlink ref="B78" r:id="rId35" display="http://orse.cehop.se.gov.br/composicao.asp?font_sg_fonte=ORSE&amp;serv_nr_codigo=1770&amp;peri_nr_ano=2022&amp;peri_nr_mes=2&amp;peri_nr_ordem=1" xr:uid="{00000000-0004-0000-0100-000022000000}"/>
    <hyperlink ref="C78" r:id="rId36" display="http://orse.cehop.se.gov.br/composicao.asp?font_sg_fonte=ORSE&amp;serv_nr_codigo=1770&amp;peri_nr_ano=2022&amp;peri_nr_mes=2&amp;peri_nr_ordem=1" xr:uid="{00000000-0004-0000-0100-000023000000}"/>
    <hyperlink ref="E78" r:id="rId37" display="http://orse.cehop.se.gov.br/composicao.asp?font_sg_fonte=ORSE&amp;serv_nr_codigo=1770&amp;peri_nr_ano=2022&amp;peri_nr_mes=2&amp;peri_nr_ordem=1" xr:uid="{00000000-0004-0000-0100-000024000000}"/>
    <hyperlink ref="B104" r:id="rId38" display="https://app.orcafascio.com/banco/sinapi/composicoes/62338683e64d1e19238e91f6?estado_sinapi=PB" xr:uid="{00000000-0004-0000-0100-000025000000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O261"/>
  <sheetViews>
    <sheetView tabSelected="1" view="pageBreakPreview" zoomScale="73" zoomScaleNormal="100" zoomScaleSheetLayoutView="73" workbookViewId="0">
      <selection activeCell="F16" sqref="F16:H16"/>
    </sheetView>
  </sheetViews>
  <sheetFormatPr defaultRowHeight="15"/>
  <cols>
    <col min="2" max="2" width="99.140625" style="50" customWidth="1"/>
    <col min="3" max="3" width="8.85546875" customWidth="1"/>
    <col min="4" max="4" width="0.140625" customWidth="1"/>
    <col min="5" max="5" width="10.140625" bestFit="1" customWidth="1"/>
    <col min="6" max="6" width="9.140625" style="40"/>
    <col min="7" max="7" width="12.5703125" style="40" customWidth="1"/>
    <col min="8" max="8" width="13.140625" style="40" bestFit="1" customWidth="1"/>
    <col min="9" max="9" width="18.5703125" style="40" bestFit="1" customWidth="1"/>
    <col min="10" max="10" width="21.7109375" style="40" bestFit="1" customWidth="1"/>
    <col min="11" max="11" width="18" style="40" bestFit="1" customWidth="1"/>
    <col min="12" max="12" width="15.7109375" style="40" bestFit="1" customWidth="1"/>
    <col min="14" max="14" width="16" bestFit="1" customWidth="1"/>
  </cols>
  <sheetData>
    <row r="1" spans="1:12">
      <c r="A1" s="25"/>
      <c r="B1" s="48"/>
      <c r="C1" s="292" t="s">
        <v>807</v>
      </c>
      <c r="D1" s="292"/>
      <c r="E1" s="292"/>
      <c r="F1" s="292"/>
      <c r="G1" s="292"/>
      <c r="H1" s="292"/>
      <c r="I1" s="292"/>
      <c r="J1" s="292"/>
      <c r="K1" s="292"/>
      <c r="L1" s="293"/>
    </row>
    <row r="2" spans="1:12">
      <c r="A2" s="25"/>
      <c r="B2" s="48"/>
      <c r="C2" s="292"/>
      <c r="D2" s="292"/>
      <c r="E2" s="292"/>
      <c r="F2" s="292"/>
      <c r="G2" s="292"/>
      <c r="H2" s="292"/>
      <c r="I2" s="292"/>
      <c r="J2" s="292"/>
      <c r="K2" s="292"/>
      <c r="L2" s="293"/>
    </row>
    <row r="3" spans="1:12">
      <c r="A3" s="25"/>
      <c r="B3" s="48"/>
      <c r="C3" s="292"/>
      <c r="D3" s="292"/>
      <c r="E3" s="292"/>
      <c r="F3" s="292"/>
      <c r="G3" s="292"/>
      <c r="H3" s="292"/>
      <c r="I3" s="292"/>
      <c r="J3" s="292"/>
      <c r="K3" s="292"/>
      <c r="L3" s="293"/>
    </row>
    <row r="4" spans="1:12" ht="15" customHeight="1">
      <c r="A4" s="25"/>
      <c r="B4" s="48" t="s">
        <v>383</v>
      </c>
      <c r="C4" s="292"/>
      <c r="D4" s="292"/>
      <c r="E4" s="292"/>
      <c r="F4" s="292"/>
      <c r="G4" s="292"/>
      <c r="H4" s="292"/>
      <c r="I4" s="292"/>
      <c r="J4" s="292"/>
      <c r="K4" s="292"/>
      <c r="L4" s="293"/>
    </row>
    <row r="5" spans="1:12" ht="10.15" customHeight="1">
      <c r="A5" s="26"/>
      <c r="B5" s="48" t="s">
        <v>384</v>
      </c>
      <c r="C5" s="294"/>
      <c r="D5" s="294"/>
      <c r="E5" s="294"/>
      <c r="F5" s="294"/>
      <c r="G5" s="294"/>
      <c r="H5" s="294"/>
      <c r="I5" s="294"/>
      <c r="J5" s="294"/>
      <c r="K5" s="294"/>
      <c r="L5" s="295"/>
    </row>
    <row r="6" spans="1:12">
      <c r="A6" s="275" t="s">
        <v>385</v>
      </c>
      <c r="B6" s="276"/>
      <c r="C6" s="276"/>
      <c r="D6" s="276"/>
      <c r="E6" s="276"/>
      <c r="F6" s="277"/>
      <c r="G6" s="296" t="s">
        <v>386</v>
      </c>
      <c r="H6" s="297"/>
      <c r="I6" s="297"/>
      <c r="J6" s="298"/>
      <c r="K6" s="222" t="s">
        <v>387</v>
      </c>
      <c r="L6" s="222" t="s">
        <v>388</v>
      </c>
    </row>
    <row r="7" spans="1:12">
      <c r="A7" s="279" t="s">
        <v>431</v>
      </c>
      <c r="B7" s="280"/>
      <c r="C7" s="280"/>
      <c r="D7" s="280"/>
      <c r="E7" s="280"/>
      <c r="F7" s="281"/>
      <c r="G7" s="299" t="s">
        <v>384</v>
      </c>
      <c r="H7" s="300"/>
      <c r="I7" s="300"/>
      <c r="J7" s="301"/>
      <c r="K7" s="273">
        <v>44600</v>
      </c>
      <c r="L7" s="287" t="s">
        <v>808</v>
      </c>
    </row>
    <row r="8" spans="1:12">
      <c r="A8" s="282"/>
      <c r="B8" s="283"/>
      <c r="C8" s="283"/>
      <c r="D8" s="283"/>
      <c r="E8" s="283"/>
      <c r="F8" s="284"/>
      <c r="G8" s="302"/>
      <c r="H8" s="303"/>
      <c r="I8" s="303"/>
      <c r="J8" s="304"/>
      <c r="K8" s="273"/>
      <c r="L8" s="288"/>
    </row>
    <row r="9" spans="1:12">
      <c r="A9" s="275" t="s">
        <v>389</v>
      </c>
      <c r="B9" s="276"/>
      <c r="C9" s="276"/>
      <c r="D9" s="276"/>
      <c r="E9" s="276"/>
      <c r="F9" s="277"/>
      <c r="G9" s="278" t="s">
        <v>390</v>
      </c>
      <c r="H9" s="278"/>
      <c r="I9" s="278"/>
      <c r="J9" s="278"/>
      <c r="K9" s="223" t="s">
        <v>391</v>
      </c>
      <c r="L9" s="224" t="s">
        <v>392</v>
      </c>
    </row>
    <row r="10" spans="1:12" ht="10.9" customHeight="1">
      <c r="A10" s="279" t="s">
        <v>432</v>
      </c>
      <c r="B10" s="280"/>
      <c r="C10" s="280"/>
      <c r="D10" s="280"/>
      <c r="E10" s="280"/>
      <c r="F10" s="281"/>
      <c r="G10" s="285" t="s">
        <v>393</v>
      </c>
      <c r="H10" s="285"/>
      <c r="I10" s="285"/>
      <c r="J10" s="285"/>
      <c r="K10" s="273">
        <v>44854</v>
      </c>
      <c r="L10" s="273">
        <v>45219</v>
      </c>
    </row>
    <row r="11" spans="1:12" ht="10.9" customHeight="1">
      <c r="A11" s="282"/>
      <c r="B11" s="283"/>
      <c r="C11" s="283"/>
      <c r="D11" s="283"/>
      <c r="E11" s="283"/>
      <c r="F11" s="284"/>
      <c r="G11" s="285"/>
      <c r="H11" s="285"/>
      <c r="I11" s="285"/>
      <c r="J11" s="285"/>
      <c r="K11" s="273"/>
      <c r="L11" s="273"/>
    </row>
    <row r="12" spans="1:12">
      <c r="A12" s="307" t="s">
        <v>394</v>
      </c>
      <c r="B12" s="307"/>
      <c r="C12" s="307" t="s">
        <v>395</v>
      </c>
      <c r="D12" s="307"/>
      <c r="E12" s="307"/>
      <c r="F12" s="307"/>
      <c r="G12" s="278" t="s">
        <v>396</v>
      </c>
      <c r="H12" s="278"/>
      <c r="I12" s="286" t="s">
        <v>397</v>
      </c>
      <c r="J12" s="286"/>
      <c r="K12" s="274" t="s">
        <v>398</v>
      </c>
      <c r="L12" s="274"/>
    </row>
    <row r="13" spans="1:12">
      <c r="A13" s="308" t="s">
        <v>430</v>
      </c>
      <c r="B13" s="308"/>
      <c r="C13" s="308" t="s">
        <v>433</v>
      </c>
      <c r="D13" s="308"/>
      <c r="E13" s="308"/>
      <c r="F13" s="308"/>
      <c r="G13" s="309">
        <f>I246</f>
        <v>1166128.2399999998</v>
      </c>
      <c r="H13" s="310"/>
      <c r="I13" s="313">
        <f>J246</f>
        <v>85345.09</v>
      </c>
      <c r="J13" s="313"/>
      <c r="K13" s="285"/>
      <c r="L13" s="285"/>
    </row>
    <row r="14" spans="1:12">
      <c r="A14" s="308"/>
      <c r="B14" s="308"/>
      <c r="C14" s="308"/>
      <c r="D14" s="308"/>
      <c r="E14" s="308"/>
      <c r="F14" s="308"/>
      <c r="G14" s="311"/>
      <c r="H14" s="312"/>
      <c r="I14" s="313"/>
      <c r="J14" s="313"/>
      <c r="K14" s="285"/>
      <c r="L14" s="285"/>
    </row>
    <row r="15" spans="1:12">
      <c r="A15" s="285"/>
      <c r="B15" s="285"/>
      <c r="C15" s="285"/>
      <c r="D15" s="285"/>
      <c r="E15" s="285"/>
      <c r="F15" s="285"/>
      <c r="G15" s="285"/>
      <c r="H15" s="285"/>
      <c r="I15" s="285"/>
      <c r="J15" s="285"/>
      <c r="K15" s="285"/>
      <c r="L15" s="285"/>
    </row>
    <row r="16" spans="1:12">
      <c r="A16" s="291" t="s">
        <v>399</v>
      </c>
      <c r="B16" s="289" t="s">
        <v>400</v>
      </c>
      <c r="C16" s="290" t="s">
        <v>401</v>
      </c>
      <c r="D16" s="290" t="s">
        <v>402</v>
      </c>
      <c r="E16" s="23"/>
      <c r="F16" s="291" t="s">
        <v>403</v>
      </c>
      <c r="G16" s="291"/>
      <c r="H16" s="291"/>
      <c r="I16" s="306" t="s">
        <v>404</v>
      </c>
      <c r="J16" s="306"/>
      <c r="K16" s="306"/>
      <c r="L16" s="305" t="s">
        <v>405</v>
      </c>
    </row>
    <row r="17" spans="1:12" ht="43.15" customHeight="1">
      <c r="A17" s="291"/>
      <c r="B17" s="289"/>
      <c r="C17" s="290"/>
      <c r="D17" s="290"/>
      <c r="E17" s="23" t="s">
        <v>402</v>
      </c>
      <c r="F17" s="23" t="s">
        <v>406</v>
      </c>
      <c r="G17" s="23" t="s">
        <v>407</v>
      </c>
      <c r="H17" s="24" t="s">
        <v>408</v>
      </c>
      <c r="I17" s="24" t="s">
        <v>406</v>
      </c>
      <c r="J17" s="24" t="s">
        <v>407</v>
      </c>
      <c r="K17" s="24" t="s">
        <v>408</v>
      </c>
      <c r="L17" s="305"/>
    </row>
    <row r="18" spans="1:12" ht="21" customHeight="1">
      <c r="A18" s="193">
        <v>1</v>
      </c>
      <c r="B18" s="194" t="str">
        <f>'PLANILHA PÓS ADITIVO'!C9</f>
        <v>SERVIÇOS PRELIMINARES</v>
      </c>
      <c r="C18" s="195"/>
      <c r="D18" s="195"/>
      <c r="E18" s="196"/>
      <c r="F18" s="195"/>
      <c r="G18" s="195"/>
      <c r="H18" s="197"/>
      <c r="I18" s="197"/>
      <c r="J18" s="197"/>
      <c r="K18" s="197"/>
      <c r="L18" s="198"/>
    </row>
    <row r="19" spans="1:12">
      <c r="A19" s="187" t="str">
        <f>'PLANILHA PÓS ADITIVO'!A10</f>
        <v>1.1</v>
      </c>
      <c r="B19" s="186" t="str">
        <f>'PLANILHA PÓS ADITIVO'!C10</f>
        <v>Placa de Obra em chapa de aço galvanizado, instalada - Rev 02 01/2022</v>
      </c>
      <c r="C19" s="189" t="str">
        <f>'PLANILHA PÓS ADITIVO'!E10</f>
        <v>m²</v>
      </c>
      <c r="D19" s="65"/>
      <c r="E19" s="190">
        <f>'PLANILHA PÓS ADITIVO'!G10</f>
        <v>423.12148199999996</v>
      </c>
      <c r="F19" s="189">
        <f>'PLANILHA PÓS ADITIVO'!F10</f>
        <v>4.5</v>
      </c>
      <c r="G19" s="66"/>
      <c r="H19" s="66">
        <f>G19+[1]BM_14!H19</f>
        <v>4.46</v>
      </c>
      <c r="I19" s="65">
        <f>ROUND(E19*F19,2)</f>
        <v>1904.05</v>
      </c>
      <c r="J19" s="67">
        <f>ROUND(E19*G19,2)</f>
        <v>0</v>
      </c>
      <c r="K19" s="67">
        <f>ROUND(E19*H19,2)</f>
        <v>1887.12</v>
      </c>
      <c r="L19" s="27">
        <f>K19/I19</f>
        <v>0.99110842677450695</v>
      </c>
    </row>
    <row r="20" spans="1:12">
      <c r="A20" s="187" t="str">
        <f>'PLANILHA PÓS ADITIVO'!A11</f>
        <v>1.2</v>
      </c>
      <c r="B20" s="186" t="str">
        <f>'PLANILHA PÓS ADITIVO'!C11</f>
        <v>DEMOLIÇÃO DE ALVENARIA DE BLOCOFURADO, DE FORMA MANUAL, SEM REAPROVEITAMENTO</v>
      </c>
      <c r="C20" s="189" t="str">
        <f>'PLANILHA PÓS ADITIVO'!E11</f>
        <v>m³</v>
      </c>
      <c r="D20" s="64"/>
      <c r="E20" s="190">
        <f>'PLANILHA PÓS ADITIVO'!G11</f>
        <v>46.473210000000002</v>
      </c>
      <c r="F20" s="189">
        <f>'PLANILHA PÓS ADITIVO'!F11</f>
        <v>63.41</v>
      </c>
      <c r="G20" s="66"/>
      <c r="H20" s="66">
        <f>G20+[1]BM_14!H20</f>
        <v>49.87</v>
      </c>
      <c r="I20" s="65">
        <f t="shared" ref="I20:I83" si="0">ROUND(E20*F20,2)</f>
        <v>2946.87</v>
      </c>
      <c r="J20" s="67">
        <f t="shared" ref="J20:J91" si="1">ROUND(E20*G20,2)</f>
        <v>0</v>
      </c>
      <c r="K20" s="67">
        <f t="shared" ref="K20:K91" si="2">ROUND(E20*H20,2)</f>
        <v>2317.62</v>
      </c>
      <c r="L20" s="27">
        <f t="shared" ref="L20:L91" si="3">K20/I20</f>
        <v>0.78646835455924424</v>
      </c>
    </row>
    <row r="21" spans="1:12">
      <c r="A21" s="187" t="str">
        <f>'PLANILHA PÓS ADITIVO'!A12</f>
        <v>1.3</v>
      </c>
      <c r="B21" s="186" t="str">
        <f>'PLANILHA PÓS ADITIVO'!C12</f>
        <v>Demolição de piso de alta resistência</v>
      </c>
      <c r="C21" s="189" t="str">
        <f>'PLANILHA PÓS ADITIVO'!E12</f>
        <v>m²</v>
      </c>
      <c r="D21" s="64"/>
      <c r="E21" s="190">
        <f>'PLANILHA PÓS ADITIVO'!G12</f>
        <v>20.817972000000001</v>
      </c>
      <c r="F21" s="189">
        <f>'PLANILHA PÓS ADITIVO'!F12</f>
        <v>774.83</v>
      </c>
      <c r="G21" s="66"/>
      <c r="H21" s="66">
        <f>G21+[1]BM_14!H21</f>
        <v>716.73</v>
      </c>
      <c r="I21" s="65">
        <f t="shared" si="0"/>
        <v>16130.39</v>
      </c>
      <c r="J21" s="67">
        <f t="shared" si="1"/>
        <v>0</v>
      </c>
      <c r="K21" s="67">
        <f t="shared" si="2"/>
        <v>14920.87</v>
      </c>
      <c r="L21" s="27">
        <f t="shared" si="3"/>
        <v>0.92501607214704673</v>
      </c>
    </row>
    <row r="22" spans="1:12" ht="24" customHeight="1">
      <c r="A22" s="187" t="str">
        <f>'PLANILHA PÓS ADITIVO'!A13</f>
        <v>1.4</v>
      </c>
      <c r="B22" s="186" t="str">
        <f>'PLANILHA PÓS ADITIVO'!C13</f>
        <v>REMOÇÃO DE TRAMA DE MADEIRA PARA COBERTURA, DE FORMA MANUAL, SEM REAPROVEITAMENTO. AF 12/2017</v>
      </c>
      <c r="C22" s="189" t="str">
        <f>'PLANILHA PÓS ADITIVO'!E13</f>
        <v>m²</v>
      </c>
      <c r="D22" s="64"/>
      <c r="E22" s="190">
        <f>'PLANILHA PÓS ADITIVO'!G13</f>
        <v>6.0149249999999999</v>
      </c>
      <c r="F22" s="189">
        <f>'PLANILHA PÓS ADITIVO'!F13</f>
        <v>309.93</v>
      </c>
      <c r="G22" s="64"/>
      <c r="H22" s="66">
        <f>G22+[1]BM_14!H22</f>
        <v>175.86</v>
      </c>
      <c r="I22" s="65">
        <f t="shared" si="0"/>
        <v>1864.21</v>
      </c>
      <c r="J22" s="67">
        <f t="shared" si="1"/>
        <v>0</v>
      </c>
      <c r="K22" s="67">
        <f t="shared" si="2"/>
        <v>1057.78</v>
      </c>
      <c r="L22" s="27">
        <f t="shared" si="3"/>
        <v>0.56741461530621551</v>
      </c>
    </row>
    <row r="23" spans="1:12" ht="25.5">
      <c r="A23" s="187" t="str">
        <f>'PLANILHA PÓS ADITIVO'!A14</f>
        <v>1.5</v>
      </c>
      <c r="B23" s="186" t="str">
        <f>'PLANILHA PÓS ADITIVO'!C14</f>
        <v>CARGA, MANOBRA E DESCARGA DE ENTULHO EM CAMINHÃO BASCULANTE 6 M³ - CARGA COM ESCAVADEIRA HIDRÁULICA (CAÇAMBA DE 0,80 M³/111 HP) E DESCARGA LIVRE (UNIDADE: M³). AF 07/2020</v>
      </c>
      <c r="C23" s="189" t="str">
        <f>'PLANILHA PÓS ADITIVO'!E14</f>
        <v>m³</v>
      </c>
      <c r="D23" s="64"/>
      <c r="E23" s="190">
        <f>'PLANILHA PÓS ADITIVO'!G14</f>
        <v>9.1173599999999997</v>
      </c>
      <c r="F23" s="189">
        <f>'PLANILHA PÓS ADITIVO'!F14</f>
        <v>102.15</v>
      </c>
      <c r="G23" s="64"/>
      <c r="H23" s="66">
        <f>G23+[1]BM_14!H23</f>
        <v>102.15</v>
      </c>
      <c r="I23" s="65">
        <f t="shared" si="0"/>
        <v>931.34</v>
      </c>
      <c r="J23" s="67">
        <f t="shared" si="1"/>
        <v>0</v>
      </c>
      <c r="K23" s="67">
        <f t="shared" si="2"/>
        <v>931.34</v>
      </c>
      <c r="L23" s="27">
        <f t="shared" si="3"/>
        <v>1</v>
      </c>
    </row>
    <row r="24" spans="1:12">
      <c r="A24" s="187" t="str">
        <f>'PLANILHA PÓS ADITIVO'!A15</f>
        <v>1.6</v>
      </c>
      <c r="B24" s="186" t="str">
        <f>'PLANILHA PÓS ADITIVO'!C15</f>
        <v>Remoção de caixão de madeira (aduela)</v>
      </c>
      <c r="C24" s="189" t="str">
        <f>'PLANILHA PÓS ADITIVO'!E15</f>
        <v>un</v>
      </c>
      <c r="D24" s="64"/>
      <c r="E24" s="190">
        <f>'PLANILHA PÓS ADITIVO'!G15</f>
        <v>8.09</v>
      </c>
      <c r="F24" s="189">
        <f>'PLANILHA PÓS ADITIVO'!F15</f>
        <v>34</v>
      </c>
      <c r="G24" s="66"/>
      <c r="H24" s="66">
        <f>G24+[1]BM_14!H24</f>
        <v>32</v>
      </c>
      <c r="I24" s="65">
        <f t="shared" si="0"/>
        <v>275.06</v>
      </c>
      <c r="J24" s="67">
        <f t="shared" si="1"/>
        <v>0</v>
      </c>
      <c r="K24" s="67">
        <f t="shared" si="2"/>
        <v>258.88</v>
      </c>
      <c r="L24" s="27">
        <f t="shared" si="3"/>
        <v>0.94117647058823528</v>
      </c>
    </row>
    <row r="25" spans="1:12">
      <c r="A25" s="187" t="str">
        <f>'PLANILHA PÓS ADITIVO'!A16</f>
        <v>1.7</v>
      </c>
      <c r="B25" s="186" t="str">
        <f>'PLANILHA PÓS ADITIVO'!C16</f>
        <v>REMOÇÃO DE JANELAS, DE FORMA MANUAL, SEM REAPROVEITAMENTO. AF_12/2017</v>
      </c>
      <c r="C25" s="189" t="str">
        <f>'PLANILHA PÓS ADITIVO'!E16</f>
        <v>M2</v>
      </c>
      <c r="D25" s="64"/>
      <c r="E25" s="190">
        <f>'PLANILHA PÓS ADITIVO'!G16</f>
        <v>29.919999999999998</v>
      </c>
      <c r="F25" s="189">
        <f>'PLANILHA PÓS ADITIVO'!F16</f>
        <v>14</v>
      </c>
      <c r="G25" s="66"/>
      <c r="H25" s="66">
        <f>G25+[1]BM_14!H25</f>
        <v>14</v>
      </c>
      <c r="I25" s="65">
        <f t="shared" si="0"/>
        <v>418.88</v>
      </c>
      <c r="J25" s="67">
        <f t="shared" si="1"/>
        <v>0</v>
      </c>
      <c r="K25" s="67">
        <f t="shared" si="2"/>
        <v>418.88</v>
      </c>
      <c r="L25" s="27">
        <f t="shared" si="3"/>
        <v>1</v>
      </c>
    </row>
    <row r="26" spans="1:12">
      <c r="A26" s="187" t="str">
        <f>'PLANILHA PÓS ADITIVO'!A17</f>
        <v>1.8</v>
      </c>
      <c r="B26" s="186" t="str">
        <f>'PLANILHA PÓS ADITIVO'!C17</f>
        <v>REMOÇÃO DE FORRO DE GESSO, DE FORMA MANUAL, SEM REAPROVEITAMENTO. AF_12/2017</v>
      </c>
      <c r="C26" s="189" t="str">
        <f>'PLANILHA PÓS ADITIVO'!E17</f>
        <v>M2</v>
      </c>
      <c r="D26" s="64"/>
      <c r="E26" s="190">
        <f>'PLANILHA PÓS ADITIVO'!G17</f>
        <v>4.0599999999999996</v>
      </c>
      <c r="F26" s="189">
        <f>'PLANILHA PÓS ADITIVO'!F17</f>
        <v>263.82</v>
      </c>
      <c r="G26" s="66"/>
      <c r="H26" s="66">
        <f>G26+[1]BM_14!H26</f>
        <v>130.80000000000001</v>
      </c>
      <c r="I26" s="65">
        <f t="shared" si="0"/>
        <v>1071.1099999999999</v>
      </c>
      <c r="J26" s="67">
        <f t="shared" si="1"/>
        <v>0</v>
      </c>
      <c r="K26" s="67">
        <f t="shared" si="2"/>
        <v>531.04999999999995</v>
      </c>
      <c r="L26" s="27">
        <f t="shared" si="3"/>
        <v>0.49579408277394477</v>
      </c>
    </row>
    <row r="27" spans="1:12">
      <c r="A27" s="187" t="str">
        <f>'PLANILHA PÓS ADITIVO'!A18</f>
        <v>1.9</v>
      </c>
      <c r="B27" s="186" t="str">
        <f>'PLANILHA PÓS ADITIVO'!C18</f>
        <v>DEMOLIÇÃO DE LAJES, DE FORMA MANUAL, SEM REAPROVEITAMENTO. AF_12/2017</v>
      </c>
      <c r="C27" s="189" t="str">
        <f>'PLANILHA PÓS ADITIVO'!E18</f>
        <v>M3</v>
      </c>
      <c r="D27" s="64"/>
      <c r="E27" s="190">
        <f>'PLANILHA PÓS ADITIVO'!G18</f>
        <v>229.97000000000003</v>
      </c>
      <c r="F27" s="189">
        <f>'PLANILHA PÓS ADITIVO'!F18</f>
        <v>35.363999999999997</v>
      </c>
      <c r="G27" s="66"/>
      <c r="H27" s="66">
        <f>G27+[1]BM_14!H27</f>
        <v>28.95</v>
      </c>
      <c r="I27" s="65">
        <f t="shared" si="0"/>
        <v>8132.66</v>
      </c>
      <c r="J27" s="67">
        <f t="shared" si="1"/>
        <v>0</v>
      </c>
      <c r="K27" s="67">
        <f t="shared" si="2"/>
        <v>6657.63</v>
      </c>
      <c r="L27" s="27">
        <f t="shared" si="3"/>
        <v>0.81862883730538349</v>
      </c>
    </row>
    <row r="28" spans="1:12" ht="25.5">
      <c r="A28" s="187" t="str">
        <f>'PLANILHA PÓS ADITIVO'!A19</f>
        <v>1.10</v>
      </c>
      <c r="B28" s="186" t="str">
        <f>'PLANILHA PÓS ADITIVO'!C19</f>
        <v>REMOÇÃO DE TELHAS, DE FIBROCIMENTO, METÁLICA E CERÂMICA, DE FORMA MANUAL, SEM REAPROVEITAMENTO. AF_12/2017</v>
      </c>
      <c r="C28" s="189" t="str">
        <f>'PLANILHA PÓS ADITIVO'!E19</f>
        <v>M2</v>
      </c>
      <c r="D28" s="64"/>
      <c r="E28" s="190">
        <f>'PLANILHA PÓS ADITIVO'!G19</f>
        <v>2.7899999999999996</v>
      </c>
      <c r="F28" s="189">
        <f>'PLANILHA PÓS ADITIVO'!F19</f>
        <v>636.83999999999992</v>
      </c>
      <c r="G28" s="66"/>
      <c r="H28" s="66">
        <f>G28+[1]BM_14!H28</f>
        <v>636.84</v>
      </c>
      <c r="I28" s="65">
        <f t="shared" si="0"/>
        <v>1776.78</v>
      </c>
      <c r="J28" s="67">
        <f t="shared" si="1"/>
        <v>0</v>
      </c>
      <c r="K28" s="67">
        <f t="shared" si="2"/>
        <v>1776.78</v>
      </c>
      <c r="L28" s="27">
        <f t="shared" si="3"/>
        <v>1</v>
      </c>
    </row>
    <row r="29" spans="1:12">
      <c r="A29" s="187"/>
      <c r="B29" s="186"/>
      <c r="C29" s="189"/>
      <c r="D29" s="64"/>
      <c r="E29" s="190"/>
      <c r="F29" s="189"/>
      <c r="G29" s="64"/>
      <c r="H29" s="66">
        <f>G29+[1]BM_14!H29</f>
        <v>0</v>
      </c>
      <c r="I29" s="65"/>
      <c r="J29" s="67"/>
      <c r="K29" s="67"/>
      <c r="L29" s="27"/>
    </row>
    <row r="30" spans="1:12">
      <c r="A30" s="193">
        <f>'PLANILHA PÓS ADITIVO'!A21</f>
        <v>2</v>
      </c>
      <c r="B30" s="194" t="str">
        <f>'PLANILHA PÓS ADITIVO'!C21</f>
        <v>INFRA ESTRUTURA E SUPERESTRUTURA</v>
      </c>
      <c r="C30" s="199"/>
      <c r="D30" s="118"/>
      <c r="E30" s="200"/>
      <c r="F30" s="199"/>
      <c r="G30" s="201"/>
      <c r="H30" s="66">
        <f>G30+[1]BM_14!H30</f>
        <v>0</v>
      </c>
      <c r="I30" s="120"/>
      <c r="J30" s="202"/>
      <c r="K30" s="202"/>
      <c r="L30" s="203"/>
    </row>
    <row r="31" spans="1:12" ht="25.5">
      <c r="A31" s="187" t="str">
        <f>'PLANILHA PÓS ADITIVO'!A22</f>
        <v>2.1</v>
      </c>
      <c r="B31" s="186" t="str">
        <f>'PLANILHA PÓS ADITIVO'!C22</f>
        <v>ESCAVAÇÃO MANUAL PARA BLOCO DE COROAMENTO OU SAPATA (INCLUINDO ESCAVAÇÃO PARA COLOCAÇÃO DE FÔRMAS). AF_06/2017</v>
      </c>
      <c r="C31" s="189" t="str">
        <f>'PLANILHA PÓS ADITIVO'!E22</f>
        <v>m³</v>
      </c>
      <c r="D31" s="64"/>
      <c r="E31" s="190">
        <f>'PLANILHA PÓS ADITIVO'!G22</f>
        <v>80.865917999999994</v>
      </c>
      <c r="F31" s="189">
        <f>'PLANILHA PÓS ADITIVO'!F22</f>
        <v>28.86</v>
      </c>
      <c r="G31" s="66"/>
      <c r="H31" s="66">
        <f>G31+[1]BM_14!H31</f>
        <v>28.86</v>
      </c>
      <c r="I31" s="65">
        <f t="shared" si="0"/>
        <v>2333.79</v>
      </c>
      <c r="J31" s="67">
        <f t="shared" si="1"/>
        <v>0</v>
      </c>
      <c r="K31" s="67">
        <f t="shared" si="2"/>
        <v>2333.79</v>
      </c>
      <c r="L31" s="27">
        <f t="shared" si="3"/>
        <v>1</v>
      </c>
    </row>
    <row r="32" spans="1:12" ht="25.5">
      <c r="A32" s="187" t="str">
        <f>'PLANILHA PÓS ADITIVO'!A23</f>
        <v>2.2</v>
      </c>
      <c r="B32" s="186" t="str">
        <f>'PLANILHA PÓS ADITIVO'!C23</f>
        <v>LAJE PRÉ-MOLDADA UNIDIRECIONAL, BIAPOIADA, PARA FORRO, ENCHIMENTO EM CERÂMICA, VIGOTA CONVENCIONAL, ALTURA TOTAL DA LAJE (ENCHIMENTO+CAPA) = (8+3). AF_11/2020</v>
      </c>
      <c r="C32" s="189" t="str">
        <f>'PLANILHA PÓS ADITIVO'!E23</f>
        <v>m²</v>
      </c>
      <c r="D32" s="64"/>
      <c r="E32" s="190">
        <f>'PLANILHA PÓS ADITIVO'!G23</f>
        <v>179.38405799999998</v>
      </c>
      <c r="F32" s="189">
        <f>'PLANILHA PÓS ADITIVO'!F23</f>
        <v>57.88</v>
      </c>
      <c r="G32" s="66"/>
      <c r="H32" s="66">
        <f>G32+[1]BM_14!H32</f>
        <v>55.16</v>
      </c>
      <c r="I32" s="65">
        <f t="shared" si="0"/>
        <v>10382.75</v>
      </c>
      <c r="J32" s="67">
        <f t="shared" si="1"/>
        <v>0</v>
      </c>
      <c r="K32" s="67">
        <f t="shared" si="2"/>
        <v>9894.82</v>
      </c>
      <c r="L32" s="27">
        <f t="shared" si="3"/>
        <v>0.95300570658062644</v>
      </c>
    </row>
    <row r="33" spans="1:12">
      <c r="A33" s="187" t="str">
        <f>'PLANILHA PÓS ADITIVO'!A24</f>
        <v>2.3</v>
      </c>
      <c r="B33" s="186" t="str">
        <f>'PLANILHA PÓS ADITIVO'!C24</f>
        <v>LASTRO DE CONCRETO MAGRO, APLICADO EM BLOCOS DE COROAMENTO OU SAPATAS, ESPESSURA DE 5 CM. AF_08/2017</v>
      </c>
      <c r="C33" s="189" t="str">
        <f>'PLANILHA PÓS ADITIVO'!E24</f>
        <v>m²</v>
      </c>
      <c r="D33" s="64"/>
      <c r="E33" s="190">
        <f>'PLANILHA PÓS ADITIVO'!G24</f>
        <v>28.808325</v>
      </c>
      <c r="F33" s="189">
        <f>'PLANILHA PÓS ADITIVO'!F24</f>
        <v>19.239999999999998</v>
      </c>
      <c r="G33" s="66"/>
      <c r="H33" s="66">
        <f>G33+[1]BM_14!H33</f>
        <v>19.239999999999998</v>
      </c>
      <c r="I33" s="65">
        <f t="shared" si="0"/>
        <v>554.27</v>
      </c>
      <c r="J33" s="67">
        <f t="shared" si="1"/>
        <v>0</v>
      </c>
      <c r="K33" s="67">
        <f t="shared" si="2"/>
        <v>554.27</v>
      </c>
      <c r="L33" s="27">
        <f t="shared" si="3"/>
        <v>1</v>
      </c>
    </row>
    <row r="34" spans="1:12" ht="25.5">
      <c r="A34" s="187" t="str">
        <f>'PLANILHA PÓS ADITIVO'!A25</f>
        <v>2.4</v>
      </c>
      <c r="B34" s="186" t="str">
        <f>'PLANILHA PÓS ADITIVO'!C25</f>
        <v>CONCRETO FCK = 25MPA, TRAÇO 1:2,3:2,7 (EM MASSA SECA DE CIMENTO/ AREIA MÉDIA/ BRITA 1) - PREPARO MECÂNICO COM BETONEIRA 600 L. AF_05/2021</v>
      </c>
      <c r="C34" s="189" t="str">
        <f>'PLANILHA PÓS ADITIVO'!E25</f>
        <v>m³</v>
      </c>
      <c r="D34" s="64"/>
      <c r="E34" s="190">
        <f>'PLANILHA PÓS ADITIVO'!G25</f>
        <v>447.371127</v>
      </c>
      <c r="F34" s="189">
        <f>'PLANILHA PÓS ADITIVO'!F25</f>
        <v>5.8</v>
      </c>
      <c r="G34" s="66"/>
      <c r="H34" s="66">
        <f>G34+[1]BM_14!H34</f>
        <v>5.8</v>
      </c>
      <c r="I34" s="65">
        <f t="shared" si="0"/>
        <v>2594.75</v>
      </c>
      <c r="J34" s="67">
        <f t="shared" si="1"/>
        <v>0</v>
      </c>
      <c r="K34" s="67">
        <f t="shared" si="2"/>
        <v>2594.75</v>
      </c>
      <c r="L34" s="27">
        <f t="shared" si="3"/>
        <v>1</v>
      </c>
    </row>
    <row r="35" spans="1:12" ht="25.5">
      <c r="A35" s="187" t="str">
        <f>'PLANILHA PÓS ADITIVO'!A26</f>
        <v>2.5</v>
      </c>
      <c r="B35" s="186" t="str">
        <f>'PLANILHA PÓS ADITIVO'!C26</f>
        <v>CONCRETO FCK = 30MPA, TRAÇO 1:2,1:2,5 (EM MASSA SECA DE CIMENTO/ AREIA MÉDIA/ BRITA 1) - PREPARO MECÂNICO COM BETONEIRA 600 L. AF_05/2021</v>
      </c>
      <c r="C35" s="189" t="str">
        <f>'PLANILHA PÓS ADITIVO'!E26</f>
        <v>m³</v>
      </c>
      <c r="D35" s="64"/>
      <c r="E35" s="190">
        <f>'PLANILHA PÓS ADITIVO'!G26</f>
        <v>461.95890299999996</v>
      </c>
      <c r="F35" s="189">
        <f>'PLANILHA PÓS ADITIVO'!F26</f>
        <v>42.395800000000008</v>
      </c>
      <c r="G35" s="66"/>
      <c r="H35" s="66">
        <f>G35+[1]BM_14!H35</f>
        <v>42.2</v>
      </c>
      <c r="I35" s="65">
        <f t="shared" si="0"/>
        <v>19585.12</v>
      </c>
      <c r="J35" s="67">
        <f t="shared" si="1"/>
        <v>0</v>
      </c>
      <c r="K35" s="67">
        <f t="shared" si="2"/>
        <v>19494.669999999998</v>
      </c>
      <c r="L35" s="27">
        <f t="shared" si="3"/>
        <v>0.99538169794211107</v>
      </c>
    </row>
    <row r="36" spans="1:12" ht="48" customHeight="1">
      <c r="A36" s="187" t="str">
        <f>'PLANILHA PÓS ADITIVO'!A27</f>
        <v>2.6</v>
      </c>
      <c r="B36" s="186" t="str">
        <f>'PLANILHA PÓS ADITIVO'!C27</f>
        <v>LANÇAMENTO COM USO DE BALDES, ADENSAMENTO E ACABAMENTO DE CONCRETO EM ESTRUTURAS. AF_12/2015</v>
      </c>
      <c r="C36" s="189" t="str">
        <f>'PLANILHA PÓS ADITIVO'!E27</f>
        <v>m³</v>
      </c>
      <c r="D36" s="64"/>
      <c r="E36" s="190">
        <f>'PLANILHA PÓS ADITIVO'!G27</f>
        <v>242.28117900000001</v>
      </c>
      <c r="F36" s="189">
        <f>'PLANILHA PÓS ADITIVO'!F27</f>
        <v>35.9</v>
      </c>
      <c r="G36" s="66"/>
      <c r="H36" s="66">
        <f>G36+[1]BM_14!H36</f>
        <v>35.9</v>
      </c>
      <c r="I36" s="65">
        <f t="shared" si="0"/>
        <v>8697.89</v>
      </c>
      <c r="J36" s="67">
        <f t="shared" si="1"/>
        <v>0</v>
      </c>
      <c r="K36" s="67">
        <f t="shared" si="2"/>
        <v>8697.89</v>
      </c>
      <c r="L36" s="27">
        <f t="shared" si="3"/>
        <v>1</v>
      </c>
    </row>
    <row r="37" spans="1:12">
      <c r="A37" s="187" t="str">
        <f>'PLANILHA PÓS ADITIVO'!A28</f>
        <v>2.7</v>
      </c>
      <c r="B37" s="186" t="str">
        <f>'PLANILHA PÓS ADITIVO'!C28</f>
        <v>Forma plana para fundações, em tábua de pinho, 07 usos.</v>
      </c>
      <c r="C37" s="189" t="str">
        <f>'PLANILHA PÓS ADITIVO'!E28</f>
        <v>m²</v>
      </c>
      <c r="D37" s="64"/>
      <c r="E37" s="190">
        <f>'PLANILHA PÓS ADITIVO'!G28</f>
        <v>82.765367999999995</v>
      </c>
      <c r="F37" s="189">
        <f>'PLANILHA PÓS ADITIVO'!F28</f>
        <v>19.3</v>
      </c>
      <c r="G37" s="66"/>
      <c r="H37" s="66">
        <f>G37+[1]BM_14!H37</f>
        <v>19.3</v>
      </c>
      <c r="I37" s="65">
        <f t="shared" si="0"/>
        <v>1597.37</v>
      </c>
      <c r="J37" s="67">
        <f t="shared" si="1"/>
        <v>0</v>
      </c>
      <c r="K37" s="67">
        <f t="shared" si="2"/>
        <v>1597.37</v>
      </c>
      <c r="L37" s="27">
        <f t="shared" si="3"/>
        <v>1</v>
      </c>
    </row>
    <row r="38" spans="1:12">
      <c r="A38" s="187" t="str">
        <f>'PLANILHA PÓS ADITIVO'!A29</f>
        <v>2.8</v>
      </c>
      <c r="B38" s="186" t="str">
        <f>'PLANILHA PÓS ADITIVO'!C29</f>
        <v>Forma plana para estruturas, em compensado plastificado de 12mm, 07 usos.</v>
      </c>
      <c r="C38" s="189" t="str">
        <f>'PLANILHA PÓS ADITIVO'!E29</f>
        <v>m²</v>
      </c>
      <c r="D38" s="64"/>
      <c r="E38" s="190">
        <f>'PLANILHA PÓS ADITIVO'!G29</f>
        <v>69.874433999999994</v>
      </c>
      <c r="F38" s="189">
        <f>'PLANILHA PÓS ADITIVO'!F29</f>
        <v>421.3</v>
      </c>
      <c r="G38" s="66"/>
      <c r="H38" s="66">
        <f>G38+[1]BM_14!H38</f>
        <v>421.3</v>
      </c>
      <c r="I38" s="65">
        <f t="shared" si="0"/>
        <v>29438.1</v>
      </c>
      <c r="J38" s="67">
        <f t="shared" si="1"/>
        <v>0</v>
      </c>
      <c r="K38" s="67">
        <f t="shared" si="2"/>
        <v>29438.1</v>
      </c>
      <c r="L38" s="27">
        <f t="shared" si="3"/>
        <v>1</v>
      </c>
    </row>
    <row r="39" spans="1:12" ht="25.5">
      <c r="A39" s="187" t="str">
        <f>'PLANILHA PÓS ADITIVO'!A30</f>
        <v>2.9</v>
      </c>
      <c r="B39" s="186" t="str">
        <f>'PLANILHA PÓS ADITIVO'!C30</f>
        <v>ARMAÇÃO DE PILAR OU VIGA DE UMA ESTRUTURA CONVENCIONAL DE CONCRETO ARMADO EM UM EDIFÍCIO DE MÚLTIPLOS PAVIMENTOS UTILIZANDO AÇO CA-50 DE 12,5 MM - MONTAGEM. AF_12/2015</v>
      </c>
      <c r="C39" s="189" t="str">
        <f>'PLANILHA PÓS ADITIVO'!E30</f>
        <v>kg</v>
      </c>
      <c r="D39" s="64"/>
      <c r="E39" s="190">
        <f>'PLANILHA PÓS ADITIVO'!G30</f>
        <v>13.068216</v>
      </c>
      <c r="F39" s="189">
        <f>'PLANILHA PÓS ADITIVO'!F30</f>
        <v>579.35</v>
      </c>
      <c r="G39" s="66"/>
      <c r="H39" s="66">
        <f>G39+[1]BM_14!H39</f>
        <v>579.35</v>
      </c>
      <c r="I39" s="65">
        <f t="shared" si="0"/>
        <v>7571.07</v>
      </c>
      <c r="J39" s="67">
        <f t="shared" si="1"/>
        <v>0</v>
      </c>
      <c r="K39" s="67">
        <f t="shared" si="2"/>
        <v>7571.07</v>
      </c>
      <c r="L39" s="27">
        <f t="shared" si="3"/>
        <v>1</v>
      </c>
    </row>
    <row r="40" spans="1:12" ht="25.5">
      <c r="A40" s="187" t="str">
        <f>'PLANILHA PÓS ADITIVO'!A31</f>
        <v>2.10</v>
      </c>
      <c r="B40" s="186" t="str">
        <f>'PLANILHA PÓS ADITIVO'!C31</f>
        <v>ARMAÇÃO DE PILAR OU VIGA DE UMA ESTRUTURA CONVENCIONAL DE CONCRETO ARMADO EM UM EDIFÍCIO DE MÚLTIPLOS PAVIMENTOS UTILIZANDO AÇO CA-50 DE 10,0 MM - MONTAGEM. AF_12/2015</v>
      </c>
      <c r="C40" s="189" t="str">
        <f>'PLANILHA PÓS ADITIVO'!E31</f>
        <v>kg</v>
      </c>
      <c r="D40" s="64"/>
      <c r="E40" s="190">
        <f>'PLANILHA PÓS ADITIVO'!G31</f>
        <v>15.309566999999999</v>
      </c>
      <c r="F40" s="189">
        <f>'PLANILHA PÓS ADITIVO'!F31</f>
        <v>2054.7722600000002</v>
      </c>
      <c r="G40" s="66"/>
      <c r="H40" s="66">
        <f>G40+[1]BM_14!H40</f>
        <v>2054.77</v>
      </c>
      <c r="I40" s="65">
        <f t="shared" si="0"/>
        <v>31457.67</v>
      </c>
      <c r="J40" s="67">
        <f t="shared" si="1"/>
        <v>0</v>
      </c>
      <c r="K40" s="67">
        <f t="shared" si="2"/>
        <v>31457.64</v>
      </c>
      <c r="L40" s="27">
        <f t="shared" si="3"/>
        <v>0.99999904633750691</v>
      </c>
    </row>
    <row r="41" spans="1:12" ht="25.5">
      <c r="A41" s="187" t="str">
        <f>'PLANILHA PÓS ADITIVO'!A32</f>
        <v>2.11</v>
      </c>
      <c r="B41" s="186" t="str">
        <f>'PLANILHA PÓS ADITIVO'!C32</f>
        <v>ARMAÇÃO DE PILAR OU VIGA DE UMA ESTRUTURA CONVENCIONAL DE CONCRETO ARMADO EM UM EDIFÍCIO DE MÚLTIPLOS PAVIMENTOS UTILIZANDO AÇO CA-50 DE 16,0 MM - MONTAGEM. AF_12/2015</v>
      </c>
      <c r="C41" s="189" t="str">
        <f>'PLANILHA PÓS ADITIVO'!E32</f>
        <v>kg</v>
      </c>
      <c r="D41" s="64"/>
      <c r="E41" s="190">
        <f>'PLANILHA PÓS ADITIVO'!G32</f>
        <v>12.625011000000001</v>
      </c>
      <c r="F41" s="189">
        <f>'PLANILHA PÓS ADITIVO'!F32</f>
        <v>63.1</v>
      </c>
      <c r="G41" s="66"/>
      <c r="H41" s="66">
        <f>G41+[1]BM_14!H41</f>
        <v>0</v>
      </c>
      <c r="I41" s="65">
        <f t="shared" si="0"/>
        <v>796.64</v>
      </c>
      <c r="J41" s="67">
        <f t="shared" si="1"/>
        <v>0</v>
      </c>
      <c r="K41" s="67">
        <f t="shared" si="2"/>
        <v>0</v>
      </c>
      <c r="L41" s="27">
        <f t="shared" si="3"/>
        <v>0</v>
      </c>
    </row>
    <row r="42" spans="1:12" ht="25.5">
      <c r="A42" s="187" t="str">
        <f>'PLANILHA PÓS ADITIVO'!A33</f>
        <v>2.12</v>
      </c>
      <c r="B42" s="186" t="str">
        <f>'PLANILHA PÓS ADITIVO'!C33</f>
        <v>ARMAÇÃO DE PILAR OU VIGA DE UMA ESTRUTURA CONVENCIONAL DE CONCRETO ARMADO EM UM EDIFÍCIO DE MÚLTIPLOS PAVIMENTOS UTILIZANDO AÇO CA-60 DE 5,0 MM - MONTAGEM. AF_12/2015</v>
      </c>
      <c r="C42" s="189" t="str">
        <f>'PLANILHA PÓS ADITIVO'!E33</f>
        <v>kg</v>
      </c>
      <c r="D42" s="64"/>
      <c r="E42" s="190">
        <f>'PLANILHA PÓS ADITIVO'!G33</f>
        <v>17.715537000000001</v>
      </c>
      <c r="F42" s="189">
        <f>'PLANILHA PÓS ADITIVO'!F33</f>
        <v>651.9</v>
      </c>
      <c r="G42" s="66"/>
      <c r="H42" s="66">
        <f>G42+[1]BM_14!H42</f>
        <v>651.9</v>
      </c>
      <c r="I42" s="65">
        <f t="shared" si="0"/>
        <v>11548.76</v>
      </c>
      <c r="J42" s="67">
        <f t="shared" si="1"/>
        <v>0</v>
      </c>
      <c r="K42" s="67">
        <f t="shared" si="2"/>
        <v>11548.76</v>
      </c>
      <c r="L42" s="27">
        <f t="shared" si="3"/>
        <v>1</v>
      </c>
    </row>
    <row r="43" spans="1:12">
      <c r="A43" s="187" t="str">
        <f>'PLANILHA PÓS ADITIVO'!A34</f>
        <v>2.13</v>
      </c>
      <c r="B43" s="186" t="str">
        <f>'PLANILHA PÓS ADITIVO'!C34</f>
        <v>REATERRO MANUAL APILOADO COM SOQUETE. AF_10/2017</v>
      </c>
      <c r="C43" s="189" t="str">
        <f>'PLANILHA PÓS ADITIVO'!E34</f>
        <v>m³</v>
      </c>
      <c r="D43" s="64"/>
      <c r="E43" s="190">
        <f>'PLANILHA PÓS ADITIVO'!G34</f>
        <v>42.775614000000004</v>
      </c>
      <c r="F43" s="189">
        <f>'PLANILHA PÓS ADITIVO'!F34</f>
        <v>24.3</v>
      </c>
      <c r="G43" s="66"/>
      <c r="H43" s="66">
        <f>G43+[1]BM_14!H43</f>
        <v>21.68</v>
      </c>
      <c r="I43" s="65">
        <f t="shared" si="0"/>
        <v>1039.45</v>
      </c>
      <c r="J43" s="67">
        <f t="shared" si="1"/>
        <v>0</v>
      </c>
      <c r="K43" s="67">
        <f t="shared" si="2"/>
        <v>927.38</v>
      </c>
      <c r="L43" s="27">
        <f t="shared" si="3"/>
        <v>0.89218336620328054</v>
      </c>
    </row>
    <row r="44" spans="1:12">
      <c r="A44" s="187" t="str">
        <f>'PLANILHA PÓS ADITIVO'!A35</f>
        <v>2.14</v>
      </c>
      <c r="B44" s="186" t="str">
        <f>'PLANILHA PÓS ADITIVO'!C35</f>
        <v>VERGA PRÉ-MOLDADA PARA PORTAS COM ATÉ 1,5 M DE VÃO. AF_03/2016</v>
      </c>
      <c r="C44" s="189" t="str">
        <f>'PLANILHA PÓS ADITIVO'!E35</f>
        <v>m</v>
      </c>
      <c r="D44" s="64"/>
      <c r="E44" s="190">
        <f>'PLANILHA PÓS ADITIVO'!G35</f>
        <v>37.786391999999999</v>
      </c>
      <c r="F44" s="189">
        <f>'PLANILHA PÓS ADITIVO'!F35</f>
        <v>58.14</v>
      </c>
      <c r="G44" s="66"/>
      <c r="H44" s="66">
        <f>G44+[1]BM_14!H44</f>
        <v>9</v>
      </c>
      <c r="I44" s="65">
        <f t="shared" si="0"/>
        <v>2196.9</v>
      </c>
      <c r="J44" s="67">
        <f t="shared" si="1"/>
        <v>0</v>
      </c>
      <c r="K44" s="67">
        <f t="shared" si="2"/>
        <v>340.08</v>
      </c>
      <c r="L44" s="27">
        <f t="shared" si="3"/>
        <v>0.15479994537757749</v>
      </c>
    </row>
    <row r="45" spans="1:12">
      <c r="A45" s="187" t="str">
        <f>'PLANILHA PÓS ADITIVO'!A36</f>
        <v>2.15</v>
      </c>
      <c r="B45" s="186" t="str">
        <f>'PLANILHA PÓS ADITIVO'!C36</f>
        <v>VERGA PRÉ-MOLDADA PARA JANELAS COM ATÉ 1,5 M DE VÃO. AF_03/2016</v>
      </c>
      <c r="C45" s="189" t="str">
        <f>'PLANILHA PÓS ADITIVO'!E36</f>
        <v>m</v>
      </c>
      <c r="D45" s="64"/>
      <c r="E45" s="190">
        <f>'PLANILHA PÓS ADITIVO'!G36</f>
        <v>52.184223000000003</v>
      </c>
      <c r="F45" s="189">
        <f>'PLANILHA PÓS ADITIVO'!F36</f>
        <v>16.899999999999999</v>
      </c>
      <c r="G45" s="66"/>
      <c r="H45" s="66">
        <f>G45+[1]BM_14!H45</f>
        <v>3.85</v>
      </c>
      <c r="I45" s="65">
        <f t="shared" si="0"/>
        <v>881.91</v>
      </c>
      <c r="J45" s="67">
        <f t="shared" si="1"/>
        <v>0</v>
      </c>
      <c r="K45" s="67">
        <f t="shared" si="2"/>
        <v>200.91</v>
      </c>
      <c r="L45" s="27">
        <f t="shared" si="3"/>
        <v>0.22781236180562642</v>
      </c>
    </row>
    <row r="46" spans="1:12">
      <c r="A46" s="187" t="str">
        <f>'PLANILHA PÓS ADITIVO'!A37</f>
        <v>2.16</v>
      </c>
      <c r="B46" s="186" t="str">
        <f>'PLANILHA PÓS ADITIVO'!C37</f>
        <v>CONTRAVERGA PRÉ-MOLDADA PARA VÃOS DE ATÉ 1,5 M DE COMPRIMENTO. AF_03/2016</v>
      </c>
      <c r="C46" s="189" t="str">
        <f>'PLANILHA PÓS ADITIVO'!E37</f>
        <v>m</v>
      </c>
      <c r="D46" s="64"/>
      <c r="E46" s="190">
        <f>'PLANILHA PÓS ADITIVO'!G37</f>
        <v>50.322762000000004</v>
      </c>
      <c r="F46" s="189">
        <f>'PLANILHA PÓS ADITIVO'!F37</f>
        <v>16.899999999999999</v>
      </c>
      <c r="G46" s="64"/>
      <c r="H46" s="66">
        <f>G46+[1]BM_14!H46</f>
        <v>3.85</v>
      </c>
      <c r="I46" s="65">
        <f t="shared" si="0"/>
        <v>850.45</v>
      </c>
      <c r="J46" s="67"/>
      <c r="K46" s="67">
        <f t="shared" si="2"/>
        <v>193.74</v>
      </c>
      <c r="L46" s="27">
        <f t="shared" si="3"/>
        <v>0.2278088071021224</v>
      </c>
    </row>
    <row r="47" spans="1:12">
      <c r="A47" s="187"/>
      <c r="B47" s="186"/>
      <c r="C47" s="189"/>
      <c r="D47" s="64"/>
      <c r="E47" s="190"/>
      <c r="F47" s="189"/>
      <c r="G47" s="64"/>
      <c r="H47" s="66">
        <f>G47+[1]BM_14!H47</f>
        <v>0</v>
      </c>
      <c r="I47" s="65"/>
      <c r="J47" s="67"/>
      <c r="K47" s="67"/>
      <c r="L47" s="27"/>
    </row>
    <row r="48" spans="1:12" ht="28.9" customHeight="1">
      <c r="A48" s="193">
        <f>'PLANILHA PÓS ADITIVO'!A39</f>
        <v>3</v>
      </c>
      <c r="B48" s="194" t="str">
        <f>'PLANILHA PÓS ADITIVO'!C39</f>
        <v>ALVENARIA E VEDAÇÕES</v>
      </c>
      <c r="C48" s="199"/>
      <c r="D48" s="118"/>
      <c r="E48" s="200"/>
      <c r="F48" s="199"/>
      <c r="G48" s="201"/>
      <c r="H48" s="66">
        <f>G48+[1]BM_14!H48</f>
        <v>0</v>
      </c>
      <c r="I48" s="120"/>
      <c r="J48" s="202"/>
      <c r="K48" s="202"/>
      <c r="L48" s="203"/>
    </row>
    <row r="49" spans="1:12" ht="25.5">
      <c r="A49" s="187" t="str">
        <f>'PLANILHA PÓS ADITIVO'!A40</f>
        <v>3.1</v>
      </c>
      <c r="B49" s="186" t="str">
        <f>'PLANILHA PÓS ADITIVO'!C40</f>
        <v>ALVENARIA DE VEDAÇÃO DE BLOCOS CERÂMICOS FURADOS NA HORIZONTAL DE 9X19X19 CM (ESPESSURA 9 CM) E ARGAMASSA DE ASSENTAMENTO COM PREPARO EM BETONEIRA.</v>
      </c>
      <c r="C49" s="189" t="str">
        <f>'PLANILHA PÓS ADITIVO'!E40</f>
        <v>m²</v>
      </c>
      <c r="D49" s="64"/>
      <c r="E49" s="190">
        <f>'PLANILHA PÓS ADITIVO'!G40</f>
        <v>78.459947999999997</v>
      </c>
      <c r="F49" s="189">
        <f>'PLANILHA PÓS ADITIVO'!F40</f>
        <v>448.75</v>
      </c>
      <c r="G49" s="66"/>
      <c r="H49" s="66">
        <f>G49+[1]BM_14!H49</f>
        <v>412.32</v>
      </c>
      <c r="I49" s="65">
        <f t="shared" si="0"/>
        <v>35208.9</v>
      </c>
      <c r="J49" s="67">
        <f t="shared" si="1"/>
        <v>0</v>
      </c>
      <c r="K49" s="67">
        <f t="shared" si="2"/>
        <v>32350.61</v>
      </c>
      <c r="L49" s="27">
        <f t="shared" si="3"/>
        <v>0.9188191053966468</v>
      </c>
    </row>
    <row r="50" spans="1:12" ht="21" customHeight="1">
      <c r="A50" s="187" t="str">
        <f>'PLANILHA PÓS ADITIVO'!A41</f>
        <v>3.2</v>
      </c>
      <c r="B50" s="186" t="str">
        <f>'PLANILHA PÓS ADITIVO'!C41</f>
        <v>Divisória em granito cinza andorinha polido, e=2cm, inclusive com montagem em ferragem - Rev 02.</v>
      </c>
      <c r="C50" s="189" t="str">
        <f>'PLANILHA PÓS ADITIVO'!E41</f>
        <v>m²</v>
      </c>
      <c r="D50" s="64"/>
      <c r="E50" s="190">
        <f>'PLANILHA PÓS ADITIVO'!G41</f>
        <v>712.59766200000001</v>
      </c>
      <c r="F50" s="189">
        <f>'PLANILHA PÓS ADITIVO'!F41</f>
        <v>6.6599999999999966</v>
      </c>
      <c r="G50" s="66"/>
      <c r="H50" s="66">
        <f>G50+[1]BM_14!H50</f>
        <v>0</v>
      </c>
      <c r="I50" s="65">
        <f t="shared" si="0"/>
        <v>4745.8999999999996</v>
      </c>
      <c r="J50" s="67">
        <f t="shared" si="1"/>
        <v>0</v>
      </c>
      <c r="K50" s="67">
        <f t="shared" si="2"/>
        <v>0</v>
      </c>
      <c r="L50" s="27">
        <f t="shared" si="3"/>
        <v>0</v>
      </c>
    </row>
    <row r="51" spans="1:12" ht="24" customHeight="1">
      <c r="A51" s="187" t="str">
        <f>'PLANILHA PÓS ADITIVO'!A42</f>
        <v>3.3</v>
      </c>
      <c r="B51" s="186" t="str">
        <f>'PLANILHA PÓS ADITIVO'!C42</f>
        <v>ALVENARIA DE TIJOLO CERÂMICO FURADO (9x19x19)cm C/ARGAMASSA MISTA DE CAL HIDRATADA ESP=20 cm</v>
      </c>
      <c r="C51" s="189" t="str">
        <f>'PLANILHA PÓS ADITIVO'!E42</f>
        <v>M2</v>
      </c>
      <c r="D51" s="64"/>
      <c r="E51" s="190">
        <f>'PLANILHA PÓS ADITIVO'!G42</f>
        <v>128.24</v>
      </c>
      <c r="F51" s="189">
        <f>'PLANILHA PÓS ADITIVO'!F42</f>
        <v>81.843000000000018</v>
      </c>
      <c r="G51" s="66"/>
      <c r="H51" s="66">
        <f>G51+[1]BM_14!H51</f>
        <v>81.84</v>
      </c>
      <c r="I51" s="65">
        <f t="shared" si="0"/>
        <v>10495.55</v>
      </c>
      <c r="J51" s="67"/>
      <c r="K51" s="67">
        <f t="shared" si="2"/>
        <v>10495.16</v>
      </c>
      <c r="L51" s="27">
        <f t="shared" si="3"/>
        <v>0.99996284139468639</v>
      </c>
    </row>
    <row r="52" spans="1:12">
      <c r="A52" s="187"/>
      <c r="B52" s="186"/>
      <c r="C52" s="189"/>
      <c r="D52" s="64"/>
      <c r="E52" s="190"/>
      <c r="F52" s="189"/>
      <c r="G52" s="64"/>
      <c r="H52" s="66">
        <f>G52+[1]BM_14!H52</f>
        <v>0</v>
      </c>
      <c r="I52" s="65"/>
      <c r="J52" s="67"/>
      <c r="K52" s="67"/>
      <c r="L52" s="27"/>
    </row>
    <row r="53" spans="1:12">
      <c r="A53" s="193">
        <f>'PLANILHA PÓS ADITIVO'!A44</f>
        <v>4</v>
      </c>
      <c r="B53" s="194" t="str">
        <f>'PLANILHA PÓS ADITIVO'!C44</f>
        <v>IMPERMEABILIZAÇÕES</v>
      </c>
      <c r="C53" s="199"/>
      <c r="D53" s="118"/>
      <c r="E53" s="200"/>
      <c r="F53" s="199"/>
      <c r="G53" s="118"/>
      <c r="H53" s="66">
        <f>G53+[1]BM_14!H53</f>
        <v>0</v>
      </c>
      <c r="I53" s="120"/>
      <c r="J53" s="202"/>
      <c r="K53" s="202"/>
      <c r="L53" s="203"/>
    </row>
    <row r="54" spans="1:12">
      <c r="A54" s="187" t="str">
        <f>'PLANILHA PÓS ADITIVO'!A45</f>
        <v>4.1</v>
      </c>
      <c r="B54" s="221" t="str">
        <f>'PLANILHA PÓS ADITIVO'!C45</f>
        <v>IMPERMEABILIZAÇÃO DE SUPERFÍCIE COM EMULSÃO ASFÁLTICA, 2 DEMÃOS AF_06/2018</v>
      </c>
      <c r="C54" s="189" t="str">
        <f>'PLANILHA PÓS ADITIVO'!E45</f>
        <v>m²</v>
      </c>
      <c r="D54" s="64"/>
      <c r="E54" s="190">
        <f>'PLANILHA PÓS ADITIVO'!G45</f>
        <v>48.777876000000006</v>
      </c>
      <c r="F54" s="189">
        <f>'PLANILHA PÓS ADITIVO'!F45</f>
        <v>25.12</v>
      </c>
      <c r="G54" s="66">
        <f>'MEMORIA DE CALCULO'!L237</f>
        <v>0</v>
      </c>
      <c r="H54" s="66">
        <f>G54+[1]BM_14!H54</f>
        <v>0</v>
      </c>
      <c r="I54" s="65">
        <f t="shared" si="0"/>
        <v>1225.3</v>
      </c>
      <c r="J54" s="67">
        <f t="shared" si="1"/>
        <v>0</v>
      </c>
      <c r="K54" s="67">
        <f t="shared" si="2"/>
        <v>0</v>
      </c>
      <c r="L54" s="27">
        <f t="shared" si="3"/>
        <v>0</v>
      </c>
    </row>
    <row r="55" spans="1:12" ht="25.5">
      <c r="A55" s="187" t="str">
        <f>'PLANILHA PÓS ADITIVO'!A46</f>
        <v>4.2</v>
      </c>
      <c r="B55" s="186" t="str">
        <f>'PLANILHA PÓS ADITIVO'!C46</f>
        <v>IMPERMEABILIZAÇÃO DE SUPERFÍCIE COM MANTA ASFÁLTICA, UMA CAMADA, INCLUSIVE APLICAÇÃO DE PRIMER ASFÁLTICO, E=3MM. AF_06/2018</v>
      </c>
      <c r="C55" s="189" t="str">
        <f>'PLANILHA PÓS ADITIVO'!E46</f>
        <v>m²</v>
      </c>
      <c r="D55" s="64"/>
      <c r="E55" s="190">
        <f>'PLANILHA PÓS ADITIVO'!G46</f>
        <v>121.108932</v>
      </c>
      <c r="F55" s="189">
        <f>'PLANILHA PÓS ADITIVO'!F46</f>
        <v>57.88</v>
      </c>
      <c r="G55" s="64"/>
      <c r="H55" s="66">
        <f>G55+[1]BM_14!H55</f>
        <v>0</v>
      </c>
      <c r="I55" s="65">
        <f t="shared" si="0"/>
        <v>7009.78</v>
      </c>
      <c r="J55" s="67"/>
      <c r="K55" s="67"/>
      <c r="L55" s="27"/>
    </row>
    <row r="56" spans="1:12">
      <c r="A56" s="187"/>
      <c r="B56" s="186"/>
      <c r="C56" s="189"/>
      <c r="D56" s="64"/>
      <c r="E56" s="190"/>
      <c r="F56" s="189"/>
      <c r="G56" s="64"/>
      <c r="H56" s="66">
        <f>G56+[1]BM_14!H56</f>
        <v>0</v>
      </c>
      <c r="I56" s="65"/>
      <c r="J56" s="67"/>
      <c r="K56" s="67"/>
      <c r="L56" s="27"/>
    </row>
    <row r="57" spans="1:12">
      <c r="A57" s="193">
        <f>'PLANILHA PÓS ADITIVO'!A48</f>
        <v>5</v>
      </c>
      <c r="B57" s="194" t="str">
        <f>'PLANILHA PÓS ADITIVO'!C48</f>
        <v>COBERTURAS E PROTEÇÕES</v>
      </c>
      <c r="C57" s="199"/>
      <c r="D57" s="118"/>
      <c r="E57" s="200"/>
      <c r="F57" s="199"/>
      <c r="G57" s="202"/>
      <c r="H57" s="66">
        <f>G57+[1]BM_14!H57</f>
        <v>0</v>
      </c>
      <c r="I57" s="120"/>
      <c r="J57" s="202"/>
      <c r="K57" s="202"/>
      <c r="L57" s="203"/>
    </row>
    <row r="58" spans="1:12" ht="25.5">
      <c r="A58" s="187" t="str">
        <f>'PLANILHA PÓS ADITIVO'!A49</f>
        <v>5.1</v>
      </c>
      <c r="B58" s="186" t="str">
        <f>'PLANILHA PÓS ADITIVO'!C49</f>
        <v>TRAMA DE MADEIRA COMPOSTA POR RIPAS, CAIBROS E TERÇAS PARA TELHADOS DE ATÉ 2 ÁGUAS PARA TELHA DE ENCAIXE DE CERÂMICA OU DE CONCRETO, INCLUSO TRANSPORTE VERTICAL. AF_07/2019</v>
      </c>
      <c r="C58" s="189" t="str">
        <f>'PLANILHA PÓS ADITIVO'!E49</f>
        <v>m²</v>
      </c>
      <c r="D58" s="64"/>
      <c r="E58" s="190">
        <f>'PLANILHA PÓS ADITIVO'!G49</f>
        <v>76.573160999999999</v>
      </c>
      <c r="F58" s="189">
        <f>'PLANILHA PÓS ADITIVO'!F49</f>
        <v>415.93</v>
      </c>
      <c r="G58" s="66"/>
      <c r="H58" s="66">
        <f>G58+[1]BM_14!H58</f>
        <v>415.93</v>
      </c>
      <c r="I58" s="65">
        <f t="shared" si="0"/>
        <v>31849.07</v>
      </c>
      <c r="J58" s="67">
        <f t="shared" si="1"/>
        <v>0</v>
      </c>
      <c r="K58" s="67">
        <f t="shared" si="2"/>
        <v>31849.07</v>
      </c>
      <c r="L58" s="27">
        <f t="shared" si="3"/>
        <v>1</v>
      </c>
    </row>
    <row r="59" spans="1:12" ht="25.5">
      <c r="A59" s="187" t="str">
        <f>'PLANILHA PÓS ADITIVO'!A50</f>
        <v>5.2</v>
      </c>
      <c r="B59" s="186" t="str">
        <f>'PLANILHA PÓS ADITIVO'!C50</f>
        <v>TELHAMENTO COM TELHA CERÂMICA CAPA-CANAL, TIPO COLONIAL, COM ATÉ 2 ÁGUAS, INCLUSO TRANSPORTE VERTICAL. AF_07/2019</v>
      </c>
      <c r="C59" s="189" t="str">
        <f>'PLANILHA PÓS ADITIVO'!E50</f>
        <v>m²</v>
      </c>
      <c r="D59" s="64"/>
      <c r="E59" s="190">
        <f>'PLANILHA PÓS ADITIVO'!G50</f>
        <v>37.495142999999999</v>
      </c>
      <c r="F59" s="189">
        <f>'PLANILHA PÓS ADITIVO'!F50</f>
        <v>309.93</v>
      </c>
      <c r="G59" s="66"/>
      <c r="H59" s="66">
        <f>G59+[1]BM_14!H59</f>
        <v>309.93</v>
      </c>
      <c r="I59" s="65">
        <f t="shared" si="0"/>
        <v>11620.87</v>
      </c>
      <c r="J59" s="67">
        <f t="shared" si="1"/>
        <v>0</v>
      </c>
      <c r="K59" s="67">
        <f t="shared" si="2"/>
        <v>11620.87</v>
      </c>
      <c r="L59" s="27">
        <f t="shared" si="3"/>
        <v>1</v>
      </c>
    </row>
    <row r="60" spans="1:12">
      <c r="A60" s="187" t="str">
        <f>'PLANILHA PÓS ADITIVO'!A51</f>
        <v>5.3</v>
      </c>
      <c r="B60" s="186" t="str">
        <f>'PLANILHA PÓS ADITIVO'!C51</f>
        <v>FORRO EM PLACAS DE GESSO, PARA AMBIENTES COMERCIAIS. AF_05/2017_P</v>
      </c>
      <c r="C60" s="189" t="str">
        <f>'PLANILHA PÓS ADITIVO'!E51</f>
        <v>m²</v>
      </c>
      <c r="D60" s="64"/>
      <c r="E60" s="190">
        <f>'PLANILHA PÓS ADITIVO'!G51</f>
        <v>38.153618999999999</v>
      </c>
      <c r="F60" s="189">
        <f>'PLANILHA PÓS ADITIVO'!F51</f>
        <v>774.83</v>
      </c>
      <c r="G60" s="66"/>
      <c r="H60" s="66">
        <f>G60+[1]BM_14!H60</f>
        <v>774.82999999999993</v>
      </c>
      <c r="I60" s="65">
        <f t="shared" si="0"/>
        <v>29562.57</v>
      </c>
      <c r="J60" s="67">
        <f t="shared" si="1"/>
        <v>0</v>
      </c>
      <c r="K60" s="67">
        <f t="shared" si="2"/>
        <v>29562.57</v>
      </c>
      <c r="L60" s="27">
        <f t="shared" si="3"/>
        <v>1</v>
      </c>
    </row>
    <row r="61" spans="1:12">
      <c r="A61" s="187" t="str">
        <f>'PLANILHA PÓS ADITIVO'!A52</f>
        <v>5.4</v>
      </c>
      <c r="B61" s="186" t="str">
        <f>'PLANILHA PÓS ADITIVO'!C52</f>
        <v>Retelhamento em cobertura com telha ceramica tipo canal comum, Itabaiana ou similar.</v>
      </c>
      <c r="C61" s="189" t="str">
        <f>'PLANILHA PÓS ADITIVO'!E52</f>
        <v>m²</v>
      </c>
      <c r="D61" s="64"/>
      <c r="E61" s="190">
        <f>'PLANILHA PÓS ADITIVO'!G52</f>
        <v>11.57</v>
      </c>
      <c r="F61" s="189">
        <f>'PLANILHA PÓS ADITIVO'!F52</f>
        <v>250</v>
      </c>
      <c r="G61" s="66"/>
      <c r="H61" s="66">
        <f>G61+[1]BM_14!H61</f>
        <v>250</v>
      </c>
      <c r="I61" s="65">
        <f t="shared" si="0"/>
        <v>2892.5</v>
      </c>
      <c r="J61" s="67">
        <f t="shared" si="1"/>
        <v>0</v>
      </c>
      <c r="K61" s="67">
        <f t="shared" si="2"/>
        <v>2892.5</v>
      </c>
      <c r="L61" s="27">
        <f t="shared" si="3"/>
        <v>1</v>
      </c>
    </row>
    <row r="62" spans="1:12" ht="25.5">
      <c r="A62" s="187" t="str">
        <f>'PLANILHA PÓS ADITIVO'!A53</f>
        <v>5.5</v>
      </c>
      <c r="B62" s="186" t="str">
        <f>'PLANILHA PÓS ADITIVO'!C53</f>
        <v>TRAMA DE MADEIRA COMPOSTA POR TERÇAS PARA TELHADOS DE ATÉ 2 ÁGUAS PARA TELHA ONDULADA DE FIBROCIMENTO, METÁLICA, PLÁSTICA OU TERMOACÚSTICA, INCLUSO TRANSPORTE VERTICAL. AF_07/2019</v>
      </c>
      <c r="C62" s="189" t="str">
        <f>'PLANILHA PÓS ADITIVO'!E53</f>
        <v>M2</v>
      </c>
      <c r="D62" s="64"/>
      <c r="E62" s="190">
        <f>'PLANILHA PÓS ADITIVO'!G53</f>
        <v>23.29</v>
      </c>
      <c r="F62" s="189">
        <f>'PLANILHA PÓS ADITIVO'!F53</f>
        <v>211.57</v>
      </c>
      <c r="G62" s="66"/>
      <c r="H62" s="66">
        <f>G62+[1]BM_14!H62</f>
        <v>197.11</v>
      </c>
      <c r="I62" s="65">
        <f t="shared" si="0"/>
        <v>4927.47</v>
      </c>
      <c r="J62" s="67">
        <f t="shared" si="1"/>
        <v>0</v>
      </c>
      <c r="K62" s="67">
        <f t="shared" si="2"/>
        <v>4590.6899999999996</v>
      </c>
      <c r="L62" s="27">
        <f t="shared" si="3"/>
        <v>0.93165255191812413</v>
      </c>
    </row>
    <row r="63" spans="1:12" ht="25.5">
      <c r="A63" s="187" t="str">
        <f>'PLANILHA PÓS ADITIVO'!A54</f>
        <v>5.6</v>
      </c>
      <c r="B63" s="186" t="str">
        <f>'PLANILHA PÓS ADITIVO'!C54</f>
        <v>TELHAMENTO COM TELHA ONDULADA DE FIBROCIMENTO E = 6 MM, COM RECOBRIMENTO LATERAL DE 1/4 DE ONDA PARA TELHADO COM INCLINAÇÃO MAIOR QUE 10°, COM ATÉ 2 ÁGUAS, INCLUSO IÇAMENTO. AF_07/2019</v>
      </c>
      <c r="C63" s="189" t="str">
        <f>'PLANILHA PÓS ADITIVO'!E54</f>
        <v>M2</v>
      </c>
      <c r="D63" s="64"/>
      <c r="E63" s="190">
        <f>'PLANILHA PÓS ADITIVO'!G54</f>
        <v>72.739999999999995</v>
      </c>
      <c r="F63" s="189">
        <f>'PLANILHA PÓS ADITIVO'!F54</f>
        <v>211.57</v>
      </c>
      <c r="G63" s="66"/>
      <c r="H63" s="66">
        <f>G63+[1]BM_14!H63</f>
        <v>197.11</v>
      </c>
      <c r="I63" s="65">
        <f t="shared" si="0"/>
        <v>15389.6</v>
      </c>
      <c r="J63" s="67">
        <f t="shared" si="1"/>
        <v>0</v>
      </c>
      <c r="K63" s="67">
        <f t="shared" si="2"/>
        <v>14337.78</v>
      </c>
      <c r="L63" s="27">
        <f t="shared" si="3"/>
        <v>0.93165384415449393</v>
      </c>
    </row>
    <row r="64" spans="1:12">
      <c r="A64" s="187" t="str">
        <f>'PLANILHA PÓS ADITIVO'!A55</f>
        <v>5.7</v>
      </c>
      <c r="B64" s="186" t="str">
        <f>'PLANILHA PÓS ADITIVO'!C55</f>
        <v>Calha em chapa de aço galvanizado nº 26, desenvolvimento 86 cm (fundo=32 cm, laterais=15 cm, bordas=12cm)</v>
      </c>
      <c r="C64" s="189" t="str">
        <f>'PLANILHA PÓS ADITIVO'!E55</f>
        <v>m</v>
      </c>
      <c r="D64" s="64"/>
      <c r="E64" s="190">
        <f>'PLANILHA PÓS ADITIVO'!G55</f>
        <v>101.30210054999999</v>
      </c>
      <c r="F64" s="189">
        <f>'PLANILHA PÓS ADITIVO'!F55</f>
        <v>118.97</v>
      </c>
      <c r="G64" s="66"/>
      <c r="H64" s="66">
        <f>G64+[1]BM_14!H64</f>
        <v>64.3</v>
      </c>
      <c r="I64" s="65">
        <f t="shared" si="0"/>
        <v>12051.91</v>
      </c>
      <c r="J64" s="67">
        <f t="shared" si="1"/>
        <v>0</v>
      </c>
      <c r="K64" s="67">
        <f t="shared" si="2"/>
        <v>6513.73</v>
      </c>
      <c r="L64" s="27">
        <f t="shared" si="3"/>
        <v>0.54047283791531797</v>
      </c>
    </row>
    <row r="65" spans="1:13" ht="25.5">
      <c r="A65" s="187" t="str">
        <f>'PLANILHA PÓS ADITIVO'!A56</f>
        <v>5.8</v>
      </c>
      <c r="B65" s="186" t="str">
        <f>'PLANILHA PÓS ADITIVO'!C56</f>
        <v>CUMEEIRA E ESPIGÃO PARA TELHA CERÂMICA EMBOÇADA COM ARGAMASSA TRAÇO 1:2:9 (CIMENTO, CAL E AREIA), PARA TELHADOS COM MAIS DE 2 ÁGUAS, INCLUSO TRANSPORTE VERTICAL. AF_07/2019</v>
      </c>
      <c r="C65" s="189" t="str">
        <f>'PLANILHA PÓS ADITIVO'!E56</f>
        <v>M</v>
      </c>
      <c r="D65" s="64"/>
      <c r="E65" s="190">
        <f>'PLANILHA PÓS ADITIVO'!G56</f>
        <v>25.88</v>
      </c>
      <c r="F65" s="189">
        <f>'PLANILHA PÓS ADITIVO'!F56</f>
        <v>25.08</v>
      </c>
      <c r="G65" s="66"/>
      <c r="H65" s="66">
        <f>G65+[1]BM_14!H65</f>
        <v>24.61</v>
      </c>
      <c r="I65" s="65">
        <f t="shared" si="0"/>
        <v>649.07000000000005</v>
      </c>
      <c r="J65" s="67">
        <f t="shared" si="1"/>
        <v>0</v>
      </c>
      <c r="K65" s="67">
        <f t="shared" si="2"/>
        <v>636.91</v>
      </c>
      <c r="L65" s="27">
        <f t="shared" si="3"/>
        <v>0.98126550295037507</v>
      </c>
    </row>
    <row r="66" spans="1:13">
      <c r="A66" s="187"/>
      <c r="B66" s="186"/>
      <c r="C66" s="189"/>
      <c r="D66" s="64"/>
      <c r="E66" s="190"/>
      <c r="F66" s="189"/>
      <c r="G66" s="64"/>
      <c r="H66" s="66">
        <f>G66+[1]BM_14!H66</f>
        <v>0</v>
      </c>
      <c r="I66" s="65"/>
      <c r="J66" s="67"/>
      <c r="K66" s="67"/>
      <c r="L66" s="27"/>
    </row>
    <row r="67" spans="1:13">
      <c r="A67" s="193">
        <f>'PLANILHA PÓS ADITIVO'!A58</f>
        <v>6</v>
      </c>
      <c r="B67" s="194" t="str">
        <f>'PLANILHA PÓS ADITIVO'!C58</f>
        <v>ESQUADRIAS</v>
      </c>
      <c r="C67" s="199"/>
      <c r="D67" s="118"/>
      <c r="E67" s="200"/>
      <c r="F67" s="199"/>
      <c r="G67" s="118"/>
      <c r="H67" s="66">
        <f>G67+[1]BM_14!H67</f>
        <v>0</v>
      </c>
      <c r="I67" s="120"/>
      <c r="J67" s="202"/>
      <c r="K67" s="202"/>
      <c r="L67" s="203"/>
    </row>
    <row r="68" spans="1:13">
      <c r="A68" s="187" t="str">
        <f>'PLANILHA PÓS ADITIVO'!A59</f>
        <v>6.1</v>
      </c>
      <c r="B68" s="186" t="str">
        <f>'PLANILHA PÓS ADITIVO'!C59</f>
        <v>METÁLICA, ALUMÍNIO C/ VIDRO E MADEIRA</v>
      </c>
      <c r="C68" s="189"/>
      <c r="D68" s="64"/>
      <c r="E68" s="190"/>
      <c r="F68" s="189"/>
      <c r="G68" s="64"/>
      <c r="H68" s="66">
        <f>G68+[1]BM_14!H68</f>
        <v>0</v>
      </c>
      <c r="I68" s="65"/>
      <c r="J68" s="67"/>
      <c r="K68" s="67"/>
      <c r="L68" s="27"/>
    </row>
    <row r="69" spans="1:13" ht="42.75" customHeight="1">
      <c r="A69" s="187" t="str">
        <f>'PLANILHA PÓS ADITIVO'!A60</f>
        <v>6.1.1</v>
      </c>
      <c r="B69" s="186" t="str">
        <f>'PLANILHA PÓS ADITIVO'!C60</f>
        <v>JANELA DE ALUMÍNIO DE CORRER COM 2 FOLHAS PARA VIDROS, COM VIDROS, BATENTE, ACABAMENTO COM ACETATO OU BRILHANTE E FERRAGENS. EXCLUSIVE ALIZAR E CONTRAMARCO. FORNECIMENTO E INSTALAÇÃO. AF_12/2019</v>
      </c>
      <c r="C69" s="189" t="str">
        <f>'PLANILHA PÓS ADITIVO'!E60</f>
        <v>m²</v>
      </c>
      <c r="D69" s="64"/>
      <c r="E69" s="190">
        <f>'PLANILHA PÓS ADITIVO'!G60</f>
        <v>771.53126399999996</v>
      </c>
      <c r="F69" s="189">
        <f>'PLANILHA PÓS ADITIVO'!F60</f>
        <v>22.56</v>
      </c>
      <c r="G69" s="66"/>
      <c r="H69" s="66">
        <f>G69+[1]BM_14!H69</f>
        <v>11.27</v>
      </c>
      <c r="I69" s="65">
        <f t="shared" si="0"/>
        <v>17405.75</v>
      </c>
      <c r="J69" s="67">
        <f t="shared" si="1"/>
        <v>0</v>
      </c>
      <c r="K69" s="67">
        <f t="shared" si="2"/>
        <v>8695.16</v>
      </c>
      <c r="L69" s="27">
        <f t="shared" si="3"/>
        <v>0.49955675566982177</v>
      </c>
    </row>
    <row r="70" spans="1:13" ht="25.5">
      <c r="A70" s="187" t="str">
        <f>'PLANILHA PÓS ADITIVO'!A61</f>
        <v>6.1.2</v>
      </c>
      <c r="B70" s="186" t="str">
        <f>'PLANILHA PÓS ADITIVO'!C61</f>
        <v>JANELA DE ALUMÍNIO TIPO MAXIM-AR, COM VIDROS, BATENTE E FERRAGENS. EXCLUSIVE ALIZAR, ACABAMENTO E CONTRAMARCO. FORNECIMENTO E INSTALAÇÃO. AF_12/2019</v>
      </c>
      <c r="C70" s="189" t="str">
        <f>'PLANILHA PÓS ADITIVO'!E61</f>
        <v>m²</v>
      </c>
      <c r="D70" s="64"/>
      <c r="E70" s="190">
        <f>'PLANILHA PÓS ADITIVO'!G61</f>
        <v>1448.938449</v>
      </c>
      <c r="F70" s="189">
        <f>'PLANILHA PÓS ADITIVO'!F61</f>
        <v>10.5</v>
      </c>
      <c r="G70" s="66"/>
      <c r="H70" s="66">
        <f>G70+[1]BM_14!H70</f>
        <v>0</v>
      </c>
      <c r="I70" s="65">
        <f t="shared" si="0"/>
        <v>15213.85</v>
      </c>
      <c r="J70" s="67">
        <f t="shared" si="1"/>
        <v>0</v>
      </c>
      <c r="K70" s="67">
        <f t="shared" si="2"/>
        <v>0</v>
      </c>
      <c r="L70" s="27">
        <f t="shared" si="3"/>
        <v>0</v>
      </c>
    </row>
    <row r="71" spans="1:13" ht="25.5">
      <c r="A71" s="187" t="str">
        <f>'PLANILHA PÓS ADITIVO'!A62</f>
        <v>6.1.3</v>
      </c>
      <c r="B71" s="221" t="str">
        <f>'PLANILHA PÓS ADITIVO'!C62</f>
        <v>PORTA EM ALUMÍNIO DE ABRIR TIPO VENEZIANA COM GUARNIÇÃO, FIXAÇÃO COM PARAFUSOS - FORNECIMENTO E INSTALAÇÃO. AF_12/2019</v>
      </c>
      <c r="C71" s="189" t="str">
        <f>'PLANILHA PÓS ADITIVO'!E62</f>
        <v>m²</v>
      </c>
      <c r="D71" s="64"/>
      <c r="E71" s="190">
        <f>'PLANILHA PÓS ADITIVO'!G62</f>
        <v>969.51726899999994</v>
      </c>
      <c r="F71" s="189">
        <f>'PLANILHA PÓS ADITIVO'!F62</f>
        <v>7.92</v>
      </c>
      <c r="G71" s="66">
        <f>'MEMORIA DE CALCULO'!L241</f>
        <v>5.4600000000000009</v>
      </c>
      <c r="H71" s="66">
        <f>G71+[1]BM_14!H71</f>
        <v>5.4600000000000009</v>
      </c>
      <c r="I71" s="65">
        <f t="shared" si="0"/>
        <v>7678.58</v>
      </c>
      <c r="J71" s="67">
        <f t="shared" si="1"/>
        <v>5293.56</v>
      </c>
      <c r="K71" s="67">
        <f t="shared" si="2"/>
        <v>5293.56</v>
      </c>
      <c r="L71" s="27">
        <f t="shared" si="3"/>
        <v>0.68939309091003809</v>
      </c>
    </row>
    <row r="72" spans="1:13">
      <c r="A72" s="187" t="str">
        <f>'PLANILHA PÓS ADITIVO'!A63</f>
        <v>6.1.4</v>
      </c>
      <c r="B72" s="221" t="str">
        <f>'PLANILHA PÓS ADITIVO'!C63</f>
        <v>PORTA DE FERRO, DE ABRIR, TIPO GRADE COM CHAPA, COM GUARNIÇÕES. AF_12/2019</v>
      </c>
      <c r="C72" s="189" t="str">
        <f>'PLANILHA PÓS ADITIVO'!E63</f>
        <v>m²</v>
      </c>
      <c r="D72" s="64"/>
      <c r="E72" s="190">
        <f>'PLANILHA PÓS ADITIVO'!G63</f>
        <v>724.120992</v>
      </c>
      <c r="F72" s="189">
        <f>'PLANILHA PÓS ADITIVO'!F63</f>
        <v>5.31</v>
      </c>
      <c r="G72" s="66"/>
      <c r="H72" s="66">
        <f>G72+[1]BM_14!H72</f>
        <v>5.31</v>
      </c>
      <c r="I72" s="65">
        <f t="shared" si="0"/>
        <v>3845.08</v>
      </c>
      <c r="J72" s="67">
        <f t="shared" si="1"/>
        <v>0</v>
      </c>
      <c r="K72" s="67">
        <f t="shared" si="2"/>
        <v>3845.08</v>
      </c>
      <c r="L72" s="27">
        <f t="shared" si="3"/>
        <v>1</v>
      </c>
    </row>
    <row r="73" spans="1:13">
      <c r="A73" s="187" t="str">
        <f>'PLANILHA PÓS ADITIVO'!A64</f>
        <v>6.1.5</v>
      </c>
      <c r="B73" s="221" t="str">
        <f>'PLANILHA PÓS ADITIVO'!C64</f>
        <v>Portão em ferro, em tubo de aço galvanizado 2" e tela ondulada, malha 3/8".</v>
      </c>
      <c r="C73" s="189" t="str">
        <f>'PLANILHA PÓS ADITIVO'!E64</f>
        <v>m²</v>
      </c>
      <c r="D73" s="64"/>
      <c r="E73" s="190">
        <f>'PLANILHA PÓS ADITIVO'!G64</f>
        <v>940.87356299999999</v>
      </c>
      <c r="F73" s="189">
        <f>'PLANILHA PÓS ADITIVO'!F64</f>
        <v>6.62</v>
      </c>
      <c r="G73" s="64"/>
      <c r="H73" s="66">
        <f>G73+[1]BM_14!H73</f>
        <v>0</v>
      </c>
      <c r="I73" s="65">
        <f t="shared" si="0"/>
        <v>6228.58</v>
      </c>
      <c r="J73" s="67">
        <f t="shared" si="1"/>
        <v>0</v>
      </c>
      <c r="K73" s="67">
        <f t="shared" si="2"/>
        <v>0</v>
      </c>
      <c r="L73" s="27">
        <f t="shared" si="3"/>
        <v>0</v>
      </c>
    </row>
    <row r="74" spans="1:13" ht="38.25">
      <c r="A74" s="187" t="str">
        <f>'PLANILHA PÓS ADITIVO'!A65</f>
        <v>6.1.6</v>
      </c>
      <c r="B74" s="221" t="str">
        <f>'PLANILHA PÓS ADITIVO'!C65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C74" s="189" t="str">
        <f>'PLANILHA PÓS ADITIVO'!E65</f>
        <v>unid</v>
      </c>
      <c r="D74" s="64"/>
      <c r="E74" s="190">
        <f>'PLANILHA PÓS ADITIVO'!G65</f>
        <v>1013.951736</v>
      </c>
      <c r="F74" s="267">
        <f>'PLANILHA PÓS ADITIVO'!F65</f>
        <v>0</v>
      </c>
      <c r="G74" s="64"/>
      <c r="H74" s="66">
        <f>G74+[1]BM_14!H74</f>
        <v>0</v>
      </c>
      <c r="I74" s="65">
        <f t="shared" si="0"/>
        <v>0</v>
      </c>
      <c r="J74" s="67">
        <f t="shared" si="1"/>
        <v>0</v>
      </c>
      <c r="K74" s="67">
        <f t="shared" si="2"/>
        <v>0</v>
      </c>
      <c r="L74" s="27"/>
      <c r="M74" s="268" t="s">
        <v>829</v>
      </c>
    </row>
    <row r="75" spans="1:13" ht="38.25">
      <c r="A75" s="187" t="str">
        <f>'PLANILHA PÓS ADITIVO'!A66</f>
        <v>6.1.7</v>
      </c>
      <c r="B75" s="221" t="str">
        <f>'PLANILHA PÓS ADITIVO'!C66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75" s="189" t="str">
        <f>'PLANILHA PÓS ADITIVO'!E66</f>
        <v>unid</v>
      </c>
      <c r="D75" s="64"/>
      <c r="E75" s="190">
        <f>'PLANILHA PÓS ADITIVO'!G66</f>
        <v>1022.170023</v>
      </c>
      <c r="F75" s="267">
        <f>'PLANILHA PÓS ADITIVO'!F66</f>
        <v>0</v>
      </c>
      <c r="G75" s="64"/>
      <c r="H75" s="66">
        <f>G75+[1]BM_14!H75</f>
        <v>0</v>
      </c>
      <c r="I75" s="65">
        <f t="shared" si="0"/>
        <v>0</v>
      </c>
      <c r="J75" s="67">
        <f t="shared" si="1"/>
        <v>0</v>
      </c>
      <c r="K75" s="67">
        <f t="shared" si="2"/>
        <v>0</v>
      </c>
      <c r="L75" s="27"/>
      <c r="M75" s="268" t="s">
        <v>829</v>
      </c>
    </row>
    <row r="76" spans="1:13" ht="50.25" customHeight="1">
      <c r="A76" s="187" t="str">
        <f>'PLANILHA PÓS ADITIVO'!A67</f>
        <v>6.1.8</v>
      </c>
      <c r="B76" s="221" t="str">
        <f>'PLANILHA PÓS ADITIVO'!C67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C76" s="189" t="str">
        <f>'PLANILHA PÓS ADITIVO'!E67</f>
        <v>unid</v>
      </c>
      <c r="D76" s="64"/>
      <c r="E76" s="190">
        <f>'PLANILHA PÓS ADITIVO'!G67</f>
        <v>1068.073398</v>
      </c>
      <c r="F76" s="189">
        <f>'PLANILHA PÓS ADITIVO'!F67</f>
        <v>8</v>
      </c>
      <c r="G76" s="66">
        <f>'MEMORIA DE CALCULO'!L249</f>
        <v>15</v>
      </c>
      <c r="H76" s="66">
        <f>G76+[1]BM_14!H76</f>
        <v>15</v>
      </c>
      <c r="I76" s="65">
        <f t="shared" si="0"/>
        <v>8544.59</v>
      </c>
      <c r="J76" s="67">
        <f t="shared" si="1"/>
        <v>16021.1</v>
      </c>
      <c r="K76" s="67">
        <f t="shared" si="2"/>
        <v>16021.1</v>
      </c>
      <c r="L76" s="27">
        <f t="shared" si="3"/>
        <v>1.8749992685430197</v>
      </c>
    </row>
    <row r="77" spans="1:13" ht="59.25" customHeight="1">
      <c r="A77" s="187" t="str">
        <f>'PLANILHA PÓS ADITIVO'!A68</f>
        <v>6.1.9</v>
      </c>
      <c r="B77" s="221" t="str">
        <f>'PLANILHA PÓS ADITIVO'!C68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77" s="189" t="str">
        <f>'PLANILHA PÓS ADITIVO'!E68</f>
        <v>unid</v>
      </c>
      <c r="D77" s="64"/>
      <c r="E77" s="190">
        <f>'PLANILHA PÓS ADITIVO'!G68</f>
        <v>1149.268554</v>
      </c>
      <c r="F77" s="189">
        <f>'PLANILHA PÓS ADITIVO'!F68</f>
        <v>34</v>
      </c>
      <c r="G77" s="66">
        <f>'MEMORIA DE CALCULO'!L253</f>
        <v>2</v>
      </c>
      <c r="H77" s="66">
        <f>G77+[1]BM_14!H77</f>
        <v>2</v>
      </c>
      <c r="I77" s="65">
        <f t="shared" si="0"/>
        <v>39075.129999999997</v>
      </c>
      <c r="J77" s="67">
        <f t="shared" si="1"/>
        <v>2298.54</v>
      </c>
      <c r="K77" s="67">
        <f t="shared" si="2"/>
        <v>2298.54</v>
      </c>
      <c r="L77" s="27">
        <f t="shared" si="3"/>
        <v>5.882360468154553E-2</v>
      </c>
    </row>
    <row r="78" spans="1:13">
      <c r="A78" s="187" t="str">
        <f>'PLANILHA PÓS ADITIVO'!A69</f>
        <v>6.1.10</v>
      </c>
      <c r="B78" s="221" t="str">
        <f>'PLANILHA PÓS ADITIVO'!C69</f>
        <v>Porta em madeira compensada (canela), lisa e semi-oca, 1,00 x 2,10 m, inclusive batentes e ferragens.</v>
      </c>
      <c r="C78" s="189" t="str">
        <f>'PLANILHA PÓS ADITIVO'!E69</f>
        <v>unid</v>
      </c>
      <c r="D78" s="64"/>
      <c r="E78" s="190">
        <f>'PLANILHA PÓS ADITIVO'!G69</f>
        <v>1016.1044459999999</v>
      </c>
      <c r="F78" s="267">
        <f>'PLANILHA PÓS ADITIVO'!F69</f>
        <v>0</v>
      </c>
      <c r="G78" s="64"/>
      <c r="H78" s="66">
        <f>G78+[1]BM_14!H78</f>
        <v>0</v>
      </c>
      <c r="I78" s="65">
        <f t="shared" si="0"/>
        <v>0</v>
      </c>
      <c r="J78" s="67">
        <f t="shared" si="1"/>
        <v>0</v>
      </c>
      <c r="K78" s="67">
        <f t="shared" si="2"/>
        <v>0</v>
      </c>
      <c r="L78" s="27"/>
      <c r="M78" s="268" t="s">
        <v>829</v>
      </c>
    </row>
    <row r="79" spans="1:13" ht="25.5">
      <c r="A79" s="187" t="str">
        <f>'PLANILHA PÓS ADITIVO'!A70</f>
        <v>6.1.11</v>
      </c>
      <c r="B79" s="221" t="str">
        <f>'PLANILHA PÓS ADITIVO'!C70</f>
        <v>JANELA FIXA DE ALUMÍNIO PARA VIDRO, COM VIDRO, BATENTE E FERRAGENS. EXCLUSIVE ACABAMENTO, ALIZAR E CONTRAMARCO. FORNECIMENTO E INSTALAÇÃO. AF_12/2019</v>
      </c>
      <c r="C79" s="189" t="str">
        <f>'PLANILHA PÓS ADITIVO'!E70</f>
        <v>M2</v>
      </c>
      <c r="D79" s="64"/>
      <c r="E79" s="190">
        <f>'PLANILHA PÓS ADITIVO'!G70</f>
        <v>1647.3500000000001</v>
      </c>
      <c r="F79" s="189">
        <f>'PLANILHA PÓS ADITIVO'!F70</f>
        <v>17.490000000000002</v>
      </c>
      <c r="G79" s="66"/>
      <c r="H79" s="66">
        <f>G79+[1]BM_14!H79</f>
        <v>17.41</v>
      </c>
      <c r="I79" s="65">
        <f t="shared" si="0"/>
        <v>28812.15</v>
      </c>
      <c r="J79" s="67">
        <f t="shared" si="1"/>
        <v>0</v>
      </c>
      <c r="K79" s="67">
        <f t="shared" si="2"/>
        <v>28680.36</v>
      </c>
      <c r="L79" s="27">
        <f t="shared" si="3"/>
        <v>0.99542588803681775</v>
      </c>
    </row>
    <row r="80" spans="1:13" ht="45.75" customHeight="1">
      <c r="A80" s="187" t="str">
        <f>'PLANILHA PÓS ADITIVO'!A71</f>
        <v>6.1.12</v>
      </c>
      <c r="B80" s="221" t="str">
        <f>'PLANILHA PÓS ADITIVO'!C71</f>
        <v>Gradil em alumínio anodizado branco, com barras de apoio em alumínio anodizado branco de 1"x2" horizontais a cada 5cm com 1,85m e barras externas verticais em alumínio anodizado branco de 1.1/2" x 1.1/2" com 3,05m - Fixado com rebite</v>
      </c>
      <c r="C80" s="189" t="str">
        <f>'PLANILHA PÓS ADITIVO'!E71</f>
        <v>m2</v>
      </c>
      <c r="D80" s="64"/>
      <c r="E80" s="190">
        <f>'PLANILHA PÓS ADITIVO'!G71</f>
        <v>592.45000000000005</v>
      </c>
      <c r="F80" s="189">
        <f>'PLANILHA PÓS ADITIVO'!F71</f>
        <v>5.5</v>
      </c>
      <c r="G80" s="66"/>
      <c r="H80" s="66">
        <f>G80+[1]BM_14!H80</f>
        <v>0</v>
      </c>
      <c r="I80" s="65">
        <f t="shared" si="0"/>
        <v>3258.48</v>
      </c>
      <c r="J80" s="67">
        <f t="shared" si="1"/>
        <v>0</v>
      </c>
      <c r="K80" s="67">
        <f t="shared" si="2"/>
        <v>0</v>
      </c>
      <c r="L80" s="27">
        <f t="shared" si="3"/>
        <v>0</v>
      </c>
    </row>
    <row r="81" spans="1:12" ht="36" customHeight="1">
      <c r="A81" s="187" t="str">
        <f>'PLANILHA PÓS ADITIVO'!A72</f>
        <v>6.1.13</v>
      </c>
      <c r="B81" s="221" t="str">
        <f>'PLANILHA PÓS ADITIVO'!C72</f>
        <v>Portão em alumínio, cor N/B/P, em perfís búzio quadrado ou lambril, completo inclusive rodízios, perfís e fechadura</v>
      </c>
      <c r="C81" s="189" t="str">
        <f>'PLANILHA PÓS ADITIVO'!E72</f>
        <v>m2</v>
      </c>
      <c r="D81" s="64"/>
      <c r="E81" s="190">
        <f>'PLANILHA PÓS ADITIVO'!G72</f>
        <v>401.54</v>
      </c>
      <c r="F81" s="189">
        <f>'PLANILHA PÓS ADITIVO'!F72</f>
        <v>14.775</v>
      </c>
      <c r="G81" s="64"/>
      <c r="H81" s="66">
        <f>G81+[1]BM_14!H81</f>
        <v>0</v>
      </c>
      <c r="I81" s="65">
        <f t="shared" si="0"/>
        <v>5932.75</v>
      </c>
      <c r="J81" s="67">
        <f t="shared" si="1"/>
        <v>0</v>
      </c>
      <c r="K81" s="67">
        <f t="shared" si="2"/>
        <v>0</v>
      </c>
      <c r="L81" s="27">
        <f t="shared" si="3"/>
        <v>0</v>
      </c>
    </row>
    <row r="82" spans="1:12">
      <c r="A82" s="232" t="str">
        <f>'PLANILHA PÓS ADITIVO'!A73</f>
        <v>6.1.14</v>
      </c>
      <c r="B82" s="221" t="str">
        <f>'PLANILHA PÓS ADITIVO'!C73</f>
        <v>Revestimento com chapa em fórmica brilhante, esp. = 1,3 mm, colada c/ formicola ou similar</v>
      </c>
      <c r="C82" s="233" t="str">
        <f>'PLANILHA PÓS ADITIVO'!E73</f>
        <v>m2</v>
      </c>
      <c r="D82" s="69"/>
      <c r="E82" s="234">
        <f>'PLANILHA PÓS ADITIVO'!G73</f>
        <v>105.72</v>
      </c>
      <c r="F82" s="233">
        <f>'PLANILHA PÓS ADITIVO'!F73</f>
        <v>110.85000000000001</v>
      </c>
      <c r="G82" s="39">
        <f>'MEMORIA DE CALCULO'!L269</f>
        <v>32.340000000000003</v>
      </c>
      <c r="H82" s="66">
        <f>G82+[1]BM_14!H82</f>
        <v>32.340000000000003</v>
      </c>
      <c r="I82" s="22">
        <f t="shared" si="0"/>
        <v>11719.06</v>
      </c>
      <c r="J82" s="235">
        <f t="shared" si="1"/>
        <v>3418.98</v>
      </c>
      <c r="K82" s="235">
        <f t="shared" si="2"/>
        <v>3418.98</v>
      </c>
      <c r="L82" s="236">
        <f t="shared" si="3"/>
        <v>0.29174524236585531</v>
      </c>
    </row>
    <row r="83" spans="1:12">
      <c r="A83" s="232" t="str">
        <f>'PLANILHA PÓS ADITIVO'!A74</f>
        <v>6.1.15</v>
      </c>
      <c r="B83" s="221" t="str">
        <f>'PLANILHA PÓS ADITIVO'!C74</f>
        <v>Batente em madeira de lei l = 0,14 m (caixão), incluindo 02 jogos de alizar</v>
      </c>
      <c r="C83" s="233" t="str">
        <f>'PLANILHA PÓS ADITIVO'!E74</f>
        <v>m</v>
      </c>
      <c r="D83" s="69"/>
      <c r="E83" s="234">
        <f>'PLANILHA PÓS ADITIVO'!G74</f>
        <v>80.109999999999985</v>
      </c>
      <c r="F83" s="233">
        <f>'PLANILHA PÓS ADITIVO'!F74</f>
        <v>20.2</v>
      </c>
      <c r="G83" s="39">
        <v>-20.2</v>
      </c>
      <c r="H83" s="66">
        <f>G83+[1]BM_14!H83</f>
        <v>0</v>
      </c>
      <c r="I83" s="22">
        <f t="shared" si="0"/>
        <v>1618.22</v>
      </c>
      <c r="J83" s="235">
        <f t="shared" si="1"/>
        <v>-1618.22</v>
      </c>
      <c r="K83" s="235">
        <f t="shared" si="2"/>
        <v>0</v>
      </c>
      <c r="L83" s="236">
        <f t="shared" si="3"/>
        <v>0</v>
      </c>
    </row>
    <row r="84" spans="1:12">
      <c r="A84" s="232" t="str">
        <f>'PLANILHA PÓS ADITIVO'!A75</f>
        <v>6.1.16</v>
      </c>
      <c r="B84" s="221" t="str">
        <f>'PLANILHA PÓS ADITIVO'!C75</f>
        <v>INSTALAÇÃO DE VIDRO LISO, E = 4 MM, EM ESQUADRIA DE MADEIRA, FIXADO COM BAGUETE. AF_01/2021</v>
      </c>
      <c r="C84" s="233" t="str">
        <f>'PLANILHA PÓS ADITIVO'!E75</f>
        <v>M2</v>
      </c>
      <c r="D84" s="69"/>
      <c r="E84" s="234">
        <f>'PLANILHA PÓS ADITIVO'!G75</f>
        <v>270.79000000000002</v>
      </c>
      <c r="F84" s="233">
        <f>'PLANILHA PÓS ADITIVO'!F75</f>
        <v>4.9799999999999995</v>
      </c>
      <c r="G84" s="69"/>
      <c r="H84" s="66">
        <f>G84+[1]BM_14!H84</f>
        <v>0</v>
      </c>
      <c r="I84" s="22">
        <f t="shared" ref="I84:I147" si="4">ROUND(E84*F84,2)</f>
        <v>1348.53</v>
      </c>
      <c r="J84" s="235">
        <f t="shared" si="1"/>
        <v>0</v>
      </c>
      <c r="K84" s="235">
        <f t="shared" si="2"/>
        <v>0</v>
      </c>
      <c r="L84" s="236">
        <f t="shared" si="3"/>
        <v>0</v>
      </c>
    </row>
    <row r="85" spans="1:12" ht="41.25" customHeight="1">
      <c r="A85" s="232" t="str">
        <f>'PLANILHA PÓS ADITIVO'!A76</f>
        <v>6.1.17</v>
      </c>
      <c r="B85" s="221" t="str">
        <f>'PLANILHA PÓS ADITIVO'!C76</f>
        <v>Porta em madeira compensada (canela), lisa, semi-ôca, 1.20 x 2.10 m, revestida c/fórmica, inclusive batentes e ferragens</v>
      </c>
      <c r="C85" s="233" t="str">
        <f>'PLANILHA PÓS ADITIVO'!E76</f>
        <v>un</v>
      </c>
      <c r="D85" s="69"/>
      <c r="E85" s="234">
        <f>'PLANILHA PÓS ADITIVO'!G76</f>
        <v>1767.96</v>
      </c>
      <c r="F85" s="233">
        <f>'PLANILHA PÓS ADITIVO'!F76</f>
        <v>3</v>
      </c>
      <c r="G85" s="39">
        <f>'MEMORIA DE CALCULO'!L257</f>
        <v>2</v>
      </c>
      <c r="H85" s="66">
        <f>G85+[1]BM_14!H85</f>
        <v>2</v>
      </c>
      <c r="I85" s="22">
        <f t="shared" si="4"/>
        <v>5303.88</v>
      </c>
      <c r="J85" s="235">
        <f t="shared" si="1"/>
        <v>3535.92</v>
      </c>
      <c r="K85" s="235">
        <f t="shared" si="2"/>
        <v>3535.92</v>
      </c>
      <c r="L85" s="236">
        <f t="shared" si="3"/>
        <v>0.66666666666666663</v>
      </c>
    </row>
    <row r="86" spans="1:12" ht="34.5" customHeight="1">
      <c r="A86" s="232" t="str">
        <f>'PLANILHA PÓS ADITIVO'!A77</f>
        <v>6.1.18</v>
      </c>
      <c r="B86" s="221" t="str">
        <f>'PLANILHA PÓS ADITIVO'!C77</f>
        <v>Porta em madeira compensada (canela), lisa, semi-ôca, 1.40 x 2.10 m, com duas folhas, inclusive batentes e ferragens</v>
      </c>
      <c r="C86" s="233" t="str">
        <f>'PLANILHA PÓS ADITIVO'!E77</f>
        <v>un</v>
      </c>
      <c r="D86" s="69"/>
      <c r="E86" s="234">
        <f>'PLANILHA PÓS ADITIVO'!G77</f>
        <v>1561.3099999999997</v>
      </c>
      <c r="F86" s="233">
        <f>'PLANILHA PÓS ADITIVO'!F77</f>
        <v>4</v>
      </c>
      <c r="G86" s="39">
        <f>'MEMORIA DE CALCULO'!L261</f>
        <v>0</v>
      </c>
      <c r="H86" s="66">
        <f>G86+[1]BM_14!H86</f>
        <v>0</v>
      </c>
      <c r="I86" s="22">
        <f t="shared" si="4"/>
        <v>6245.24</v>
      </c>
      <c r="J86" s="235">
        <f t="shared" si="1"/>
        <v>0</v>
      </c>
      <c r="K86" s="235">
        <f t="shared" si="2"/>
        <v>0</v>
      </c>
      <c r="L86" s="236">
        <f t="shared" si="3"/>
        <v>0</v>
      </c>
    </row>
    <row r="87" spans="1:12" ht="29.25" customHeight="1">
      <c r="A87" s="232" t="str">
        <f>'PLANILHA PÓS ADITIVO'!A78</f>
        <v>6.1.19</v>
      </c>
      <c r="B87" s="221" t="str">
        <f>'PLANILHA PÓS ADITIVO'!C78</f>
        <v>Porta em madeira compensada (canela), lisa, semi-ôca, 2.00 x 2.10 m, com duas folhas, inclusive batentes e ferragens</v>
      </c>
      <c r="C87" s="233" t="str">
        <f>'PLANILHA PÓS ADITIVO'!E78</f>
        <v>un</v>
      </c>
      <c r="D87" s="69"/>
      <c r="E87" s="234">
        <f>'PLANILHA PÓS ADITIVO'!G78</f>
        <v>1445.62</v>
      </c>
      <c r="F87" s="233">
        <f>'PLANILHA PÓS ADITIVO'!F78</f>
        <v>3</v>
      </c>
      <c r="G87" s="39">
        <f>'MEMORIA DE CALCULO'!L265</f>
        <v>0</v>
      </c>
      <c r="H87" s="66">
        <f>G87+[1]BM_14!H87</f>
        <v>0</v>
      </c>
      <c r="I87" s="22">
        <f t="shared" si="4"/>
        <v>4336.8599999999997</v>
      </c>
      <c r="J87" s="235"/>
      <c r="K87" s="235"/>
      <c r="L87" s="236"/>
    </row>
    <row r="88" spans="1:12">
      <c r="A88" s="187"/>
      <c r="B88" s="186"/>
      <c r="C88" s="189"/>
      <c r="D88" s="64"/>
      <c r="E88" s="190"/>
      <c r="F88" s="189"/>
      <c r="G88" s="67"/>
      <c r="H88" s="66">
        <f>G88+[1]BM_14!H88</f>
        <v>0</v>
      </c>
      <c r="I88" s="65"/>
      <c r="J88" s="67"/>
      <c r="K88" s="67"/>
      <c r="L88" s="27"/>
    </row>
    <row r="89" spans="1:12">
      <c r="A89" s="193" t="str">
        <f>'PLANILHA PÓS ADITIVO'!A80</f>
        <v>6.2</v>
      </c>
      <c r="B89" s="194" t="str">
        <f>'PLANILHA PÓS ADITIVO'!C80</f>
        <v>VIDRO</v>
      </c>
      <c r="C89" s="199"/>
      <c r="D89" s="118"/>
      <c r="E89" s="200"/>
      <c r="F89" s="199"/>
      <c r="G89" s="201"/>
      <c r="H89" s="66">
        <f>G89+[1]BM_14!H89</f>
        <v>0</v>
      </c>
      <c r="I89" s="120"/>
      <c r="J89" s="202"/>
      <c r="K89" s="202"/>
      <c r="L89" s="203"/>
    </row>
    <row r="90" spans="1:12">
      <c r="A90" s="187" t="str">
        <f>'PLANILHA PÓS ADITIVO'!A81</f>
        <v>6.2.1</v>
      </c>
      <c r="B90" s="186" t="str">
        <f>'PLANILHA PÓS ADITIVO'!C81</f>
        <v>Porta em vidro temperado 10mm, incolor,inclusive ferragens de fixação e instalação, exclusive puxador.</v>
      </c>
      <c r="C90" s="189" t="str">
        <f>'PLANILHA PÓS ADITIVO'!E81</f>
        <v>m²</v>
      </c>
      <c r="D90" s="64"/>
      <c r="E90" s="190">
        <f>'PLANILHA PÓS ADITIVO'!G81</f>
        <v>668.37846600000012</v>
      </c>
      <c r="F90" s="189">
        <f>'PLANILHA PÓS ADITIVO'!F81</f>
        <v>23.1</v>
      </c>
      <c r="G90" s="66"/>
      <c r="H90" s="66">
        <f>G90+[1]BM_14!H90</f>
        <v>6.2825000000000006</v>
      </c>
      <c r="I90" s="65">
        <f t="shared" si="4"/>
        <v>15439.54</v>
      </c>
      <c r="J90" s="67">
        <f t="shared" si="1"/>
        <v>0</v>
      </c>
      <c r="K90" s="67">
        <f t="shared" si="2"/>
        <v>4199.09</v>
      </c>
      <c r="L90" s="27">
        <f t="shared" si="3"/>
        <v>0.27196989029465901</v>
      </c>
    </row>
    <row r="91" spans="1:12" ht="25.5">
      <c r="A91" s="187" t="str">
        <f>'PLANILHA PÓS ADITIVO'!A82</f>
        <v>6.2.2</v>
      </c>
      <c r="B91" s="186" t="str">
        <f>'PLANILHA PÓS ADITIVO'!C82</f>
        <v>PORTA DE CORRER DE ALUMÍNIO, COM DUAS FOLHAS PARA VIDRO, INCLUSO VIDRO LISO INCOLOR, FECHADURA E PUXADOR, SEM ALIZAR. AF_12/2019</v>
      </c>
      <c r="C91" s="189" t="str">
        <f>'PLANILHA PÓS ADITIVO'!E82</f>
        <v>m²</v>
      </c>
      <c r="D91" s="64"/>
      <c r="E91" s="190">
        <f>'PLANILHA PÓS ADITIVO'!G82</f>
        <v>591.96992399999999</v>
      </c>
      <c r="F91" s="189">
        <f>'PLANILHA PÓS ADITIVO'!F82</f>
        <v>25.08</v>
      </c>
      <c r="G91" s="66"/>
      <c r="H91" s="66">
        <f>G91+[1]BM_14!H91</f>
        <v>0</v>
      </c>
      <c r="I91" s="65">
        <f t="shared" si="4"/>
        <v>14846.61</v>
      </c>
      <c r="J91" s="67">
        <f t="shared" si="1"/>
        <v>0</v>
      </c>
      <c r="K91" s="67">
        <f t="shared" si="2"/>
        <v>0</v>
      </c>
      <c r="L91" s="27">
        <f t="shared" si="3"/>
        <v>0</v>
      </c>
    </row>
    <row r="92" spans="1:12">
      <c r="A92" s="187" t="str">
        <f>'PLANILHA PÓS ADITIVO'!A83</f>
        <v>6.2.3</v>
      </c>
      <c r="B92" s="221" t="str">
        <f>'PLANILHA PÓS ADITIVO'!C83</f>
        <v>Fornecimento e instalação de fachada em pele de vidro, em vidro laminado 3+3 refletivo</v>
      </c>
      <c r="C92" s="189" t="str">
        <f>'PLANILHA PÓS ADITIVO'!E83</f>
        <v>m²</v>
      </c>
      <c r="D92" s="64"/>
      <c r="E92" s="190">
        <f>'PLANILHA PÓS ADITIVO'!G83</f>
        <v>1850.25</v>
      </c>
      <c r="F92" s="189">
        <f>'PLANILHA PÓS ADITIVO'!F83</f>
        <v>16.149999999999999</v>
      </c>
      <c r="G92" s="66">
        <f>'MEMORIA DE CALCULO'!L278</f>
        <v>7.7512499999999989</v>
      </c>
      <c r="H92" s="66">
        <f>G92+[1]BM_14!H92</f>
        <v>7.7512499999999989</v>
      </c>
      <c r="I92" s="65">
        <f t="shared" si="4"/>
        <v>29881.54</v>
      </c>
      <c r="J92" s="67">
        <f t="shared" ref="J92" si="5">ROUND(E92*G92,2)</f>
        <v>14341.75</v>
      </c>
      <c r="K92" s="67">
        <f t="shared" ref="K92" si="6">ROUND(E92*H92,2)</f>
        <v>14341.75</v>
      </c>
      <c r="L92" s="27">
        <f t="shared" ref="L92" si="7">K92/I92</f>
        <v>0.47995350975886786</v>
      </c>
    </row>
    <row r="93" spans="1:12">
      <c r="A93" s="187"/>
      <c r="B93" s="186"/>
      <c r="C93" s="189"/>
      <c r="D93" s="64"/>
      <c r="E93" s="190"/>
      <c r="F93" s="189"/>
      <c r="G93" s="64"/>
      <c r="H93" s="66">
        <f>G93+[1]BM_14!H93</f>
        <v>0</v>
      </c>
      <c r="I93" s="65"/>
      <c r="J93" s="67"/>
      <c r="K93" s="67"/>
      <c r="L93" s="27"/>
    </row>
    <row r="94" spans="1:12">
      <c r="A94" s="193" t="str">
        <f>'PLANILHA PÓS ADITIVO'!A85</f>
        <v>6.3</v>
      </c>
      <c r="B94" s="194" t="str">
        <f>'PLANILHA PÓS ADITIVO'!C85</f>
        <v>FERRAGENS</v>
      </c>
      <c r="C94" s="199"/>
      <c r="D94" s="118"/>
      <c r="E94" s="200"/>
      <c r="F94" s="199"/>
      <c r="G94" s="201"/>
      <c r="H94" s="66">
        <f>G94+[1]BM_14!H94</f>
        <v>0</v>
      </c>
      <c r="I94" s="120"/>
      <c r="J94" s="202"/>
      <c r="K94" s="202"/>
      <c r="L94" s="203"/>
    </row>
    <row r="95" spans="1:12">
      <c r="A95" s="187" t="str">
        <f>'PLANILHA PÓS ADITIVO'!A86</f>
        <v>6.3.1</v>
      </c>
      <c r="B95" s="186" t="str">
        <f>'PLANILHA PÓS ADITIVO'!C86</f>
        <v>Puxador duplo para porta, em alumínio polido, d = 1", I = 40mm, ref. 3008, Vesfer</v>
      </c>
      <c r="C95" s="189" t="str">
        <f>'PLANILHA PÓS ADITIVO'!E86</f>
        <v>unid</v>
      </c>
      <c r="D95" s="64"/>
      <c r="E95" s="190">
        <f>'PLANILHA PÓS ADITIVO'!G86</f>
        <v>254.336355</v>
      </c>
      <c r="F95" s="189">
        <f>'PLANILHA PÓS ADITIVO'!F86</f>
        <v>2</v>
      </c>
      <c r="G95" s="64"/>
      <c r="H95" s="66">
        <f>G95+[1]BM_14!H95</f>
        <v>0</v>
      </c>
      <c r="I95" s="65">
        <f t="shared" si="4"/>
        <v>508.67</v>
      </c>
      <c r="J95" s="67">
        <f t="shared" ref="J95:J158" si="8">ROUND(E95*G95,2)</f>
        <v>0</v>
      </c>
      <c r="K95" s="67">
        <f t="shared" ref="K95:K158" si="9">ROUND(E95*H95,2)</f>
        <v>0</v>
      </c>
      <c r="L95" s="27">
        <f t="shared" ref="L95:L158" si="10">K95/I95</f>
        <v>0</v>
      </c>
    </row>
    <row r="96" spans="1:12">
      <c r="A96" s="187" t="str">
        <f>'PLANILHA PÓS ADITIVO'!A87</f>
        <v>6.3.2</v>
      </c>
      <c r="B96" s="186" t="str">
        <f>'PLANILHA PÓS ADITIVO'!C87</f>
        <v>TARJETA TIPO LIVRE/OCUPADO PARA PORTA DE BANHEIRO. AF_12/2019</v>
      </c>
      <c r="C96" s="189" t="str">
        <f>'PLANILHA PÓS ADITIVO'!E87</f>
        <v>unid</v>
      </c>
      <c r="D96" s="64"/>
      <c r="E96" s="190">
        <f>'PLANILHA PÓS ADITIVO'!G87</f>
        <v>83.449170000000009</v>
      </c>
      <c r="F96" s="189">
        <f>'PLANILHA PÓS ADITIVO'!F87</f>
        <v>6</v>
      </c>
      <c r="G96" s="64"/>
      <c r="H96" s="66">
        <f>G96+[1]BM_14!H96</f>
        <v>0</v>
      </c>
      <c r="I96" s="65">
        <f t="shared" si="4"/>
        <v>500.7</v>
      </c>
      <c r="J96" s="67">
        <f t="shared" si="8"/>
        <v>0</v>
      </c>
      <c r="K96" s="67">
        <f t="shared" si="9"/>
        <v>0</v>
      </c>
      <c r="L96" s="27">
        <f t="shared" si="10"/>
        <v>0</v>
      </c>
    </row>
    <row r="97" spans="1:13">
      <c r="A97" s="187"/>
      <c r="B97" s="186"/>
      <c r="C97" s="189"/>
      <c r="D97" s="64"/>
      <c r="E97" s="190"/>
      <c r="F97" s="189"/>
      <c r="G97" s="64"/>
      <c r="H97" s="66">
        <f>G97+[1]BM_14!H97</f>
        <v>0</v>
      </c>
      <c r="I97" s="65"/>
      <c r="J97" s="67"/>
      <c r="K97" s="67"/>
      <c r="L97" s="27"/>
    </row>
    <row r="98" spans="1:13">
      <c r="A98" s="193">
        <f>'PLANILHA PÓS ADITIVO'!A89</f>
        <v>7</v>
      </c>
      <c r="B98" s="194" t="str">
        <f>'PLANILHA PÓS ADITIVO'!C89</f>
        <v>REVESTIMENTO</v>
      </c>
      <c r="C98" s="199"/>
      <c r="D98" s="118"/>
      <c r="E98" s="200"/>
      <c r="F98" s="199"/>
      <c r="G98" s="201"/>
      <c r="H98" s="66">
        <f>G98+[1]BM_14!H98</f>
        <v>0</v>
      </c>
      <c r="I98" s="120"/>
      <c r="J98" s="202"/>
      <c r="K98" s="202"/>
      <c r="L98" s="203"/>
    </row>
    <row r="99" spans="1:13" ht="38.25">
      <c r="A99" s="187" t="str">
        <f>'PLANILHA PÓS ADITIVO'!A90</f>
        <v>7.1</v>
      </c>
      <c r="B99" s="186" t="str">
        <f>'PLANILHA PÓS ADITIVO'!C90</f>
        <v>MASSA ÚNICA, PARA RECEBIMENTO DE PINTURA, EM ARGAMASSA TRAÇO 1:2:8, PREPARO MECÂNICO COM BETONEIRA 400L, APLICADA MANUALMENTE EM FACES INTERNAS DE PAREDES, ESPESSURA DE 20MM, COM EXECUÇÃO DE TALISCAS. AF_06/2014</v>
      </c>
      <c r="C99" s="189" t="str">
        <f>'PLANILHA PÓS ADITIVO'!E90</f>
        <v>m²</v>
      </c>
      <c r="D99" s="64"/>
      <c r="E99" s="190">
        <f>'PLANILHA PÓS ADITIVO'!G90</f>
        <v>31.619510999999999</v>
      </c>
      <c r="F99" s="189">
        <f>'PLANILHA PÓS ADITIVO'!F90</f>
        <v>1029.4899999999998</v>
      </c>
      <c r="G99" s="66"/>
      <c r="H99" s="66">
        <f>G99+[1]BM_14!H99</f>
        <v>1028.73</v>
      </c>
      <c r="I99" s="65">
        <f t="shared" si="4"/>
        <v>32551.97</v>
      </c>
      <c r="J99" s="67">
        <f t="shared" si="8"/>
        <v>0</v>
      </c>
      <c r="K99" s="67">
        <f t="shared" si="9"/>
        <v>32527.94</v>
      </c>
      <c r="L99" s="27">
        <f t="shared" si="10"/>
        <v>0.99926179582986829</v>
      </c>
    </row>
    <row r="100" spans="1:13" ht="25.5">
      <c r="A100" s="187" t="str">
        <f>'PLANILHA PÓS ADITIVO'!A91</f>
        <v>7.2</v>
      </c>
      <c r="B100" s="186" t="str">
        <f>'PLANILHA PÓS ADITIVO'!C91</f>
        <v>CHAPISCO APLICADO EM ALVENARIAS E ESTRUTURAS DE CONCRETO INTERNAS, COM COLHER DE PEDREIRO.  ARGAMASSA TRAÇO 1:3 COM PREPARO EM BETONEIRA 400L. AF_06/2014</v>
      </c>
      <c r="C100" s="189" t="str">
        <f>'PLANILHA PÓS ADITIVO'!E91</f>
        <v>m²</v>
      </c>
      <c r="D100" s="64"/>
      <c r="E100" s="190">
        <f>'PLANILHA PÓS ADITIVO'!G91</f>
        <v>3.7862370000000003</v>
      </c>
      <c r="F100" s="189">
        <f>'PLANILHA PÓS ADITIVO'!F91</f>
        <v>1029.4899999999998</v>
      </c>
      <c r="G100" s="66"/>
      <c r="H100" s="66">
        <f>G100+[1]BM_14!H100</f>
        <v>1028.73</v>
      </c>
      <c r="I100" s="65">
        <f t="shared" si="4"/>
        <v>3897.89</v>
      </c>
      <c r="J100" s="67">
        <f t="shared" si="8"/>
        <v>0</v>
      </c>
      <c r="K100" s="67">
        <f t="shared" si="9"/>
        <v>3895.02</v>
      </c>
      <c r="L100" s="27">
        <f t="shared" si="10"/>
        <v>0.99926370420920041</v>
      </c>
    </row>
    <row r="101" spans="1:13" ht="25.5">
      <c r="A101" s="187" t="str">
        <f>'PLANILHA PÓS ADITIVO'!A92</f>
        <v>7.3</v>
      </c>
      <c r="B101" s="186" t="str">
        <f>'PLANILHA PÓS ADITIVO'!C92</f>
        <v>REVESTIMENTO CERÂMICO PARA PAREDES INTERNAS COM PLACAS TIPO ESMALTADA EXTRA DE DIMENSÕES 33X45 CM APLICADAS EM AMBIENTES DE ÁREA MAIOR QUE 5 M² NA ALTURA INTEIRA DAS PAREDES. AF_06/2014</v>
      </c>
      <c r="C101" s="189" t="str">
        <f>'PLANILHA PÓS ADITIVO'!E92</f>
        <v>m²</v>
      </c>
      <c r="D101" s="64"/>
      <c r="E101" s="190">
        <f>'PLANILHA PÓS ADITIVO'!G92</f>
        <v>77.712830999999994</v>
      </c>
      <c r="F101" s="189">
        <f>'PLANILHA PÓS ADITIVO'!F92</f>
        <v>423.52</v>
      </c>
      <c r="G101" s="66"/>
      <c r="H101" s="66">
        <f>G101+[1]BM_14!H101</f>
        <v>423.52</v>
      </c>
      <c r="I101" s="65">
        <f t="shared" si="4"/>
        <v>32912.94</v>
      </c>
      <c r="J101" s="67">
        <f t="shared" si="8"/>
        <v>0</v>
      </c>
      <c r="K101" s="67">
        <f t="shared" si="9"/>
        <v>32912.94</v>
      </c>
      <c r="L101" s="27">
        <f t="shared" si="10"/>
        <v>1</v>
      </c>
    </row>
    <row r="102" spans="1:13">
      <c r="A102" s="187" t="str">
        <f>'PLANILHA PÓS ADITIVO'!A93</f>
        <v>7.4</v>
      </c>
      <c r="B102" s="186" t="str">
        <f>'PLANILHA PÓS ADITIVO'!C93</f>
        <v>Revestrimento ceramico( porcelanato) 90x90</v>
      </c>
      <c r="C102" s="189" t="str">
        <f>'PLANILHA PÓS ADITIVO'!E93</f>
        <v>m²</v>
      </c>
      <c r="D102" s="64"/>
      <c r="E102" s="190">
        <f>'PLANILHA PÓS ADITIVO'!G93</f>
        <v>507.91293000000002</v>
      </c>
      <c r="F102" s="267">
        <f>'PLANILHA PÓS ADITIVO'!F93</f>
        <v>0</v>
      </c>
      <c r="G102" s="66"/>
      <c r="H102" s="66">
        <f>G102+[1]BM_14!H102</f>
        <v>0</v>
      </c>
      <c r="I102" s="65">
        <f t="shared" si="4"/>
        <v>0</v>
      </c>
      <c r="J102" s="67">
        <f t="shared" si="8"/>
        <v>0</v>
      </c>
      <c r="K102" s="67">
        <f t="shared" si="9"/>
        <v>0</v>
      </c>
      <c r="L102" s="27"/>
      <c r="M102" s="268" t="s">
        <v>829</v>
      </c>
    </row>
    <row r="103" spans="1:13" ht="25.5">
      <c r="A103" s="187" t="str">
        <f>'PLANILHA PÓS ADITIVO'!A94</f>
        <v>7.5</v>
      </c>
      <c r="B103" s="186" t="str">
        <f>'PLANILHA PÓS ADITIVO'!C94</f>
        <v>Revestimento metálico em alumínio composto (Alucobond ou similar) dobrado, e=0,3mm, na cor cobre, 1,00 nx 1,00m, exclusive estrutura metálica - fornecimento e montagem - Obra do Centro de Convenções de Sergipe</v>
      </c>
      <c r="C103" s="189" t="str">
        <f>'PLANILHA PÓS ADITIVO'!E94</f>
        <v>m²</v>
      </c>
      <c r="D103" s="64"/>
      <c r="E103" s="190">
        <f>'PLANILHA PÓS ADITIVO'!G94</f>
        <v>317.84908774500002</v>
      </c>
      <c r="F103" s="189">
        <f>'PLANILHA PÓS ADITIVO'!F94</f>
        <v>116.74</v>
      </c>
      <c r="G103" s="66"/>
      <c r="H103" s="66">
        <f>G103+[1]BM_14!H103</f>
        <v>96.05</v>
      </c>
      <c r="I103" s="65">
        <f t="shared" si="4"/>
        <v>37105.699999999997</v>
      </c>
      <c r="J103" s="67">
        <f t="shared" si="8"/>
        <v>0</v>
      </c>
      <c r="K103" s="67">
        <f t="shared" si="9"/>
        <v>30529.4</v>
      </c>
      <c r="L103" s="27">
        <f t="shared" si="10"/>
        <v>0.82276846953433036</v>
      </c>
    </row>
    <row r="104" spans="1:13" ht="25.5">
      <c r="A104" s="187" t="str">
        <f>'PLANILHA PÓS ADITIVO'!A95</f>
        <v>7.6</v>
      </c>
      <c r="B104" s="221" t="str">
        <f>'PLANILHA PÓS ADITIVO'!C95</f>
        <v>Revestimento cerâmico para piso ou parede, 45 x 45 cm, c/ piso porcelanato marmore bianco, PORTOBELLO ou similar, PEI 5, aplicado com argamassa industrializada ac-iii, rejuntado, exclusive regularização de base ou emboço</v>
      </c>
      <c r="C104" s="189" t="str">
        <f>'PLANILHA PÓS ADITIVO'!E95</f>
        <v>m²</v>
      </c>
      <c r="D104" s="64"/>
      <c r="E104" s="190">
        <f>'PLANILHA PÓS ADITIVO'!G95</f>
        <v>84.267706319999988</v>
      </c>
      <c r="F104" s="189">
        <f>'PLANILHA PÓS ADITIVO'!F95</f>
        <v>99.65</v>
      </c>
      <c r="G104" s="66"/>
      <c r="H104" s="66">
        <f>G104+[1]BM_14!H104</f>
        <v>99.5</v>
      </c>
      <c r="I104" s="65">
        <f t="shared" si="4"/>
        <v>8397.2800000000007</v>
      </c>
      <c r="J104" s="67">
        <f t="shared" si="8"/>
        <v>0</v>
      </c>
      <c r="K104" s="67">
        <f t="shared" si="9"/>
        <v>8384.64</v>
      </c>
      <c r="L104" s="27">
        <f t="shared" si="10"/>
        <v>0.99849475068117277</v>
      </c>
    </row>
    <row r="105" spans="1:13">
      <c r="A105" s="187"/>
      <c r="B105" s="186"/>
      <c r="C105" s="189"/>
      <c r="D105" s="64"/>
      <c r="E105" s="190"/>
      <c r="F105" s="189"/>
      <c r="G105" s="66"/>
      <c r="H105" s="66">
        <f>G105+[1]BM_14!H105</f>
        <v>0</v>
      </c>
      <c r="I105" s="65"/>
      <c r="J105" s="67"/>
      <c r="K105" s="67"/>
      <c r="L105" s="27"/>
    </row>
    <row r="106" spans="1:13">
      <c r="A106" s="193">
        <f>'PLANILHA PÓS ADITIVO'!A97</f>
        <v>8</v>
      </c>
      <c r="B106" s="194" t="str">
        <f>'PLANILHA PÓS ADITIVO'!C97</f>
        <v>PAVIMENTAÇÃO</v>
      </c>
      <c r="C106" s="199"/>
      <c r="D106" s="118"/>
      <c r="E106" s="200"/>
      <c r="F106" s="199"/>
      <c r="G106" s="201"/>
      <c r="H106" s="66">
        <f>G106+[1]BM_14!H106</f>
        <v>0</v>
      </c>
      <c r="I106" s="120"/>
      <c r="J106" s="202"/>
      <c r="K106" s="202"/>
      <c r="L106" s="203"/>
    </row>
    <row r="107" spans="1:13" ht="25.5">
      <c r="A107" s="187" t="str">
        <f>'PLANILHA PÓS ADITIVO'!A98</f>
        <v>8.1</v>
      </c>
      <c r="B107" s="186" t="str">
        <f>'PLANILHA PÓS ADITIVO'!C98</f>
        <v>CONTRAPISO EM ARGAMASSA TRAÇO 1:4 (CIMENTO E AREIA), PREPARO MECÂNICO COM BETONEIRA 400 L, APLICADO EM ÁREAS SECAS SOBRE LAJE, ADERIDO, ACABAMENTO NÃO REFORÇADO, ESPESSURA 2CM. AF_07/2021</v>
      </c>
      <c r="C107" s="189" t="str">
        <f>'PLANILHA PÓS ADITIVO'!E98</f>
        <v>m²</v>
      </c>
      <c r="D107" s="64"/>
      <c r="E107" s="190">
        <f>'PLANILHA PÓS ADITIVO'!G98</f>
        <v>28.238489999999999</v>
      </c>
      <c r="F107" s="189">
        <f>'PLANILHA PÓS ADITIVO'!F98</f>
        <v>774.83</v>
      </c>
      <c r="G107" s="66"/>
      <c r="H107" s="66">
        <f>G107+[1]BM_14!H107</f>
        <v>774.83</v>
      </c>
      <c r="I107" s="65">
        <f t="shared" si="4"/>
        <v>21880.03</v>
      </c>
      <c r="J107" s="67">
        <f t="shared" si="8"/>
        <v>0</v>
      </c>
      <c r="K107" s="67">
        <f t="shared" si="9"/>
        <v>21880.03</v>
      </c>
      <c r="L107" s="27">
        <f t="shared" si="10"/>
        <v>1</v>
      </c>
    </row>
    <row r="108" spans="1:13" ht="25.5">
      <c r="A108" s="187" t="str">
        <f>'PLANILHA PÓS ADITIVO'!A99</f>
        <v>8.2</v>
      </c>
      <c r="B108" s="186" t="str">
        <f>'PLANILHA PÓS ADITIVO'!C99</f>
        <v>REVESTIMENTO CERÂMICO PARA PISO COM PLACAS TIPO PORCELANATO DE DIMENSÕES 60X60 CM APLICADA EM AMBIENTES DE ÁREA MAIOR QUE 10 M². AF_06/2014</v>
      </c>
      <c r="C108" s="189" t="str">
        <f>'PLANILHA PÓS ADITIVO'!E99</f>
        <v>m²</v>
      </c>
      <c r="D108" s="64"/>
      <c r="E108" s="190">
        <f>'PLANILHA PÓS ADITIVO'!G99</f>
        <v>184.01871599999998</v>
      </c>
      <c r="F108" s="267">
        <f>'PLANILHA PÓS ADITIVO'!F99</f>
        <v>0</v>
      </c>
      <c r="G108" s="66"/>
      <c r="H108" s="66">
        <f>G108+[1]BM_14!H108</f>
        <v>0</v>
      </c>
      <c r="I108" s="65">
        <f t="shared" si="4"/>
        <v>0</v>
      </c>
      <c r="J108" s="67">
        <f t="shared" si="8"/>
        <v>0</v>
      </c>
      <c r="K108" s="67">
        <f t="shared" si="9"/>
        <v>0</v>
      </c>
      <c r="L108" s="27"/>
      <c r="M108" s="268" t="s">
        <v>829</v>
      </c>
    </row>
    <row r="109" spans="1:13">
      <c r="A109" s="187" t="str">
        <f>'PLANILHA PÓS ADITIVO'!A100</f>
        <v>8.3</v>
      </c>
      <c r="B109" s="186" t="str">
        <f>'PLANILHA PÓS ADITIVO'!C100</f>
        <v>PLANTIO DE GRAMA EM PLACAS. AF_05/2018</v>
      </c>
      <c r="C109" s="189" t="str">
        <f>'PLANILHA PÓS ADITIVO'!E100</f>
        <v>m²</v>
      </c>
      <c r="D109" s="64"/>
      <c r="E109" s="190">
        <f>'PLANILHA PÓS ADITIVO'!G100</f>
        <v>16.550540999999999</v>
      </c>
      <c r="F109" s="189">
        <f>'PLANILHA PÓS ADITIVO'!F100</f>
        <v>176.89</v>
      </c>
      <c r="G109" s="66"/>
      <c r="H109" s="66">
        <f>G109+[1]BM_14!H109</f>
        <v>0</v>
      </c>
      <c r="I109" s="65">
        <f t="shared" si="4"/>
        <v>2927.63</v>
      </c>
      <c r="J109" s="67">
        <f t="shared" si="8"/>
        <v>0</v>
      </c>
      <c r="K109" s="67">
        <f t="shared" si="9"/>
        <v>0</v>
      </c>
      <c r="L109" s="27">
        <f t="shared" si="10"/>
        <v>0</v>
      </c>
    </row>
    <row r="110" spans="1:13" ht="48.75" customHeight="1">
      <c r="A110" s="187" t="str">
        <f>'PLANILHA PÓS ADITIVO'!A101</f>
        <v>8.4</v>
      </c>
      <c r="B110" s="186" t="str">
        <f>'PLANILHA PÓS ADITIVO'!C101</f>
        <v>RECOMPOSIÇÃO DE PAVIMENTO EM PARALELEPÍPEDOS, REJUNTAMENTO COM ARGAMASSA, COM REAPROVEITAMENTO DOS PARALELEPÍPEDOS, PARA O FECHAMENTO DE VALAS - INCLUSO RETIRADA E COLOCAÇÃO DO MATERIAL. AF_12/2020</v>
      </c>
      <c r="C110" s="189" t="str">
        <f>'PLANILHA PÓS ADITIVO'!E101</f>
        <v>m²</v>
      </c>
      <c r="D110" s="64"/>
      <c r="E110" s="190">
        <f>'PLANILHA PÓS ADITIVO'!G101</f>
        <v>57.312737999999996</v>
      </c>
      <c r="F110" s="189">
        <f>'PLANILHA PÓS ADITIVO'!F101</f>
        <v>155.13</v>
      </c>
      <c r="G110" s="66"/>
      <c r="H110" s="66">
        <f>G110+[1]BM_14!H110</f>
        <v>155.13</v>
      </c>
      <c r="I110" s="65">
        <f t="shared" si="4"/>
        <v>8890.93</v>
      </c>
      <c r="J110" s="67">
        <f t="shared" si="8"/>
        <v>0</v>
      </c>
      <c r="K110" s="67">
        <f t="shared" si="9"/>
        <v>8890.93</v>
      </c>
      <c r="L110" s="27">
        <f t="shared" si="10"/>
        <v>1</v>
      </c>
    </row>
    <row r="111" spans="1:13" ht="24" customHeight="1">
      <c r="A111" s="187" t="str">
        <f>'PLANILHA PÓS ADITIVO'!A102</f>
        <v>8.5</v>
      </c>
      <c r="B111" s="186" t="str">
        <f>'PLANILHA PÓS ADITIVO'!C102</f>
        <v>LASTRO DE CONCRETO MAGRO, APLICADO EM PISOS, LAJES SOBRE SOLO OU RADIERS, ESPESSURA DE 5 CM. AF_07/2016</v>
      </c>
      <c r="C111" s="189" t="str">
        <f>'PLANILHA PÓS ADITIVO'!E102</f>
        <v>m²</v>
      </c>
      <c r="D111" s="64"/>
      <c r="E111" s="190">
        <f>'PLANILHA PÓS ADITIVO'!G102</f>
        <v>27.809999999999995</v>
      </c>
      <c r="F111" s="189">
        <f>'PLANILHA PÓS ADITIVO'!F102</f>
        <v>736.73</v>
      </c>
      <c r="G111" s="66"/>
      <c r="H111" s="66">
        <f>G111+[1]BM_14!H111</f>
        <v>736.73</v>
      </c>
      <c r="I111" s="65">
        <f t="shared" si="4"/>
        <v>20488.46</v>
      </c>
      <c r="J111" s="67">
        <f t="shared" si="8"/>
        <v>0</v>
      </c>
      <c r="K111" s="67">
        <f t="shared" si="9"/>
        <v>20488.46</v>
      </c>
      <c r="L111" s="27">
        <f t="shared" si="10"/>
        <v>1</v>
      </c>
    </row>
    <row r="112" spans="1:13" ht="25.5">
      <c r="A112" s="187" t="s">
        <v>651</v>
      </c>
      <c r="B112" s="186" t="str">
        <f>'PLANILHA PÓS ADITIVO'!C103</f>
        <v>PISO EM GRANILITE, MARMORITE OU GRANITINA, AGREGADO COR PRETO, CINZA, PALHA OU M2 88,00
BRANCO, E= *8* MM (INCLUSO EXECUCAO)</v>
      </c>
      <c r="C112" s="189" t="str">
        <f>'PLANILHA PÓS ADITIVO'!E103</f>
        <v>m²</v>
      </c>
      <c r="D112" s="64"/>
      <c r="E112" s="190">
        <f>'PLANILHA PÓS ADITIVO'!G103</f>
        <v>107.53419599999999</v>
      </c>
      <c r="F112" s="189">
        <f>'PLANILHA PÓS ADITIVO'!F103</f>
        <v>774.83</v>
      </c>
      <c r="G112" s="66"/>
      <c r="H112" s="66">
        <f>G112+[1]BM_14!H112</f>
        <v>774.84</v>
      </c>
      <c r="I112" s="65">
        <f t="shared" si="4"/>
        <v>83320.72</v>
      </c>
      <c r="J112" s="67">
        <f t="shared" si="8"/>
        <v>0</v>
      </c>
      <c r="K112" s="67">
        <f t="shared" si="9"/>
        <v>83321.8</v>
      </c>
      <c r="L112" s="27">
        <f t="shared" si="10"/>
        <v>1.0000129619619227</v>
      </c>
    </row>
    <row r="113" spans="1:12">
      <c r="A113" s="193">
        <f>'PLANILHA PÓS ADITIVO'!A104</f>
        <v>9</v>
      </c>
      <c r="B113" s="194" t="str">
        <f>'PLANILHA PÓS ADITIVO'!C104</f>
        <v>INSTALAÇÕES HIDRO-SANITÁRIAS-PLUVIAL-INCÊNDIO</v>
      </c>
      <c r="C113" s="199"/>
      <c r="D113" s="118"/>
      <c r="E113" s="200"/>
      <c r="F113" s="199"/>
      <c r="G113" s="201"/>
      <c r="H113" s="66">
        <f>G113+[1]BM_14!H113</f>
        <v>0</v>
      </c>
      <c r="I113" s="120"/>
      <c r="J113" s="202"/>
      <c r="K113" s="202"/>
      <c r="L113" s="203"/>
    </row>
    <row r="114" spans="1:12">
      <c r="A114" s="187" t="str">
        <f>'PLANILHA PÓS ADITIVO'!A105</f>
        <v>9.1</v>
      </c>
      <c r="B114" s="186" t="str">
        <f>'PLANILHA PÓS ADITIVO'!C105</f>
        <v xml:space="preserve">SISTEMA PREDIAL DE ESGOTO SANITÁRIO -NBR 9160 </v>
      </c>
      <c r="C114" s="189"/>
      <c r="D114" s="64"/>
      <c r="E114" s="190"/>
      <c r="F114" s="189"/>
      <c r="G114" s="66"/>
      <c r="H114" s="66">
        <f>G114+[1]BM_14!H114</f>
        <v>0</v>
      </c>
      <c r="I114" s="65"/>
      <c r="J114" s="67"/>
      <c r="K114" s="67"/>
      <c r="L114" s="27"/>
    </row>
    <row r="115" spans="1:12" ht="25.5">
      <c r="A115" s="187" t="str">
        <f>'PLANILHA PÓS ADITIVO'!A106</f>
        <v>9.1.1</v>
      </c>
      <c r="B115" s="186" t="str">
        <f>'PLANILHA PÓS ADITIVO'!C106</f>
        <v>CAIXA SIFONADA, PVC, DN 100 X 100 X 50 MM, JUNTA ELÁSTICA, FORNECIDA E INSTALADA EM RAMAL DE DESCARGA OU EM RAMAL DE ESGOTO SANITÁRIO. AF_12/2014</v>
      </c>
      <c r="C115" s="189" t="str">
        <f>'PLANILHA PÓS ADITIVO'!E106</f>
        <v>unid</v>
      </c>
      <c r="D115" s="64"/>
      <c r="E115" s="190">
        <f>'PLANILHA PÓS ADITIVO'!G106</f>
        <v>41.040782999999998</v>
      </c>
      <c r="F115" s="189">
        <f>'PLANILHA PÓS ADITIVO'!F106</f>
        <v>28</v>
      </c>
      <c r="G115" s="66"/>
      <c r="H115" s="66">
        <f>G115+[1]BM_14!H115</f>
        <v>20</v>
      </c>
      <c r="I115" s="65">
        <f t="shared" si="4"/>
        <v>1149.1400000000001</v>
      </c>
      <c r="J115" s="67">
        <f t="shared" si="8"/>
        <v>0</v>
      </c>
      <c r="K115" s="67">
        <f t="shared" si="9"/>
        <v>820.82</v>
      </c>
      <c r="L115" s="27">
        <f t="shared" si="10"/>
        <v>0.71429068694850062</v>
      </c>
    </row>
    <row r="116" spans="1:12" ht="25.5">
      <c r="A116" s="187" t="str">
        <f>'PLANILHA PÓS ADITIVO'!A107</f>
        <v>9.1.2</v>
      </c>
      <c r="B116" s="186" t="str">
        <f>'PLANILHA PÓS ADITIVO'!C107</f>
        <v>JOELHO 90 GRAUS, PVC, SERIE NORMAL, ESGOTO PREDIAL, DN 100 MM, JUNTA ELÁSTICA, FORNECIDO E INSTALADO EM RAMAL DE DESCARGA OU RAMAL DE ESGOTO SANITÁRIO. AF_12/2014</v>
      </c>
      <c r="C116" s="189" t="str">
        <f>'PLANILHA PÓS ADITIVO'!E107</f>
        <v>unid</v>
      </c>
      <c r="D116" s="64"/>
      <c r="E116" s="190">
        <f>'PLANILHA PÓS ADITIVO'!G107</f>
        <v>26.592300000000002</v>
      </c>
      <c r="F116" s="189">
        <f>'PLANILHA PÓS ADITIVO'!F107</f>
        <v>13</v>
      </c>
      <c r="G116" s="66"/>
      <c r="H116" s="66">
        <f>G116+[1]BM_14!H116</f>
        <v>10</v>
      </c>
      <c r="I116" s="65">
        <f t="shared" si="4"/>
        <v>345.7</v>
      </c>
      <c r="J116" s="67">
        <f t="shared" si="8"/>
        <v>0</v>
      </c>
      <c r="K116" s="67">
        <f t="shared" si="9"/>
        <v>265.92</v>
      </c>
      <c r="L116" s="27">
        <f t="shared" si="10"/>
        <v>0.76922186867225928</v>
      </c>
    </row>
    <row r="117" spans="1:12" ht="25.5">
      <c r="A117" s="187" t="str">
        <f>'PLANILHA PÓS ADITIVO'!A108</f>
        <v>9.1.3</v>
      </c>
      <c r="B117" s="186" t="str">
        <f>'PLANILHA PÓS ADITIVO'!C108</f>
        <v>JOELHO 90 GRAUS, PVC, SERIE NORMAL, ESGOTO PREDIAL, DN 40 MM, JUNTA SOLDÁVEL, FORNECIDO E INSTALADO EM RAMAL DE DESCARGA OU RAMAL DE ESGOTO SANITÁRIO. AF_12/2014</v>
      </c>
      <c r="C117" s="189" t="str">
        <f>'PLANILHA PÓS ADITIVO'!E108</f>
        <v>unid</v>
      </c>
      <c r="D117" s="64"/>
      <c r="E117" s="190">
        <f>'PLANILHA PÓS ADITIVO'!G108</f>
        <v>10.712898000000001</v>
      </c>
      <c r="F117" s="189">
        <f>'PLANILHA PÓS ADITIVO'!F108</f>
        <v>63</v>
      </c>
      <c r="G117" s="66"/>
      <c r="H117" s="66">
        <f>G117+[1]BM_14!H117</f>
        <v>50</v>
      </c>
      <c r="I117" s="65">
        <f t="shared" si="4"/>
        <v>674.91</v>
      </c>
      <c r="J117" s="67">
        <f t="shared" si="8"/>
        <v>0</v>
      </c>
      <c r="K117" s="67">
        <f t="shared" si="9"/>
        <v>535.64</v>
      </c>
      <c r="L117" s="27">
        <f t="shared" si="10"/>
        <v>0.79364656028211167</v>
      </c>
    </row>
    <row r="118" spans="1:12" ht="25.5">
      <c r="A118" s="187" t="str">
        <f>'PLANILHA PÓS ADITIVO'!A109</f>
        <v>9.1.4</v>
      </c>
      <c r="B118" s="186" t="str">
        <f>'PLANILHA PÓS ADITIVO'!C109</f>
        <v>JOELHO 90 GRAUS, PVC, SERIE NORMAL, ESGOTO PREDIAL, DN 50 MM, JUNTA ELÁSTICA, FORNECIDO E INSTALADO EM RAMAL DE DESCARGA OU RAMAL DE ESGOTO SANITÁRIO. AF_12/2014</v>
      </c>
      <c r="C118" s="189" t="str">
        <f>'PLANILHA PÓS ADITIVO'!E109</f>
        <v>unid</v>
      </c>
      <c r="D118" s="64"/>
      <c r="E118" s="190">
        <f>'PLANILHA PÓS ADITIVO'!G109</f>
        <v>11.295396</v>
      </c>
      <c r="F118" s="189">
        <f>'PLANILHA PÓS ADITIVO'!F109</f>
        <v>38</v>
      </c>
      <c r="G118" s="66"/>
      <c r="H118" s="66">
        <f>G118+[1]BM_14!H118</f>
        <v>30</v>
      </c>
      <c r="I118" s="65">
        <f t="shared" si="4"/>
        <v>429.23</v>
      </c>
      <c r="J118" s="67">
        <f t="shared" si="8"/>
        <v>0</v>
      </c>
      <c r="K118" s="67">
        <f t="shared" si="9"/>
        <v>338.86</v>
      </c>
      <c r="L118" s="27">
        <f t="shared" si="10"/>
        <v>0.78946019616522611</v>
      </c>
    </row>
    <row r="119" spans="1:12" ht="25.5">
      <c r="A119" s="187" t="str">
        <f>'PLANILHA PÓS ADITIVO'!A110</f>
        <v>9.1.5</v>
      </c>
      <c r="B119" s="186" t="str">
        <f>'PLANILHA PÓS ADITIVO'!C110</f>
        <v>JOELHO 45 GRAUS, PVC, SERIE NORMAL, ESGOTO PREDIAL, DN 40 MM, JUNTA SOLDÁVEL, FORNECIDO E INSTALADO EM RAMAL DE DESCARGA OU RAMAL DE ESGOTO SANITÁRIO. AF_12/2014</v>
      </c>
      <c r="C119" s="189" t="str">
        <f>'PLANILHA PÓS ADITIVO'!E110</f>
        <v>unid</v>
      </c>
      <c r="D119" s="64"/>
      <c r="E119" s="190">
        <f>'PLANILHA PÓS ADITIVO'!G110</f>
        <v>6.9646499999999998</v>
      </c>
      <c r="F119" s="189">
        <f>'PLANILHA PÓS ADITIVO'!F110</f>
        <v>30</v>
      </c>
      <c r="G119" s="64"/>
      <c r="H119" s="66">
        <f>G119+[1]BM_14!H119</f>
        <v>20</v>
      </c>
      <c r="I119" s="65">
        <f t="shared" si="4"/>
        <v>208.94</v>
      </c>
      <c r="J119" s="67">
        <f t="shared" si="8"/>
        <v>0</v>
      </c>
      <c r="K119" s="67">
        <f t="shared" si="9"/>
        <v>139.29</v>
      </c>
      <c r="L119" s="27">
        <f t="shared" si="10"/>
        <v>0.66665071312338464</v>
      </c>
    </row>
    <row r="120" spans="1:12" ht="25.5">
      <c r="A120" s="187" t="str">
        <f>'PLANILHA PÓS ADITIVO'!A111</f>
        <v>9.1.6</v>
      </c>
      <c r="B120" s="186" t="str">
        <f>'PLANILHA PÓS ADITIVO'!C111</f>
        <v>JOELHO 45 GRAUS, PVC, SERIE NORMAL, ESGOTO PREDIAL, DN 50 MM, JUNTA ELÁSTICA, FORNECIDO E INSTALADO EM RAMAL DE DESCARGA OU RAMAL DE ESGOTO SANITÁRIO. AF_12/2014</v>
      </c>
      <c r="C120" s="189" t="str">
        <f>'PLANILHA PÓS ADITIVO'!E111</f>
        <v>unid</v>
      </c>
      <c r="D120" s="64"/>
      <c r="E120" s="190">
        <f>'PLANILHA PÓS ADITIVO'!G111</f>
        <v>12.181805999999998</v>
      </c>
      <c r="F120" s="189">
        <f>'PLANILHA PÓS ADITIVO'!F111</f>
        <v>25</v>
      </c>
      <c r="G120" s="66"/>
      <c r="H120" s="66">
        <f>G120+[1]BM_14!H120</f>
        <v>20</v>
      </c>
      <c r="I120" s="65">
        <f t="shared" si="4"/>
        <v>304.55</v>
      </c>
      <c r="J120" s="67">
        <f t="shared" si="8"/>
        <v>0</v>
      </c>
      <c r="K120" s="67">
        <f t="shared" si="9"/>
        <v>243.64</v>
      </c>
      <c r="L120" s="27">
        <f t="shared" si="10"/>
        <v>0.79999999999999993</v>
      </c>
    </row>
    <row r="121" spans="1:12" ht="25.5">
      <c r="A121" s="187" t="str">
        <f>'PLANILHA PÓS ADITIVO'!A112</f>
        <v>9.1.7</v>
      </c>
      <c r="B121" s="186" t="str">
        <f>'PLANILHA PÓS ADITIVO'!C112</f>
        <v>JOELHO 45 GRAUS, PVC, SERIE NORMAL, ESGOTO PREDIAL, DN 100 MM, JUNTA ELÁSTICA, FORNECIDO E INSTALADO EM RAMAL DE DESCARGA OU RAMAL DE ESGOTO SANITÁRIO. AF_12/2014</v>
      </c>
      <c r="C121" s="189" t="str">
        <f>'PLANILHA PÓS ADITIVO'!E112</f>
        <v>unid</v>
      </c>
      <c r="D121" s="64"/>
      <c r="E121" s="190">
        <f>'PLANILHA PÓS ADITIVO'!G112</f>
        <v>26.503658999999999</v>
      </c>
      <c r="F121" s="189">
        <f>'PLANILHA PÓS ADITIVO'!F112</f>
        <v>11</v>
      </c>
      <c r="G121" s="66"/>
      <c r="H121" s="66">
        <f>G121+[1]BM_14!H121</f>
        <v>11</v>
      </c>
      <c r="I121" s="65">
        <f t="shared" si="4"/>
        <v>291.54000000000002</v>
      </c>
      <c r="J121" s="67">
        <f t="shared" si="8"/>
        <v>0</v>
      </c>
      <c r="K121" s="67">
        <f t="shared" si="9"/>
        <v>291.54000000000002</v>
      </c>
      <c r="L121" s="27">
        <f t="shared" si="10"/>
        <v>1</v>
      </c>
    </row>
    <row r="122" spans="1:12" ht="25.5">
      <c r="A122" s="187" t="str">
        <f>'PLANILHA PÓS ADITIVO'!A113</f>
        <v>9.1.8</v>
      </c>
      <c r="B122" s="186" t="str">
        <f>'PLANILHA PÓS ADITIVO'!C113</f>
        <v>JUNÇÃO SIMPLES, PVC, SERIE NORMAL, ESGOTO PREDIAL, DN 100 X 100 MM, JUNTA ELÁSTICA, FORNECIDO E INSTALADO EM RAMAL DE DESCARGA OU RAMAL DE ESGOTO SANITÁRIO. AF_12/2014</v>
      </c>
      <c r="C122" s="189" t="str">
        <f>'PLANILHA PÓS ADITIVO'!E113</f>
        <v>unid</v>
      </c>
      <c r="D122" s="64"/>
      <c r="E122" s="190">
        <f>'PLANILHA PÓS ADITIVO'!G113</f>
        <v>53.817749999999997</v>
      </c>
      <c r="F122" s="189">
        <f>'PLANILHA PÓS ADITIVO'!F113</f>
        <v>2</v>
      </c>
      <c r="G122" s="66"/>
      <c r="H122" s="66">
        <f>G122+[1]BM_14!H122</f>
        <v>2</v>
      </c>
      <c r="I122" s="65">
        <f t="shared" si="4"/>
        <v>107.64</v>
      </c>
      <c r="J122" s="67">
        <f t="shared" si="8"/>
        <v>0</v>
      </c>
      <c r="K122" s="67">
        <f t="shared" si="9"/>
        <v>107.64</v>
      </c>
      <c r="L122" s="27">
        <f t="shared" si="10"/>
        <v>1</v>
      </c>
    </row>
    <row r="123" spans="1:12">
      <c r="A123" s="187" t="str">
        <f>'PLANILHA PÓS ADITIVO'!A114</f>
        <v>9.1.9</v>
      </c>
      <c r="B123" s="186" t="str">
        <f>'PLANILHA PÓS ADITIVO'!C114</f>
        <v>Junção simples em pvc rígido soldável, para esgoto primário, diâm = 75 x 50 mm.</v>
      </c>
      <c r="C123" s="189" t="str">
        <f>'PLANILHA PÓS ADITIVO'!E114</f>
        <v>unid</v>
      </c>
      <c r="D123" s="64"/>
      <c r="E123" s="190">
        <f>'PLANILHA PÓS ADITIVO'!G114</f>
        <v>41.749910999999997</v>
      </c>
      <c r="F123" s="189">
        <f>'PLANILHA PÓS ADITIVO'!F114</f>
        <v>3</v>
      </c>
      <c r="G123" s="66"/>
      <c r="H123" s="66">
        <f>G123+[1]BM_14!H123</f>
        <v>3</v>
      </c>
      <c r="I123" s="65">
        <f t="shared" si="4"/>
        <v>125.25</v>
      </c>
      <c r="J123" s="67">
        <f t="shared" si="8"/>
        <v>0</v>
      </c>
      <c r="K123" s="67">
        <f t="shared" si="9"/>
        <v>125.25</v>
      </c>
      <c r="L123" s="27">
        <f t="shared" si="10"/>
        <v>1</v>
      </c>
    </row>
    <row r="124" spans="1:12">
      <c r="A124" s="187" t="str">
        <f>'PLANILHA PÓS ADITIVO'!A115</f>
        <v>9.1.10</v>
      </c>
      <c r="B124" s="186" t="str">
        <f>'PLANILHA PÓS ADITIVO'!C115</f>
        <v>Junção simples em pvc rígido soldável, para esgoto primário, diâm = 100 x 50 mm.</v>
      </c>
      <c r="C124" s="189" t="str">
        <f>'PLANILHA PÓS ADITIVO'!E115</f>
        <v>unid</v>
      </c>
      <c r="D124" s="64"/>
      <c r="E124" s="190">
        <f>'PLANILHA PÓS ADITIVO'!G115</f>
        <v>52.310853000000002</v>
      </c>
      <c r="F124" s="189">
        <f>'PLANILHA PÓS ADITIVO'!F115</f>
        <v>17</v>
      </c>
      <c r="G124" s="66"/>
      <c r="H124" s="66">
        <f>G124+[1]BM_14!H124</f>
        <v>10</v>
      </c>
      <c r="I124" s="65">
        <f t="shared" si="4"/>
        <v>889.28</v>
      </c>
      <c r="J124" s="67">
        <f t="shared" si="8"/>
        <v>0</v>
      </c>
      <c r="K124" s="67">
        <f t="shared" si="9"/>
        <v>523.11</v>
      </c>
      <c r="L124" s="27">
        <f t="shared" si="10"/>
        <v>0.58823992443324935</v>
      </c>
    </row>
    <row r="125" spans="1:12" ht="25.5">
      <c r="A125" s="187" t="str">
        <f>'PLANILHA PÓS ADITIVO'!A116</f>
        <v>9.1.11</v>
      </c>
      <c r="B125" s="186" t="str">
        <f>'PLANILHA PÓS ADITIVO'!C116</f>
        <v>TE, PVC, SERIE NORMAL, ESGOTO PREDIAL, DN 50 X 50 MM, JUNTA ELÁSTICA, FORNECIDO E INSTALADO EM RAMAL DE DESCARGA OU RAMAL DE ESGOTO SANITÁRIO. AF_12/2014</v>
      </c>
      <c r="C125" s="189" t="str">
        <f>'PLANILHA PÓS ADITIVO'!E116</f>
        <v>unid</v>
      </c>
      <c r="D125" s="64"/>
      <c r="E125" s="190">
        <f>'PLANILHA PÓS ADITIVO'!G116</f>
        <v>22.096934999999998</v>
      </c>
      <c r="F125" s="189">
        <f>'PLANILHA PÓS ADITIVO'!F116</f>
        <v>28</v>
      </c>
      <c r="G125" s="66"/>
      <c r="H125" s="66">
        <f>G125+[1]BM_14!H125</f>
        <v>20</v>
      </c>
      <c r="I125" s="65">
        <f t="shared" si="4"/>
        <v>618.71</v>
      </c>
      <c r="J125" s="67">
        <f t="shared" si="8"/>
        <v>0</v>
      </c>
      <c r="K125" s="67">
        <f t="shared" si="9"/>
        <v>441.94</v>
      </c>
      <c r="L125" s="27">
        <f t="shared" si="10"/>
        <v>0.71429264114043733</v>
      </c>
    </row>
    <row r="126" spans="1:12" ht="25.5">
      <c r="A126" s="187" t="str">
        <f>'PLANILHA PÓS ADITIVO'!A117</f>
        <v>9.1.12</v>
      </c>
      <c r="B126" s="186" t="str">
        <f>'PLANILHA PÓS ADITIVO'!C117</f>
        <v>TE, PVC, SERIE NORMAL, ESGOTO PREDIAL, DN 100 X 100 MM, JUNTA ELÁSTICA, FORNECIDO E INSTALADO EM RAMAL DE DESCARGA OU RAMAL DE ESGOTO SANITÁRIO. AF_12/2014</v>
      </c>
      <c r="C126" s="189" t="str">
        <f>'PLANILHA PÓS ADITIVO'!E117</f>
        <v>unid</v>
      </c>
      <c r="D126" s="64"/>
      <c r="E126" s="190">
        <f>'PLANILHA PÓS ADITIVO'!G117</f>
        <v>45.662778000000003</v>
      </c>
      <c r="F126" s="189">
        <f>'PLANILHA PÓS ADITIVO'!F117</f>
        <v>5</v>
      </c>
      <c r="G126" s="66"/>
      <c r="H126" s="66">
        <f>G126+[1]BM_14!H126</f>
        <v>5</v>
      </c>
      <c r="I126" s="65">
        <f t="shared" si="4"/>
        <v>228.31</v>
      </c>
      <c r="J126" s="67">
        <f t="shared" si="8"/>
        <v>0</v>
      </c>
      <c r="K126" s="67">
        <f t="shared" si="9"/>
        <v>228.31</v>
      </c>
      <c r="L126" s="27">
        <f t="shared" si="10"/>
        <v>1</v>
      </c>
    </row>
    <row r="127" spans="1:12" ht="25.5">
      <c r="A127" s="187" t="str">
        <f>'PLANILHA PÓS ADITIVO'!A118</f>
        <v>9.1.13</v>
      </c>
      <c r="B127" s="186" t="str">
        <f>'PLANILHA PÓS ADITIVO'!C118</f>
        <v>TUBO PVC, SERIE NORMAL, ESGOTO PREDIAL, DN 100 MM, FORNECIDO E INSTALADO EM RAMAL DE DESCARGA OU RAMAL DE ESGOTO SANITÁRIO. AF_12/2014</v>
      </c>
      <c r="C127" s="189" t="str">
        <f>'PLANILHA PÓS ADITIVO'!E118</f>
        <v>m</v>
      </c>
      <c r="D127" s="64"/>
      <c r="E127" s="190">
        <f>'PLANILHA PÓS ADITIVO'!G118</f>
        <v>57.287412000000003</v>
      </c>
      <c r="F127" s="189">
        <f>'PLANILHA PÓS ADITIVO'!F118</f>
        <v>190</v>
      </c>
      <c r="G127" s="66"/>
      <c r="H127" s="66">
        <f>G127+[1]BM_14!H127</f>
        <v>190</v>
      </c>
      <c r="I127" s="65">
        <f t="shared" si="4"/>
        <v>10884.61</v>
      </c>
      <c r="J127" s="67">
        <f t="shared" si="8"/>
        <v>0</v>
      </c>
      <c r="K127" s="67">
        <f t="shared" si="9"/>
        <v>10884.61</v>
      </c>
      <c r="L127" s="27">
        <f t="shared" si="10"/>
        <v>1</v>
      </c>
    </row>
    <row r="128" spans="1:12" ht="25.5">
      <c r="A128" s="187" t="str">
        <f>'PLANILHA PÓS ADITIVO'!A119</f>
        <v>9.1.14</v>
      </c>
      <c r="B128" s="186" t="str">
        <f>'PLANILHA PÓS ADITIVO'!C119</f>
        <v>TUBO PVC, SERIE NORMAL, ESGOTO PREDIAL, DN 50 MM, FORNECIDO E INSTALADO EM RAMAL DE DESCARGA OU RAMAL DE ESGOTO SANITÁRIO. AF_12/2014</v>
      </c>
      <c r="C128" s="189" t="str">
        <f>'PLANILHA PÓS ADITIVO'!E119</f>
        <v>m</v>
      </c>
      <c r="D128" s="64"/>
      <c r="E128" s="190">
        <f>'PLANILHA PÓS ADITIVO'!G119</f>
        <v>30.201255000000003</v>
      </c>
      <c r="F128" s="189">
        <f>'PLANILHA PÓS ADITIVO'!F119</f>
        <v>100</v>
      </c>
      <c r="G128" s="66"/>
      <c r="H128" s="66">
        <f>G128+[1]BM_14!H128</f>
        <v>60</v>
      </c>
      <c r="I128" s="65">
        <f t="shared" si="4"/>
        <v>3020.13</v>
      </c>
      <c r="J128" s="67">
        <f t="shared" si="8"/>
        <v>0</v>
      </c>
      <c r="K128" s="67">
        <f t="shared" si="9"/>
        <v>1812.08</v>
      </c>
      <c r="L128" s="27">
        <f t="shared" si="10"/>
        <v>0.60000066222314929</v>
      </c>
    </row>
    <row r="129" spans="1:12" ht="25.5">
      <c r="A129" s="187" t="str">
        <f>'PLANILHA PÓS ADITIVO'!A120</f>
        <v>9.1.15</v>
      </c>
      <c r="B129" s="186" t="str">
        <f>'PLANILHA PÓS ADITIVO'!C120</f>
        <v>TUBO PVC, SERIE NORMAL, ESGOTO PREDIAL, DN 40 MM, FORNECIDO E INSTALADO EM RAMAL DE DESCARGA OU RAMAL DE ESGOTO SANITÁRIO. AF_12/2014</v>
      </c>
      <c r="C129" s="189" t="str">
        <f>'PLANILHA PÓS ADITIVO'!E120</f>
        <v>m</v>
      </c>
      <c r="D129" s="64"/>
      <c r="E129" s="190">
        <f>'PLANILHA PÓS ADITIVO'!G120</f>
        <v>19.766942999999998</v>
      </c>
      <c r="F129" s="189">
        <f>'PLANILHA PÓS ADITIVO'!F120</f>
        <v>18</v>
      </c>
      <c r="G129" s="66"/>
      <c r="H129" s="66">
        <f>G129+[1]BM_14!H129</f>
        <v>15</v>
      </c>
      <c r="I129" s="65">
        <f t="shared" si="4"/>
        <v>355.8</v>
      </c>
      <c r="J129" s="67">
        <f t="shared" si="8"/>
        <v>0</v>
      </c>
      <c r="K129" s="67">
        <f t="shared" si="9"/>
        <v>296.5</v>
      </c>
      <c r="L129" s="27">
        <f t="shared" si="10"/>
        <v>0.83333333333333326</v>
      </c>
    </row>
    <row r="130" spans="1:12" ht="25.5">
      <c r="A130" s="187" t="str">
        <f>'PLANILHA PÓS ADITIVO'!A121</f>
        <v>9.1.16</v>
      </c>
      <c r="B130" s="186" t="str">
        <f>'PLANILHA PÓS ADITIVO'!C121</f>
        <v>RALO SIFONADO, PVC, DN 100 X 40 MM, JUNTA SOLDÁVEL, FORNECIDO E INSTALADO EM RAMAL DE DESCARGA OU EM RAMAL DE ESGOTO SANITÁRIO. AF_12/2014</v>
      </c>
      <c r="C130" s="189" t="str">
        <f>'PLANILHA PÓS ADITIVO'!E121</f>
        <v>unid</v>
      </c>
      <c r="D130" s="64"/>
      <c r="E130" s="190">
        <f>'PLANILHA PÓS ADITIVO'!G121</f>
        <v>15.930054</v>
      </c>
      <c r="F130" s="189">
        <f>'PLANILHA PÓS ADITIVO'!F121</f>
        <v>2</v>
      </c>
      <c r="G130" s="64"/>
      <c r="H130" s="66">
        <f>G130+[1]BM_14!H130</f>
        <v>2</v>
      </c>
      <c r="I130" s="65">
        <f t="shared" si="4"/>
        <v>31.86</v>
      </c>
      <c r="J130" s="67"/>
      <c r="K130" s="67">
        <f t="shared" si="9"/>
        <v>31.86</v>
      </c>
      <c r="L130" s="27">
        <f t="shared" si="10"/>
        <v>1</v>
      </c>
    </row>
    <row r="131" spans="1:12" ht="25.5">
      <c r="A131" s="187" t="str">
        <f>'PLANILHA PÓS ADITIVO'!A122</f>
        <v>9.1.17</v>
      </c>
      <c r="B131" s="186" t="str">
        <f>'PLANILHA PÓS ADITIVO'!C122</f>
        <v>CAIXA ENTERRADA HIDRÁULICA RETANGULAR EM ALVENARIA COM TIJOLOS CERÂMICOS MACIÇOS, DIMENSÕES INTERNAS: 0,6X0,6X0,6 M PARA REDE DE ESGOTO. AF_12/2020</v>
      </c>
      <c r="C131" s="189" t="str">
        <f>'PLANILHA PÓS ADITIVO'!E122</f>
        <v>unid</v>
      </c>
      <c r="D131" s="64"/>
      <c r="E131" s="190">
        <f>'PLANILHA PÓS ADITIVO'!G122</f>
        <v>579.61083600000006</v>
      </c>
      <c r="F131" s="189">
        <f>'PLANILHA PÓS ADITIVO'!F122</f>
        <v>18</v>
      </c>
      <c r="G131" s="64"/>
      <c r="H131" s="66">
        <f>G131+[1]BM_14!H131</f>
        <v>13</v>
      </c>
      <c r="I131" s="65">
        <f t="shared" si="4"/>
        <v>10433</v>
      </c>
      <c r="J131" s="67"/>
      <c r="K131" s="67">
        <f t="shared" si="9"/>
        <v>7534.94</v>
      </c>
      <c r="L131" s="27">
        <f t="shared" si="10"/>
        <v>0.72222179622352145</v>
      </c>
    </row>
    <row r="132" spans="1:12" ht="25.5">
      <c r="A132" s="187" t="str">
        <f>'PLANILHA PÓS ADITIVO'!A123</f>
        <v>9.1.18</v>
      </c>
      <c r="B132" s="186" t="str">
        <f>'PLANILHA PÓS ADITIVO'!C123</f>
        <v>TUBO PVC, SERIE NORMAL, ESGOTO PREDIAL, DN 150 MM, FORNECIDO E INSTALADO EM SUBCOLETOR AÉREO DE ESGOTO SANITÁRIO. AF_12/2014</v>
      </c>
      <c r="C132" s="189" t="str">
        <f>'PLANILHA PÓS ADITIVO'!E123</f>
        <v>m</v>
      </c>
      <c r="D132" s="64"/>
      <c r="E132" s="190">
        <f>'PLANILHA PÓS ADITIVO'!G123</f>
        <v>74.027897999999993</v>
      </c>
      <c r="F132" s="189">
        <f>'PLANILHA PÓS ADITIVO'!F123</f>
        <v>12</v>
      </c>
      <c r="G132" s="66"/>
      <c r="H132" s="66">
        <f>G132+[1]BM_14!H132</f>
        <v>12</v>
      </c>
      <c r="I132" s="65">
        <f t="shared" si="4"/>
        <v>888.33</v>
      </c>
      <c r="J132" s="67">
        <f t="shared" si="8"/>
        <v>0</v>
      </c>
      <c r="K132" s="67">
        <f t="shared" si="9"/>
        <v>888.33</v>
      </c>
      <c r="L132" s="27">
        <f t="shared" si="10"/>
        <v>1</v>
      </c>
    </row>
    <row r="133" spans="1:12" ht="25.5">
      <c r="A133" s="187" t="str">
        <f>'PLANILHA PÓS ADITIVO'!A124</f>
        <v>9.1.19</v>
      </c>
      <c r="B133" s="186" t="str">
        <f>'PLANILHA PÓS ADITIVO'!C124</f>
        <v>TUBO PVC, SERIE NORMAL, ESGOTO PREDIAL, DN 75 MM, FORNECIDO E INSTALADO EM RAMAL DE DESCARGA OU RAMAL DE ESGOTO SANITÁRIO. AF_12/2014</v>
      </c>
      <c r="C133" s="189" t="str">
        <f>'PLANILHA PÓS ADITIVO'!E124</f>
        <v>m</v>
      </c>
      <c r="D133" s="64"/>
      <c r="E133" s="190">
        <f>'PLANILHA PÓS ADITIVO'!G124</f>
        <v>45.612126000000004</v>
      </c>
      <c r="F133" s="189">
        <f>'PLANILHA PÓS ADITIVO'!F124</f>
        <v>14</v>
      </c>
      <c r="G133" s="66"/>
      <c r="H133" s="66">
        <f>G133+[1]BM_14!H133</f>
        <v>14</v>
      </c>
      <c r="I133" s="65">
        <f t="shared" si="4"/>
        <v>638.57000000000005</v>
      </c>
      <c r="J133" s="67">
        <f t="shared" si="8"/>
        <v>0</v>
      </c>
      <c r="K133" s="67">
        <f t="shared" si="9"/>
        <v>638.57000000000005</v>
      </c>
      <c r="L133" s="27">
        <f t="shared" si="10"/>
        <v>1</v>
      </c>
    </row>
    <row r="134" spans="1:12">
      <c r="A134" s="187" t="str">
        <f>'PLANILHA PÓS ADITIVO'!A125</f>
        <v>9.1.20</v>
      </c>
      <c r="B134" s="186" t="str">
        <f>'PLANILHA PÓS ADITIVO'!C125</f>
        <v>Caixa sifonada em pvc, 150 x150 x50 mm, com tampa cega, acabamento branco, akros ou similar.</v>
      </c>
      <c r="C134" s="189" t="str">
        <f>'PLANILHA PÓS ADITIVO'!E125</f>
        <v>unid</v>
      </c>
      <c r="D134" s="69"/>
      <c r="E134" s="190">
        <f>'PLANILHA PÓS ADITIVO'!G125</f>
        <v>58.768982999999992</v>
      </c>
      <c r="F134" s="189">
        <f>'PLANILHA PÓS ADITIVO'!F125</f>
        <v>2</v>
      </c>
      <c r="G134" s="39"/>
      <c r="H134" s="66">
        <f>G134+[1]BM_14!H134</f>
        <v>2</v>
      </c>
      <c r="I134" s="65">
        <f t="shared" si="4"/>
        <v>117.54</v>
      </c>
      <c r="J134" s="204">
        <f t="shared" si="8"/>
        <v>0</v>
      </c>
      <c r="K134" s="204">
        <f t="shared" si="9"/>
        <v>117.54</v>
      </c>
      <c r="L134" s="27">
        <f t="shared" si="10"/>
        <v>1</v>
      </c>
    </row>
    <row r="135" spans="1:12" ht="25.5">
      <c r="A135" s="187" t="str">
        <f>'PLANILHA PÓS ADITIVO'!A126</f>
        <v>9.1.21</v>
      </c>
      <c r="B135" s="186" t="str">
        <f>'PLANILHA PÓS ADITIVO'!C126</f>
        <v>JOELHO 45 GRAUS, PVC, SERIE NORMAL, ESGOTO PREDIAL, DN 75 MM, JUNTA ELÁSTICA, FORNECIDO E INSTALADO EM RAMAL DE DESCARGA OU RAMAL DE ESGOTO SANITÁRIO. AF_12/2014</v>
      </c>
      <c r="C135" s="189" t="str">
        <f>'PLANILHA PÓS ADITIVO'!E126</f>
        <v>unid</v>
      </c>
      <c r="D135" s="69"/>
      <c r="E135" s="190">
        <f>'PLANILHA PÓS ADITIVO'!G126</f>
        <v>21.919652999999997</v>
      </c>
      <c r="F135" s="189">
        <f>'PLANILHA PÓS ADITIVO'!F126</f>
        <v>1</v>
      </c>
      <c r="G135" s="39"/>
      <c r="H135" s="66">
        <f>G135+[1]BM_14!H135</f>
        <v>0</v>
      </c>
      <c r="I135" s="65">
        <f t="shared" si="4"/>
        <v>21.92</v>
      </c>
      <c r="J135" s="204">
        <f t="shared" si="8"/>
        <v>0</v>
      </c>
      <c r="K135" s="204">
        <f t="shared" si="9"/>
        <v>0</v>
      </c>
      <c r="L135" s="27">
        <f t="shared" si="10"/>
        <v>0</v>
      </c>
    </row>
    <row r="136" spans="1:12" ht="25.5">
      <c r="A136" s="187" t="str">
        <f>'PLANILHA PÓS ADITIVO'!A127</f>
        <v>9.1.22</v>
      </c>
      <c r="B136" s="186" t="str">
        <f>'PLANILHA PÓS ADITIVO'!C127</f>
        <v>JUNÇÃO SIMPLES, PVC, SERIE NORMAL, ESGOTO PREDIAL, DN 50 X 50 MM, JUNTA ELÁSTICA, FORNECIDO E INSTALADO EM RAMAL DE DESCARGA OU RAMAL DE ESGOTO SANITÁRIO. AF_12/2014</v>
      </c>
      <c r="C136" s="189" t="str">
        <f>'PLANILHA PÓS ADITIVO'!E127</f>
        <v>unid</v>
      </c>
      <c r="D136" s="69"/>
      <c r="E136" s="190">
        <f>'PLANILHA PÓS ADITIVO'!G127</f>
        <v>24.616872000000001</v>
      </c>
      <c r="F136" s="189">
        <f>'PLANILHA PÓS ADITIVO'!F127</f>
        <v>11</v>
      </c>
      <c r="G136" s="39"/>
      <c r="H136" s="66">
        <f>G136+[1]BM_14!H136</f>
        <v>11</v>
      </c>
      <c r="I136" s="65">
        <f t="shared" si="4"/>
        <v>270.79000000000002</v>
      </c>
      <c r="J136" s="204">
        <f t="shared" si="8"/>
        <v>0</v>
      </c>
      <c r="K136" s="204">
        <f t="shared" si="9"/>
        <v>270.79000000000002</v>
      </c>
      <c r="L136" s="27">
        <f t="shared" si="10"/>
        <v>1</v>
      </c>
    </row>
    <row r="137" spans="1:12" ht="25.5">
      <c r="A137" s="187" t="str">
        <f>'PLANILHA PÓS ADITIVO'!A128</f>
        <v>9.1.23</v>
      </c>
      <c r="B137" s="186" t="str">
        <f>'PLANILHA PÓS ADITIVO'!C128</f>
        <v>LUVA SIMPLES, PVC, SERIE NORMAL, ESGOTO PREDIAL, DN 75 MM, JUNTA ELÁSTICA, FORNECIDO E INSTALADO EM RAMAL DE DESCARGA OU RAMAL DE ESGOTO SANITÁRIO. AF_12/2014</v>
      </c>
      <c r="C137" s="189" t="str">
        <f>'PLANILHA PÓS ADITIVO'!E128</f>
        <v>unid</v>
      </c>
      <c r="D137" s="69"/>
      <c r="E137" s="190">
        <f>'PLANILHA PÓS ADITIVO'!G128</f>
        <v>16.803801</v>
      </c>
      <c r="F137" s="189">
        <f>'PLANILHA PÓS ADITIVO'!F128</f>
        <v>4</v>
      </c>
      <c r="G137" s="39"/>
      <c r="H137" s="66">
        <f>G137+[1]BM_14!H137</f>
        <v>4</v>
      </c>
      <c r="I137" s="65">
        <f t="shared" si="4"/>
        <v>67.22</v>
      </c>
      <c r="J137" s="204">
        <f t="shared" si="8"/>
        <v>0</v>
      </c>
      <c r="K137" s="204">
        <f t="shared" si="9"/>
        <v>67.22</v>
      </c>
      <c r="L137" s="27">
        <f t="shared" si="10"/>
        <v>1</v>
      </c>
    </row>
    <row r="138" spans="1:12" ht="25.5">
      <c r="A138" s="187" t="str">
        <f>'PLANILHA PÓS ADITIVO'!A129</f>
        <v>9.1.24</v>
      </c>
      <c r="B138" s="186" t="str">
        <f>'PLANILHA PÓS ADITIVO'!C129</f>
        <v>LUVA SIMPLES, PVC, SERIE NORMAL, ESGOTO PREDIAL, DN 100 MM, JUNTA ELÁSTICA, FORNECIDO E INSTALADO EM RAMAL DE DESCARGA OU RAMAL DE ESGOTO SANITÁRIO. AF_12/2014</v>
      </c>
      <c r="C138" s="189" t="str">
        <f>'PLANILHA PÓS ADITIVO'!E129</f>
        <v>unid</v>
      </c>
      <c r="D138" s="69"/>
      <c r="E138" s="190">
        <f>'PLANILHA PÓS ADITIVO'!G129</f>
        <v>20.640689999999999</v>
      </c>
      <c r="F138" s="189">
        <f>'PLANILHA PÓS ADITIVO'!F129</f>
        <v>39</v>
      </c>
      <c r="G138" s="39"/>
      <c r="H138" s="66">
        <f>G138+[1]BM_14!H138</f>
        <v>30</v>
      </c>
      <c r="I138" s="65">
        <f t="shared" si="4"/>
        <v>804.99</v>
      </c>
      <c r="J138" s="204">
        <f t="shared" si="8"/>
        <v>0</v>
      </c>
      <c r="K138" s="204">
        <f t="shared" si="9"/>
        <v>619.22</v>
      </c>
      <c r="L138" s="27">
        <f t="shared" si="10"/>
        <v>0.76922694691859528</v>
      </c>
    </row>
    <row r="139" spans="1:12" ht="25.5">
      <c r="A139" s="187" t="str">
        <f>'PLANILHA PÓS ADITIVO'!A130</f>
        <v>9.1.25</v>
      </c>
      <c r="B139" s="186" t="str">
        <f>'PLANILHA PÓS ADITIVO'!C130</f>
        <v>LUVA SIMPLES, PVC, SERIE NORMAL, ESGOTO PREDIAL, DN 50 MM, JUNTA ELÁSTICA, FORNECIDO E INSTALADO EM RAMAL DE DESCARGA OU RAMAL DE ESGOTO SANITÁRIO. AF_12/2014</v>
      </c>
      <c r="C139" s="189" t="str">
        <f>'PLANILHA PÓS ADITIVO'!E130</f>
        <v>unid</v>
      </c>
      <c r="D139" s="69"/>
      <c r="E139" s="190">
        <f>'PLANILHA PÓS ADITIVO'!G130</f>
        <v>9.9024660000000004</v>
      </c>
      <c r="F139" s="189">
        <f>'PLANILHA PÓS ADITIVO'!F130</f>
        <v>46</v>
      </c>
      <c r="G139" s="39"/>
      <c r="H139" s="66">
        <f>G139+[1]BM_14!H139</f>
        <v>40</v>
      </c>
      <c r="I139" s="65">
        <f t="shared" si="4"/>
        <v>455.51</v>
      </c>
      <c r="J139" s="204">
        <f t="shared" si="8"/>
        <v>0</v>
      </c>
      <c r="K139" s="204">
        <f t="shared" si="9"/>
        <v>396.1</v>
      </c>
      <c r="L139" s="27">
        <f t="shared" si="10"/>
        <v>0.86957476235428433</v>
      </c>
    </row>
    <row r="140" spans="1:12">
      <c r="A140" s="187" t="str">
        <f>'PLANILHA PÓS ADITIVO'!A131</f>
        <v>9.1.26</v>
      </c>
      <c r="B140" s="186" t="str">
        <f>'PLANILHA PÓS ADITIVO'!C131</f>
        <v>Caixa de espuma em alvenaria 40x40x50cm - Rer 01.</v>
      </c>
      <c r="C140" s="189" t="str">
        <f>'PLANILHA PÓS ADITIVO'!E131</f>
        <v>unid</v>
      </c>
      <c r="D140" s="69"/>
      <c r="E140" s="190">
        <f>'PLANILHA PÓS ADITIVO'!G131</f>
        <v>216.73990799999999</v>
      </c>
      <c r="F140" s="189">
        <f>'PLANILHA PÓS ADITIVO'!F131</f>
        <v>1</v>
      </c>
      <c r="G140" s="39"/>
      <c r="H140" s="66">
        <f>G140+[1]BM_14!H140</f>
        <v>1</v>
      </c>
      <c r="I140" s="65">
        <f t="shared" si="4"/>
        <v>216.74</v>
      </c>
      <c r="J140" s="204">
        <f t="shared" si="8"/>
        <v>0</v>
      </c>
      <c r="K140" s="204">
        <f t="shared" si="9"/>
        <v>216.74</v>
      </c>
      <c r="L140" s="27">
        <f t="shared" si="10"/>
        <v>1</v>
      </c>
    </row>
    <row r="141" spans="1:12" ht="25.5">
      <c r="A141" s="187" t="str">
        <f>'PLANILHA PÓS ADITIVO'!A132</f>
        <v>9.1.27</v>
      </c>
      <c r="B141" s="186" t="str">
        <f>'PLANILHA PÓS ADITIVO'!C132</f>
        <v>CAIXA DE GORDURA SIMPLES (CAPACIDADE: 36L), RETANGULAR, EM ALVENARIA COM TIJOLOS CERÂMICOS MACIÇOS, DIMENSÕES INTERNAS = 0,2X0,4 M, ALTURA INTERNA = 0,8 M. AF_12/2020</v>
      </c>
      <c r="C141" s="189" t="str">
        <f>'PLANILHA PÓS ADITIVO'!E132</f>
        <v>unid</v>
      </c>
      <c r="D141" s="69"/>
      <c r="E141" s="190">
        <f>'PLANILHA PÓS ADITIVO'!G132</f>
        <v>391.90718700000002</v>
      </c>
      <c r="F141" s="189">
        <f>'PLANILHA PÓS ADITIVO'!F132</f>
        <v>1</v>
      </c>
      <c r="G141" s="39"/>
      <c r="H141" s="66">
        <f>G141+[1]BM_14!H141</f>
        <v>1</v>
      </c>
      <c r="I141" s="65">
        <f t="shared" si="4"/>
        <v>391.91</v>
      </c>
      <c r="J141" s="204">
        <f t="shared" si="8"/>
        <v>0</v>
      </c>
      <c r="K141" s="204">
        <f t="shared" si="9"/>
        <v>391.91</v>
      </c>
      <c r="L141" s="27">
        <f t="shared" si="10"/>
        <v>1</v>
      </c>
    </row>
    <row r="142" spans="1:12" ht="25.5">
      <c r="A142" s="187" t="str">
        <f>'PLANILHA PÓS ADITIVO'!A133</f>
        <v>9.1.28</v>
      </c>
      <c r="B142" s="186" t="str">
        <f>'PLANILHA PÓS ADITIVO'!C133</f>
        <v>REDUÇÃO EXCÊNTRICA, PVC, SERIE R, ÁGUA PLUVIAL, DN 75 X 50 MM, JUNTA ELÁSTICA, FORNECIDO E INSTALADO EM RAMAL DE ENCAMINHAMENTO. AF_12/2014</v>
      </c>
      <c r="C142" s="189" t="str">
        <f>'PLANILHA PÓS ADITIVO'!E133</f>
        <v>unid</v>
      </c>
      <c r="D142" s="69"/>
      <c r="E142" s="190">
        <f>'PLANILHA PÓS ADITIVO'!G133</f>
        <v>17.778852000000001</v>
      </c>
      <c r="F142" s="189">
        <f>'PLANILHA PÓS ADITIVO'!F133</f>
        <v>3</v>
      </c>
      <c r="G142" s="39"/>
      <c r="H142" s="66">
        <f>G142+[1]BM_14!H142</f>
        <v>3</v>
      </c>
      <c r="I142" s="65">
        <f t="shared" si="4"/>
        <v>53.34</v>
      </c>
      <c r="J142" s="204">
        <f t="shared" si="8"/>
        <v>0</v>
      </c>
      <c r="K142" s="204">
        <f t="shared" si="9"/>
        <v>53.34</v>
      </c>
      <c r="L142" s="27">
        <f t="shared" si="10"/>
        <v>1</v>
      </c>
    </row>
    <row r="143" spans="1:12">
      <c r="A143" s="187"/>
      <c r="B143" s="186"/>
      <c r="C143" s="189"/>
      <c r="D143" s="69"/>
      <c r="E143" s="190"/>
      <c r="F143" s="189"/>
      <c r="G143" s="69"/>
      <c r="H143" s="66">
        <f>G143+[1]BM_14!H143</f>
        <v>0</v>
      </c>
      <c r="I143" s="65"/>
      <c r="J143" s="204"/>
      <c r="K143" s="204"/>
      <c r="L143" s="27"/>
    </row>
    <row r="144" spans="1:12">
      <c r="A144" s="193" t="str">
        <f>'PLANILHA PÓS ADITIVO'!A135</f>
        <v>9.2</v>
      </c>
      <c r="B144" s="194" t="str">
        <f>'PLANILHA PÓS ADITIVO'!C135</f>
        <v>SISTEMA PREDIAL DE ÁGUA FRIA - NBR 5626</v>
      </c>
      <c r="C144" s="199"/>
      <c r="D144" s="118"/>
      <c r="E144" s="200"/>
      <c r="F144" s="199"/>
      <c r="G144" s="201"/>
      <c r="H144" s="66">
        <f>G144+[1]BM_14!H144</f>
        <v>0</v>
      </c>
      <c r="I144" s="120"/>
      <c r="J144" s="202"/>
      <c r="K144" s="202"/>
      <c r="L144" s="203"/>
    </row>
    <row r="145" spans="1:12">
      <c r="A145" s="187" t="str">
        <f>'PLANILHA PÓS ADITIVO'!A136</f>
        <v>9.2.1</v>
      </c>
      <c r="B145" s="186" t="str">
        <f>'PLANILHA PÓS ADITIVO'!C136</f>
        <v>TUBO, PVC, SOLDÁVEL, DN 60MM, INSTALADO EM PRUMADA DE ÁGUA - FORNECIMENTO E INSTALAÇÃO. AF_12/2014</v>
      </c>
      <c r="C145" s="189" t="str">
        <f>'PLANILHA PÓS ADITIVO'!E136</f>
        <v>m</v>
      </c>
      <c r="D145" s="69"/>
      <c r="E145" s="190">
        <f>'PLANILHA PÓS ADITIVO'!G136</f>
        <v>40.141709999999996</v>
      </c>
      <c r="F145" s="189">
        <f>'PLANILHA PÓS ADITIVO'!F136</f>
        <v>23</v>
      </c>
      <c r="G145" s="39"/>
      <c r="H145" s="66">
        <f>G145+[1]BM_14!H145</f>
        <v>23</v>
      </c>
      <c r="I145" s="65">
        <f t="shared" si="4"/>
        <v>923.26</v>
      </c>
      <c r="J145" s="204">
        <f t="shared" si="8"/>
        <v>0</v>
      </c>
      <c r="K145" s="204">
        <f t="shared" si="9"/>
        <v>923.26</v>
      </c>
      <c r="L145" s="27">
        <f t="shared" si="10"/>
        <v>1</v>
      </c>
    </row>
    <row r="146" spans="1:12">
      <c r="A146" s="187" t="str">
        <f>'PLANILHA PÓS ADITIVO'!A137</f>
        <v>9.2.2</v>
      </c>
      <c r="B146" s="186" t="str">
        <f>'PLANILHA PÓS ADITIVO'!C137</f>
        <v>TUBO, PVC, SOLDÁVEL, DN 50MM, INSTALADO EM PRUMADA DE ÁGUA - FORNECIMENTO E INSTALAÇÃO. AF_12/2014</v>
      </c>
      <c r="C146" s="189" t="str">
        <f>'PLANILHA PÓS ADITIVO'!E137</f>
        <v>m</v>
      </c>
      <c r="D146" s="69"/>
      <c r="E146" s="190">
        <f>'PLANILHA PÓS ADITIVO'!G137</f>
        <v>24.123015000000002</v>
      </c>
      <c r="F146" s="189">
        <f>'PLANILHA PÓS ADITIVO'!F137</f>
        <v>166</v>
      </c>
      <c r="G146" s="39"/>
      <c r="H146" s="66">
        <f>G146+[1]BM_14!H146</f>
        <v>166</v>
      </c>
      <c r="I146" s="65">
        <f t="shared" si="4"/>
        <v>4004.42</v>
      </c>
      <c r="J146" s="204">
        <f t="shared" si="8"/>
        <v>0</v>
      </c>
      <c r="K146" s="204">
        <f t="shared" si="9"/>
        <v>4004.42</v>
      </c>
      <c r="L146" s="27">
        <f t="shared" si="10"/>
        <v>1</v>
      </c>
    </row>
    <row r="147" spans="1:12" ht="25.5">
      <c r="A147" s="187" t="str">
        <f>'PLANILHA PÓS ADITIVO'!A138</f>
        <v>9.2.3</v>
      </c>
      <c r="B147" s="186" t="str">
        <f>'PLANILHA PÓS ADITIVO'!C138</f>
        <v>TUBO, PVC, SOLDÁVEL, DN 25MM, INSTALADO EM RAMAL OU SUB-RAMAL DE ÁGUA - FORNECIMENTO E INSTALAÇÃO. AF_12/2014</v>
      </c>
      <c r="C147" s="189" t="str">
        <f>'PLANILHA PÓS ADITIVO'!E138</f>
        <v>m</v>
      </c>
      <c r="D147" s="69"/>
      <c r="E147" s="190">
        <f>'PLANILHA PÓS ADITIVO'!G138</f>
        <v>20.628026999999999</v>
      </c>
      <c r="F147" s="189">
        <f>'PLANILHA PÓS ADITIVO'!F138</f>
        <v>169</v>
      </c>
      <c r="G147" s="39"/>
      <c r="H147" s="66">
        <f>G147+[1]BM_14!H147</f>
        <v>169</v>
      </c>
      <c r="I147" s="65">
        <f t="shared" si="4"/>
        <v>3486.14</v>
      </c>
      <c r="J147" s="204">
        <f t="shared" si="8"/>
        <v>0</v>
      </c>
      <c r="K147" s="204">
        <f t="shared" si="9"/>
        <v>3486.14</v>
      </c>
      <c r="L147" s="27">
        <f t="shared" si="10"/>
        <v>1</v>
      </c>
    </row>
    <row r="148" spans="1:12" ht="25.5">
      <c r="A148" s="187" t="str">
        <f>'PLANILHA PÓS ADITIVO'!A139</f>
        <v>9.2.4</v>
      </c>
      <c r="B148" s="186" t="str">
        <f>'PLANILHA PÓS ADITIVO'!C139</f>
        <v>ADAPTADOR CURTO COM BOLSA E ROSCA PARA REGISTRO, PVC, SOLDÁVEL, DN 25MM X 3/4, INSTALADO EM RAMAL OU SUB-RAMAL DE ÁGUA - FORNECIMENTO E INSTALAÇÃO. AF_12/2014</v>
      </c>
      <c r="C148" s="189" t="str">
        <f>'PLANILHA PÓS ADITIVO'!E139</f>
        <v>unid</v>
      </c>
      <c r="D148" s="69"/>
      <c r="E148" s="190">
        <f>'PLANILHA PÓS ADITIVO'!G139</f>
        <v>6.2555220000000009</v>
      </c>
      <c r="F148" s="189">
        <f>'PLANILHA PÓS ADITIVO'!F139</f>
        <v>69</v>
      </c>
      <c r="G148" s="39"/>
      <c r="H148" s="66">
        <f>G148+[1]BM_14!H148</f>
        <v>22</v>
      </c>
      <c r="I148" s="65">
        <f t="shared" ref="I148:I211" si="11">ROUND(E148*F148,2)</f>
        <v>431.63</v>
      </c>
      <c r="J148" s="204">
        <f t="shared" si="8"/>
        <v>0</v>
      </c>
      <c r="K148" s="204">
        <f t="shared" si="9"/>
        <v>137.62</v>
      </c>
      <c r="L148" s="27">
        <f t="shared" si="10"/>
        <v>0.31883789356624886</v>
      </c>
    </row>
    <row r="149" spans="1:12" ht="25.5">
      <c r="A149" s="187" t="str">
        <f>'PLANILHA PÓS ADITIVO'!A140</f>
        <v>9.2.5</v>
      </c>
      <c r="B149" s="186" t="str">
        <f>'PLANILHA PÓS ADITIVO'!C140</f>
        <v>LUVA DE REDUÇÃO, PVC, SOLDÁVEL, DN 60MM X 50MM, INSTALADO EM PRUMADA DE ÁGUA - FORNECIMENTO E INSTALAÇÃO. AF_12/2014</v>
      </c>
      <c r="C149" s="189" t="str">
        <f>'PLANILHA PÓS ADITIVO'!E140</f>
        <v>unid</v>
      </c>
      <c r="D149" s="69"/>
      <c r="E149" s="190">
        <f>'PLANILHA PÓS ADITIVO'!G140</f>
        <v>24.69285</v>
      </c>
      <c r="F149" s="189">
        <f>'PLANILHA PÓS ADITIVO'!F140</f>
        <v>1</v>
      </c>
      <c r="G149" s="39"/>
      <c r="H149" s="66">
        <f>G149+[1]BM_14!H149</f>
        <v>1</v>
      </c>
      <c r="I149" s="65">
        <f t="shared" si="11"/>
        <v>24.69</v>
      </c>
      <c r="J149" s="204">
        <f t="shared" si="8"/>
        <v>0</v>
      </c>
      <c r="K149" s="204">
        <f t="shared" si="9"/>
        <v>24.69</v>
      </c>
      <c r="L149" s="27">
        <f t="shared" si="10"/>
        <v>1</v>
      </c>
    </row>
    <row r="150" spans="1:12" ht="25.5">
      <c r="A150" s="187" t="str">
        <f>'PLANILHA PÓS ADITIVO'!A141</f>
        <v>9.2.6</v>
      </c>
      <c r="B150" s="186" t="str">
        <f>'PLANILHA PÓS ADITIVO'!C141</f>
        <v>LUVA DE REDUÇÃO, PVC, SOLDÁVEL, DN 50MM X 25MM, INSTALADO EM PRUMADA DE ÁGUA   FORNECIMENTO E INSTALAÇÃO. AF_12/2014</v>
      </c>
      <c r="C150" s="189" t="str">
        <f>'PLANILHA PÓS ADITIVO'!E141</f>
        <v>unid</v>
      </c>
      <c r="D150" s="69"/>
      <c r="E150" s="190">
        <f>'PLANILHA PÓS ADITIVO'!G141</f>
        <v>12.890934</v>
      </c>
      <c r="F150" s="189">
        <f>'PLANILHA PÓS ADITIVO'!F141</f>
        <v>1</v>
      </c>
      <c r="G150" s="39"/>
      <c r="H150" s="66">
        <f>G150+[1]BM_14!H150</f>
        <v>1</v>
      </c>
      <c r="I150" s="65">
        <f t="shared" si="11"/>
        <v>12.89</v>
      </c>
      <c r="J150" s="204">
        <f t="shared" si="8"/>
        <v>0</v>
      </c>
      <c r="K150" s="204">
        <f t="shared" si="9"/>
        <v>12.89</v>
      </c>
      <c r="L150" s="27">
        <f t="shared" si="10"/>
        <v>1</v>
      </c>
    </row>
    <row r="151" spans="1:12" ht="25.5">
      <c r="A151" s="187" t="str">
        <f>'PLANILHA PÓS ADITIVO'!A142</f>
        <v>9.2.7</v>
      </c>
      <c r="B151" s="186" t="str">
        <f>'PLANILHA PÓS ADITIVO'!C142</f>
        <v>JOELHO 90 GRAUS COM BUCHA DE LATÃO, PVC, SOLDÁVEL, DN 25MM, X 1/2 INSTALADO EM RAMAL OU SUB-RAMAL DE ÁGUA - FORNECIMENTO E INSTALAÇÃO. AF_12/2014</v>
      </c>
      <c r="C151" s="189" t="str">
        <f>'PLANILHA PÓS ADITIVO'!E142</f>
        <v>unid</v>
      </c>
      <c r="D151" s="69"/>
      <c r="E151" s="190">
        <f>'PLANILHA PÓS ADITIVO'!G142</f>
        <v>16.347933000000001</v>
      </c>
      <c r="F151" s="189">
        <f>'PLANILHA PÓS ADITIVO'!F142</f>
        <v>66</v>
      </c>
      <c r="G151" s="39"/>
      <c r="H151" s="66">
        <f>G151+[1]BM_14!H151</f>
        <v>66</v>
      </c>
      <c r="I151" s="65">
        <f t="shared" si="11"/>
        <v>1078.96</v>
      </c>
      <c r="J151" s="204">
        <f t="shared" si="8"/>
        <v>0</v>
      </c>
      <c r="K151" s="204">
        <f t="shared" si="9"/>
        <v>1078.96</v>
      </c>
      <c r="L151" s="27">
        <f t="shared" si="10"/>
        <v>1</v>
      </c>
    </row>
    <row r="152" spans="1:12">
      <c r="A152" s="187" t="str">
        <f>'PLANILHA PÓS ADITIVO'!A143</f>
        <v>9.2.8</v>
      </c>
      <c r="B152" s="186" t="str">
        <f>'PLANILHA PÓS ADITIVO'!C143</f>
        <v>Joelho de 90º pvc rígido soldável c/ bucha de latão, d=20mmx1/2".</v>
      </c>
      <c r="C152" s="189" t="str">
        <f>'PLANILHA PÓS ADITIVO'!E143</f>
        <v>unid</v>
      </c>
      <c r="D152" s="69"/>
      <c r="E152" s="190">
        <f>'PLANILHA PÓS ADITIVO'!G143</f>
        <v>17.740863000000001</v>
      </c>
      <c r="F152" s="189">
        <f>'PLANILHA PÓS ADITIVO'!F143</f>
        <v>1</v>
      </c>
      <c r="G152" s="39"/>
      <c r="H152" s="66">
        <f>G152+[1]BM_14!H152</f>
        <v>1</v>
      </c>
      <c r="I152" s="65">
        <f t="shared" si="11"/>
        <v>17.739999999999998</v>
      </c>
      <c r="J152" s="204">
        <f t="shared" si="8"/>
        <v>0</v>
      </c>
      <c r="K152" s="204">
        <f t="shared" si="9"/>
        <v>17.739999999999998</v>
      </c>
      <c r="L152" s="27">
        <f t="shared" si="10"/>
        <v>1</v>
      </c>
    </row>
    <row r="153" spans="1:12" ht="25.5">
      <c r="A153" s="187" t="str">
        <f>'PLANILHA PÓS ADITIVO'!A144</f>
        <v>9.2.9</v>
      </c>
      <c r="B153" s="186" t="str">
        <f>'PLANILHA PÓS ADITIVO'!C144</f>
        <v>JOELHO 90 GRAUS, PVC, SOLDÁVEL, DN 60MM, INSTALADO EM PRUMADA DE ÁGUA - FORNECIMENTO E INSTALAÇÃO. AF_12/2014</v>
      </c>
      <c r="C153" s="189" t="str">
        <f>'PLANILHA PÓS ADITIVO'!E144</f>
        <v>unid</v>
      </c>
      <c r="D153" s="69"/>
      <c r="E153" s="190">
        <f>'PLANILHA PÓS ADITIVO'!G144</f>
        <v>46.371905999999996</v>
      </c>
      <c r="F153" s="189">
        <f>'PLANILHA PÓS ADITIVO'!F144</f>
        <v>4</v>
      </c>
      <c r="G153" s="39"/>
      <c r="H153" s="66">
        <f>G153+[1]BM_14!H153</f>
        <v>4</v>
      </c>
      <c r="I153" s="65">
        <f t="shared" si="11"/>
        <v>185.49</v>
      </c>
      <c r="J153" s="204">
        <f t="shared" si="8"/>
        <v>0</v>
      </c>
      <c r="K153" s="204">
        <f t="shared" si="9"/>
        <v>185.49</v>
      </c>
      <c r="L153" s="27">
        <f t="shared" si="10"/>
        <v>1</v>
      </c>
    </row>
    <row r="154" spans="1:12" ht="25.5">
      <c r="A154" s="187" t="str">
        <f>'PLANILHA PÓS ADITIVO'!A145</f>
        <v>9.2.10</v>
      </c>
      <c r="B154" s="186" t="str">
        <f>'PLANILHA PÓS ADITIVO'!C145</f>
        <v>JOELHO 90 GRAUS, PVC, SOLDÁVEL, DN 25MM, INSTALADO EM RAMAL DE DISTRIBUIÇÃO DE ÁGUA - FORNECIMENTO E INSTALAÇÃO. AF_12/2014</v>
      </c>
      <c r="C154" s="189" t="str">
        <f>'PLANILHA PÓS ADITIVO'!E145</f>
        <v>unid</v>
      </c>
      <c r="D154" s="69"/>
      <c r="E154" s="190">
        <f>'PLANILHA PÓS ADITIVO'!G145</f>
        <v>5.5970459999999997</v>
      </c>
      <c r="F154" s="189">
        <f>'PLANILHA PÓS ADITIVO'!F145</f>
        <v>48</v>
      </c>
      <c r="G154" s="39"/>
      <c r="H154" s="66">
        <f>G154+[1]BM_14!H154</f>
        <v>46</v>
      </c>
      <c r="I154" s="65">
        <f t="shared" si="11"/>
        <v>268.66000000000003</v>
      </c>
      <c r="J154" s="204">
        <f t="shared" si="8"/>
        <v>0</v>
      </c>
      <c r="K154" s="204">
        <f t="shared" si="9"/>
        <v>257.45999999999998</v>
      </c>
      <c r="L154" s="27">
        <f t="shared" si="10"/>
        <v>0.9583116206357476</v>
      </c>
    </row>
    <row r="155" spans="1:12" ht="25.5">
      <c r="A155" s="187" t="str">
        <f>'PLANILHA PÓS ADITIVO'!A146</f>
        <v>9.2.11</v>
      </c>
      <c r="B155" s="186" t="str">
        <f>'PLANILHA PÓS ADITIVO'!C146</f>
        <v>JOELHO 90 GRAUS, PVC, SOLDÁVEL, DN 50MM, INSTALADO EM PRUMADA DE ÁGUA - FORNECIMENTO E INSTALAÇÃO. AF_12/2014</v>
      </c>
      <c r="C155" s="189" t="str">
        <f>'PLANILHA PÓS ADITIVO'!E146</f>
        <v>unid</v>
      </c>
      <c r="D155" s="69"/>
      <c r="E155" s="190">
        <f>'PLANILHA PÓS ADITIVO'!G146</f>
        <v>15.461523000000001</v>
      </c>
      <c r="F155" s="189">
        <f>'PLANILHA PÓS ADITIVO'!F146</f>
        <v>49</v>
      </c>
      <c r="G155" s="69"/>
      <c r="H155" s="66">
        <f>G155+[1]BM_14!H155</f>
        <v>49</v>
      </c>
      <c r="I155" s="65">
        <f t="shared" si="11"/>
        <v>757.61</v>
      </c>
      <c r="J155" s="204">
        <f t="shared" si="8"/>
        <v>0</v>
      </c>
      <c r="K155" s="204">
        <f t="shared" si="9"/>
        <v>757.61</v>
      </c>
      <c r="L155" s="27">
        <f t="shared" si="10"/>
        <v>1</v>
      </c>
    </row>
    <row r="156" spans="1:12" ht="25.5">
      <c r="A156" s="187" t="str">
        <f>'PLANILHA PÓS ADITIVO'!A147</f>
        <v>9.2.12</v>
      </c>
      <c r="B156" s="186" t="str">
        <f>'PLANILHA PÓS ADITIVO'!C147</f>
        <v>JOELHO 90 GRAUS, PVC, SOLDÁVEL, DN 20MM, INSTALADO EM RAMAL DE DISTRIBUIÇÃO DE ÁGUA - FORNECIMENTO E INSTALAÇÃO. AF_12/2014</v>
      </c>
      <c r="C156" s="189" t="str">
        <f>'PLANILHA PÓS ADITIVO'!E147</f>
        <v>unid</v>
      </c>
      <c r="D156" s="69"/>
      <c r="E156" s="190">
        <f>'PLANILHA PÓS ADITIVO'!G147</f>
        <v>4.5713429999999997</v>
      </c>
      <c r="F156" s="189">
        <f>'PLANILHA PÓS ADITIVO'!F147</f>
        <v>2</v>
      </c>
      <c r="G156" s="69"/>
      <c r="H156" s="66">
        <f>G156+[1]BM_14!H156</f>
        <v>2</v>
      </c>
      <c r="I156" s="65">
        <f t="shared" si="11"/>
        <v>9.14</v>
      </c>
      <c r="J156" s="204"/>
      <c r="K156" s="204">
        <f t="shared" si="9"/>
        <v>9.14</v>
      </c>
      <c r="L156" s="27">
        <f t="shared" si="10"/>
        <v>1</v>
      </c>
    </row>
    <row r="157" spans="1:12" ht="25.5">
      <c r="A157" s="187" t="str">
        <f>'PLANILHA PÓS ADITIVO'!A148</f>
        <v>9.2.13</v>
      </c>
      <c r="B157" s="186" t="str">
        <f>'PLANILHA PÓS ADITIVO'!C148</f>
        <v>LUVA SOLDÁVEL E COM ROSCA, PVC, SOLDÁVEL, DN 25MM X 3/4, INSTALADO EM PRUMADA DE ÁGUA - FORNECIMENTO E INSTALAÇÃO. AF_12/2014</v>
      </c>
      <c r="C157" s="189" t="str">
        <f>'PLANILHA PÓS ADITIVO'!E148</f>
        <v>unid</v>
      </c>
      <c r="D157" s="69"/>
      <c r="E157" s="190">
        <f>'PLANILHA PÓS ADITIVO'!G148</f>
        <v>5.0398740000000002</v>
      </c>
      <c r="F157" s="189">
        <f>'PLANILHA PÓS ADITIVO'!F148</f>
        <v>3</v>
      </c>
      <c r="G157" s="69"/>
      <c r="H157" s="66">
        <f>G157+[1]BM_14!H157</f>
        <v>3</v>
      </c>
      <c r="I157" s="65">
        <f t="shared" si="11"/>
        <v>15.12</v>
      </c>
      <c r="J157" s="204"/>
      <c r="K157" s="204">
        <f t="shared" si="9"/>
        <v>15.12</v>
      </c>
      <c r="L157" s="27">
        <f t="shared" si="10"/>
        <v>1</v>
      </c>
    </row>
    <row r="158" spans="1:12" ht="25.5">
      <c r="A158" s="187" t="str">
        <f>'PLANILHA PÓS ADITIVO'!A149</f>
        <v>9.2.14</v>
      </c>
      <c r="B158" s="186" t="str">
        <f>'PLANILHA PÓS ADITIVO'!C149</f>
        <v>LUVA, PVC, SOLDÁVEL, DN 25MM, INSTALADO EM RAMAL OU SUB-RAMAL DE ÁGUA - FORNECIMENTO E INSTALAÇÃO. AF_12/2014</v>
      </c>
      <c r="C158" s="189" t="str">
        <f>'PLANILHA PÓS ADITIVO'!E149</f>
        <v>unid</v>
      </c>
      <c r="D158" s="69"/>
      <c r="E158" s="190">
        <f>'PLANILHA PÓS ADITIVO'!G149</f>
        <v>6.1162289999999997</v>
      </c>
      <c r="F158" s="189">
        <f>'PLANILHA PÓS ADITIVO'!F149</f>
        <v>64</v>
      </c>
      <c r="G158" s="69"/>
      <c r="H158" s="66">
        <f>G158+[1]BM_14!H158</f>
        <v>63</v>
      </c>
      <c r="I158" s="65">
        <f t="shared" si="11"/>
        <v>391.44</v>
      </c>
      <c r="J158" s="204">
        <f t="shared" si="8"/>
        <v>0</v>
      </c>
      <c r="K158" s="204">
        <f t="shared" si="9"/>
        <v>385.32</v>
      </c>
      <c r="L158" s="27">
        <f t="shared" si="10"/>
        <v>0.98436541998773752</v>
      </c>
    </row>
    <row r="159" spans="1:12">
      <c r="A159" s="187" t="str">
        <f>'PLANILHA PÓS ADITIVO'!A150</f>
        <v>9.2.15</v>
      </c>
      <c r="B159" s="186" t="str">
        <f>'PLANILHA PÓS ADITIVO'!C150</f>
        <v>LUVA, PVC, SOLDÁVEL, DN 60MM, INSTALADO EM PRUMADA DE ÁGUA - FORNECIMENTO E INSTALAÇÃO. AF_12/2014</v>
      </c>
      <c r="C159" s="189" t="str">
        <f>'PLANILHA PÓS ADITIVO'!E150</f>
        <v>unid</v>
      </c>
      <c r="D159" s="69"/>
      <c r="E159" s="190">
        <f>'PLANILHA PÓS ADITIVO'!G150</f>
        <v>25.414641</v>
      </c>
      <c r="F159" s="189">
        <f>'PLANILHA PÓS ADITIVO'!F150</f>
        <v>1</v>
      </c>
      <c r="G159" s="69"/>
      <c r="H159" s="66">
        <f>G159+[1]BM_14!H159</f>
        <v>1</v>
      </c>
      <c r="I159" s="65">
        <f t="shared" si="11"/>
        <v>25.41</v>
      </c>
      <c r="J159" s="204">
        <f t="shared" ref="J159:J221" si="12">ROUND(E159*G159,2)</f>
        <v>0</v>
      </c>
      <c r="K159" s="204">
        <f t="shared" ref="K159:K221" si="13">ROUND(E159*H159,2)</f>
        <v>25.41</v>
      </c>
      <c r="L159" s="27">
        <f t="shared" ref="L159:L221" si="14">K159/I159</f>
        <v>1</v>
      </c>
    </row>
    <row r="160" spans="1:12" ht="25.5">
      <c r="A160" s="187" t="str">
        <f>'PLANILHA PÓS ADITIVO'!A151</f>
        <v>9.2.16</v>
      </c>
      <c r="B160" s="186" t="str">
        <f>'PLANILHA PÓS ADITIVO'!C151</f>
        <v>LUVA, PVC, SOLDÁVEL, DN 20MM, INSTALADO EM RAMAL OU SUB-RAMAL DE ÁGUA - FORNECIMENTO E INSTALAÇÃO. AF_12/2014</v>
      </c>
      <c r="C160" s="189" t="str">
        <f>'PLANILHA PÓS ADITIVO'!E151</f>
        <v>unid</v>
      </c>
      <c r="D160" s="69"/>
      <c r="E160" s="190">
        <f>'PLANILHA PÓS ADITIVO'!G151</f>
        <v>5.1285150000000002</v>
      </c>
      <c r="F160" s="189">
        <f>'PLANILHA PÓS ADITIVO'!F151</f>
        <v>1</v>
      </c>
      <c r="G160" s="69"/>
      <c r="H160" s="66">
        <f>G160+[1]BM_14!H160</f>
        <v>1</v>
      </c>
      <c r="I160" s="65">
        <f t="shared" si="11"/>
        <v>5.13</v>
      </c>
      <c r="J160" s="204">
        <f t="shared" si="12"/>
        <v>0</v>
      </c>
      <c r="K160" s="204">
        <f t="shared" si="13"/>
        <v>5.13</v>
      </c>
      <c r="L160" s="27">
        <f t="shared" si="14"/>
        <v>1</v>
      </c>
    </row>
    <row r="161" spans="1:12" ht="25.5">
      <c r="A161" s="187" t="str">
        <f>'PLANILHA PÓS ADITIVO'!A152</f>
        <v>9.2.17</v>
      </c>
      <c r="B161" s="186" t="str">
        <f>'PLANILHA PÓS ADITIVO'!C152</f>
        <v>TÊ COM BUCHA DE LATÃO NA BOLSA CENTRAL, PVC, SOLDÁVEL, DN 25MM X 1/2, INSTALADO EM RAMAL OU SUB-RAMAL DE ÁGUA - FORNECIMENTO E INSTALAÇÃO. AF_12/2014</v>
      </c>
      <c r="C161" s="189" t="str">
        <f>'PLANILHA PÓS ADITIVO'!E152</f>
        <v>unid</v>
      </c>
      <c r="D161" s="69"/>
      <c r="E161" s="190">
        <f>'PLANILHA PÓS ADITIVO'!G152</f>
        <v>23.021334</v>
      </c>
      <c r="F161" s="189">
        <f>'PLANILHA PÓS ADITIVO'!F152</f>
        <v>7</v>
      </c>
      <c r="G161" s="69"/>
      <c r="H161" s="66">
        <f>G161+[1]BM_14!H161</f>
        <v>7</v>
      </c>
      <c r="I161" s="65">
        <f t="shared" si="11"/>
        <v>161.15</v>
      </c>
      <c r="J161" s="204">
        <f t="shared" si="12"/>
        <v>0</v>
      </c>
      <c r="K161" s="204">
        <f t="shared" si="13"/>
        <v>161.15</v>
      </c>
      <c r="L161" s="27">
        <f t="shared" si="14"/>
        <v>1</v>
      </c>
    </row>
    <row r="162" spans="1:12">
      <c r="A162" s="187" t="str">
        <f>'PLANILHA PÓS ADITIVO'!A153</f>
        <v>9.2.18</v>
      </c>
      <c r="B162" s="186" t="str">
        <f>'PLANILHA PÓS ADITIVO'!C153</f>
        <v>TE, PVC, SOLDÁVEL, DN 60MM, INSTALADO EM PRUMADA DE ÁGUA - FORNECIMENTO E INSTALAÇÃO. AF_12/2014</v>
      </c>
      <c r="C162" s="189" t="str">
        <f>'PLANILHA PÓS ADITIVO'!E153</f>
        <v>unid</v>
      </c>
      <c r="D162" s="69"/>
      <c r="E162" s="190">
        <f>'PLANILHA PÓS ADITIVO'!G153</f>
        <v>58.642353</v>
      </c>
      <c r="F162" s="189">
        <f>'PLANILHA PÓS ADITIVO'!F153</f>
        <v>1</v>
      </c>
      <c r="G162" s="69"/>
      <c r="H162" s="66">
        <f>G162+[1]BM_14!H162</f>
        <v>1</v>
      </c>
      <c r="I162" s="65">
        <f t="shared" si="11"/>
        <v>58.64</v>
      </c>
      <c r="J162" s="204">
        <f t="shared" si="12"/>
        <v>0</v>
      </c>
      <c r="K162" s="204">
        <f t="shared" si="13"/>
        <v>58.64</v>
      </c>
      <c r="L162" s="27">
        <f t="shared" si="14"/>
        <v>1</v>
      </c>
    </row>
    <row r="163" spans="1:12" ht="25.5">
      <c r="A163" s="187" t="str">
        <f>'PLANILHA PÓS ADITIVO'!A154</f>
        <v>9.2.19</v>
      </c>
      <c r="B163" s="186" t="str">
        <f>'PLANILHA PÓS ADITIVO'!C154</f>
        <v>TE, PVC, SOLDÁVEL, DN 25MM, INSTALADO EM RAMAL DE DISTRIBUIÇÃO DE ÁGUA - FORNECIMENTO E INSTALAÇÃO. AF_12/2014</v>
      </c>
      <c r="C163" s="189" t="str">
        <f>'PLANILHA PÓS ADITIVO'!E154</f>
        <v>unid</v>
      </c>
      <c r="D163" s="69"/>
      <c r="E163" s="190">
        <f>'PLANILHA PÓS ADITIVO'!G154</f>
        <v>8.0789939999999998</v>
      </c>
      <c r="F163" s="189">
        <f>'PLANILHA PÓS ADITIVO'!F154</f>
        <v>35</v>
      </c>
      <c r="G163" s="69"/>
      <c r="H163" s="66">
        <f>G163+[1]BM_14!H163</f>
        <v>35</v>
      </c>
      <c r="I163" s="65">
        <f t="shared" si="11"/>
        <v>282.76</v>
      </c>
      <c r="J163" s="204">
        <f t="shared" si="12"/>
        <v>0</v>
      </c>
      <c r="K163" s="204">
        <f t="shared" si="13"/>
        <v>282.76</v>
      </c>
      <c r="L163" s="27">
        <f t="shared" si="14"/>
        <v>1</v>
      </c>
    </row>
    <row r="164" spans="1:12">
      <c r="A164" s="187" t="str">
        <f>'PLANILHA PÓS ADITIVO'!A155</f>
        <v>9.2.20</v>
      </c>
      <c r="B164" s="186" t="str">
        <f>'PLANILHA PÓS ADITIVO'!C155</f>
        <v>TE, PVC, SOLDÁVEL, DN 50MM, INSTALADO EM PRUMADA DE ÁGUA - FORNECIMENTO E INSTALAÇÃO. AF_12/2014</v>
      </c>
      <c r="C164" s="189" t="str">
        <f>'PLANILHA PÓS ADITIVO'!E155</f>
        <v>unid</v>
      </c>
      <c r="D164" s="69"/>
      <c r="E164" s="190">
        <f>'PLANILHA PÓS ADITIVO'!G155</f>
        <v>25.098065999999999</v>
      </c>
      <c r="F164" s="189">
        <f>'PLANILHA PÓS ADITIVO'!F155</f>
        <v>32</v>
      </c>
      <c r="G164" s="69"/>
      <c r="H164" s="66">
        <f>G164+[1]BM_14!H164</f>
        <v>32</v>
      </c>
      <c r="I164" s="65">
        <f t="shared" si="11"/>
        <v>803.14</v>
      </c>
      <c r="J164" s="204">
        <f t="shared" si="12"/>
        <v>0</v>
      </c>
      <c r="K164" s="204">
        <f t="shared" si="13"/>
        <v>803.14</v>
      </c>
      <c r="L164" s="27">
        <f t="shared" si="14"/>
        <v>1</v>
      </c>
    </row>
    <row r="165" spans="1:12" ht="25.5">
      <c r="A165" s="187" t="str">
        <f>'PLANILHA PÓS ADITIVO'!A156</f>
        <v>9.2.21</v>
      </c>
      <c r="B165" s="186" t="str">
        <f>'PLANILHA PÓS ADITIVO'!C156</f>
        <v>REGISTRO DE GAVETA BRUTO, LATÃO, ROSCÁVEL, 1 1/2", COM ACABAMENTO E CANOPLA CROMADOS - FORNECIMENTO E INSTALAÇÃO. AF_08/2021</v>
      </c>
      <c r="C165" s="189" t="str">
        <f>'PLANILHA PÓS ADITIVO'!E156</f>
        <v>unid</v>
      </c>
      <c r="D165" s="69"/>
      <c r="E165" s="190">
        <f>'PLANILHA PÓS ADITIVO'!G156</f>
        <v>218.39876099999998</v>
      </c>
      <c r="F165" s="189">
        <f>'PLANILHA PÓS ADITIVO'!F156</f>
        <v>2</v>
      </c>
      <c r="G165" s="39"/>
      <c r="H165" s="66">
        <f>G165+[1]BM_14!H165</f>
        <v>2</v>
      </c>
      <c r="I165" s="65">
        <f t="shared" si="11"/>
        <v>436.8</v>
      </c>
      <c r="J165" s="204">
        <f t="shared" si="12"/>
        <v>0</v>
      </c>
      <c r="K165" s="204">
        <f t="shared" si="13"/>
        <v>436.8</v>
      </c>
      <c r="L165" s="27">
        <f t="shared" si="14"/>
        <v>1</v>
      </c>
    </row>
    <row r="166" spans="1:12" ht="25.5">
      <c r="A166" s="187" t="str">
        <f>'PLANILHA PÓS ADITIVO'!A157</f>
        <v>9.2.22</v>
      </c>
      <c r="B166" s="186" t="str">
        <f>'PLANILHA PÓS ADITIVO'!C157</f>
        <v>REGISTRO DE GAVETA BRUTO, LATÃO, ROSCÁVEL, 3/4", COM ACABAMENTO E CANOPLA CROMADOS - FORNECIMENTO E INSTALAÇÃO. AF_08/2021</v>
      </c>
      <c r="C166" s="189" t="str">
        <f>'PLANILHA PÓS ADITIVO'!E157</f>
        <v>unid</v>
      </c>
      <c r="D166" s="69"/>
      <c r="E166" s="190">
        <f>'PLANILHA PÓS ADITIVO'!G157</f>
        <v>127.554399</v>
      </c>
      <c r="F166" s="189">
        <f>'PLANILHA PÓS ADITIVO'!F157</f>
        <v>33</v>
      </c>
      <c r="G166" s="39"/>
      <c r="H166" s="66">
        <f>G166+[1]BM_14!H166</f>
        <v>16</v>
      </c>
      <c r="I166" s="65">
        <f t="shared" si="11"/>
        <v>4209.3</v>
      </c>
      <c r="J166" s="204">
        <f t="shared" si="12"/>
        <v>0</v>
      </c>
      <c r="K166" s="204">
        <f t="shared" si="13"/>
        <v>2040.87</v>
      </c>
      <c r="L166" s="27">
        <f t="shared" si="14"/>
        <v>0.48484783693250655</v>
      </c>
    </row>
    <row r="167" spans="1:12" ht="25.5">
      <c r="A167" s="187" t="str">
        <f>'PLANILHA PÓS ADITIVO'!A158</f>
        <v>9.2.23</v>
      </c>
      <c r="B167" s="186" t="str">
        <f>'PLANILHA PÓS ADITIVO'!C158</f>
        <v>REGISTRO DE PRESSÃO BRUTO, LATÃO, ROSCÁVEL, 3/4", COM ACABAMENTO E CANOPLA CROMADOS - FORNECIMENTO E INSTALAÇÃO. AF_08/2021</v>
      </c>
      <c r="C167" s="189" t="str">
        <f>'PLANILHA PÓS ADITIVO'!E158</f>
        <v>unid</v>
      </c>
      <c r="D167" s="69"/>
      <c r="E167" s="190">
        <f>'PLANILHA PÓS ADITIVO'!G158</f>
        <v>116.58824099999998</v>
      </c>
      <c r="F167" s="189">
        <f>'PLANILHA PÓS ADITIVO'!F158</f>
        <v>3</v>
      </c>
      <c r="G167" s="39"/>
      <c r="H167" s="66">
        <f>G167+[1]BM_14!H167</f>
        <v>3</v>
      </c>
      <c r="I167" s="65">
        <f t="shared" si="11"/>
        <v>349.76</v>
      </c>
      <c r="J167" s="204">
        <f t="shared" si="12"/>
        <v>0</v>
      </c>
      <c r="K167" s="204">
        <f t="shared" si="13"/>
        <v>349.76</v>
      </c>
      <c r="L167" s="27">
        <f t="shared" si="14"/>
        <v>1</v>
      </c>
    </row>
    <row r="168" spans="1:12" ht="25.5">
      <c r="A168" s="187" t="str">
        <f>'PLANILHA PÓS ADITIVO'!A159</f>
        <v>9.2.24</v>
      </c>
      <c r="B168" s="186" t="str">
        <f>'PLANILHA PÓS ADITIVO'!C159</f>
        <v>Conjunto moto bomba com motor 1/2 cv, monofásico, bomba centrífuga, sucção = 3/4", recalque=3/4", pr. Máx 23mca, faixas hm (m), q (m³/h) : (20-2,1)(17-2,9)(14-3,4)(11-3,9)(8-4,3)(5-4,7), inclusive chave de partida direta.</v>
      </c>
      <c r="C168" s="189" t="str">
        <f>'PLANILHA PÓS ADITIVO'!E159</f>
        <v>unid</v>
      </c>
      <c r="D168" s="69"/>
      <c r="E168" s="190">
        <f>'PLANILHA PÓS ADITIVO'!G159</f>
        <v>1483.483113</v>
      </c>
      <c r="F168" s="189">
        <f>'PLANILHA PÓS ADITIVO'!F159</f>
        <v>1</v>
      </c>
      <c r="G168" s="69"/>
      <c r="H168" s="66">
        <f>G168+[1]BM_14!H168</f>
        <v>0</v>
      </c>
      <c r="I168" s="65">
        <f t="shared" si="11"/>
        <v>1483.48</v>
      </c>
      <c r="J168" s="204">
        <f t="shared" si="12"/>
        <v>0</v>
      </c>
      <c r="K168" s="204">
        <f t="shared" si="13"/>
        <v>0</v>
      </c>
      <c r="L168" s="27">
        <f t="shared" si="14"/>
        <v>0</v>
      </c>
    </row>
    <row r="169" spans="1:12">
      <c r="A169" s="187"/>
      <c r="B169" s="186"/>
      <c r="C169" s="189"/>
      <c r="D169" s="69"/>
      <c r="E169" s="190"/>
      <c r="F169" s="189"/>
      <c r="G169" s="69"/>
      <c r="H169" s="66">
        <f>G169+[1]BM_14!H169</f>
        <v>0</v>
      </c>
      <c r="I169" s="65"/>
      <c r="J169" s="204"/>
      <c r="K169" s="204"/>
      <c r="L169" s="27"/>
    </row>
    <row r="170" spans="1:12">
      <c r="A170" s="193" t="str">
        <f>'PLANILHA PÓS ADITIVO'!A161</f>
        <v>9.3</v>
      </c>
      <c r="B170" s="194" t="str">
        <f>'PLANILHA PÓS ADITIVO'!C161</f>
        <v>COMBATE A  INCÊNDIO</v>
      </c>
      <c r="C170" s="199"/>
      <c r="D170" s="118"/>
      <c r="E170" s="200"/>
      <c r="F170" s="199"/>
      <c r="G170" s="118"/>
      <c r="H170" s="66">
        <f>G170+[1]BM_14!H170</f>
        <v>0</v>
      </c>
      <c r="I170" s="120"/>
      <c r="J170" s="202"/>
      <c r="K170" s="202"/>
      <c r="L170" s="203"/>
    </row>
    <row r="171" spans="1:12" ht="25.5">
      <c r="A171" s="187" t="str">
        <f>'PLANILHA PÓS ADITIVO'!A162</f>
        <v>9.3.1</v>
      </c>
      <c r="B171" s="186" t="str">
        <f>'PLANILHA PÓS ADITIVO'!C162</f>
        <v>TUBO DE AÇO GALVANIZADO COM COSTURA, CLASSE MÉDIA, DN 65 (2 1/2"), CONEXÃO ROSQUEADA, INSTALADO EM REDE DE ALIMENTAÇÃO PARA HIDRANTE - FORNECIMENTO E INSTALAÇÃO. AF_10/2020</v>
      </c>
      <c r="C171" s="189" t="str">
        <f>'PLANILHA PÓS ADITIVO'!E162</f>
        <v>m</v>
      </c>
      <c r="D171" s="69"/>
      <c r="E171" s="190">
        <f>'PLANILHA PÓS ADITIVO'!G162</f>
        <v>153.10833299999999</v>
      </c>
      <c r="F171" s="189">
        <f>'PLANILHA PÓS ADITIVO'!F162</f>
        <v>106</v>
      </c>
      <c r="G171" s="69"/>
      <c r="H171" s="66">
        <f>G171+[1]BM_14!H171</f>
        <v>0</v>
      </c>
      <c r="I171" s="65">
        <f t="shared" si="11"/>
        <v>16229.48</v>
      </c>
      <c r="J171" s="204">
        <f t="shared" si="12"/>
        <v>0</v>
      </c>
      <c r="K171" s="204">
        <f t="shared" si="13"/>
        <v>0</v>
      </c>
      <c r="L171" s="27">
        <f t="shared" si="14"/>
        <v>0</v>
      </c>
    </row>
    <row r="172" spans="1:12" ht="25.5">
      <c r="A172" s="187" t="str">
        <f>'PLANILHA PÓS ADITIVO'!A163</f>
        <v>9.3.2</v>
      </c>
      <c r="B172" s="186" t="str">
        <f>'PLANILHA PÓS ADITIVO'!C163</f>
        <v>COTOVELO 90 GRAUS, EM FERRO GALVANIZADO, CONEXÃO ROSQUEADA, DN 65 (2 1/2), INSTALADO EM RESERVAÇÃO DE ÁGUA DE EDIFICAÇÃO QUE POSSUA RESERVATÓRIO DE FIBRA/FIBROCIMENTO  FORNECIMENTO E INSTALAÇÃO. AF_06/2016</v>
      </c>
      <c r="C172" s="189" t="str">
        <f>'PLANILHA PÓS ADITIVO'!E163</f>
        <v>unid</v>
      </c>
      <c r="D172" s="69"/>
      <c r="E172" s="190">
        <f>'PLANILHA PÓS ADITIVO'!G163</f>
        <v>120.94431300000001</v>
      </c>
      <c r="F172" s="189">
        <f>'PLANILHA PÓS ADITIVO'!F163</f>
        <v>25</v>
      </c>
      <c r="G172" s="69"/>
      <c r="H172" s="66">
        <f>G172+[1]BM_14!H172</f>
        <v>0</v>
      </c>
      <c r="I172" s="65">
        <f t="shared" si="11"/>
        <v>3023.61</v>
      </c>
      <c r="J172" s="204">
        <f t="shared" si="12"/>
        <v>0</v>
      </c>
      <c r="K172" s="204">
        <f t="shared" si="13"/>
        <v>0</v>
      </c>
      <c r="L172" s="27">
        <f t="shared" si="14"/>
        <v>0</v>
      </c>
    </row>
    <row r="173" spans="1:12" ht="25.5">
      <c r="A173" s="187" t="str">
        <f>'PLANILHA PÓS ADITIVO'!A164</f>
        <v>9.3.3</v>
      </c>
      <c r="B173" s="186" t="str">
        <f>'PLANILHA PÓS ADITIVO'!C164</f>
        <v>LUVA, EM FERRO GALVANIZADO, CONEXÃO ROSQUEADA, DN 65 (2 1/2), INSTALADO EM RESERVAÇÃO DE ÁGUA DE EDIFICAÇÃO QUE POSSUA RESERVATÓRIO DE FIBRA/FIBROCIMENTO  FORNECIMENTO E INSTALAÇÃO. AF_06/2016</v>
      </c>
      <c r="C173" s="189" t="str">
        <f>'PLANILHA PÓS ADITIVO'!E164</f>
        <v>unid</v>
      </c>
      <c r="D173" s="69"/>
      <c r="E173" s="190">
        <f>'PLANILHA PÓS ADITIVO'!G164</f>
        <v>84.664817999999997</v>
      </c>
      <c r="F173" s="189">
        <f>'PLANILHA PÓS ADITIVO'!F164</f>
        <v>4</v>
      </c>
      <c r="G173" s="69"/>
      <c r="H173" s="66">
        <f>G173+[1]BM_14!H173</f>
        <v>0</v>
      </c>
      <c r="I173" s="65">
        <f t="shared" si="11"/>
        <v>338.66</v>
      </c>
      <c r="J173" s="204">
        <f t="shared" si="12"/>
        <v>0</v>
      </c>
      <c r="K173" s="204">
        <f t="shared" si="13"/>
        <v>0</v>
      </c>
      <c r="L173" s="27">
        <f t="shared" si="14"/>
        <v>0</v>
      </c>
    </row>
    <row r="174" spans="1:12" ht="25.5">
      <c r="A174" s="187" t="str">
        <f>'PLANILHA PÓS ADITIVO'!A165</f>
        <v>9.3.4</v>
      </c>
      <c r="B174" s="186" t="str">
        <f>'PLANILHA PÓS ADITIVO'!C165</f>
        <v>TÊ, EM FERRO GALVANIZADO, CONEXÃO ROSQUEADA, DN 65 (2 1/2), INSTALADO EM RESERVAÇÃO DE ÁGUA DE EDIFICAÇÃO QUE POSSUA RESERVATÓRIO DE FIBRA/FIBROCIMENTO  FORNECIMENTO E INSTALAÇÃO. AF_06/2016</v>
      </c>
      <c r="C174" s="189" t="str">
        <f>'PLANILHA PÓS ADITIVO'!E165</f>
        <v>unid</v>
      </c>
      <c r="D174" s="69"/>
      <c r="E174" s="190">
        <f>'PLANILHA PÓS ADITIVO'!G165</f>
        <v>166.67040600000001</v>
      </c>
      <c r="F174" s="189">
        <f>'PLANILHA PÓS ADITIVO'!F165</f>
        <v>10</v>
      </c>
      <c r="G174" s="69"/>
      <c r="H174" s="66">
        <f>G174+[1]BM_14!H174</f>
        <v>0</v>
      </c>
      <c r="I174" s="65">
        <f t="shared" si="11"/>
        <v>1666.7</v>
      </c>
      <c r="J174" s="204"/>
      <c r="K174" s="204"/>
      <c r="L174" s="27"/>
    </row>
    <row r="175" spans="1:12">
      <c r="A175" s="187" t="str">
        <f>'PLANILHA PÓS ADITIVO'!A166</f>
        <v>9.3.5</v>
      </c>
      <c r="B175" s="186" t="str">
        <f>'PLANILHA PÓS ADITIVO'!C166</f>
        <v>REGISTRO DE GAVETA BRUTO, LATÃO, ROSCÁVEL, 2 1/2" - FORNECIMENTO E INSTALAÇÃO. AF_08/2021</v>
      </c>
      <c r="C175" s="189" t="str">
        <f>'PLANILHA PÓS ADITIVO'!E166</f>
        <v>unid</v>
      </c>
      <c r="D175" s="69"/>
      <c r="E175" s="190">
        <f>'PLANILHA PÓS ADITIVO'!G166</f>
        <v>385.95557700000001</v>
      </c>
      <c r="F175" s="189">
        <f>'PLANILHA PÓS ADITIVO'!F166</f>
        <v>5</v>
      </c>
      <c r="G175" s="69"/>
      <c r="H175" s="66">
        <f>G175+[1]BM_14!H175</f>
        <v>0</v>
      </c>
      <c r="I175" s="65">
        <f t="shared" si="11"/>
        <v>1929.78</v>
      </c>
      <c r="J175" s="204"/>
      <c r="K175" s="204"/>
      <c r="L175" s="27"/>
    </row>
    <row r="176" spans="1:12">
      <c r="A176" s="187" t="str">
        <f>'PLANILHA PÓS ADITIVO'!A167</f>
        <v>9.3.6</v>
      </c>
      <c r="B176" s="186" t="str">
        <f>'PLANILHA PÓS ADITIVO'!C167</f>
        <v>VÁLVULA DE RETENÇÃO HORIZONTAL, DE BRONZE, ROSCÁVEL, 2 1/2" - FORNECIMENTO E INSTALAÇÃO. AF_08/2021</v>
      </c>
      <c r="C176" s="189" t="str">
        <f>'PLANILHA PÓS ADITIVO'!E167</f>
        <v>unid</v>
      </c>
      <c r="D176" s="69"/>
      <c r="E176" s="190">
        <f>'PLANILHA PÓS ADITIVO'!G167</f>
        <v>516.473118</v>
      </c>
      <c r="F176" s="189">
        <f>'PLANILHA PÓS ADITIVO'!F167</f>
        <v>3</v>
      </c>
      <c r="G176" s="39"/>
      <c r="H176" s="66">
        <f>G176+[1]BM_14!H176</f>
        <v>0</v>
      </c>
      <c r="I176" s="65">
        <f t="shared" si="11"/>
        <v>1549.42</v>
      </c>
      <c r="J176" s="204">
        <f t="shared" si="12"/>
        <v>0</v>
      </c>
      <c r="K176" s="204">
        <f t="shared" si="13"/>
        <v>0</v>
      </c>
      <c r="L176" s="27">
        <f t="shared" si="14"/>
        <v>0</v>
      </c>
    </row>
    <row r="177" spans="1:12">
      <c r="A177" s="187" t="str">
        <f>'PLANILHA PÓS ADITIVO'!A168</f>
        <v>9.3.7</v>
      </c>
      <c r="B177" s="186" t="str">
        <f>'PLANILHA PÓS ADITIVO'!C168</f>
        <v>Válvula de fluxo contínuo galvanizada (p/incêndio)</v>
      </c>
      <c r="C177" s="189" t="str">
        <f>'PLANILHA PÓS ADITIVO'!E168</f>
        <v>unid</v>
      </c>
      <c r="D177" s="69"/>
      <c r="E177" s="190">
        <f>'PLANILHA PÓS ADITIVO'!G168</f>
        <v>284.79086999999998</v>
      </c>
      <c r="F177" s="189">
        <f>'PLANILHA PÓS ADITIVO'!F168</f>
        <v>2</v>
      </c>
      <c r="G177" s="69"/>
      <c r="H177" s="66">
        <f>G177+[1]BM_14!H177</f>
        <v>0</v>
      </c>
      <c r="I177" s="65">
        <f t="shared" si="11"/>
        <v>569.58000000000004</v>
      </c>
      <c r="J177" s="204">
        <f t="shared" si="12"/>
        <v>0</v>
      </c>
      <c r="K177" s="204">
        <f t="shared" si="13"/>
        <v>0</v>
      </c>
      <c r="L177" s="27">
        <f t="shared" si="14"/>
        <v>0</v>
      </c>
    </row>
    <row r="178" spans="1:12" ht="38.25">
      <c r="A178" s="187" t="str">
        <f>'PLANILHA PÓS ADITIVO'!A169</f>
        <v>9.3.8</v>
      </c>
      <c r="B178" s="186" t="str">
        <f>'PLANILHA PÓS ADITIVO'!C169</f>
        <v>ABRIGO PARA HIDRANTE, 90X60X17CM, COM REGISTRO GLOBO ANGULAR 45 GRAUS 2 1/2", ADAPTADOR STORZ 2 1/2", MANGUEIRA DE INCÊNDIO 20M, REDUÇÃO 2 1/2" X 1 1/2" E ESGUICHO EM LATÃO 1 1/2" - FORNECIMENTO E INSTALAÇÃO. AF_10/2020</v>
      </c>
      <c r="C178" s="189" t="str">
        <f>'PLANILHA PÓS ADITIVO'!E169</f>
        <v>unid</v>
      </c>
      <c r="D178" s="69"/>
      <c r="E178" s="190">
        <f>'PLANILHA PÓS ADITIVO'!G169</f>
        <v>1951.0263989999999</v>
      </c>
      <c r="F178" s="189">
        <f>'PLANILHA PÓS ADITIVO'!F169</f>
        <v>3</v>
      </c>
      <c r="G178" s="69"/>
      <c r="H178" s="66">
        <f>G178+[1]BM_14!H178</f>
        <v>0</v>
      </c>
      <c r="I178" s="65">
        <f t="shared" si="11"/>
        <v>5853.08</v>
      </c>
      <c r="J178" s="204">
        <f t="shared" si="12"/>
        <v>0</v>
      </c>
      <c r="K178" s="204">
        <f t="shared" si="13"/>
        <v>0</v>
      </c>
      <c r="L178" s="27">
        <f t="shared" si="14"/>
        <v>0</v>
      </c>
    </row>
    <row r="179" spans="1:12">
      <c r="A179" s="187" t="str">
        <f>'PLANILHA PÓS ADITIVO'!A170</f>
        <v>9.3.9</v>
      </c>
      <c r="B179" s="186" t="str">
        <f>'PLANILHA PÓS ADITIVO'!C170</f>
        <v>HIDRANTE SUBTERRÂNEO PREDIAL (COM CURVA LONGA E CAIXA), DN 75 MM - FORNECIMENTO E INSTALAÇÃO. AF_10/2020</v>
      </c>
      <c r="C179" s="189" t="str">
        <f>'PLANILHA PÓS ADITIVO'!E170</f>
        <v>unid</v>
      </c>
      <c r="D179" s="69"/>
      <c r="E179" s="190">
        <f>'PLANILHA PÓS ADITIVO'!G170</f>
        <v>3815.526519</v>
      </c>
      <c r="F179" s="189">
        <f>'PLANILHA PÓS ADITIVO'!F170</f>
        <v>1</v>
      </c>
      <c r="G179" s="69"/>
      <c r="H179" s="66">
        <f>G179+[1]BM_14!H179</f>
        <v>0</v>
      </c>
      <c r="I179" s="65">
        <f t="shared" si="11"/>
        <v>3815.53</v>
      </c>
      <c r="J179" s="204">
        <f t="shared" si="12"/>
        <v>0</v>
      </c>
      <c r="K179" s="204">
        <f t="shared" si="13"/>
        <v>0</v>
      </c>
      <c r="L179" s="27">
        <f t="shared" si="14"/>
        <v>0</v>
      </c>
    </row>
    <row r="180" spans="1:12" ht="25.5">
      <c r="A180" s="187" t="str">
        <f>'PLANILHA PÓS ADITIVO'!A171</f>
        <v>9.3.10</v>
      </c>
      <c r="B180" s="186" t="str">
        <f>'PLANILHA PÓS ADITIVO'!C171</f>
        <v>EXTINTOR DE INCÊNDIO PORTÁTIL COM CARGA DE ÁGUA PRESSURIZADA DE 10 L, CLASSE A - FORNECIMENTO E INSTALAÇÃO. AF_10/2020_P</v>
      </c>
      <c r="C180" s="189" t="str">
        <f>'PLANILHA PÓS ADITIVO'!E171</f>
        <v>unid</v>
      </c>
      <c r="D180" s="69"/>
      <c r="E180" s="190">
        <f>'PLANILHA PÓS ADITIVO'!G171</f>
        <v>337.50693899999999</v>
      </c>
      <c r="F180" s="189">
        <f>'PLANILHA PÓS ADITIVO'!F171</f>
        <v>7</v>
      </c>
      <c r="G180" s="69"/>
      <c r="H180" s="66">
        <f>G180+[1]BM_14!H180</f>
        <v>0</v>
      </c>
      <c r="I180" s="65">
        <f t="shared" si="11"/>
        <v>2362.5500000000002</v>
      </c>
      <c r="J180" s="204">
        <f t="shared" si="12"/>
        <v>0</v>
      </c>
      <c r="K180" s="204">
        <f t="shared" si="13"/>
        <v>0</v>
      </c>
      <c r="L180" s="27">
        <f t="shared" si="14"/>
        <v>0</v>
      </c>
    </row>
    <row r="181" spans="1:12" ht="25.5">
      <c r="A181" s="187" t="str">
        <f>'PLANILHA PÓS ADITIVO'!A172</f>
        <v>9.3.11</v>
      </c>
      <c r="B181" s="186" t="str">
        <f>'PLANILHA PÓS ADITIVO'!C172</f>
        <v>EXTINTOR DE INCÊNDIO PORTÁTIL COM CARGA DE CO2 DE 6 KG, CLASSE BC - FORNECIMENTO E INSTALAÇÃO. AF_10/2020_P</v>
      </c>
      <c r="C181" s="189" t="str">
        <f>'PLANILHA PÓS ADITIVO'!E172</f>
        <v>unid</v>
      </c>
      <c r="D181" s="69"/>
      <c r="E181" s="190">
        <f>'PLANILHA PÓS ADITIVO'!G172</f>
        <v>1110.0385799999999</v>
      </c>
      <c r="F181" s="189">
        <f>'PLANILHA PÓS ADITIVO'!F172</f>
        <v>2</v>
      </c>
      <c r="G181" s="69"/>
      <c r="H181" s="66">
        <f>G181+[1]BM_14!H181</f>
        <v>0</v>
      </c>
      <c r="I181" s="65">
        <f t="shared" si="11"/>
        <v>2220.08</v>
      </c>
      <c r="J181" s="204">
        <f t="shared" si="12"/>
        <v>0</v>
      </c>
      <c r="K181" s="204">
        <f t="shared" si="13"/>
        <v>0</v>
      </c>
      <c r="L181" s="27">
        <f t="shared" si="14"/>
        <v>0</v>
      </c>
    </row>
    <row r="182" spans="1:12" ht="25.5">
      <c r="A182" s="187" t="str">
        <f>'PLANILHA PÓS ADITIVO'!A173</f>
        <v>9.3.12</v>
      </c>
      <c r="B182" s="186" t="str">
        <f>'PLANILHA PÓS ADITIVO'!C173</f>
        <v>EXTINTOR DE INCÊNDIO PORTÁTIL COM CARGA DE PQS DE 8 KG, CLASSE BC - FORNECIMENTO E INSTALAÇÃO. AF_10/2020_P</v>
      </c>
      <c r="C182" s="189" t="str">
        <f>'PLANILHA PÓS ADITIVO'!E173</f>
        <v>unid</v>
      </c>
      <c r="D182" s="69"/>
      <c r="E182" s="190">
        <f>'PLANILHA PÓS ADITIVO'!G173</f>
        <v>382.95444600000002</v>
      </c>
      <c r="F182" s="189">
        <f>'PLANILHA PÓS ADITIVO'!F173</f>
        <v>7</v>
      </c>
      <c r="G182" s="69"/>
      <c r="H182" s="66">
        <f>G182+[1]BM_14!H182</f>
        <v>0</v>
      </c>
      <c r="I182" s="65">
        <f t="shared" si="11"/>
        <v>2680.68</v>
      </c>
      <c r="J182" s="204">
        <f t="shared" si="12"/>
        <v>0</v>
      </c>
      <c r="K182" s="204">
        <f t="shared" si="13"/>
        <v>0</v>
      </c>
      <c r="L182" s="27">
        <f t="shared" si="14"/>
        <v>0</v>
      </c>
    </row>
    <row r="183" spans="1:12">
      <c r="A183" s="187" t="str">
        <f>'PLANILHA PÓS ADITIVO'!A174</f>
        <v>9.3.13</v>
      </c>
      <c r="B183" s="186" t="str">
        <f>'PLANILHA PÓS ADITIVO'!C174</f>
        <v>LUMINÁRIA DE EMERGÊNCIA, COM 30 LÂMPADAS LED DE 2 W, SEM REATOR - FORNECIMENTO E INSTALAÇÃO. AF_02/2020</v>
      </c>
      <c r="C183" s="189" t="str">
        <f>'PLANILHA PÓS ADITIVO'!E174</f>
        <v>unid</v>
      </c>
      <c r="D183" s="69"/>
      <c r="E183" s="190">
        <f>'PLANILHA PÓS ADITIVO'!G174</f>
        <v>28.339793999999998</v>
      </c>
      <c r="F183" s="189">
        <f>'PLANILHA PÓS ADITIVO'!F174</f>
        <v>18</v>
      </c>
      <c r="G183" s="39"/>
      <c r="H183" s="66">
        <f>G183+[1]BM_14!H183</f>
        <v>0</v>
      </c>
      <c r="I183" s="65">
        <f t="shared" si="11"/>
        <v>510.12</v>
      </c>
      <c r="J183" s="204">
        <f t="shared" si="12"/>
        <v>0</v>
      </c>
      <c r="K183" s="204">
        <f t="shared" si="13"/>
        <v>0</v>
      </c>
      <c r="L183" s="27">
        <f t="shared" si="14"/>
        <v>0</v>
      </c>
    </row>
    <row r="184" spans="1:12" ht="25.5">
      <c r="A184" s="187" t="str">
        <f>'PLANILHA PÓS ADITIVO'!A175</f>
        <v>9.3.14</v>
      </c>
      <c r="B184" s="186" t="str">
        <f>'PLANILHA PÓS ADITIVO'!C175</f>
        <v>Placa de sinalização de segurança contra incêndio, fotoluminescente, retangular, (20x40)cm, em pvc de 2cm anti-chamas (simblos, cores, e pictograma conforme nbr 13434)</v>
      </c>
      <c r="C184" s="189" t="str">
        <f>'PLANILHA PÓS ADITIVO'!E175</f>
        <v>unid</v>
      </c>
      <c r="D184" s="69"/>
      <c r="E184" s="190">
        <f>'PLANILHA PÓS ADITIVO'!G175</f>
        <v>48.689235000000004</v>
      </c>
      <c r="F184" s="189">
        <f>'PLANILHA PÓS ADITIVO'!F175</f>
        <v>21</v>
      </c>
      <c r="G184" s="69"/>
      <c r="H184" s="66">
        <f>G184+[1]BM_14!H184</f>
        <v>0</v>
      </c>
      <c r="I184" s="65">
        <f t="shared" si="11"/>
        <v>1022.47</v>
      </c>
      <c r="J184" s="204">
        <f t="shared" si="12"/>
        <v>0</v>
      </c>
      <c r="K184" s="204">
        <f t="shared" si="13"/>
        <v>0</v>
      </c>
      <c r="L184" s="27">
        <f t="shared" si="14"/>
        <v>0</v>
      </c>
    </row>
    <row r="185" spans="1:12">
      <c r="A185" s="187" t="str">
        <f>'PLANILHA PÓS ADITIVO'!A176</f>
        <v>9.3.15</v>
      </c>
      <c r="B185" s="186" t="str">
        <f>'PLANILHA PÓS ADITIVO'!C176</f>
        <v>Placa de sinalização, fotoluminescente, em pvc, com logotipo "Extintor de incêndio portátil"- Placa E5</v>
      </c>
      <c r="C185" s="189" t="str">
        <f>'PLANILHA PÓS ADITIVO'!E176</f>
        <v>unid</v>
      </c>
      <c r="D185" s="69"/>
      <c r="E185" s="190">
        <f>'PLANILHA PÓS ADITIVO'!G176</f>
        <v>19.007162999999998</v>
      </c>
      <c r="F185" s="189">
        <f>'PLANILHA PÓS ADITIVO'!F176</f>
        <v>7</v>
      </c>
      <c r="G185" s="69"/>
      <c r="H185" s="66">
        <f>G185+[1]BM_14!H185</f>
        <v>0</v>
      </c>
      <c r="I185" s="65">
        <f t="shared" si="11"/>
        <v>133.05000000000001</v>
      </c>
      <c r="J185" s="204">
        <f t="shared" si="12"/>
        <v>0</v>
      </c>
      <c r="K185" s="204">
        <f t="shared" si="13"/>
        <v>0</v>
      </c>
      <c r="L185" s="27">
        <f t="shared" si="14"/>
        <v>0</v>
      </c>
    </row>
    <row r="186" spans="1:12">
      <c r="A186" s="187" t="str">
        <f>'PLANILHA PÓS ADITIVO'!A177</f>
        <v>9.3.16</v>
      </c>
      <c r="B186" s="186" t="str">
        <f>'PLANILHA PÓS ADITIVO'!C177</f>
        <v>Placa de sinalização, fotoluminescente, em pvc, com logotipo "Hidrante de incêndio"- Placa E9</v>
      </c>
      <c r="C186" s="189" t="str">
        <f>'PLANILHA PÓS ADITIVO'!E177</f>
        <v>unid</v>
      </c>
      <c r="D186" s="69"/>
      <c r="E186" s="190">
        <f>'PLANILHA PÓS ADITIVO'!G177</f>
        <v>19.007162999999998</v>
      </c>
      <c r="F186" s="189">
        <f>'PLANILHA PÓS ADITIVO'!F177</f>
        <v>3</v>
      </c>
      <c r="G186" s="69"/>
      <c r="H186" s="66">
        <f>G186+[1]BM_14!H186</f>
        <v>0</v>
      </c>
      <c r="I186" s="65">
        <f t="shared" si="11"/>
        <v>57.02</v>
      </c>
      <c r="J186" s="204">
        <f t="shared" si="12"/>
        <v>0</v>
      </c>
      <c r="K186" s="204">
        <f t="shared" si="13"/>
        <v>0</v>
      </c>
      <c r="L186" s="27">
        <f t="shared" si="14"/>
        <v>0</v>
      </c>
    </row>
    <row r="187" spans="1:12">
      <c r="A187" s="187"/>
      <c r="B187" s="186"/>
      <c r="C187" s="189"/>
      <c r="D187" s="69"/>
      <c r="E187" s="190"/>
      <c r="F187" s="189"/>
      <c r="G187" s="69"/>
      <c r="H187" s="66">
        <f>G187+[1]BM_14!H187</f>
        <v>0</v>
      </c>
      <c r="I187" s="65"/>
      <c r="J187" s="204"/>
      <c r="K187" s="204"/>
      <c r="L187" s="27"/>
    </row>
    <row r="188" spans="1:12">
      <c r="A188" s="193">
        <f>'PLANILHA PÓS ADITIVO'!A179</f>
        <v>10</v>
      </c>
      <c r="B188" s="194" t="str">
        <f>'PLANILHA PÓS ADITIVO'!C179</f>
        <v>INSTALAÇÕES ELÉTRICAS</v>
      </c>
      <c r="C188" s="199"/>
      <c r="D188" s="118"/>
      <c r="E188" s="200"/>
      <c r="F188" s="199"/>
      <c r="G188" s="118"/>
      <c r="H188" s="66">
        <f>G188+[1]BM_14!H188</f>
        <v>0</v>
      </c>
      <c r="I188" s="120"/>
      <c r="J188" s="202"/>
      <c r="K188" s="202"/>
      <c r="L188" s="203"/>
    </row>
    <row r="189" spans="1:12" ht="39" customHeight="1">
      <c r="A189" s="187" t="str">
        <f>'PLANILHA PÓS ADITIVO'!A180</f>
        <v>10.1</v>
      </c>
      <c r="B189" s="186" t="str">
        <f>'PLANILHA PÓS ADITIVO'!C180</f>
        <v>CAIXA RETANGULAR 4" X 2" MÉDIA (1,30 M DO PISO), PVC, INSTALADA EM PAREDE - FORNECIMENTO E INSTALAÇÃO. AF_12/20</v>
      </c>
      <c r="C189" s="189" t="str">
        <f>'PLANILHA PÓS ADITIVO'!E180</f>
        <v>unid</v>
      </c>
      <c r="D189" s="69"/>
      <c r="E189" s="190">
        <f>'PLANILHA PÓS ADITIVO'!G180</f>
        <v>12.409740000000001</v>
      </c>
      <c r="F189" s="189">
        <f>'PLANILHA PÓS ADITIVO'!F180</f>
        <v>248</v>
      </c>
      <c r="G189" s="39"/>
      <c r="H189" s="66">
        <f>G189+[1]BM_14!H189</f>
        <v>157</v>
      </c>
      <c r="I189" s="65">
        <f t="shared" si="11"/>
        <v>3077.62</v>
      </c>
      <c r="J189" s="204">
        <f t="shared" si="12"/>
        <v>0</v>
      </c>
      <c r="K189" s="204">
        <f t="shared" si="13"/>
        <v>1948.33</v>
      </c>
      <c r="L189" s="27">
        <f t="shared" si="14"/>
        <v>0.63306386103547552</v>
      </c>
    </row>
    <row r="190" spans="1:12" ht="25.5">
      <c r="A190" s="187" t="str">
        <f>'PLANILHA PÓS ADITIVO'!A181</f>
        <v>10.2</v>
      </c>
      <c r="B190" s="221" t="str">
        <f>'PLANILHA PÓS ADITIVO'!C181</f>
        <v>TOMADA MÉDIA DE EMBUTIR (1 MÓDULO), 2P+T 20 A, INCLUINDO SUPORTE E PLACA - FORNECIMENTO E INSTALAÇÃO. AF_12/2015</v>
      </c>
      <c r="C190" s="189" t="str">
        <f>'PLANILHA PÓS ADITIVO'!E181</f>
        <v>unid</v>
      </c>
      <c r="D190" s="69"/>
      <c r="E190" s="190">
        <f>'PLANILHA PÓS ADITIVO'!G181</f>
        <v>33.253038000000004</v>
      </c>
      <c r="F190" s="189">
        <f>'PLANILHA PÓS ADITIVO'!F181</f>
        <v>29</v>
      </c>
      <c r="G190" s="22">
        <f>'MEMORIA DE CALCULO'!I410</f>
        <v>123</v>
      </c>
      <c r="H190" s="66">
        <f>G190+[1]BM_14!H190</f>
        <v>123</v>
      </c>
      <c r="I190" s="65">
        <f t="shared" si="11"/>
        <v>964.34</v>
      </c>
      <c r="J190" s="204">
        <f t="shared" si="12"/>
        <v>4090.12</v>
      </c>
      <c r="K190" s="204">
        <f t="shared" si="13"/>
        <v>4090.12</v>
      </c>
      <c r="L190" s="27">
        <f t="shared" si="14"/>
        <v>4.2413671526639982</v>
      </c>
    </row>
    <row r="191" spans="1:12" ht="25.5">
      <c r="A191" s="187" t="str">
        <f>'PLANILHA PÓS ADITIVO'!A182</f>
        <v>10.3</v>
      </c>
      <c r="B191" s="221" t="str">
        <f>'PLANILHA PÓS ADITIVO'!C182</f>
        <v>TOMADA MÉDIA DE EMBUTIR (1 MÓDULO), 2P+T 10 A, INCLUINDO SUPORTE E PLACA - FORNECIMENTO E INSTALAÇÃO. AF_12/2015</v>
      </c>
      <c r="C191" s="189" t="str">
        <f>'PLANILHA PÓS ADITIVO'!E182</f>
        <v>unid</v>
      </c>
      <c r="D191" s="69"/>
      <c r="E191" s="190">
        <f>'PLANILHA PÓS ADITIVO'!G182</f>
        <v>30.492503999999997</v>
      </c>
      <c r="F191" s="189">
        <f>'PLANILHA PÓS ADITIVO'!F182</f>
        <v>195</v>
      </c>
      <c r="G191" s="22">
        <f>'MEMORIA DE CALCULO'!I411</f>
        <v>0</v>
      </c>
      <c r="H191" s="66">
        <f>G191+[1]BM_14!H191</f>
        <v>0</v>
      </c>
      <c r="I191" s="65">
        <f t="shared" si="11"/>
        <v>5946.04</v>
      </c>
      <c r="J191" s="204">
        <f t="shared" si="12"/>
        <v>0</v>
      </c>
      <c r="K191" s="204">
        <f t="shared" si="13"/>
        <v>0</v>
      </c>
      <c r="L191" s="27">
        <f t="shared" si="14"/>
        <v>0</v>
      </c>
    </row>
    <row r="192" spans="1:12" ht="25.5" customHeight="1">
      <c r="A192" s="187" t="str">
        <f>'PLANILHA PÓS ADITIVO'!A183</f>
        <v>10.4</v>
      </c>
      <c r="B192" s="221" t="str">
        <f>'PLANILHA PÓS ADITIVO'!C183</f>
        <v>INTERRUPTOR SIMPLES (1 MÓDULO), 10A/250V, INCLUINDO SUPORTE E PLACA - FORNECIMENTO E INSTALAÇÃO. AF_12/2015</v>
      </c>
      <c r="C192" s="189" t="str">
        <f>'PLANILHA PÓS ADITIVO'!E183</f>
        <v>unid</v>
      </c>
      <c r="D192" s="69"/>
      <c r="E192" s="190">
        <f>'PLANILHA PÓS ADITIVO'!G183</f>
        <v>25.984476000000001</v>
      </c>
      <c r="F192" s="189">
        <f>'PLANILHA PÓS ADITIVO'!F183</f>
        <v>38</v>
      </c>
      <c r="G192" s="22">
        <f>'MEMORIA DE CALCULO'!I412</f>
        <v>15</v>
      </c>
      <c r="H192" s="66">
        <f>G192+[1]BM_14!H192</f>
        <v>15</v>
      </c>
      <c r="I192" s="65">
        <f t="shared" si="11"/>
        <v>987.41</v>
      </c>
      <c r="J192" s="204">
        <f t="shared" si="12"/>
        <v>389.77</v>
      </c>
      <c r="K192" s="204">
        <f t="shared" si="13"/>
        <v>389.77</v>
      </c>
      <c r="L192" s="27">
        <f t="shared" si="14"/>
        <v>0.3947397737515318</v>
      </c>
    </row>
    <row r="193" spans="1:12" ht="25.5">
      <c r="A193" s="187" t="str">
        <f>'PLANILHA PÓS ADITIVO'!A184</f>
        <v>10.5</v>
      </c>
      <c r="B193" s="221" t="str">
        <f>'PLANILHA PÓS ADITIVO'!C184</f>
        <v>INTERRUPTOR SIMPLES (2 MÓDULOS), 10A/250V, INCLUINDO SUPORTE E PLACA - FORNECIMENTO E INSTALAÇÃO. AF_12/2015</v>
      </c>
      <c r="C193" s="189" t="str">
        <f>'PLANILHA PÓS ADITIVO'!E184</f>
        <v>unid</v>
      </c>
      <c r="D193" s="69"/>
      <c r="E193" s="190">
        <f>'PLANILHA PÓS ADITIVO'!G184</f>
        <v>41.218064999999996</v>
      </c>
      <c r="F193" s="189">
        <f>'PLANILHA PÓS ADITIVO'!F184</f>
        <v>9</v>
      </c>
      <c r="G193" s="22">
        <f>'MEMORIA DE CALCULO'!I413</f>
        <v>3</v>
      </c>
      <c r="H193" s="66">
        <f>G193+[1]BM_14!H193</f>
        <v>3</v>
      </c>
      <c r="I193" s="65">
        <f t="shared" si="11"/>
        <v>370.96</v>
      </c>
      <c r="J193" s="204">
        <f t="shared" si="12"/>
        <v>123.65</v>
      </c>
      <c r="K193" s="204">
        <f t="shared" si="13"/>
        <v>123.65</v>
      </c>
      <c r="L193" s="27">
        <f t="shared" si="14"/>
        <v>0.33332434763855945</v>
      </c>
    </row>
    <row r="194" spans="1:12">
      <c r="A194" s="187" t="str">
        <f>'PLANILHA PÓS ADITIVO'!A185</f>
        <v>10.6</v>
      </c>
      <c r="B194" s="221" t="str">
        <f>'PLANILHA PÓS ADITIVO'!C185</f>
        <v>CAIXA OCTOGONAL 4" X 4", PVC, INSTALADA EM LAJE - FORNECIMENTO E INSTALAÇÃO. AF_12/2015</v>
      </c>
      <c r="C194" s="189" t="str">
        <f>'PLANILHA PÓS ADITIVO'!E185</f>
        <v>unid</v>
      </c>
      <c r="D194" s="69"/>
      <c r="E194" s="190">
        <f>'PLANILHA PÓS ADITIVO'!G185</f>
        <v>11.054799000000001</v>
      </c>
      <c r="F194" s="189">
        <f>'PLANILHA PÓS ADITIVO'!F185</f>
        <v>97</v>
      </c>
      <c r="G194" s="69"/>
      <c r="H194" s="66">
        <f>G194+[1]BM_14!H194</f>
        <v>0</v>
      </c>
      <c r="I194" s="65">
        <f t="shared" si="11"/>
        <v>1072.32</v>
      </c>
      <c r="J194" s="204">
        <f t="shared" si="12"/>
        <v>0</v>
      </c>
      <c r="K194" s="204">
        <f t="shared" si="13"/>
        <v>0</v>
      </c>
      <c r="L194" s="27">
        <f t="shared" si="14"/>
        <v>0</v>
      </c>
    </row>
    <row r="195" spans="1:12" ht="25.5">
      <c r="A195" s="187" t="str">
        <f>'PLANILHA PÓS ADITIVO'!A186</f>
        <v>10.7</v>
      </c>
      <c r="B195" s="221" t="str">
        <f>'PLANILHA PÓS ADITIVO'!C186</f>
        <v>LUVA PARA ELETRODUTO, PVC, ROSCÁVEL, DN 25 MM (3/4"), PARA CIRCUITOS TERMINAIS, INSTALADA EM FORRO - FORNECIMENTO E INSTALAÇÃO. AF_12/2015</v>
      </c>
      <c r="C195" s="189" t="str">
        <f>'PLANILHA PÓS ADITIVO'!E186</f>
        <v>unid</v>
      </c>
      <c r="D195" s="69"/>
      <c r="E195" s="190">
        <f>'PLANILHA PÓS ADITIVO'!G186</f>
        <v>5.2804710000000004</v>
      </c>
      <c r="F195" s="189">
        <f>'PLANILHA PÓS ADITIVO'!F186</f>
        <v>103</v>
      </c>
      <c r="G195" s="39"/>
      <c r="H195" s="66">
        <f>G195+[1]BM_14!H195</f>
        <v>0</v>
      </c>
      <c r="I195" s="65">
        <f t="shared" si="11"/>
        <v>543.89</v>
      </c>
      <c r="J195" s="204">
        <f t="shared" si="12"/>
        <v>0</v>
      </c>
      <c r="K195" s="204">
        <f t="shared" si="13"/>
        <v>0</v>
      </c>
      <c r="L195" s="27">
        <f t="shared" si="14"/>
        <v>0</v>
      </c>
    </row>
    <row r="196" spans="1:12" ht="25.5">
      <c r="A196" s="187" t="str">
        <f>'PLANILHA PÓS ADITIVO'!A187</f>
        <v>10.8</v>
      </c>
      <c r="B196" s="221" t="str">
        <f>'PLANILHA PÓS ADITIVO'!C187</f>
        <v>ELETRODUTO FLEXÍVEL CORRUGADO, PVC, DN 25 MM (3/4"), PARA CIRCUITOS TERMINAIS, INSTALADO EM PAREDE - FORNECIMENTO E INSTALAÇÃO. AF_12/2015</v>
      </c>
      <c r="C196" s="189" t="str">
        <f>'PLANILHA PÓS ADITIVO'!E187</f>
        <v>m</v>
      </c>
      <c r="D196" s="69"/>
      <c r="E196" s="190">
        <f>'PLANILHA PÓS ADITIVO'!G187</f>
        <v>7.9776899999999999</v>
      </c>
      <c r="F196" s="189">
        <f>'PLANILHA PÓS ADITIVO'!F187</f>
        <v>750</v>
      </c>
      <c r="G196" s="39"/>
      <c r="H196" s="66">
        <f>G196+[1]BM_14!H196</f>
        <v>750</v>
      </c>
      <c r="I196" s="65">
        <f t="shared" si="11"/>
        <v>5983.27</v>
      </c>
      <c r="J196" s="204">
        <f t="shared" si="12"/>
        <v>0</v>
      </c>
      <c r="K196" s="204">
        <f t="shared" si="13"/>
        <v>5983.27</v>
      </c>
      <c r="L196" s="27">
        <f t="shared" si="14"/>
        <v>1</v>
      </c>
    </row>
    <row r="197" spans="1:12" ht="25.5">
      <c r="A197" s="187" t="str">
        <f>'PLANILHA PÓS ADITIVO'!A188</f>
        <v>10.9</v>
      </c>
      <c r="B197" s="221" t="str">
        <f>'PLANILHA PÓS ADITIVO'!C188</f>
        <v>ELETRODUTO RÍGIDO SOLDÁVEL, PVC, DN 32 MM (1), APARENTE, INSTALADO EM PAREDE - FORNECIMENTO E INSTALAÇÃO. AF_11/2016_P</v>
      </c>
      <c r="C197" s="189" t="str">
        <f>'PLANILHA PÓS ADITIVO'!E188</f>
        <v>m</v>
      </c>
      <c r="D197" s="69"/>
      <c r="E197" s="190">
        <f>'PLANILHA PÓS ADITIVO'!G188</f>
        <v>10.928169</v>
      </c>
      <c r="F197" s="189">
        <f>'PLANILHA PÓS ADITIVO'!F188</f>
        <v>210</v>
      </c>
      <c r="G197" s="39"/>
      <c r="H197" s="66">
        <f>G197+[1]BM_14!H197</f>
        <v>210</v>
      </c>
      <c r="I197" s="65">
        <f t="shared" si="11"/>
        <v>2294.92</v>
      </c>
      <c r="J197" s="204">
        <f t="shared" si="12"/>
        <v>0</v>
      </c>
      <c r="K197" s="204">
        <f t="shared" si="13"/>
        <v>2294.92</v>
      </c>
      <c r="L197" s="27">
        <f t="shared" si="14"/>
        <v>1</v>
      </c>
    </row>
    <row r="198" spans="1:12" ht="25.5">
      <c r="A198" s="187" t="str">
        <f>'PLANILHA PÓS ADITIVO'!A189</f>
        <v>10.10</v>
      </c>
      <c r="B198" s="221" t="str">
        <f>'PLANILHA PÓS ADITIVO'!C189</f>
        <v>CURVA 90 GRAUS PARA ELETRODUTO, PVC, ROSCÁVEL, DN 32 MM (1"), PARA CIRCUITOS TERMINAIS, INSTALADA EM PAREDE - FORNECIMENTO E INSTALAÇÃO. AF_12/2015</v>
      </c>
      <c r="C198" s="189" t="str">
        <f>'PLANILHA PÓS ADITIVO'!E189</f>
        <v>unid</v>
      </c>
      <c r="D198" s="69"/>
      <c r="E198" s="190">
        <f>'PLANILHA PÓS ADITIVO'!G189</f>
        <v>14.499134999999999</v>
      </c>
      <c r="F198" s="189">
        <f>'PLANILHA PÓS ADITIVO'!F189</f>
        <v>89</v>
      </c>
      <c r="G198" s="39"/>
      <c r="H198" s="66">
        <f>G198+[1]BM_14!H198</f>
        <v>0</v>
      </c>
      <c r="I198" s="65">
        <f t="shared" si="11"/>
        <v>1290.42</v>
      </c>
      <c r="J198" s="204">
        <f t="shared" si="12"/>
        <v>0</v>
      </c>
      <c r="K198" s="204">
        <f t="shared" si="13"/>
        <v>0</v>
      </c>
      <c r="L198" s="27">
        <f t="shared" si="14"/>
        <v>0</v>
      </c>
    </row>
    <row r="199" spans="1:12" ht="25.5">
      <c r="A199" s="187" t="str">
        <f>'PLANILHA PÓS ADITIVO'!A190</f>
        <v>10.11</v>
      </c>
      <c r="B199" s="221" t="str">
        <f>'PLANILHA PÓS ADITIVO'!C190</f>
        <v>LUVA PARA ELETRODUTO, PVC, SOLDÁVEL, DN 32 MM (1), APARENTE, INSTALADA EM PAREDE - FORNECIMENTO E INSTALAÇÃO. AF_11/2016_P</v>
      </c>
      <c r="C199" s="189" t="str">
        <f>'PLANILHA PÓS ADITIVO'!E190</f>
        <v>unid</v>
      </c>
      <c r="D199" s="69"/>
      <c r="E199" s="190">
        <f>'PLANILHA PÓS ADITIVO'!G190</f>
        <v>7.6231259999999992</v>
      </c>
      <c r="F199" s="189">
        <f>'PLANILHA PÓS ADITIVO'!F190</f>
        <v>102</v>
      </c>
      <c r="G199" s="39"/>
      <c r="H199" s="66">
        <f>G199+[1]BM_14!H199</f>
        <v>0</v>
      </c>
      <c r="I199" s="65">
        <f t="shared" si="11"/>
        <v>777.56</v>
      </c>
      <c r="J199" s="204">
        <f t="shared" si="12"/>
        <v>0</v>
      </c>
      <c r="K199" s="204">
        <f t="shared" si="13"/>
        <v>0</v>
      </c>
      <c r="L199" s="27">
        <f t="shared" si="14"/>
        <v>0</v>
      </c>
    </row>
    <row r="200" spans="1:12" ht="25.5">
      <c r="A200" s="187" t="str">
        <f>'PLANILHA PÓS ADITIVO'!A191</f>
        <v>10.12</v>
      </c>
      <c r="B200" s="221" t="str">
        <f>'PLANILHA PÓS ADITIVO'!C191</f>
        <v>ENTRADA DE ENERGIA ELÉTRICA, AÉREA, TRIFÁSICA, COM CAIXA DE EMBUTIR, CABO DE 35 MM2 E DISJUNTOR DIN 50A (NÃO INCLUSO O POSTE DE CONCRETO). AF_07/2020</v>
      </c>
      <c r="C200" s="189" t="str">
        <f>'PLANILHA PÓS ADITIVO'!E191</f>
        <v>unid</v>
      </c>
      <c r="D200" s="69"/>
      <c r="E200" s="190">
        <f>'PLANILHA PÓS ADITIVO'!G191</f>
        <v>2640.2481630000002</v>
      </c>
      <c r="F200" s="189">
        <f>'PLANILHA PÓS ADITIVO'!F191</f>
        <v>1</v>
      </c>
      <c r="G200" s="39"/>
      <c r="H200" s="66">
        <f>G200+[1]BM_14!H200</f>
        <v>0</v>
      </c>
      <c r="I200" s="65">
        <f t="shared" si="11"/>
        <v>2640.25</v>
      </c>
      <c r="J200" s="204">
        <f t="shared" si="12"/>
        <v>0</v>
      </c>
      <c r="K200" s="204">
        <f t="shared" si="13"/>
        <v>0</v>
      </c>
      <c r="L200" s="27">
        <f t="shared" si="14"/>
        <v>0</v>
      </c>
    </row>
    <row r="201" spans="1:12" ht="25.5">
      <c r="A201" s="187" t="str">
        <f>'PLANILHA PÓS ADITIVO'!A192</f>
        <v>10.13</v>
      </c>
      <c r="B201" s="221" t="str">
        <f>'PLANILHA PÓS ADITIVO'!C192</f>
        <v>LUMINÁRIA TIPO PLAFON EM PLÁSTICO, DE SOBREPOR, COM 1 LÂMPADA FLUORESCENTE DE 15 W, SEM REATOR - FORNECIMENTO E INSTALAÇÃO. AF_02/2020</v>
      </c>
      <c r="C201" s="189" t="str">
        <f>'PLANILHA PÓS ADITIVO'!E192</f>
        <v>unid</v>
      </c>
      <c r="D201" s="69"/>
      <c r="E201" s="190">
        <f>'PLANILHA PÓS ADITIVO'!G192</f>
        <v>51.816996000000003</v>
      </c>
      <c r="F201" s="189">
        <f>'PLANILHA PÓS ADITIVO'!F192</f>
        <v>97</v>
      </c>
      <c r="G201" s="39">
        <f>'MEMORIA DE CALCULO'!L414</f>
        <v>93</v>
      </c>
      <c r="H201" s="66">
        <f>G201+[1]BM_14!H201</f>
        <v>93</v>
      </c>
      <c r="I201" s="65">
        <f t="shared" si="11"/>
        <v>5026.25</v>
      </c>
      <c r="J201" s="204">
        <f t="shared" si="12"/>
        <v>4818.9799999999996</v>
      </c>
      <c r="K201" s="235">
        <f t="shared" si="13"/>
        <v>4818.9799999999996</v>
      </c>
      <c r="L201" s="27"/>
    </row>
    <row r="202" spans="1:12" ht="25.5">
      <c r="A202" s="187" t="str">
        <f>'PLANILHA PÓS ADITIVO'!A193</f>
        <v>10.14</v>
      </c>
      <c r="B202" s="186" t="str">
        <f>'PLANILHA PÓS ADITIVO'!C193</f>
        <v>CABO DE COBRE FLEXÍVEL ISOLADO, 2,5 MM², ANTI-CHAMA 0,6/1,0 KV, PARA CIRCUITOS TERMINAIS - FORNECIMENTO E INSTALAÇÃO. AF_12/2015</v>
      </c>
      <c r="C202" s="189" t="str">
        <f>'PLANILHA PÓS ADITIVO'!E193</f>
        <v>m</v>
      </c>
      <c r="D202" s="69"/>
      <c r="E202" s="190">
        <f>'PLANILHA PÓS ADITIVO'!G193</f>
        <v>6.0402509999999996</v>
      </c>
      <c r="F202" s="189">
        <f>'PLANILHA PÓS ADITIVO'!F193</f>
        <v>1470</v>
      </c>
      <c r="G202" s="39"/>
      <c r="H202" s="66">
        <f>G202+[1]BM_14!H202</f>
        <v>1470</v>
      </c>
      <c r="I202" s="65">
        <f t="shared" si="11"/>
        <v>8879.17</v>
      </c>
      <c r="J202" s="204"/>
      <c r="K202" s="204"/>
      <c r="L202" s="27"/>
    </row>
    <row r="203" spans="1:12" ht="25.5">
      <c r="A203" s="187" t="str">
        <f>'PLANILHA PÓS ADITIVO'!A194</f>
        <v>10.15</v>
      </c>
      <c r="B203" s="186" t="str">
        <f>'PLANILHA PÓS ADITIVO'!C194</f>
        <v>CABO DE COBRE FLEXÍVEL ISOLADO, 4 MM², ANTI-CHAMA 0,6/1,0 KV, PARA CIRCUITOS TERMINAIS - FORNECIMENTO E INSTALAÇÃO. AF_12/2015</v>
      </c>
      <c r="C203" s="189" t="str">
        <f>'PLANILHA PÓS ADITIVO'!E194</f>
        <v>m</v>
      </c>
      <c r="D203" s="69"/>
      <c r="E203" s="190">
        <f>'PLANILHA PÓS ADITIVO'!G194</f>
        <v>8.5221990000000005</v>
      </c>
      <c r="F203" s="189">
        <f>'PLANILHA PÓS ADITIVO'!F194</f>
        <v>1184</v>
      </c>
      <c r="G203" s="39"/>
      <c r="H203" s="66">
        <f>G203+[1]BM_14!H203</f>
        <v>1184</v>
      </c>
      <c r="I203" s="65">
        <f t="shared" si="11"/>
        <v>10090.280000000001</v>
      </c>
      <c r="J203" s="204">
        <f t="shared" si="12"/>
        <v>0</v>
      </c>
      <c r="K203" s="204">
        <f t="shared" si="13"/>
        <v>10090.280000000001</v>
      </c>
      <c r="L203" s="27">
        <f t="shared" si="14"/>
        <v>1</v>
      </c>
    </row>
    <row r="204" spans="1:12" ht="36.75" customHeight="1">
      <c r="A204" s="187" t="str">
        <f>'PLANILHA PÓS ADITIVO'!A195</f>
        <v>10.16</v>
      </c>
      <c r="B204" s="186" t="str">
        <f>'PLANILHA PÓS ADITIVO'!C195</f>
        <v>CORDOALHA DE COBRE NU 25 MM², NÃO ENTERRADA, COM ISOLADOR - FORNECIMENTO E INSTALAÇÃO. AF_12/2017</v>
      </c>
      <c r="C204" s="189" t="str">
        <f>'PLANILHA PÓS ADITIVO'!E195</f>
        <v>m</v>
      </c>
      <c r="D204" s="69"/>
      <c r="E204" s="190">
        <f>'PLANILHA PÓS ADITIVO'!G195</f>
        <v>52.880687999999999</v>
      </c>
      <c r="F204" s="189">
        <f>'PLANILHA PÓS ADITIVO'!F195</f>
        <v>50</v>
      </c>
      <c r="G204" s="69"/>
      <c r="H204" s="66">
        <f>G204+[1]BM_14!H204</f>
        <v>0</v>
      </c>
      <c r="I204" s="65">
        <f t="shared" si="11"/>
        <v>2644.03</v>
      </c>
      <c r="J204" s="204">
        <f t="shared" si="12"/>
        <v>0</v>
      </c>
      <c r="K204" s="204">
        <f t="shared" si="13"/>
        <v>0</v>
      </c>
      <c r="L204" s="27">
        <f t="shared" si="14"/>
        <v>0</v>
      </c>
    </row>
    <row r="205" spans="1:12" ht="39.75" customHeight="1">
      <c r="A205" s="187" t="str">
        <f>'PLANILHA PÓS ADITIVO'!A196</f>
        <v>10.17</v>
      </c>
      <c r="B205" s="186" t="str">
        <f>'PLANILHA PÓS ADITIVO'!C196</f>
        <v>QUADRO DE DISTRIBUIÇÃO DE ENERGIA EM CHAPA DE AÇO GALVANIZADO, DE EMBUTIR, COM BARRAMENTO TRIFÁSICO, PARA 40 DISJUNTORES DIN 100A - FORNECIMENTO E INSTALAÇÃO. AF_10/2020</v>
      </c>
      <c r="C205" s="189" t="str">
        <f>'PLANILHA PÓS ADITIVO'!E196</f>
        <v>unid</v>
      </c>
      <c r="D205" s="69"/>
      <c r="E205" s="190">
        <f>'PLANILHA PÓS ADITIVO'!G196</f>
        <v>1194.4501379999999</v>
      </c>
      <c r="F205" s="189">
        <f>'PLANILHA PÓS ADITIVO'!F196</f>
        <v>2</v>
      </c>
      <c r="G205" s="39"/>
      <c r="H205" s="66">
        <f>G205+[1]BM_14!H205</f>
        <v>2</v>
      </c>
      <c r="I205" s="65">
        <f t="shared" si="11"/>
        <v>2388.9</v>
      </c>
      <c r="J205" s="204">
        <f t="shared" si="12"/>
        <v>0</v>
      </c>
      <c r="K205" s="204">
        <f t="shared" si="13"/>
        <v>2388.9</v>
      </c>
      <c r="L205" s="27">
        <f t="shared" si="14"/>
        <v>1</v>
      </c>
    </row>
    <row r="206" spans="1:12" ht="24" customHeight="1">
      <c r="A206" s="187" t="str">
        <f>'PLANILHA PÓS ADITIVO'!A197</f>
        <v>10.18</v>
      </c>
      <c r="B206" s="221" t="str">
        <f>'PLANILHA PÓS ADITIVO'!C197</f>
        <v>DISJUNTOR MONOPOLAR TIPO DIN, CORRENTE NOMINAL DE 10A - FORNECIMENTO E INSTALAÇÃO. AF_10/2020</v>
      </c>
      <c r="C206" s="189" t="str">
        <f>'PLANILHA PÓS ADITIVO'!E197</f>
        <v>unid</v>
      </c>
      <c r="D206" s="69"/>
      <c r="E206" s="190">
        <f>'PLANILHA PÓS ADITIVO'!G197</f>
        <v>12.321099</v>
      </c>
      <c r="F206" s="189">
        <f>'PLANILHA PÓS ADITIVO'!F197</f>
        <v>1</v>
      </c>
      <c r="G206" s="69">
        <f>'MEMORIA DE CALCULO'!L416</f>
        <v>24</v>
      </c>
      <c r="H206" s="66">
        <f>G206+[1]BM_14!H206</f>
        <v>24</v>
      </c>
      <c r="I206" s="65">
        <f t="shared" si="11"/>
        <v>12.32</v>
      </c>
      <c r="J206" s="204">
        <f t="shared" si="12"/>
        <v>295.70999999999998</v>
      </c>
      <c r="K206" s="204">
        <f t="shared" si="13"/>
        <v>295.70999999999998</v>
      </c>
      <c r="L206" s="27">
        <f t="shared" si="14"/>
        <v>24.002435064935064</v>
      </c>
    </row>
    <row r="207" spans="1:12" ht="42.75" customHeight="1">
      <c r="A207" s="187" t="str">
        <f>'PLANILHA PÓS ADITIVO'!A198</f>
        <v>10.19</v>
      </c>
      <c r="B207" s="221" t="str">
        <f>'PLANILHA PÓS ADITIVO'!C198</f>
        <v>DISJUNTOR MONOPOLAR TIPO DIN, CORRENTE NOMINAL DE 16A - FORNECIMENTO E INSTALAÇÃO. AF_10/2020</v>
      </c>
      <c r="C207" s="189" t="str">
        <f>'PLANILHA PÓS ADITIVO'!E198</f>
        <v>unid</v>
      </c>
      <c r="D207" s="69"/>
      <c r="E207" s="190">
        <f>'PLANILHA PÓS ADITIVO'!G198</f>
        <v>12.814955999999999</v>
      </c>
      <c r="F207" s="189">
        <f>'PLANILHA PÓS ADITIVO'!F198</f>
        <v>21</v>
      </c>
      <c r="G207" s="69">
        <f>'MEMORIA DE CALCULO'!L417</f>
        <v>4</v>
      </c>
      <c r="H207" s="66">
        <f>G207+[1]BM_14!H207</f>
        <v>4</v>
      </c>
      <c r="I207" s="65">
        <f t="shared" si="11"/>
        <v>269.11</v>
      </c>
      <c r="J207" s="204">
        <f t="shared" si="12"/>
        <v>51.26</v>
      </c>
      <c r="K207" s="204">
        <f t="shared" si="13"/>
        <v>51.26</v>
      </c>
      <c r="L207" s="27">
        <f t="shared" si="14"/>
        <v>0.19047972947865183</v>
      </c>
    </row>
    <row r="208" spans="1:12" ht="25.5" customHeight="1">
      <c r="A208" s="187" t="str">
        <f>'PLANILHA PÓS ADITIVO'!A199</f>
        <v>10.20</v>
      </c>
      <c r="B208" s="221" t="str">
        <f>'PLANILHA PÓS ADITIVO'!C199</f>
        <v>DISJUNTOR MONOPOLAR TIPO DIN, CORRENTE NOMINAL DE 25A - FORNECIMENTO E INSTALAÇÃO. AF_10/2020</v>
      </c>
      <c r="C208" s="189" t="str">
        <f>'PLANILHA PÓS ADITIVO'!E199</f>
        <v>unid</v>
      </c>
      <c r="D208" s="69"/>
      <c r="E208" s="190">
        <f>'PLANILHA PÓS ADITIVO'!G199</f>
        <v>13.802670000000001</v>
      </c>
      <c r="F208" s="189">
        <f>'PLANILHA PÓS ADITIVO'!F199</f>
        <v>9</v>
      </c>
      <c r="G208" s="69">
        <f>'MEMORIA DE CALCULO'!L418</f>
        <v>10</v>
      </c>
      <c r="H208" s="66">
        <f>G208+[1]BM_14!H208</f>
        <v>10</v>
      </c>
      <c r="I208" s="65">
        <f t="shared" si="11"/>
        <v>124.22</v>
      </c>
      <c r="J208" s="204">
        <f t="shared" si="12"/>
        <v>138.03</v>
      </c>
      <c r="K208" s="204">
        <f t="shared" si="13"/>
        <v>138.03</v>
      </c>
      <c r="L208" s="27">
        <f t="shared" si="14"/>
        <v>1.1111737240379971</v>
      </c>
    </row>
    <row r="209" spans="1:12" ht="46.5" customHeight="1">
      <c r="A209" s="187" t="str">
        <f>'PLANILHA PÓS ADITIVO'!A200</f>
        <v>10.21</v>
      </c>
      <c r="B209" s="221" t="str">
        <f>'PLANILHA PÓS ADITIVO'!C200</f>
        <v>DISJUNTOR TERMOMAGNÉTICO TRIPOLAR , CORRENTE NOMINAL DE 125A - FORNECIMENTO E INSTALAÇÃO. AF_10/2020</v>
      </c>
      <c r="C209" s="189" t="str">
        <f>'PLANILHA PÓS ADITIVO'!E200</f>
        <v>unid</v>
      </c>
      <c r="D209" s="69"/>
      <c r="E209" s="190">
        <f>'PLANILHA PÓS ADITIVO'!G200</f>
        <v>454.107843</v>
      </c>
      <c r="F209" s="189">
        <f>'PLANILHA PÓS ADITIVO'!F200</f>
        <v>2</v>
      </c>
      <c r="G209" s="69"/>
      <c r="H209" s="66">
        <f>G209+[1]BM_14!H209</f>
        <v>0</v>
      </c>
      <c r="I209" s="65">
        <f t="shared" si="11"/>
        <v>908.22</v>
      </c>
      <c r="J209" s="204">
        <f t="shared" si="12"/>
        <v>0</v>
      </c>
      <c r="K209" s="204"/>
      <c r="L209" s="27"/>
    </row>
    <row r="210" spans="1:12">
      <c r="A210" s="187" t="str">
        <f>'PLANILHA PÓS ADITIVO'!A201</f>
        <v>10.22</v>
      </c>
      <c r="B210" s="221" t="str">
        <f>'PLANILHA PÓS ADITIVO'!C201</f>
        <v>Dispositivo DR tetrapolar 100A, tipo AC, 30MA</v>
      </c>
      <c r="C210" s="189" t="str">
        <f>'PLANILHA PÓS ADITIVO'!E201</f>
        <v>unid</v>
      </c>
      <c r="D210" s="69"/>
      <c r="E210" s="190">
        <f>'PLANILHA PÓS ADITIVO'!G201</f>
        <v>449.270577</v>
      </c>
      <c r="F210" s="189">
        <f>'PLANILHA PÓS ADITIVO'!F201</f>
        <v>2</v>
      </c>
      <c r="G210" s="69"/>
      <c r="H210" s="66">
        <f>G210+[1]BM_14!H210</f>
        <v>0</v>
      </c>
      <c r="I210" s="65">
        <f t="shared" si="11"/>
        <v>898.54</v>
      </c>
      <c r="J210" s="204"/>
      <c r="K210" s="204"/>
      <c r="L210" s="27"/>
    </row>
    <row r="211" spans="1:12">
      <c r="A211" s="187" t="str">
        <f>'PLANILHA PÓS ADITIVO'!A202</f>
        <v>10.23</v>
      </c>
      <c r="B211" s="221" t="str">
        <f>'PLANILHA PÓS ADITIVO'!C202</f>
        <v>Fornecimento e instalação de eletrocalha perfurada 200x70x3000mm (ref. Mopa ou similar).</v>
      </c>
      <c r="C211" s="189" t="str">
        <f>'PLANILHA PÓS ADITIVO'!E202</f>
        <v>m</v>
      </c>
      <c r="D211" s="69"/>
      <c r="E211" s="190">
        <f>'PLANILHA PÓS ADITIVO'!G202</f>
        <v>89.210835000000003</v>
      </c>
      <c r="F211" s="189">
        <f>'PLANILHA PÓS ADITIVO'!F202</f>
        <v>25</v>
      </c>
      <c r="G211" s="69"/>
      <c r="H211" s="66">
        <f>G211+[1]BM_14!H211</f>
        <v>0</v>
      </c>
      <c r="I211" s="65">
        <f t="shared" si="11"/>
        <v>2230.27</v>
      </c>
      <c r="J211" s="204">
        <f t="shared" si="12"/>
        <v>0</v>
      </c>
      <c r="K211" s="204">
        <f t="shared" si="13"/>
        <v>0</v>
      </c>
      <c r="L211" s="27">
        <f t="shared" si="14"/>
        <v>0</v>
      </c>
    </row>
    <row r="212" spans="1:12" ht="25.5">
      <c r="A212" s="187" t="str">
        <f>'PLANILHA PÓS ADITIVO'!A203</f>
        <v>10.24</v>
      </c>
      <c r="B212" s="221" t="str">
        <f>'PLANILHA PÓS ADITIVO'!C203</f>
        <v>SUPORTE PARA ELETROCALHA LISA OU PERFURADA EM AÇO GALVANIZADO, LARGURA 200 OU 400 MM E ALTURA 50 MM, ESPAÇADO A CADA 1,5 M, EM PERFILADO DE SEÇÃO 38X76 MM, POR METRO DE ELETRECOLHA FIXADA. AF_07/2017</v>
      </c>
      <c r="C212" s="189" t="str">
        <f>'PLANILHA PÓS ADITIVO'!E203</f>
        <v>m</v>
      </c>
      <c r="D212" s="69"/>
      <c r="E212" s="190">
        <f>'PLANILHA PÓS ADITIVO'!G203</f>
        <v>23.249268000000001</v>
      </c>
      <c r="F212" s="189">
        <f>'PLANILHA PÓS ADITIVO'!F203</f>
        <v>40</v>
      </c>
      <c r="G212" s="69"/>
      <c r="H212" s="66">
        <f>G212+[1]BM_14!H212</f>
        <v>0</v>
      </c>
      <c r="I212" s="65">
        <f t="shared" ref="I212:I244" si="15">ROUND(E212*F212,2)</f>
        <v>929.97</v>
      </c>
      <c r="J212" s="204">
        <f t="shared" si="12"/>
        <v>0</v>
      </c>
      <c r="K212" s="204">
        <f t="shared" si="13"/>
        <v>0</v>
      </c>
      <c r="L212" s="27">
        <f t="shared" si="14"/>
        <v>0</v>
      </c>
    </row>
    <row r="213" spans="1:12">
      <c r="A213" s="187" t="str">
        <f>'PLANILHA PÓS ADITIVO'!A204</f>
        <v>10.25</v>
      </c>
      <c r="B213" s="221" t="str">
        <f>'PLANILHA PÓS ADITIVO'!C204</f>
        <v>Cantoneira "ZZ" para fixação de perfilado, ref. Mopa ou similar.</v>
      </c>
      <c r="C213" s="189" t="str">
        <f>'PLANILHA PÓS ADITIVO'!E204</f>
        <v>unid</v>
      </c>
      <c r="D213" s="69"/>
      <c r="E213" s="190">
        <f>'PLANILHA PÓS ADITIVO'!G204</f>
        <v>9.6871950000000009</v>
      </c>
      <c r="F213" s="189">
        <f>'PLANILHA PÓS ADITIVO'!F204</f>
        <v>2</v>
      </c>
      <c r="G213" s="39"/>
      <c r="H213" s="66">
        <f>G213+[1]BM_14!H213</f>
        <v>0</v>
      </c>
      <c r="I213" s="65">
        <f t="shared" si="15"/>
        <v>19.37</v>
      </c>
      <c r="J213" s="204">
        <f t="shared" si="12"/>
        <v>0</v>
      </c>
      <c r="K213" s="204">
        <f t="shared" si="13"/>
        <v>0</v>
      </c>
      <c r="L213" s="27">
        <f t="shared" si="14"/>
        <v>0</v>
      </c>
    </row>
    <row r="214" spans="1:12">
      <c r="A214" s="187"/>
      <c r="B214" s="186"/>
      <c r="C214" s="189"/>
      <c r="D214" s="69"/>
      <c r="E214" s="190"/>
      <c r="F214" s="189"/>
      <c r="G214" s="69"/>
      <c r="H214" s="66">
        <f>G214+[1]BM_14!H214</f>
        <v>0</v>
      </c>
      <c r="I214" s="65"/>
      <c r="J214" s="204"/>
      <c r="K214" s="204"/>
      <c r="L214" s="27"/>
    </row>
    <row r="215" spans="1:12">
      <c r="A215" s="193">
        <f>'PLANILHA PÓS ADITIVO'!A206</f>
        <v>11</v>
      </c>
      <c r="B215" s="194" t="str">
        <f>'PLANILHA PÓS ADITIVO'!C206</f>
        <v>PINTURA</v>
      </c>
      <c r="C215" s="199"/>
      <c r="D215" s="118"/>
      <c r="E215" s="200"/>
      <c r="F215" s="199"/>
      <c r="G215" s="118"/>
      <c r="H215" s="66">
        <f>G215+[1]BM_14!H215</f>
        <v>0</v>
      </c>
      <c r="I215" s="120"/>
      <c r="J215" s="202"/>
      <c r="K215" s="202"/>
      <c r="L215" s="203"/>
    </row>
    <row r="216" spans="1:12" ht="36" customHeight="1">
      <c r="A216" s="187" t="str">
        <f>'PLANILHA PÓS ADITIVO'!A207</f>
        <v>11.1</v>
      </c>
      <c r="B216" s="221" t="str">
        <f>'PLANILHA PÓS ADITIVO'!C207</f>
        <v>APLICAÇÃO MANUAL DE PINTURA COM TINTA LÁTEX ACRÍLICA EM PAREDES, DUAS DEMÃOS. AF_06/2014</v>
      </c>
      <c r="C216" s="189" t="str">
        <f>'PLANILHA PÓS ADITIVO'!E207</f>
        <v>m²</v>
      </c>
      <c r="D216" s="69"/>
      <c r="E216" s="190">
        <f>'PLANILHA PÓS ADITIVO'!G207</f>
        <v>14.841036000000001</v>
      </c>
      <c r="F216" s="189">
        <f>'PLANILHA PÓS ADITIVO'!F207</f>
        <v>3708.15</v>
      </c>
      <c r="G216" s="39">
        <f>'MEMORIA DE CALCULO'!L288</f>
        <v>2166.0174199999997</v>
      </c>
      <c r="H216" s="66">
        <f>G216+[1]BM_14!H216</f>
        <v>2750.4774199999997</v>
      </c>
      <c r="I216" s="65">
        <f t="shared" si="15"/>
        <v>55032.79</v>
      </c>
      <c r="J216" s="204">
        <f t="shared" si="12"/>
        <v>32145.94</v>
      </c>
      <c r="K216" s="204">
        <f t="shared" si="13"/>
        <v>40819.93</v>
      </c>
      <c r="L216" s="27">
        <f t="shared" si="14"/>
        <v>0.74173833454564086</v>
      </c>
    </row>
    <row r="217" spans="1:12" ht="32.25" customHeight="1">
      <c r="A217" s="187" t="str">
        <f>'PLANILHA PÓS ADITIVO'!A208</f>
        <v>11.2</v>
      </c>
      <c r="B217" s="221" t="str">
        <f>'PLANILHA PÓS ADITIVO'!C208</f>
        <v>APLICAÇÃO MANUAL DE MASSA ACRÍLICA EM PAREDES EXTERNAS DE CASAS, DUAS DEMÃOS. AF_05/2017</v>
      </c>
      <c r="C217" s="189" t="str">
        <f>'PLANILHA PÓS ADITIVO'!E208</f>
        <v>m²</v>
      </c>
      <c r="D217" s="69"/>
      <c r="E217" s="190">
        <f>'PLANILHA PÓS ADITIVO'!G208</f>
        <v>26.250399000000002</v>
      </c>
      <c r="F217" s="189">
        <f>'PLANILHA PÓS ADITIVO'!F208</f>
        <v>994.53</v>
      </c>
      <c r="G217" s="39"/>
      <c r="H217" s="66">
        <f>G217+[1]BM_14!H217</f>
        <v>656.6</v>
      </c>
      <c r="I217" s="65">
        <f t="shared" si="15"/>
        <v>26106.81</v>
      </c>
      <c r="J217" s="204">
        <f t="shared" si="12"/>
        <v>0</v>
      </c>
      <c r="K217" s="204">
        <f t="shared" si="13"/>
        <v>17236.009999999998</v>
      </c>
      <c r="L217" s="27">
        <f t="shared" si="14"/>
        <v>0.66021126288504794</v>
      </c>
    </row>
    <row r="218" spans="1:12">
      <c r="A218" s="187" t="str">
        <f>'PLANILHA PÓS ADITIVO'!A209</f>
        <v>11.3</v>
      </c>
      <c r="B218" s="186" t="str">
        <f>'PLANILHA PÓS ADITIVO'!C209</f>
        <v>APLICAÇÃO DE FUNDO SELADOR ACRÍLICO EM PAREDES, UMA DEMÃO. AF_06/2014</v>
      </c>
      <c r="C218" s="189" t="str">
        <f>'PLANILHA PÓS ADITIVO'!E209</f>
        <v>m²</v>
      </c>
      <c r="D218" s="69"/>
      <c r="E218" s="190">
        <f>'PLANILHA PÓS ADITIVO'!G209</f>
        <v>2.65923</v>
      </c>
      <c r="F218" s="189">
        <f>'PLANILHA PÓS ADITIVO'!F209</f>
        <v>418.9</v>
      </c>
      <c r="G218" s="39"/>
      <c r="H218" s="66">
        <f>G218+[1]BM_14!H218</f>
        <v>418</v>
      </c>
      <c r="I218" s="65">
        <f t="shared" si="15"/>
        <v>1113.95</v>
      </c>
      <c r="J218" s="204">
        <f t="shared" si="12"/>
        <v>0</v>
      </c>
      <c r="K218" s="204">
        <f t="shared" si="13"/>
        <v>1111.56</v>
      </c>
      <c r="L218" s="27">
        <f t="shared" si="14"/>
        <v>0.99785448179900349</v>
      </c>
    </row>
    <row r="219" spans="1:12">
      <c r="A219" s="187" t="str">
        <f>'PLANILHA PÓS ADITIVO'!A210</f>
        <v>11.4</v>
      </c>
      <c r="B219" s="186" t="str">
        <f>'PLANILHA PÓS ADITIVO'!C210</f>
        <v>APLICAÇÃO E LIXAMENTO DE MASSA LÁTEX EM PAREDES, DUAS DEMÃOS. AF_06/2014</v>
      </c>
      <c r="C219" s="189" t="str">
        <f>'PLANILHA PÓS ADITIVO'!E210</f>
        <v>m²</v>
      </c>
      <c r="D219" s="69"/>
      <c r="E219" s="190">
        <f>'PLANILHA PÓS ADITIVO'!G210</f>
        <v>15.144948000000001</v>
      </c>
      <c r="F219" s="189">
        <f>'PLANILHA PÓS ADITIVO'!F210</f>
        <v>961.62</v>
      </c>
      <c r="G219" s="39"/>
      <c r="H219" s="66">
        <f>G219+[1]BM_14!H219</f>
        <v>961.62</v>
      </c>
      <c r="I219" s="65">
        <f t="shared" si="15"/>
        <v>14563.68</v>
      </c>
      <c r="J219" s="204">
        <f t="shared" si="12"/>
        <v>0</v>
      </c>
      <c r="K219" s="204">
        <f t="shared" si="13"/>
        <v>14563.68</v>
      </c>
      <c r="L219" s="27">
        <f t="shared" si="14"/>
        <v>1</v>
      </c>
    </row>
    <row r="220" spans="1:12">
      <c r="A220" s="187" t="str">
        <f>'PLANILHA PÓS ADITIVO'!A211</f>
        <v>11.5</v>
      </c>
      <c r="B220" s="186" t="str">
        <f>'PLANILHA PÓS ADITIVO'!C211</f>
        <v>PINTURA VERNIZ (INCOLOR) ALQUÍDICO EM MADEIRA, USO INTERNO E EXTERNO, 1 DEMÃO. AF_01/2021</v>
      </c>
      <c r="C220" s="189" t="str">
        <f>'PLANILHA PÓS ADITIVO'!E211</f>
        <v>m²</v>
      </c>
      <c r="D220" s="69"/>
      <c r="E220" s="190">
        <f>'PLANILHA PÓS ADITIVO'!G211</f>
        <v>9.0920339999999999</v>
      </c>
      <c r="F220" s="189">
        <f>'PLANILHA PÓS ADITIVO'!F211</f>
        <v>165.06</v>
      </c>
      <c r="G220" s="69"/>
      <c r="H220" s="66">
        <f>G220+[1]BM_14!H220</f>
        <v>0</v>
      </c>
      <c r="I220" s="65">
        <f t="shared" si="15"/>
        <v>1500.73</v>
      </c>
      <c r="J220" s="204">
        <f t="shared" si="12"/>
        <v>0</v>
      </c>
      <c r="K220" s="204">
        <f t="shared" si="13"/>
        <v>0</v>
      </c>
      <c r="L220" s="27">
        <f t="shared" si="14"/>
        <v>0</v>
      </c>
    </row>
    <row r="221" spans="1:12" ht="25.5">
      <c r="A221" s="187" t="str">
        <f>'PLANILHA PÓS ADITIVO'!A212</f>
        <v>11.6</v>
      </c>
      <c r="B221" s="186" t="str">
        <f>'PLANILHA PÓS ADITIVO'!C212</f>
        <v>PINTURA COM TINTA ALQUÍDICA DE FUNDO E ACABAMENTO (ESMALTE SINTÉTICO GRAFITE) PULVERIZADA SOBRE SUPERFÍCIES METÁLICAS (EXCETO PERFIL) EXECUTADO EM OBRA (POR DEMÃO). AF_01/2020_P</v>
      </c>
      <c r="C221" s="189" t="str">
        <f>'PLANILHA PÓS ADITIVO'!E212</f>
        <v>m²</v>
      </c>
      <c r="D221" s="69"/>
      <c r="E221" s="190">
        <f>'PLANILHA PÓS ADITIVO'!G212</f>
        <v>19.918899</v>
      </c>
      <c r="F221" s="189">
        <f>'PLANILHA PÓS ADITIVO'!F212</f>
        <v>57.75</v>
      </c>
      <c r="G221" s="39"/>
      <c r="H221" s="66">
        <f>G221+[1]BM_14!H221</f>
        <v>32.28</v>
      </c>
      <c r="I221" s="65">
        <f t="shared" si="15"/>
        <v>1150.32</v>
      </c>
      <c r="J221" s="204">
        <f t="shared" si="12"/>
        <v>0</v>
      </c>
      <c r="K221" s="204">
        <f t="shared" si="13"/>
        <v>642.98</v>
      </c>
      <c r="L221" s="27">
        <f t="shared" si="14"/>
        <v>0.55895750747618056</v>
      </c>
    </row>
    <row r="222" spans="1:12">
      <c r="A222" s="187"/>
      <c r="B222" s="186"/>
      <c r="C222" s="189"/>
      <c r="D222" s="69"/>
      <c r="E222" s="190"/>
      <c r="F222" s="189"/>
      <c r="G222" s="69"/>
      <c r="H222" s="66">
        <f>G222+[1]BM_14!H222</f>
        <v>0</v>
      </c>
      <c r="I222" s="65"/>
      <c r="J222" s="204"/>
      <c r="K222" s="204"/>
      <c r="L222" s="27"/>
    </row>
    <row r="223" spans="1:12">
      <c r="A223" s="193">
        <f>'PLANILHA PÓS ADITIVO'!A214</f>
        <v>12</v>
      </c>
      <c r="B223" s="194" t="str">
        <f>'PLANILHA PÓS ADITIVO'!C214</f>
        <v>BANCADAS, LOUÇAS, METAIS E ACESSÓRIOS</v>
      </c>
      <c r="C223" s="199"/>
      <c r="D223" s="118"/>
      <c r="E223" s="200"/>
      <c r="F223" s="199"/>
      <c r="G223" s="118"/>
      <c r="H223" s="66">
        <f>G223+[1]BM_14!H223</f>
        <v>0</v>
      </c>
      <c r="I223" s="120"/>
      <c r="J223" s="202"/>
      <c r="K223" s="202"/>
      <c r="L223" s="203"/>
    </row>
    <row r="224" spans="1:12" ht="25.5">
      <c r="A224" s="187" t="str">
        <f>'PLANILHA PÓS ADITIVO'!A215</f>
        <v>12.1</v>
      </c>
      <c r="B224" s="186" t="str">
        <f>'PLANILHA PÓS ADITIVO'!C215</f>
        <v>Pia de cozinha com bancada em granito cinza andorinha, e=2cm, dim 3,40x0,60m, com duas cubas de aço inóx, sifão cromado, válvula cromada, torneira cromada 1/2", inclusive rodopia 10cm, assentada.</v>
      </c>
      <c r="C224" s="189" t="str">
        <f>'PLANILHA PÓS ADITIVO'!E215</f>
        <v>unid</v>
      </c>
      <c r="D224" s="69"/>
      <c r="E224" s="190">
        <f>'PLANILHA PÓS ADITIVO'!G215</f>
        <v>2916.972702</v>
      </c>
      <c r="F224" s="189">
        <f>'PLANILHA PÓS ADITIVO'!F215</f>
        <v>2</v>
      </c>
      <c r="G224" s="69"/>
      <c r="H224" s="66">
        <f>G224+[1]BM_14!H224</f>
        <v>0</v>
      </c>
      <c r="I224" s="65">
        <f t="shared" si="15"/>
        <v>5833.95</v>
      </c>
      <c r="J224" s="204"/>
      <c r="K224" s="204"/>
      <c r="L224" s="27"/>
    </row>
    <row r="225" spans="1:12" ht="25.5">
      <c r="A225" s="187" t="str">
        <f>'PLANILHA PÓS ADITIVO'!A216</f>
        <v>12.2</v>
      </c>
      <c r="B225" s="186" t="str">
        <f>'PLANILHA PÓS ADITIVO'!C216</f>
        <v>CUBA DE EMBUTIR OVAL EM LOUÇA BRANCA, 35 X 50CM OU EQUIVALENTE, INCLUSO VÁLVULA EM METAL CROMADO E SIFÃO FLEXÍVEL EM PVC - FORNECIMENTO E INSTALAÇÃO. AF_01/2020</v>
      </c>
      <c r="C225" s="189" t="str">
        <f>'PLANILHA PÓS ADITIVO'!E216</f>
        <v>unid</v>
      </c>
      <c r="D225" s="69"/>
      <c r="E225" s="190">
        <f>'PLANILHA PÓS ADITIVO'!G216</f>
        <v>227.02226400000001</v>
      </c>
      <c r="F225" s="189">
        <f>'PLANILHA PÓS ADITIVO'!F216</f>
        <v>26</v>
      </c>
      <c r="G225" s="69"/>
      <c r="H225" s="66">
        <f>G225+[1]BM_14!H225</f>
        <v>0</v>
      </c>
      <c r="I225" s="65">
        <f t="shared" si="15"/>
        <v>5902.58</v>
      </c>
      <c r="J225" s="204">
        <f>ROUND(E225*G225,2)</f>
        <v>0</v>
      </c>
      <c r="K225" s="204">
        <f>ROUND(E225*H225,2)</f>
        <v>0</v>
      </c>
      <c r="L225" s="27">
        <f t="shared" ref="L225:L244" si="16">K225/I225</f>
        <v>0</v>
      </c>
    </row>
    <row r="226" spans="1:12" ht="25.5">
      <c r="A226" s="187" t="str">
        <f>'PLANILHA PÓS ADITIVO'!A217</f>
        <v>12.3</v>
      </c>
      <c r="B226" s="186" t="str">
        <f>'PLANILHA PÓS ADITIVO'!C217</f>
        <v>TORNEIRA CROMADA DE MESA, 1/2 OU 3/4, PARA LAVATÓRIO, PADRÃO POPULAR - FORNECIMENTO E INSTALAÇÃO. AF_01/2020</v>
      </c>
      <c r="C226" s="189" t="str">
        <f>'PLANILHA PÓS ADITIVO'!E217</f>
        <v>unid</v>
      </c>
      <c r="D226" s="69"/>
      <c r="E226" s="190">
        <f>'PLANILHA PÓS ADITIVO'!G217</f>
        <v>74.762351999999993</v>
      </c>
      <c r="F226" s="189">
        <f>'PLANILHA PÓS ADITIVO'!F217</f>
        <v>26</v>
      </c>
      <c r="G226" s="69"/>
      <c r="H226" s="66">
        <f>G226+[1]BM_14!H226</f>
        <v>0</v>
      </c>
      <c r="I226" s="65">
        <f t="shared" si="15"/>
        <v>1943.82</v>
      </c>
      <c r="J226" s="204">
        <f>ROUND(E226*G226,2)</f>
        <v>0</v>
      </c>
      <c r="K226" s="204">
        <f>ROUND(E226*H226,2)</f>
        <v>0</v>
      </c>
      <c r="L226" s="27">
        <f t="shared" si="16"/>
        <v>0</v>
      </c>
    </row>
    <row r="227" spans="1:12">
      <c r="A227" s="187" t="str">
        <f>'PLANILHA PÓS ADITIVO'!A218</f>
        <v>12.4</v>
      </c>
      <c r="B227" s="186" t="str">
        <f>'PLANILHA PÓS ADITIVO'!C218</f>
        <v>Bancada em granito cinza andorinha, e=2cm.</v>
      </c>
      <c r="C227" s="189" t="str">
        <f>'PLANILHA PÓS ADITIVO'!E218</f>
        <v>m²</v>
      </c>
      <c r="D227" s="69"/>
      <c r="E227" s="190">
        <f>'PLANILHA PÓS ADITIVO'!G218</f>
        <v>475.28037899999998</v>
      </c>
      <c r="F227" s="189">
        <f>'PLANILHA PÓS ADITIVO'!F218</f>
        <v>28.2</v>
      </c>
      <c r="G227" s="69"/>
      <c r="H227" s="66">
        <f>G227+[1]BM_14!H227</f>
        <v>0</v>
      </c>
      <c r="I227" s="65">
        <f t="shared" si="15"/>
        <v>13402.91</v>
      </c>
      <c r="J227" s="204">
        <f>ROUND(E227*G227,2)</f>
        <v>0</v>
      </c>
      <c r="K227" s="204">
        <f>ROUND(E227*H227,2)</f>
        <v>0</v>
      </c>
      <c r="L227" s="27">
        <f t="shared" si="16"/>
        <v>0</v>
      </c>
    </row>
    <row r="228" spans="1:12" ht="38.25">
      <c r="A228" s="187" t="str">
        <f>'PLANILHA PÓS ADITIVO'!A219</f>
        <v>12.5</v>
      </c>
      <c r="B228" s="186" t="str">
        <f>'PLANILHA PÓS ADITIVO'!C219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C228" s="189" t="str">
        <f>'PLANILHA PÓS ADITIVO'!E219</f>
        <v>unid</v>
      </c>
      <c r="D228" s="69"/>
      <c r="E228" s="190">
        <f>'PLANILHA PÓS ADITIVO'!G219</f>
        <v>265.09990499999998</v>
      </c>
      <c r="F228" s="189">
        <f>'PLANILHA PÓS ADITIVO'!F219</f>
        <v>4</v>
      </c>
      <c r="G228" s="69"/>
      <c r="H228" s="66">
        <f>G228+[1]BM_14!H228</f>
        <v>0</v>
      </c>
      <c r="I228" s="65">
        <f t="shared" si="15"/>
        <v>1060.4000000000001</v>
      </c>
      <c r="J228" s="204">
        <f>ROUND(E228*G228,2)</f>
        <v>0</v>
      </c>
      <c r="K228" s="204">
        <f>ROUND(E228*H228,2)</f>
        <v>0</v>
      </c>
      <c r="L228" s="27">
        <f t="shared" si="16"/>
        <v>0</v>
      </c>
    </row>
    <row r="229" spans="1:12" ht="25.5">
      <c r="A229" s="187" t="str">
        <f>'PLANILHA PÓS ADITIVO'!A220</f>
        <v>12.6</v>
      </c>
      <c r="B229" s="186" t="str">
        <f>'PLANILHA PÓS ADITIVO'!C220</f>
        <v>BARRA DE APOIO RETA, EM ACO INOX POLIDO, COMPRIMENTO 90 CM,  FIXADA NA PAREDE - FORNECIMENTO E INSTALAÇÃO. AF_01/2020</v>
      </c>
      <c r="C229" s="189" t="str">
        <f>'PLANILHA PÓS ADITIVO'!E220</f>
        <v>unid</v>
      </c>
      <c r="D229" s="69"/>
      <c r="E229" s="190">
        <f>'PLANILHA PÓS ADITIVO'!G220</f>
        <v>404.40556800000002</v>
      </c>
      <c r="F229" s="189">
        <f>'PLANILHA PÓS ADITIVO'!F220</f>
        <v>6</v>
      </c>
      <c r="G229" s="69"/>
      <c r="H229" s="66">
        <f>G229+[1]BM_14!H229</f>
        <v>0</v>
      </c>
      <c r="I229" s="65">
        <f t="shared" si="15"/>
        <v>2426.4299999999998</v>
      </c>
      <c r="J229" s="204">
        <f>ROUND(E229*G229,2)</f>
        <v>0</v>
      </c>
      <c r="K229" s="204">
        <f>ROUND(E229*H229,2)</f>
        <v>0</v>
      </c>
      <c r="L229" s="27">
        <f t="shared" si="16"/>
        <v>0</v>
      </c>
    </row>
    <row r="230" spans="1:12">
      <c r="A230" s="187" t="str">
        <f>'PLANILHA PÓS ADITIVO'!A221</f>
        <v>12.7</v>
      </c>
      <c r="B230" s="221" t="str">
        <f>'PLANILHA PÓS ADITIVO'!C221</f>
        <v>ASSENTO SANITÁRIO CONVENCIONAL - FORNECIMENTO E INSTALACAO. AF_01/2020</v>
      </c>
      <c r="C230" s="189" t="str">
        <f>'PLANILHA PÓS ADITIVO'!E221</f>
        <v>unid</v>
      </c>
      <c r="D230" s="69"/>
      <c r="E230" s="190">
        <f>'PLANILHA PÓS ADITIVO'!G221</f>
        <v>50.576021999999995</v>
      </c>
      <c r="F230" s="189">
        <f>'PLANILHA PÓS ADITIVO'!F221</f>
        <v>16</v>
      </c>
      <c r="G230" s="69"/>
      <c r="H230" s="66">
        <f>G230+[1]BM_14!H230</f>
        <v>0</v>
      </c>
      <c r="I230" s="65">
        <f t="shared" si="15"/>
        <v>809.22</v>
      </c>
      <c r="J230" s="204">
        <f t="shared" ref="J230:J244" si="17">ROUND(E230*G230,2)</f>
        <v>0</v>
      </c>
      <c r="K230" s="204">
        <f t="shared" ref="K230:K244" si="18">ROUND(E230*H230,2)</f>
        <v>0</v>
      </c>
      <c r="L230" s="27">
        <f t="shared" si="16"/>
        <v>0</v>
      </c>
    </row>
    <row r="231" spans="1:12" ht="25.5">
      <c r="A231" s="187" t="str">
        <f>'PLANILHA PÓS ADITIVO'!A222</f>
        <v>12.8</v>
      </c>
      <c r="B231" s="221" t="str">
        <f>'PLANILHA PÓS ADITIVO'!C222</f>
        <v>VASO SANITÁRIO SIFONADO COM CAIXA ACOPLADA LOUÇA BRANCA, INCLUSO ENGATE FLEXÍVEL EM PLÁSTICO BRANCO, 1/2  X 40CM - FORNECIMENTO E INSTALAÇÃO. AF_01/2020</v>
      </c>
      <c r="C231" s="189" t="str">
        <f>'PLANILHA PÓS ADITIVO'!E222</f>
        <v>unid</v>
      </c>
      <c r="D231" s="69"/>
      <c r="E231" s="190">
        <f>'PLANILHA PÓS ADITIVO'!G222</f>
        <v>529.37671499999999</v>
      </c>
      <c r="F231" s="189">
        <f>'PLANILHA PÓS ADITIVO'!F222</f>
        <v>16</v>
      </c>
      <c r="G231" s="69"/>
      <c r="H231" s="66">
        <f>G231+[1]BM_14!H231</f>
        <v>0</v>
      </c>
      <c r="I231" s="65">
        <f t="shared" si="15"/>
        <v>8470.0300000000007</v>
      </c>
      <c r="J231" s="204">
        <f t="shared" si="17"/>
        <v>0</v>
      </c>
      <c r="K231" s="204">
        <f t="shared" si="18"/>
        <v>0</v>
      </c>
      <c r="L231" s="27">
        <f t="shared" si="16"/>
        <v>0</v>
      </c>
    </row>
    <row r="232" spans="1:12" ht="50.25" customHeight="1">
      <c r="A232" s="187" t="str">
        <f>'PLANILHA PÓS ADITIVO'!A223</f>
        <v>12.9</v>
      </c>
      <c r="B232" s="221" t="str">
        <f>'PLANILHA PÓS ADITIVO'!C223</f>
        <v>VASO SANITARIO SIFONADO CONVENCIONAL PARA PCD SEM FURO FRONTAL COM LOUÇA BRANCA SEM ASSENTO, INCLUSO CONJUNTO DE LIGAÇÃO PARA BACIA SANITÁRIA AJUSTÁVEL - FORNECIMENTO E INSTALAÇÃO. AF_01/2020</v>
      </c>
      <c r="C232" s="189" t="str">
        <f>'PLANILHA PÓS ADITIVO'!E223</f>
        <v>unid</v>
      </c>
      <c r="D232" s="69"/>
      <c r="E232" s="190">
        <f>'PLANILHA PÓS ADITIVO'!G223</f>
        <v>819.65066400000001</v>
      </c>
      <c r="F232" s="189">
        <f>'PLANILHA PÓS ADITIVO'!F223</f>
        <v>1</v>
      </c>
      <c r="G232" s="69"/>
      <c r="H232" s="66">
        <f>G232+[1]BM_14!H232</f>
        <v>0</v>
      </c>
      <c r="I232" s="65">
        <f t="shared" si="15"/>
        <v>819.65</v>
      </c>
      <c r="J232" s="204">
        <f t="shared" si="17"/>
        <v>0</v>
      </c>
      <c r="K232" s="204">
        <f t="shared" si="18"/>
        <v>0</v>
      </c>
      <c r="L232" s="27">
        <f t="shared" si="16"/>
        <v>0</v>
      </c>
    </row>
    <row r="233" spans="1:12">
      <c r="A233" s="187" t="str">
        <f>'PLANILHA PÓS ADITIVO'!A224</f>
        <v>12.10</v>
      </c>
      <c r="B233" s="186" t="str">
        <f>'PLANILHA PÓS ADITIVO'!C224</f>
        <v>Chuveiro plástico sem registro.</v>
      </c>
      <c r="C233" s="189" t="str">
        <f>'PLANILHA PÓS ADITIVO'!E224</f>
        <v>unid</v>
      </c>
      <c r="D233" s="96"/>
      <c r="E233" s="190">
        <f>'PLANILHA PÓS ADITIVO'!G224</f>
        <v>38.951388000000001</v>
      </c>
      <c r="F233" s="189">
        <f>'PLANILHA PÓS ADITIVO'!F224</f>
        <v>2</v>
      </c>
      <c r="G233" s="225"/>
      <c r="H233" s="66">
        <f>G233+[1]BM_14!H233</f>
        <v>0</v>
      </c>
      <c r="I233" s="65">
        <f t="shared" si="15"/>
        <v>77.900000000000006</v>
      </c>
      <c r="J233" s="204">
        <f t="shared" si="17"/>
        <v>0</v>
      </c>
      <c r="K233" s="204">
        <f t="shared" si="18"/>
        <v>0</v>
      </c>
      <c r="L233" s="27">
        <f t="shared" si="16"/>
        <v>0</v>
      </c>
    </row>
    <row r="234" spans="1:12">
      <c r="A234" s="187" t="str">
        <f>'PLANILHA PÓS ADITIVO'!A225</f>
        <v>12.11</v>
      </c>
      <c r="B234" s="186" t="str">
        <f>'PLANILHA PÓS ADITIVO'!C225</f>
        <v>KIT DE ACESSORIOS PARA BANHEIRO EM METAL CROMADO, 5 PECAS, INCLUSO FIXAÇÃO. AF_01/2020</v>
      </c>
      <c r="C234" s="189" t="str">
        <f>'PLANILHA PÓS ADITIVO'!E225</f>
        <v>unid</v>
      </c>
      <c r="D234" s="69"/>
      <c r="E234" s="190">
        <f>'PLANILHA PÓS ADITIVO'!G225</f>
        <v>111.117825</v>
      </c>
      <c r="F234" s="189">
        <f>'PLANILHA PÓS ADITIVO'!F225</f>
        <v>14</v>
      </c>
      <c r="G234" s="205"/>
      <c r="H234" s="66">
        <f>G234+[1]BM_14!H234</f>
        <v>0</v>
      </c>
      <c r="I234" s="65">
        <f t="shared" si="15"/>
        <v>1555.65</v>
      </c>
      <c r="J234" s="204">
        <f t="shared" si="17"/>
        <v>0</v>
      </c>
      <c r="K234" s="204">
        <f t="shared" si="18"/>
        <v>0</v>
      </c>
      <c r="L234" s="27">
        <f t="shared" si="16"/>
        <v>0</v>
      </c>
    </row>
    <row r="235" spans="1:12" ht="52.5" customHeight="1">
      <c r="A235" s="187" t="str">
        <f>'PLANILHA PÓS ADITIVO'!A226</f>
        <v>12.12</v>
      </c>
      <c r="B235" s="186" t="str">
        <f>'PLANILHA PÓS ADITIVO'!C226</f>
        <v>TANQUE DE MÁRMORE SINTÉTICO SUSPENSO, 22L OU EQUIVALENTE, INCLUSO SIFÃO FLEXÍVEL EM PVC, VÁLVULA PLÁSTICA E TORNEIRA DE METAL CROMADO PADRÃO POPULAR - FORNECIMENTO E INSTALAÇÃO. AF_01/2020</v>
      </c>
      <c r="C235" s="189" t="str">
        <f>'PLANILHA PÓS ADITIVO'!E226</f>
        <v>unid</v>
      </c>
      <c r="D235" s="69"/>
      <c r="E235" s="190">
        <f>'PLANILHA PÓS ADITIVO'!G226</f>
        <v>360.87017400000002</v>
      </c>
      <c r="F235" s="189">
        <f>'PLANILHA PÓS ADITIVO'!F226</f>
        <v>2</v>
      </c>
      <c r="G235" s="205"/>
      <c r="H235" s="66">
        <f>G235+[1]BM_14!H235</f>
        <v>0</v>
      </c>
      <c r="I235" s="65">
        <f t="shared" si="15"/>
        <v>721.74</v>
      </c>
      <c r="J235" s="204">
        <f t="shared" si="17"/>
        <v>0</v>
      </c>
      <c r="K235" s="204">
        <f t="shared" si="18"/>
        <v>0</v>
      </c>
      <c r="L235" s="27">
        <f t="shared" si="16"/>
        <v>0</v>
      </c>
    </row>
    <row r="236" spans="1:12">
      <c r="A236" s="187"/>
      <c r="B236" s="186"/>
      <c r="C236" s="189"/>
      <c r="D236" s="69"/>
      <c r="E236" s="190"/>
      <c r="F236" s="189"/>
      <c r="G236" s="205"/>
      <c r="H236" s="66">
        <f>G236+[1]BM_14!H236</f>
        <v>0</v>
      </c>
      <c r="I236" s="65"/>
      <c r="J236" s="204"/>
      <c r="K236" s="204"/>
      <c r="L236" s="27"/>
    </row>
    <row r="237" spans="1:12">
      <c r="A237" s="193">
        <f>'PLANILHA PÓS ADITIVO'!A228</f>
        <v>13</v>
      </c>
      <c r="B237" s="194" t="str">
        <f>'PLANILHA PÓS ADITIVO'!C228</f>
        <v>SERVIÇOS COMPLEMENTARES</v>
      </c>
      <c r="C237" s="199"/>
      <c r="D237" s="118"/>
      <c r="E237" s="200"/>
      <c r="F237" s="199"/>
      <c r="G237" s="226"/>
      <c r="H237" s="66">
        <f>G237+[1]BM_14!H237</f>
        <v>0</v>
      </c>
      <c r="I237" s="120"/>
      <c r="J237" s="202"/>
      <c r="K237" s="202"/>
      <c r="L237" s="203"/>
    </row>
    <row r="238" spans="1:12">
      <c r="A238" s="187" t="str">
        <f>'PLANILHA PÓS ADITIVO'!A229</f>
        <v>13.1</v>
      </c>
      <c r="B238" s="186" t="str">
        <f>'PLANILHA PÓS ADITIVO'!C229</f>
        <v>LIMPEZA DE PISO CERÂMICO OU PORCELANATO COM PANO ÚMIDO. AF_04/2019</v>
      </c>
      <c r="C238" s="189" t="str">
        <f>'PLANILHA PÓS ADITIVO'!E229</f>
        <v>m²</v>
      </c>
      <c r="D238" s="69"/>
      <c r="E238" s="190">
        <f>'PLANILHA PÓS ADITIVO'!G229</f>
        <v>1.7221680000000001</v>
      </c>
      <c r="F238" s="189">
        <f>'PLANILHA PÓS ADITIVO'!F229</f>
        <v>774.83</v>
      </c>
      <c r="G238" s="205"/>
      <c r="H238" s="66">
        <f>G238+[1]BM_14!H238</f>
        <v>0</v>
      </c>
      <c r="I238" s="65">
        <f t="shared" si="15"/>
        <v>1334.39</v>
      </c>
      <c r="J238" s="204">
        <f t="shared" si="17"/>
        <v>0</v>
      </c>
      <c r="K238" s="204">
        <f t="shared" si="18"/>
        <v>0</v>
      </c>
      <c r="L238" s="27">
        <f t="shared" si="16"/>
        <v>0</v>
      </c>
    </row>
    <row r="239" spans="1:12" ht="25.5">
      <c r="A239" s="187" t="str">
        <f>'PLANILHA PÓS ADITIVO'!A230</f>
        <v>13.2</v>
      </c>
      <c r="B239" s="186" t="str">
        <f>'PLANILHA PÓS ADITIVO'!C230</f>
        <v>Corrimão em tubo de aço galvanizado (altura = 1,05 m), com barras verticais a cada 2,00m (1.1/2"), barra horizontal  superior (2"), barra horizontal intermediária (dupla) (1.1/2") e barra horizontal inferior (1").</v>
      </c>
      <c r="C239" s="189" t="str">
        <f>'PLANILHA PÓS ADITIVO'!E230</f>
        <v>m</v>
      </c>
      <c r="D239" s="69"/>
      <c r="E239" s="190">
        <f>'PLANILHA PÓS ADITIVO'!G230</f>
        <v>496.288296</v>
      </c>
      <c r="F239" s="189">
        <f>'PLANILHA PÓS ADITIVO'!F230</f>
        <v>32.28</v>
      </c>
      <c r="G239" s="227"/>
      <c r="H239" s="66">
        <f>G239+[1]BM_14!H239</f>
        <v>32.28</v>
      </c>
      <c r="I239" s="65">
        <f t="shared" si="15"/>
        <v>16020.19</v>
      </c>
      <c r="J239" s="204">
        <f t="shared" si="17"/>
        <v>0</v>
      </c>
      <c r="K239" s="204">
        <f t="shared" si="18"/>
        <v>16020.19</v>
      </c>
      <c r="L239" s="27">
        <f t="shared" si="16"/>
        <v>1</v>
      </c>
    </row>
    <row r="240" spans="1:12" ht="25.5">
      <c r="A240" s="187" t="str">
        <f>'PLANILHA PÓS ADITIVO'!A231</f>
        <v>13.3</v>
      </c>
      <c r="B240" s="186" t="str">
        <f>'PLANILHA PÓS ADITIVO'!C231</f>
        <v>Banco de concreto em alvenaria de tijolo maciço, assento em concreto simples, sem encosto, revestido em todas as faces com cerâmica Elizabeth 20x20cm ou similar.</v>
      </c>
      <c r="C240" s="189" t="str">
        <f>'PLANILHA PÓS ADITIVO'!E231</f>
        <v>m</v>
      </c>
      <c r="D240" s="69"/>
      <c r="E240" s="190">
        <f>'PLANILHA PÓS ADITIVO'!G231</f>
        <v>247.498335</v>
      </c>
      <c r="F240" s="189">
        <f>'PLANILHA PÓS ADITIVO'!F231</f>
        <v>7.8</v>
      </c>
      <c r="G240" s="205"/>
      <c r="H240" s="66">
        <f>G240+[1]BM_14!H240</f>
        <v>0</v>
      </c>
      <c r="I240" s="65">
        <f t="shared" si="15"/>
        <v>1930.49</v>
      </c>
      <c r="J240" s="204">
        <f t="shared" si="17"/>
        <v>0</v>
      </c>
      <c r="K240" s="204">
        <f t="shared" si="18"/>
        <v>0</v>
      </c>
      <c r="L240" s="27">
        <f t="shared" si="16"/>
        <v>0</v>
      </c>
    </row>
    <row r="241" spans="1:15">
      <c r="A241" s="187" t="str">
        <f>'PLANILHA PÓS ADITIVO'!A232</f>
        <v>13.4</v>
      </c>
      <c r="B241" s="186" t="str">
        <f>'PLANILHA PÓS ADITIVO'!C232</f>
        <v>Letra em alumínio 50x50cm - instalado</v>
      </c>
      <c r="C241" s="189" t="str">
        <f>'PLANILHA PÓS ADITIVO'!E232</f>
        <v>unid</v>
      </c>
      <c r="D241" s="69"/>
      <c r="E241" s="190">
        <f>'PLANILHA PÓS ADITIVO'!G232</f>
        <v>262.68127199999998</v>
      </c>
      <c r="F241" s="189">
        <f>'PLANILHA PÓS ADITIVO'!F232</f>
        <v>16</v>
      </c>
      <c r="G241" s="205"/>
      <c r="H241" s="66">
        <f>G241+[1]BM_14!H241</f>
        <v>0</v>
      </c>
      <c r="I241" s="65">
        <f t="shared" si="15"/>
        <v>4202.8999999999996</v>
      </c>
      <c r="J241" s="204">
        <f t="shared" si="17"/>
        <v>0</v>
      </c>
      <c r="K241" s="204">
        <f t="shared" si="18"/>
        <v>0</v>
      </c>
      <c r="L241" s="27">
        <f t="shared" si="16"/>
        <v>0</v>
      </c>
    </row>
    <row r="242" spans="1:15">
      <c r="A242" s="187" t="str">
        <f>'PLANILHA PÓS ADITIVO'!A233</f>
        <v>13.5</v>
      </c>
      <c r="B242" s="186" t="str">
        <f>'PLANILHA PÓS ADITIVO'!C233</f>
        <v>Letra em alumínio 25x25cm - instalado</v>
      </c>
      <c r="C242" s="189" t="str">
        <f>'PLANILHA PÓS ADITIVO'!E233</f>
        <v>unid</v>
      </c>
      <c r="D242" s="69"/>
      <c r="E242" s="190">
        <f>'PLANILHA PÓS ADITIVO'!G233</f>
        <v>135.798012</v>
      </c>
      <c r="F242" s="189">
        <f>'PLANILHA PÓS ADITIVO'!F233</f>
        <v>50</v>
      </c>
      <c r="G242" s="205"/>
      <c r="H242" s="66">
        <f>G242+[1]BM_14!H242</f>
        <v>0</v>
      </c>
      <c r="I242" s="65">
        <f t="shared" si="15"/>
        <v>6789.9</v>
      </c>
      <c r="J242" s="204">
        <f t="shared" si="17"/>
        <v>0</v>
      </c>
      <c r="K242" s="204">
        <f t="shared" si="18"/>
        <v>0</v>
      </c>
      <c r="L242" s="27">
        <f t="shared" si="16"/>
        <v>0</v>
      </c>
    </row>
    <row r="243" spans="1:15" ht="25.5">
      <c r="A243" s="187" t="str">
        <f>'PLANILHA PÓS ADITIVO'!A234</f>
        <v>13.6</v>
      </c>
      <c r="B243" s="186" t="str">
        <f>'PLANILHA PÓS ADITIVO'!C234</f>
        <v>Estrutura Metálica Galpões em Pórticos - Colunas/Vigas em Treliça UDC150, terças e vigas longitudinais em UDC 127 e 150, 2 águas, sem lant., vãos 20,01 a 30,0m, pintada 1 d oxido ferro + 2 d esmalte epóxi branco, exceto forn. Telhas - Executada - R1</v>
      </c>
      <c r="C243" s="189" t="str">
        <f>'PLANILHA PÓS ADITIVO'!E234</f>
        <v>M²</v>
      </c>
      <c r="D243" s="69"/>
      <c r="E243" s="190">
        <f>'PLANILHA PÓS ADITIVO'!G234</f>
        <v>327.97929779999998</v>
      </c>
      <c r="F243" s="189">
        <f>'PLANILHA PÓS ADITIVO'!F234</f>
        <v>47.5</v>
      </c>
      <c r="G243" s="227"/>
      <c r="H243" s="66">
        <f>G243+[1]BM_14!H243</f>
        <v>47.5</v>
      </c>
      <c r="I243" s="65">
        <f t="shared" si="15"/>
        <v>15579.02</v>
      </c>
      <c r="J243" s="204">
        <f t="shared" si="17"/>
        <v>0</v>
      </c>
      <c r="K243" s="204">
        <f t="shared" si="18"/>
        <v>15579.02</v>
      </c>
      <c r="L243" s="27">
        <f t="shared" si="16"/>
        <v>1</v>
      </c>
    </row>
    <row r="244" spans="1:15">
      <c r="A244" s="187" t="str">
        <f>'PLANILHA PÓS ADITIVO'!A235</f>
        <v>13.7</v>
      </c>
      <c r="B244" s="186" t="str">
        <f>'PLANILHA PÓS ADITIVO'!C235</f>
        <v>TELHAMENTO COM TELHA DE AÇO/ALUMÍNIO E = 0,5 MM, COM ATÉ 2 ÁGUAS, INCL</v>
      </c>
      <c r="C244" s="189" t="str">
        <f>'PLANILHA PÓS ADITIVO'!E235</f>
        <v>M²</v>
      </c>
      <c r="D244" s="69"/>
      <c r="E244" s="190">
        <f>'PLANILHA PÓS ADITIVO'!G235</f>
        <v>111.05349695999999</v>
      </c>
      <c r="F244" s="189">
        <f>'PLANILHA PÓS ADITIVO'!F235</f>
        <v>47.5</v>
      </c>
      <c r="G244" s="227"/>
      <c r="H244" s="66">
        <f>G244+[1]BM_14!H244</f>
        <v>47.5</v>
      </c>
      <c r="I244" s="65">
        <f t="shared" si="15"/>
        <v>5275.04</v>
      </c>
      <c r="J244" s="204">
        <f t="shared" si="17"/>
        <v>0</v>
      </c>
      <c r="K244" s="204">
        <f t="shared" si="18"/>
        <v>5275.04</v>
      </c>
      <c r="L244" s="27">
        <f t="shared" si="16"/>
        <v>1</v>
      </c>
    </row>
    <row r="245" spans="1:15" ht="15.75" thickBot="1">
      <c r="A245" s="188"/>
      <c r="B245" s="184"/>
      <c r="C245" s="191"/>
      <c r="D245" s="84"/>
      <c r="E245" s="192"/>
      <c r="F245" s="191"/>
      <c r="I245" s="185"/>
    </row>
    <row r="246" spans="1:15" ht="15.75" thickBot="1">
      <c r="A246" s="270"/>
      <c r="B246" s="271"/>
      <c r="C246" s="271"/>
      <c r="D246" s="271"/>
      <c r="E246" s="271"/>
      <c r="F246" s="271"/>
      <c r="G246" s="271"/>
      <c r="H246" s="272"/>
      <c r="I246" s="228">
        <f>SUM(I19:I244)</f>
        <v>1166128.2399999998</v>
      </c>
      <c r="J246" s="230">
        <f>SUM(J19:J244)</f>
        <v>85345.09</v>
      </c>
      <c r="K246" s="229">
        <f>SUM(K19:K244)</f>
        <v>823216.64000000013</v>
      </c>
      <c r="L246" s="231">
        <f t="shared" ref="L246" si="19">K246/I246</f>
        <v>0.70594006024586142</v>
      </c>
    </row>
    <row r="247" spans="1:15">
      <c r="C247" s="84"/>
      <c r="D247" s="84"/>
      <c r="E247" s="84"/>
      <c r="F247" s="84"/>
      <c r="J247" s="256">
        <f>J246/I246</f>
        <v>7.3186710579961609E-2</v>
      </c>
    </row>
    <row r="250" spans="1:15" ht="21">
      <c r="A250" s="251" t="s">
        <v>816</v>
      </c>
      <c r="B250" s="252"/>
      <c r="F250"/>
      <c r="G250"/>
      <c r="H250"/>
      <c r="I250"/>
      <c r="J250" s="266"/>
      <c r="K250"/>
      <c r="L250"/>
      <c r="N250" s="266"/>
    </row>
    <row r="251" spans="1:15" ht="21">
      <c r="A251" s="253" t="s">
        <v>817</v>
      </c>
      <c r="B251" s="253"/>
      <c r="F251"/>
      <c r="G251"/>
      <c r="H251"/>
      <c r="I251"/>
      <c r="J251"/>
      <c r="K251"/>
      <c r="L251"/>
      <c r="N251" s="266"/>
    </row>
    <row r="252" spans="1:15" ht="21">
      <c r="A252" s="253"/>
      <c r="B252" s="252"/>
      <c r="F252"/>
      <c r="G252"/>
      <c r="H252"/>
      <c r="I252"/>
      <c r="J252"/>
      <c r="K252"/>
      <c r="L252"/>
    </row>
    <row r="253" spans="1:15" ht="21">
      <c r="A253" s="253"/>
      <c r="B253" s="252"/>
      <c r="F253"/>
      <c r="G253"/>
      <c r="H253"/>
      <c r="I253"/>
      <c r="J253"/>
      <c r="K253"/>
      <c r="L253"/>
    </row>
    <row r="254" spans="1:15" ht="21">
      <c r="A254" s="269" t="s">
        <v>827</v>
      </c>
      <c r="B254" s="269"/>
      <c r="C254" s="269"/>
      <c r="D254" s="269"/>
      <c r="E254" s="269"/>
      <c r="F254" s="269"/>
      <c r="G254" s="269"/>
      <c r="H254" s="269"/>
      <c r="I254" s="269"/>
      <c r="J254" s="269"/>
      <c r="K254" s="269"/>
      <c r="L254" s="269"/>
      <c r="M254" s="269"/>
      <c r="N254" s="269"/>
      <c r="O254" s="269"/>
    </row>
    <row r="255" spans="1:15" ht="21">
      <c r="A255" s="254" t="s">
        <v>818</v>
      </c>
      <c r="B255" s="252"/>
      <c r="F255"/>
      <c r="G255"/>
      <c r="H255"/>
      <c r="I255"/>
      <c r="J255"/>
      <c r="K255"/>
      <c r="L255"/>
    </row>
    <row r="256" spans="1:15" ht="21">
      <c r="A256" s="255" t="s">
        <v>819</v>
      </c>
      <c r="B256" s="252"/>
      <c r="F256"/>
      <c r="G256"/>
      <c r="H256"/>
      <c r="I256"/>
      <c r="J256"/>
      <c r="K256"/>
      <c r="L256"/>
    </row>
    <row r="257" spans="1:12">
      <c r="A257" s="50"/>
      <c r="F257"/>
      <c r="G257"/>
      <c r="H257"/>
      <c r="I257"/>
      <c r="J257"/>
      <c r="K257"/>
      <c r="L257"/>
    </row>
    <row r="258" spans="1:12">
      <c r="A258" s="50" t="s">
        <v>825</v>
      </c>
      <c r="F258"/>
      <c r="G258"/>
      <c r="H258"/>
      <c r="I258"/>
      <c r="J258"/>
      <c r="K258"/>
      <c r="L258"/>
    </row>
    <row r="259" spans="1:12">
      <c r="A259" s="50"/>
      <c r="F259"/>
      <c r="G259"/>
      <c r="H259"/>
      <c r="I259"/>
      <c r="J259"/>
      <c r="K259"/>
      <c r="L259"/>
    </row>
    <row r="260" spans="1:12">
      <c r="A260" s="50" t="s">
        <v>820</v>
      </c>
      <c r="F260"/>
      <c r="G260"/>
      <c r="H260"/>
      <c r="I260"/>
      <c r="J260"/>
      <c r="K260"/>
      <c r="L260"/>
    </row>
    <row r="261" spans="1:12">
      <c r="A261" s="50" t="s">
        <v>821</v>
      </c>
      <c r="F261"/>
      <c r="G261"/>
      <c r="H261"/>
      <c r="I261"/>
      <c r="J261"/>
      <c r="K261"/>
      <c r="L261"/>
    </row>
  </sheetData>
  <mergeCells count="33">
    <mergeCell ref="L16:L17"/>
    <mergeCell ref="I16:K16"/>
    <mergeCell ref="A15:L15"/>
    <mergeCell ref="A16:A17"/>
    <mergeCell ref="C12:F12"/>
    <mergeCell ref="A12:B12"/>
    <mergeCell ref="A13:B14"/>
    <mergeCell ref="C13:F14"/>
    <mergeCell ref="G13:H14"/>
    <mergeCell ref="I13:J14"/>
    <mergeCell ref="K13:L14"/>
    <mergeCell ref="K10:K11"/>
    <mergeCell ref="C1:L5"/>
    <mergeCell ref="A6:F6"/>
    <mergeCell ref="G6:J6"/>
    <mergeCell ref="A7:F8"/>
    <mergeCell ref="G7:J8"/>
    <mergeCell ref="A254:O254"/>
    <mergeCell ref="A246:H246"/>
    <mergeCell ref="K7:K8"/>
    <mergeCell ref="K12:L12"/>
    <mergeCell ref="L10:L11"/>
    <mergeCell ref="A9:F9"/>
    <mergeCell ref="G9:J9"/>
    <mergeCell ref="A10:F11"/>
    <mergeCell ref="G10:J11"/>
    <mergeCell ref="G12:H12"/>
    <mergeCell ref="I12:J12"/>
    <mergeCell ref="L7:L8"/>
    <mergeCell ref="B16:B17"/>
    <mergeCell ref="C16:C17"/>
    <mergeCell ref="D16:D17"/>
    <mergeCell ref="F16:H16"/>
  </mergeCells>
  <conditionalFormatting sqref="G19:G232">
    <cfRule type="cellIs" dxfId="10" priority="4" operator="greaterThan">
      <formula>0</formula>
    </cfRule>
  </conditionalFormatting>
  <conditionalFormatting sqref="J19:J244">
    <cfRule type="cellIs" dxfId="9" priority="2" operator="lessThan">
      <formula>0</formula>
    </cfRule>
    <cfRule type="cellIs" dxfId="8" priority="3" operator="greaterThan">
      <formula>0</formula>
    </cfRule>
  </conditionalFormatting>
  <conditionalFormatting sqref="L250:L261">
    <cfRule type="cellIs" dxfId="7" priority="1" operator="greaterThan">
      <formula>1</formula>
    </cfRule>
  </conditionalFormatting>
  <pageMargins left="0.51181102362204722" right="0.51181102362204722" top="0.78740157480314965" bottom="0.78740157480314965" header="0.31496062992125984" footer="0.31496062992125984"/>
  <pageSetup paperSize="9" scale="55" fitToHeight="7" orientation="landscape" horizontalDpi="300" verticalDpi="300" r:id="rId1"/>
  <rowBreaks count="3" manualBreakCount="3">
    <brk id="45" max="12" man="1"/>
    <brk id="200" max="12" man="1"/>
    <brk id="240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430"/>
  <sheetViews>
    <sheetView view="pageBreakPreview" topLeftCell="A439" zoomScale="77" zoomScaleNormal="70" zoomScaleSheetLayoutView="77" workbookViewId="0">
      <selection activeCell="I424" sqref="I424"/>
    </sheetView>
  </sheetViews>
  <sheetFormatPr defaultRowHeight="15"/>
  <cols>
    <col min="2" max="2" width="16.7109375" customWidth="1"/>
    <col min="3" max="3" width="17.140625" customWidth="1"/>
    <col min="5" max="5" width="11.42578125" customWidth="1"/>
    <col min="6" max="6" width="13.85546875" customWidth="1"/>
    <col min="7" max="7" width="12.85546875" customWidth="1"/>
    <col min="8" max="8" width="11.42578125" customWidth="1"/>
    <col min="10" max="10" width="11.28515625" customWidth="1"/>
    <col min="11" max="11" width="14.28515625" customWidth="1"/>
    <col min="12" max="12" width="13.42578125" bestFit="1" customWidth="1"/>
    <col min="14" max="14" width="56.140625" bestFit="1" customWidth="1"/>
    <col min="15" max="15" width="26" customWidth="1"/>
  </cols>
  <sheetData>
    <row r="1" spans="1:15" ht="16.5" thickBot="1">
      <c r="A1" s="409"/>
      <c r="B1" s="410"/>
      <c r="C1" s="415" t="s">
        <v>409</v>
      </c>
      <c r="D1" s="416"/>
      <c r="E1" s="416"/>
      <c r="F1" s="416"/>
      <c r="G1" s="416"/>
      <c r="H1" s="416"/>
      <c r="I1" s="416"/>
      <c r="J1" s="416"/>
      <c r="K1" s="416"/>
      <c r="L1" s="416"/>
      <c r="M1" s="417"/>
    </row>
    <row r="2" spans="1:15">
      <c r="A2" s="411"/>
      <c r="B2" s="412"/>
      <c r="C2" s="418" t="s">
        <v>410</v>
      </c>
      <c r="D2" s="419"/>
      <c r="E2" s="419"/>
      <c r="F2" s="419"/>
      <c r="G2" s="420"/>
      <c r="H2" s="418" t="s">
        <v>411</v>
      </c>
      <c r="I2" s="419"/>
      <c r="J2" s="419"/>
      <c r="K2" s="419"/>
      <c r="L2" s="419"/>
      <c r="M2" s="420"/>
    </row>
    <row r="3" spans="1:15" ht="15.75" thickBot="1">
      <c r="A3" s="411"/>
      <c r="B3" s="412"/>
      <c r="C3" s="421" t="s">
        <v>431</v>
      </c>
      <c r="D3" s="422"/>
      <c r="E3" s="422"/>
      <c r="F3" s="422"/>
      <c r="G3" s="423"/>
      <c r="H3" s="424" t="s">
        <v>412</v>
      </c>
      <c r="I3" s="425"/>
      <c r="J3" s="425"/>
      <c r="K3" s="425"/>
      <c r="L3" s="425"/>
      <c r="M3" s="426"/>
    </row>
    <row r="4" spans="1:15">
      <c r="A4" s="411"/>
      <c r="B4" s="412"/>
      <c r="C4" s="418" t="s">
        <v>413</v>
      </c>
      <c r="D4" s="419"/>
      <c r="E4" s="419"/>
      <c r="F4" s="419"/>
      <c r="G4" s="420"/>
      <c r="H4" s="427" t="s">
        <v>414</v>
      </c>
      <c r="I4" s="428"/>
      <c r="J4" s="428"/>
      <c r="K4" s="429"/>
      <c r="L4" s="28"/>
      <c r="M4" s="29"/>
    </row>
    <row r="5" spans="1:15" ht="15.75" thickBot="1">
      <c r="A5" s="413"/>
      <c r="B5" s="414"/>
      <c r="C5" s="430" t="s">
        <v>432</v>
      </c>
      <c r="D5" s="431"/>
      <c r="E5" s="431"/>
      <c r="F5" s="431"/>
      <c r="G5" s="432"/>
      <c r="H5" s="433"/>
      <c r="I5" s="434"/>
      <c r="J5" s="434"/>
      <c r="K5" s="435"/>
      <c r="L5" s="30"/>
      <c r="M5" s="31"/>
    </row>
    <row r="6" spans="1:15" ht="15.75" thickBot="1">
      <c r="A6" s="141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5">
      <c r="A7" s="396" t="s">
        <v>415</v>
      </c>
      <c r="B7" s="398" t="s">
        <v>416</v>
      </c>
      <c r="C7" s="399"/>
      <c r="D7" s="402" t="s">
        <v>417</v>
      </c>
      <c r="E7" s="404" t="s">
        <v>418</v>
      </c>
      <c r="F7" s="405"/>
      <c r="G7" s="405"/>
      <c r="H7" s="405"/>
      <c r="I7" s="405"/>
      <c r="J7" s="406"/>
      <c r="K7" s="404" t="s">
        <v>419</v>
      </c>
      <c r="L7" s="406"/>
      <c r="M7" s="407" t="s">
        <v>420</v>
      </c>
    </row>
    <row r="8" spans="1:15">
      <c r="A8" s="397"/>
      <c r="B8" s="400"/>
      <c r="C8" s="401"/>
      <c r="D8" s="403"/>
      <c r="E8" s="219" t="s">
        <v>421</v>
      </c>
      <c r="F8" s="219" t="s">
        <v>422</v>
      </c>
      <c r="G8" s="219" t="s">
        <v>423</v>
      </c>
      <c r="H8" s="219" t="s">
        <v>424</v>
      </c>
      <c r="I8" s="219" t="s">
        <v>425</v>
      </c>
      <c r="J8" s="219" t="s">
        <v>426</v>
      </c>
      <c r="K8" s="219" t="s">
        <v>427</v>
      </c>
      <c r="L8" s="219" t="s">
        <v>428</v>
      </c>
      <c r="M8" s="408"/>
    </row>
    <row r="9" spans="1:15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372" t="s">
        <v>809</v>
      </c>
      <c r="O9" s="373"/>
    </row>
    <row r="10" spans="1:15" ht="14.45" hidden="1" customHeight="1">
      <c r="A10" s="142" t="s">
        <v>568</v>
      </c>
      <c r="B10" s="394" t="str">
        <f>[2]REPROGRAMAÇÃO!C9</f>
        <v>SERVIÇOS PRELIMINARES</v>
      </c>
      <c r="C10" s="394"/>
      <c r="D10" s="394"/>
      <c r="E10" s="394"/>
      <c r="F10" s="394"/>
      <c r="G10" s="394"/>
      <c r="H10" s="394"/>
      <c r="I10" s="394"/>
      <c r="J10" s="394"/>
      <c r="K10" s="394"/>
      <c r="L10" s="142"/>
      <c r="M10" s="142"/>
    </row>
    <row r="11" spans="1:15" hidden="1">
      <c r="A11" s="37"/>
      <c r="B11" s="393"/>
      <c r="C11" s="393"/>
      <c r="D11" s="393"/>
      <c r="E11" s="393"/>
      <c r="F11" s="393"/>
      <c r="G11" s="393"/>
      <c r="H11" s="393"/>
      <c r="I11" s="393"/>
      <c r="J11" s="393"/>
      <c r="K11" s="393"/>
      <c r="L11" s="37"/>
      <c r="M11" s="37"/>
    </row>
    <row r="12" spans="1:15" hidden="1">
      <c r="A12" s="142" t="s">
        <v>3</v>
      </c>
      <c r="B12" s="395" t="str">
        <f>[4]BM_10!B20</f>
        <v>DEMOLIÇÃO DE ALVENARIA DE BLOCOFURADO, DE FORMA MANUAL, SEM REAPROVEITAMENTO</v>
      </c>
      <c r="C12" s="395"/>
      <c r="D12" s="395"/>
      <c r="E12" s="395"/>
      <c r="F12" s="395"/>
      <c r="G12" s="395"/>
      <c r="H12" s="395"/>
      <c r="I12" s="395"/>
      <c r="J12" s="395"/>
      <c r="K12" s="395"/>
      <c r="L12" s="142">
        <f>SUM(L14:L24)</f>
        <v>18.461999999999993</v>
      </c>
      <c r="M12" s="142" t="s">
        <v>495</v>
      </c>
    </row>
    <row r="13" spans="1:15" hidden="1">
      <c r="A13" s="37"/>
      <c r="B13" s="37"/>
      <c r="C13" s="37"/>
      <c r="D13" s="37"/>
      <c r="E13" s="37"/>
      <c r="F13" s="38"/>
      <c r="G13" s="37"/>
      <c r="H13" s="38"/>
      <c r="I13" s="37"/>
      <c r="J13" s="37"/>
      <c r="K13" s="46"/>
      <c r="L13" s="68"/>
      <c r="M13" s="38"/>
    </row>
    <row r="14" spans="1:15" hidden="1">
      <c r="A14" s="37"/>
      <c r="B14" s="393"/>
      <c r="C14" s="393"/>
      <c r="D14" s="206">
        <v>1</v>
      </c>
      <c r="E14" s="146">
        <v>0.3</v>
      </c>
      <c r="F14" s="146"/>
      <c r="G14" s="146">
        <v>0.5</v>
      </c>
      <c r="H14" s="146"/>
      <c r="I14" s="146">
        <v>0.5</v>
      </c>
      <c r="J14" s="37"/>
      <c r="K14" s="206">
        <f>E14*G14*I14</f>
        <v>7.4999999999999997E-2</v>
      </c>
      <c r="L14" s="38">
        <f t="shared" ref="L14:L24" si="0">K14*D14</f>
        <v>7.4999999999999997E-2</v>
      </c>
      <c r="M14" s="38"/>
    </row>
    <row r="15" spans="1:15" hidden="1">
      <c r="A15" s="37"/>
      <c r="B15" s="393"/>
      <c r="C15" s="393"/>
      <c r="D15" s="206">
        <v>1</v>
      </c>
      <c r="E15" s="146">
        <v>0.3</v>
      </c>
      <c r="F15" s="146"/>
      <c r="G15" s="146">
        <v>0.5</v>
      </c>
      <c r="H15" s="146"/>
      <c r="I15" s="146">
        <v>0.5</v>
      </c>
      <c r="J15" s="37"/>
      <c r="K15" s="206">
        <f t="shared" ref="K15:K24" si="1">E15*G15*I15</f>
        <v>7.4999999999999997E-2</v>
      </c>
      <c r="L15" s="38">
        <f t="shared" si="0"/>
        <v>7.4999999999999997E-2</v>
      </c>
      <c r="M15" s="38"/>
    </row>
    <row r="16" spans="1:15" hidden="1">
      <c r="A16" s="37"/>
      <c r="B16" s="393"/>
      <c r="C16" s="393"/>
      <c r="D16" s="206">
        <v>1</v>
      </c>
      <c r="E16" s="146">
        <v>0.3</v>
      </c>
      <c r="F16" s="146"/>
      <c r="G16" s="146">
        <v>0.5</v>
      </c>
      <c r="H16" s="146"/>
      <c r="I16" s="146">
        <v>0.5</v>
      </c>
      <c r="J16" s="37"/>
      <c r="K16" s="206">
        <f t="shared" si="1"/>
        <v>7.4999999999999997E-2</v>
      </c>
      <c r="L16" s="38">
        <f t="shared" si="0"/>
        <v>7.4999999999999997E-2</v>
      </c>
      <c r="M16" s="38"/>
    </row>
    <row r="17" spans="1:13" hidden="1">
      <c r="A17" s="37"/>
      <c r="B17" s="393"/>
      <c r="C17" s="393"/>
      <c r="D17" s="206">
        <v>1</v>
      </c>
      <c r="E17" s="146">
        <v>2</v>
      </c>
      <c r="F17" s="146"/>
      <c r="G17" s="146">
        <v>0.5</v>
      </c>
      <c r="H17" s="146"/>
      <c r="I17" s="146">
        <v>0.3</v>
      </c>
      <c r="J17" s="37"/>
      <c r="K17" s="206">
        <f t="shared" si="1"/>
        <v>0.3</v>
      </c>
      <c r="L17" s="38">
        <f t="shared" si="0"/>
        <v>0.3</v>
      </c>
      <c r="M17" s="38"/>
    </row>
    <row r="18" spans="1:13" hidden="1">
      <c r="A18" s="37"/>
      <c r="B18" s="393" t="s">
        <v>586</v>
      </c>
      <c r="C18" s="393"/>
      <c r="D18" s="206">
        <v>1</v>
      </c>
      <c r="E18" s="146">
        <v>11.7</v>
      </c>
      <c r="F18" s="146"/>
      <c r="G18" s="146">
        <v>4.2</v>
      </c>
      <c r="H18" s="146"/>
      <c r="I18" s="146">
        <v>0.3</v>
      </c>
      <c r="J18" s="37"/>
      <c r="K18" s="206">
        <f t="shared" si="1"/>
        <v>14.741999999999999</v>
      </c>
      <c r="L18" s="38">
        <f t="shared" si="0"/>
        <v>14.741999999999999</v>
      </c>
      <c r="M18" s="38"/>
    </row>
    <row r="19" spans="1:13" hidden="1">
      <c r="A19" s="37"/>
      <c r="B19" s="393"/>
      <c r="C19" s="393"/>
      <c r="D19" s="206">
        <v>1</v>
      </c>
      <c r="E19" s="146">
        <v>13</v>
      </c>
      <c r="F19" s="146"/>
      <c r="G19" s="146">
        <v>0.3</v>
      </c>
      <c r="H19" s="146"/>
      <c r="I19" s="146">
        <v>0.3</v>
      </c>
      <c r="J19" s="38"/>
      <c r="K19" s="206">
        <f t="shared" si="1"/>
        <v>1.17</v>
      </c>
      <c r="L19" s="38">
        <f t="shared" si="0"/>
        <v>1.17</v>
      </c>
      <c r="M19" s="38"/>
    </row>
    <row r="20" spans="1:13" hidden="1">
      <c r="A20" s="37"/>
      <c r="B20" s="37"/>
      <c r="C20" s="37"/>
      <c r="D20" s="206">
        <v>1</v>
      </c>
      <c r="E20" s="146">
        <v>9.1999999999999993</v>
      </c>
      <c r="F20" s="146"/>
      <c r="G20" s="146">
        <v>0.3</v>
      </c>
      <c r="H20" s="146"/>
      <c r="I20" s="146">
        <v>0.3</v>
      </c>
      <c r="J20" s="38"/>
      <c r="K20" s="206">
        <f t="shared" si="1"/>
        <v>0.82799999999999996</v>
      </c>
      <c r="L20" s="38">
        <f t="shared" si="0"/>
        <v>0.82799999999999996</v>
      </c>
      <c r="M20" s="38"/>
    </row>
    <row r="21" spans="1:13" hidden="1">
      <c r="A21" s="37"/>
      <c r="B21" s="393"/>
      <c r="C21" s="393"/>
      <c r="D21" s="206">
        <v>1</v>
      </c>
      <c r="E21" s="146">
        <v>0.7</v>
      </c>
      <c r="F21" s="146"/>
      <c r="G21" s="146">
        <v>0.7</v>
      </c>
      <c r="H21" s="146"/>
      <c r="I21" s="146">
        <v>0.3</v>
      </c>
      <c r="J21" s="38"/>
      <c r="K21" s="206">
        <f t="shared" si="1"/>
        <v>0.14699999999999996</v>
      </c>
      <c r="L21" s="38">
        <f t="shared" si="0"/>
        <v>0.14699999999999996</v>
      </c>
      <c r="M21" s="38"/>
    </row>
    <row r="22" spans="1:13" hidden="1">
      <c r="A22" s="37"/>
      <c r="B22" s="393"/>
      <c r="C22" s="393"/>
      <c r="D22" s="206">
        <v>1</v>
      </c>
      <c r="E22" s="146">
        <v>0.5</v>
      </c>
      <c r="F22" s="146"/>
      <c r="G22" s="146">
        <v>0.5</v>
      </c>
      <c r="H22" s="146"/>
      <c r="I22" s="146">
        <v>0.3</v>
      </c>
      <c r="J22" s="38"/>
      <c r="K22" s="206">
        <f t="shared" si="1"/>
        <v>7.4999999999999997E-2</v>
      </c>
      <c r="L22" s="38">
        <f t="shared" si="0"/>
        <v>7.4999999999999997E-2</v>
      </c>
      <c r="M22" s="38"/>
    </row>
    <row r="23" spans="1:13" hidden="1">
      <c r="A23" s="37"/>
      <c r="B23" s="393"/>
      <c r="C23" s="393"/>
      <c r="D23" s="206">
        <v>1</v>
      </c>
      <c r="E23" s="146">
        <v>0.5</v>
      </c>
      <c r="F23" s="146"/>
      <c r="G23" s="146">
        <v>0.5</v>
      </c>
      <c r="H23" s="146"/>
      <c r="I23" s="146">
        <v>0.3</v>
      </c>
      <c r="J23" s="38"/>
      <c r="K23" s="206">
        <f t="shared" si="1"/>
        <v>7.4999999999999997E-2</v>
      </c>
      <c r="L23" s="38">
        <f t="shared" si="0"/>
        <v>7.4999999999999997E-2</v>
      </c>
      <c r="M23" s="38"/>
    </row>
    <row r="24" spans="1:13" hidden="1">
      <c r="A24" s="37"/>
      <c r="B24" s="393"/>
      <c r="C24" s="393"/>
      <c r="D24" s="206">
        <v>1</v>
      </c>
      <c r="E24" s="146">
        <v>2</v>
      </c>
      <c r="F24" s="146"/>
      <c r="G24" s="146">
        <v>0.3</v>
      </c>
      <c r="H24" s="146"/>
      <c r="I24" s="146">
        <v>1.5</v>
      </c>
      <c r="J24" s="38"/>
      <c r="K24" s="206">
        <f t="shared" si="1"/>
        <v>0.89999999999999991</v>
      </c>
      <c r="L24" s="38">
        <f t="shared" si="0"/>
        <v>0.89999999999999991</v>
      </c>
      <c r="M24" s="38"/>
    </row>
    <row r="25" spans="1:13" hidden="1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6" spans="1:13" hidden="1">
      <c r="A26" s="142" t="s">
        <v>589</v>
      </c>
      <c r="B26" s="394" t="str">
        <f>[2]REPROGRAMAÇÃO!C25</f>
        <v>INFRA ESTRUTURA E SUPERESTRUTURA</v>
      </c>
      <c r="C26" s="394"/>
      <c r="D26" s="394"/>
      <c r="E26" s="394"/>
      <c r="F26" s="394"/>
      <c r="G26" s="394"/>
      <c r="H26" s="394"/>
      <c r="I26" s="394"/>
      <c r="J26" s="394"/>
      <c r="K26" s="394"/>
      <c r="L26" s="142"/>
      <c r="M26" s="142"/>
    </row>
    <row r="27" spans="1:13" hidden="1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3" hidden="1">
      <c r="A28" s="142" t="s">
        <v>15</v>
      </c>
      <c r="B28" s="394" t="str">
        <f>[4]BM_10!B31</f>
        <v>ESCAVAÇÃO MANUAL PARA BLOCO DE COROAMENTO OU SAPATA (INCLUINDO ESCAVAÇÃO PARA COLOCAÇÃO DE FÔRMAS). AF_06/2017</v>
      </c>
      <c r="C28" s="394"/>
      <c r="D28" s="394"/>
      <c r="E28" s="394"/>
      <c r="F28" s="394"/>
      <c r="G28" s="394"/>
      <c r="H28" s="394"/>
      <c r="I28" s="394"/>
      <c r="J28" s="394"/>
      <c r="K28" s="394"/>
      <c r="L28" s="142">
        <f>SUM(L31:L39)</f>
        <v>18.193499999999997</v>
      </c>
      <c r="M28" s="142" t="s">
        <v>495</v>
      </c>
    </row>
    <row r="29" spans="1:13" hidden="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</row>
    <row r="30" spans="1:13" hidden="1">
      <c r="A30" s="37"/>
      <c r="B30" s="393" t="s">
        <v>637</v>
      </c>
      <c r="C30" s="393"/>
      <c r="D30" s="37"/>
      <c r="E30" s="37"/>
      <c r="F30" s="37"/>
      <c r="G30" s="37"/>
      <c r="H30" s="37"/>
      <c r="I30" s="37"/>
      <c r="J30" s="37"/>
      <c r="K30" s="37"/>
      <c r="L30" s="37"/>
      <c r="M30" s="37"/>
    </row>
    <row r="31" spans="1:13" hidden="1">
      <c r="A31" s="37"/>
      <c r="B31" s="393" t="s">
        <v>638</v>
      </c>
      <c r="C31" s="393"/>
      <c r="D31" s="37">
        <v>1</v>
      </c>
      <c r="E31" s="37">
        <v>0.6</v>
      </c>
      <c r="F31" s="37"/>
      <c r="G31" s="37">
        <v>0.85</v>
      </c>
      <c r="H31" s="37"/>
      <c r="I31" s="37">
        <v>1.8</v>
      </c>
      <c r="J31" s="37"/>
      <c r="K31" s="37">
        <f>E31*G31*I31</f>
        <v>0.91800000000000004</v>
      </c>
      <c r="L31" s="37">
        <f>D31*K31</f>
        <v>0.91800000000000004</v>
      </c>
      <c r="M31" s="37"/>
    </row>
    <row r="32" spans="1:13" hidden="1">
      <c r="A32" s="37"/>
      <c r="B32" s="393" t="s">
        <v>639</v>
      </c>
      <c r="C32" s="393"/>
      <c r="D32" s="37">
        <v>1</v>
      </c>
      <c r="E32" s="37">
        <v>0.9</v>
      </c>
      <c r="F32" s="37"/>
      <c r="G32" s="37">
        <v>1</v>
      </c>
      <c r="H32" s="37"/>
      <c r="I32" s="37">
        <v>1.8</v>
      </c>
      <c r="J32" s="37"/>
      <c r="K32" s="37">
        <f t="shared" ref="K32:K39" si="2">E32*G32*I32</f>
        <v>1.62</v>
      </c>
      <c r="L32" s="37">
        <f t="shared" ref="L32:L39" si="3">D32*K32</f>
        <v>1.62</v>
      </c>
      <c r="M32" s="37"/>
    </row>
    <row r="33" spans="1:13" hidden="1">
      <c r="A33" s="37"/>
      <c r="B33" s="393" t="s">
        <v>640</v>
      </c>
      <c r="C33" s="393"/>
      <c r="D33" s="37">
        <v>1</v>
      </c>
      <c r="E33" s="37">
        <v>1.2</v>
      </c>
      <c r="F33" s="37"/>
      <c r="G33" s="37">
        <v>0.9</v>
      </c>
      <c r="H33" s="37"/>
      <c r="I33" s="37">
        <v>1.8</v>
      </c>
      <c r="J33" s="37"/>
      <c r="K33" s="37">
        <f t="shared" si="2"/>
        <v>1.9440000000000002</v>
      </c>
      <c r="L33" s="37">
        <f t="shared" si="3"/>
        <v>1.9440000000000002</v>
      </c>
      <c r="M33" s="37"/>
    </row>
    <row r="34" spans="1:13" hidden="1">
      <c r="A34" s="37"/>
      <c r="B34" s="393" t="s">
        <v>641</v>
      </c>
      <c r="C34" s="393"/>
      <c r="D34" s="37">
        <v>1</v>
      </c>
      <c r="E34" s="37">
        <v>1.1499999999999999</v>
      </c>
      <c r="F34" s="37"/>
      <c r="G34" s="37">
        <v>1</v>
      </c>
      <c r="H34" s="37"/>
      <c r="I34" s="37">
        <v>1.8</v>
      </c>
      <c r="J34" s="37"/>
      <c r="K34" s="37">
        <f t="shared" si="2"/>
        <v>2.0699999999999998</v>
      </c>
      <c r="L34" s="37">
        <f t="shared" si="3"/>
        <v>2.0699999999999998</v>
      </c>
      <c r="M34" s="37"/>
    </row>
    <row r="35" spans="1:13" hidden="1">
      <c r="A35" s="37"/>
      <c r="B35" s="393" t="s">
        <v>642</v>
      </c>
      <c r="C35" s="393"/>
      <c r="D35" s="37">
        <v>1</v>
      </c>
      <c r="E35" s="37">
        <v>1.1000000000000001</v>
      </c>
      <c r="F35" s="37"/>
      <c r="G35" s="37">
        <v>1.25</v>
      </c>
      <c r="H35" s="37"/>
      <c r="I35" s="37">
        <v>1.8</v>
      </c>
      <c r="J35" s="37"/>
      <c r="K35" s="37">
        <f t="shared" si="2"/>
        <v>2.4750000000000001</v>
      </c>
      <c r="L35" s="37">
        <f t="shared" si="3"/>
        <v>2.4750000000000001</v>
      </c>
      <c r="M35" s="37"/>
    </row>
    <row r="36" spans="1:13" hidden="1">
      <c r="A36" s="37"/>
      <c r="B36" s="393" t="s">
        <v>643</v>
      </c>
      <c r="C36" s="393"/>
      <c r="D36" s="37">
        <v>1</v>
      </c>
      <c r="E36" s="37">
        <v>0.6</v>
      </c>
      <c r="F36" s="37"/>
      <c r="G36" s="37">
        <v>0.85</v>
      </c>
      <c r="H36" s="37"/>
      <c r="I36" s="37">
        <v>1.8</v>
      </c>
      <c r="J36" s="37"/>
      <c r="K36" s="37">
        <f t="shared" si="2"/>
        <v>0.91800000000000004</v>
      </c>
      <c r="L36" s="37">
        <f t="shared" si="3"/>
        <v>0.91800000000000004</v>
      </c>
      <c r="M36" s="37"/>
    </row>
    <row r="37" spans="1:13" hidden="1">
      <c r="A37" s="37"/>
      <c r="B37" s="393" t="s">
        <v>644</v>
      </c>
      <c r="C37" s="393"/>
      <c r="D37" s="37">
        <v>1</v>
      </c>
      <c r="E37" s="37">
        <v>1.5</v>
      </c>
      <c r="F37" s="37"/>
      <c r="G37" s="37">
        <v>1.3</v>
      </c>
      <c r="H37" s="37"/>
      <c r="I37" s="37">
        <v>1.8</v>
      </c>
      <c r="J37" s="37"/>
      <c r="K37" s="37">
        <f t="shared" si="2"/>
        <v>3.5100000000000002</v>
      </c>
      <c r="L37" s="37">
        <f t="shared" si="3"/>
        <v>3.5100000000000002</v>
      </c>
      <c r="M37" s="37"/>
    </row>
    <row r="38" spans="1:13" hidden="1">
      <c r="A38" s="37"/>
      <c r="B38" s="393" t="s">
        <v>645</v>
      </c>
      <c r="C38" s="393"/>
      <c r="D38" s="37">
        <v>1</v>
      </c>
      <c r="E38" s="37">
        <v>1.1499999999999999</v>
      </c>
      <c r="F38" s="37"/>
      <c r="G38" s="37">
        <v>1.35</v>
      </c>
      <c r="H38" s="37"/>
      <c r="I38" s="37">
        <v>1.8</v>
      </c>
      <c r="J38" s="37"/>
      <c r="K38" s="37">
        <f t="shared" si="2"/>
        <v>2.7945000000000002</v>
      </c>
      <c r="L38" s="37">
        <f t="shared" si="3"/>
        <v>2.7945000000000002</v>
      </c>
      <c r="M38" s="37"/>
    </row>
    <row r="39" spans="1:13" hidden="1">
      <c r="A39" s="37"/>
      <c r="B39" s="393" t="s">
        <v>646</v>
      </c>
      <c r="C39" s="393"/>
      <c r="D39" s="37">
        <v>1</v>
      </c>
      <c r="E39" s="37">
        <v>1.2</v>
      </c>
      <c r="F39" s="37"/>
      <c r="G39" s="37">
        <v>0.9</v>
      </c>
      <c r="H39" s="37"/>
      <c r="I39" s="37">
        <v>1.8</v>
      </c>
      <c r="J39" s="37"/>
      <c r="K39" s="37">
        <f t="shared" si="2"/>
        <v>1.9440000000000002</v>
      </c>
      <c r="L39" s="37">
        <f t="shared" si="3"/>
        <v>1.9440000000000002</v>
      </c>
      <c r="M39" s="37"/>
    </row>
    <row r="40" spans="1:13" hidden="1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</row>
    <row r="41" spans="1:13" ht="22.15" hidden="1" customHeight="1">
      <c r="A41" s="142" t="s">
        <v>16</v>
      </c>
      <c r="B41" s="394" t="str">
        <f>[4]BM_10!B32</f>
        <v>LAJE PRÉ-MOLDADA UNIDIRECIONAL, BIAPOIADA, PARA FORRO, ENCHIMENTO EM CERÂMICA, VIGOTA CONVENCIONAL, ALTURA TOTAL DA LAJE (ENCHIMENTO+CAPA) = (8+3). AF_11/2020</v>
      </c>
      <c r="C41" s="394"/>
      <c r="D41" s="394"/>
      <c r="E41" s="394"/>
      <c r="F41" s="394"/>
      <c r="G41" s="394"/>
      <c r="H41" s="394"/>
      <c r="I41" s="394"/>
      <c r="J41" s="394"/>
      <c r="K41" s="394"/>
      <c r="L41" s="142">
        <f>SUM(L43)</f>
        <v>55.16</v>
      </c>
      <c r="M41" s="142" t="s">
        <v>495</v>
      </c>
    </row>
    <row r="42" spans="1:13" hidden="1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</row>
    <row r="43" spans="1:13" hidden="1">
      <c r="A43" s="37"/>
      <c r="B43" s="436" t="s">
        <v>605</v>
      </c>
      <c r="C43" s="436"/>
      <c r="D43" s="206">
        <v>1</v>
      </c>
      <c r="E43" s="146">
        <v>39.4</v>
      </c>
      <c r="F43" s="146"/>
      <c r="G43" s="146">
        <v>1.4</v>
      </c>
      <c r="H43" s="37"/>
      <c r="I43" s="37"/>
      <c r="J43" s="37"/>
      <c r="K43" s="206">
        <f>E43*G43</f>
        <v>55.16</v>
      </c>
      <c r="L43" s="37">
        <f>K43*D43</f>
        <v>55.16</v>
      </c>
      <c r="M43" s="37"/>
    </row>
    <row r="44" spans="1:13" hidden="1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</row>
    <row r="45" spans="1:13" ht="22.9" hidden="1" customHeight="1">
      <c r="A45" s="142" t="s">
        <v>17</v>
      </c>
      <c r="B45" s="394" t="str">
        <f>[4]BM_10!B33</f>
        <v>LASTRO DE CONCRETO MAGRO, APLICADO EM BLOCOS DE COROAMENTO OU SAPATAS, ESPESSURA DE 5 CM. AF_08/2017</v>
      </c>
      <c r="C45" s="394"/>
      <c r="D45" s="394"/>
      <c r="E45" s="394"/>
      <c r="F45" s="394"/>
      <c r="G45" s="394"/>
      <c r="H45" s="394"/>
      <c r="I45" s="394"/>
      <c r="J45" s="394"/>
      <c r="K45" s="394"/>
      <c r="L45" s="142">
        <f>SUM(L48:L56)</f>
        <v>10.1075</v>
      </c>
      <c r="M45" s="142" t="s">
        <v>429</v>
      </c>
    </row>
    <row r="46" spans="1:13" hidden="1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</row>
    <row r="47" spans="1:13" hidden="1">
      <c r="A47" s="37"/>
      <c r="B47" s="393" t="s">
        <v>637</v>
      </c>
      <c r="C47" s="393"/>
      <c r="D47" s="37"/>
      <c r="E47" s="37"/>
      <c r="F47" s="37"/>
      <c r="G47" s="37"/>
      <c r="H47" s="37"/>
      <c r="I47" s="37"/>
      <c r="J47" s="37"/>
      <c r="K47" s="37"/>
      <c r="L47" s="37"/>
      <c r="M47" s="37"/>
    </row>
    <row r="48" spans="1:13" hidden="1">
      <c r="A48" s="37"/>
      <c r="B48" s="393" t="s">
        <v>638</v>
      </c>
      <c r="C48" s="393"/>
      <c r="D48" s="37">
        <v>1</v>
      </c>
      <c r="E48" s="37">
        <v>0.6</v>
      </c>
      <c r="F48" s="37"/>
      <c r="G48" s="37">
        <v>0.85</v>
      </c>
      <c r="H48" s="37"/>
      <c r="I48" s="37"/>
      <c r="J48" s="37"/>
      <c r="K48" s="37">
        <f>E48*G48</f>
        <v>0.51</v>
      </c>
      <c r="L48" s="37">
        <f>D48*K48</f>
        <v>0.51</v>
      </c>
      <c r="M48" s="37"/>
    </row>
    <row r="49" spans="1:13" hidden="1">
      <c r="A49" s="37"/>
      <c r="B49" s="393" t="s">
        <v>639</v>
      </c>
      <c r="C49" s="393"/>
      <c r="D49" s="37">
        <v>1</v>
      </c>
      <c r="E49" s="37">
        <v>0.9</v>
      </c>
      <c r="F49" s="37"/>
      <c r="G49" s="37">
        <v>1</v>
      </c>
      <c r="H49" s="37"/>
      <c r="I49" s="37"/>
      <c r="J49" s="37"/>
      <c r="K49" s="37">
        <f t="shared" ref="K49:K56" si="4">E49*G49</f>
        <v>0.9</v>
      </c>
      <c r="L49" s="37">
        <f t="shared" ref="L49:L56" si="5">D49*K49</f>
        <v>0.9</v>
      </c>
      <c r="M49" s="37"/>
    </row>
    <row r="50" spans="1:13" hidden="1">
      <c r="A50" s="37"/>
      <c r="B50" s="393" t="s">
        <v>640</v>
      </c>
      <c r="C50" s="393"/>
      <c r="D50" s="37">
        <v>1</v>
      </c>
      <c r="E50" s="37">
        <v>1.2</v>
      </c>
      <c r="F50" s="37"/>
      <c r="G50" s="37">
        <v>0.9</v>
      </c>
      <c r="H50" s="37"/>
      <c r="I50" s="37"/>
      <c r="J50" s="37"/>
      <c r="K50" s="37">
        <f t="shared" si="4"/>
        <v>1.08</v>
      </c>
      <c r="L50" s="37">
        <f t="shared" si="5"/>
        <v>1.08</v>
      </c>
      <c r="M50" s="37"/>
    </row>
    <row r="51" spans="1:13" hidden="1">
      <c r="A51" s="37"/>
      <c r="B51" s="393" t="s">
        <v>641</v>
      </c>
      <c r="C51" s="393"/>
      <c r="D51" s="37">
        <v>1</v>
      </c>
      <c r="E51" s="37">
        <v>1.1499999999999999</v>
      </c>
      <c r="F51" s="37"/>
      <c r="G51" s="37">
        <v>1</v>
      </c>
      <c r="H51" s="37"/>
      <c r="I51" s="37"/>
      <c r="J51" s="37"/>
      <c r="K51" s="37">
        <f t="shared" si="4"/>
        <v>1.1499999999999999</v>
      </c>
      <c r="L51" s="37">
        <f t="shared" si="5"/>
        <v>1.1499999999999999</v>
      </c>
      <c r="M51" s="37"/>
    </row>
    <row r="52" spans="1:13" hidden="1">
      <c r="A52" s="37"/>
      <c r="B52" s="393" t="s">
        <v>642</v>
      </c>
      <c r="C52" s="393"/>
      <c r="D52" s="37">
        <v>1</v>
      </c>
      <c r="E52" s="37">
        <v>1.1000000000000001</v>
      </c>
      <c r="F52" s="37"/>
      <c r="G52" s="37">
        <v>1.25</v>
      </c>
      <c r="H52" s="37"/>
      <c r="I52" s="37"/>
      <c r="J52" s="37"/>
      <c r="K52" s="37">
        <f t="shared" si="4"/>
        <v>1.375</v>
      </c>
      <c r="L52" s="37">
        <f t="shared" si="5"/>
        <v>1.375</v>
      </c>
      <c r="M52" s="37"/>
    </row>
    <row r="53" spans="1:13" hidden="1">
      <c r="A53" s="37"/>
      <c r="B53" s="393" t="s">
        <v>643</v>
      </c>
      <c r="C53" s="393"/>
      <c r="D53" s="37">
        <v>1</v>
      </c>
      <c r="E53" s="37">
        <v>0.6</v>
      </c>
      <c r="F53" s="37"/>
      <c r="G53" s="37">
        <v>0.85</v>
      </c>
      <c r="H53" s="37"/>
      <c r="I53" s="37"/>
      <c r="J53" s="37"/>
      <c r="K53" s="37">
        <f t="shared" si="4"/>
        <v>0.51</v>
      </c>
      <c r="L53" s="37">
        <f t="shared" si="5"/>
        <v>0.51</v>
      </c>
      <c r="M53" s="37"/>
    </row>
    <row r="54" spans="1:13" hidden="1">
      <c r="A54" s="37"/>
      <c r="B54" s="393" t="s">
        <v>644</v>
      </c>
      <c r="C54" s="393"/>
      <c r="D54" s="37">
        <v>1</v>
      </c>
      <c r="E54" s="37">
        <v>1.5</v>
      </c>
      <c r="F54" s="37"/>
      <c r="G54" s="37">
        <v>1.3</v>
      </c>
      <c r="H54" s="37"/>
      <c r="I54" s="37"/>
      <c r="J54" s="37"/>
      <c r="K54" s="37">
        <f t="shared" si="4"/>
        <v>1.9500000000000002</v>
      </c>
      <c r="L54" s="37">
        <f t="shared" si="5"/>
        <v>1.9500000000000002</v>
      </c>
      <c r="M54" s="37"/>
    </row>
    <row r="55" spans="1:13" hidden="1">
      <c r="A55" s="37"/>
      <c r="B55" s="393" t="s">
        <v>645</v>
      </c>
      <c r="C55" s="393"/>
      <c r="D55" s="37">
        <v>1</v>
      </c>
      <c r="E55" s="37">
        <v>1.1499999999999999</v>
      </c>
      <c r="F55" s="37"/>
      <c r="G55" s="37">
        <v>1.35</v>
      </c>
      <c r="H55" s="37"/>
      <c r="I55" s="37"/>
      <c r="J55" s="37"/>
      <c r="K55" s="37">
        <f t="shared" si="4"/>
        <v>1.5525</v>
      </c>
      <c r="L55" s="37">
        <f t="shared" si="5"/>
        <v>1.5525</v>
      </c>
      <c r="M55" s="37"/>
    </row>
    <row r="56" spans="1:13" hidden="1">
      <c r="A56" s="37"/>
      <c r="B56" s="393" t="s">
        <v>646</v>
      </c>
      <c r="C56" s="393"/>
      <c r="D56" s="37">
        <v>1</v>
      </c>
      <c r="E56" s="37">
        <v>1.2</v>
      </c>
      <c r="F56" s="37"/>
      <c r="G56" s="37">
        <v>0.9</v>
      </c>
      <c r="H56" s="37"/>
      <c r="I56" s="37"/>
      <c r="J56" s="37"/>
      <c r="K56" s="37">
        <f t="shared" si="4"/>
        <v>1.08</v>
      </c>
      <c r="L56" s="37">
        <f t="shared" si="5"/>
        <v>1.08</v>
      </c>
      <c r="M56" s="37"/>
    </row>
    <row r="57" spans="1:13" hidden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</row>
    <row r="58" spans="1:13" ht="19.899999999999999" hidden="1" customHeight="1">
      <c r="A58" s="142" t="s">
        <v>18</v>
      </c>
      <c r="B58" s="394" t="str">
        <f>[4]BM_10!B34</f>
        <v>CONCRETO FCK = 25MPA, TRAÇO 1:2,3:2,7 (EM MASSA SECA DE CIMENTO/ AREIA MÉDIA/ BRITA 1) - PREPARO MECÂNICO COM BETONEIRA 600 L. AF_05/2021</v>
      </c>
      <c r="C58" s="394"/>
      <c r="D58" s="394"/>
      <c r="E58" s="394"/>
      <c r="F58" s="394"/>
      <c r="G58" s="394"/>
      <c r="H58" s="394"/>
      <c r="I58" s="394"/>
      <c r="J58" s="394"/>
      <c r="K58" s="394"/>
      <c r="L58" s="142">
        <f>SUM(L61:L69)</f>
        <v>2.526875</v>
      </c>
      <c r="M58" s="142" t="s">
        <v>495</v>
      </c>
    </row>
    <row r="59" spans="1:13" hidden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</row>
    <row r="60" spans="1:13" hidden="1">
      <c r="A60" s="37"/>
      <c r="B60" s="393" t="s">
        <v>637</v>
      </c>
      <c r="C60" s="393"/>
      <c r="D60" s="37"/>
      <c r="E60" s="37"/>
      <c r="F60" s="37"/>
      <c r="G60" s="37"/>
      <c r="H60" s="37"/>
      <c r="I60" s="37"/>
      <c r="J60" s="37"/>
      <c r="K60" s="37"/>
      <c r="L60" s="37"/>
      <c r="M60" s="37"/>
    </row>
    <row r="61" spans="1:13" hidden="1">
      <c r="A61" s="37"/>
      <c r="B61" s="393" t="s">
        <v>638</v>
      </c>
      <c r="C61" s="393"/>
      <c r="D61" s="37">
        <v>1</v>
      </c>
      <c r="E61" s="37">
        <v>0.6</v>
      </c>
      <c r="F61" s="37"/>
      <c r="G61" s="37">
        <v>0.85</v>
      </c>
      <c r="H61" s="37"/>
      <c r="I61" s="37">
        <v>0.25</v>
      </c>
      <c r="J61" s="37"/>
      <c r="K61" s="37">
        <f>E61*G61*I61</f>
        <v>0.1275</v>
      </c>
      <c r="L61" s="37">
        <f>K61*D61</f>
        <v>0.1275</v>
      </c>
      <c r="M61" s="37"/>
    </row>
    <row r="62" spans="1:13" hidden="1">
      <c r="A62" s="37"/>
      <c r="B62" s="393" t="s">
        <v>639</v>
      </c>
      <c r="C62" s="393"/>
      <c r="D62" s="37">
        <v>1</v>
      </c>
      <c r="E62" s="37">
        <v>0.9</v>
      </c>
      <c r="F62" s="37"/>
      <c r="G62" s="37">
        <v>1</v>
      </c>
      <c r="H62" s="37"/>
      <c r="I62" s="37">
        <v>0.25</v>
      </c>
      <c r="J62" s="37"/>
      <c r="K62" s="37">
        <f t="shared" ref="K62:K69" si="6">E62*G62*I62</f>
        <v>0.22500000000000001</v>
      </c>
      <c r="L62" s="37">
        <f t="shared" ref="L62:L69" si="7">K62*D62</f>
        <v>0.22500000000000001</v>
      </c>
      <c r="M62" s="37"/>
    </row>
    <row r="63" spans="1:13" hidden="1">
      <c r="A63" s="37"/>
      <c r="B63" s="393" t="s">
        <v>640</v>
      </c>
      <c r="C63" s="393"/>
      <c r="D63" s="37">
        <v>1</v>
      </c>
      <c r="E63" s="37">
        <v>1.2</v>
      </c>
      <c r="F63" s="37"/>
      <c r="G63" s="37">
        <v>0.9</v>
      </c>
      <c r="H63" s="37"/>
      <c r="I63" s="37">
        <v>0.25</v>
      </c>
      <c r="J63" s="37"/>
      <c r="K63" s="37">
        <f t="shared" si="6"/>
        <v>0.27</v>
      </c>
      <c r="L63" s="37">
        <f t="shared" si="7"/>
        <v>0.27</v>
      </c>
      <c r="M63" s="37"/>
    </row>
    <row r="64" spans="1:13" hidden="1">
      <c r="A64" s="37"/>
      <c r="B64" s="393" t="s">
        <v>641</v>
      </c>
      <c r="C64" s="393"/>
      <c r="D64" s="37">
        <v>1</v>
      </c>
      <c r="E64" s="37">
        <v>1.1499999999999999</v>
      </c>
      <c r="F64" s="37"/>
      <c r="G64" s="37">
        <v>1</v>
      </c>
      <c r="H64" s="37"/>
      <c r="I64" s="37">
        <v>0.25</v>
      </c>
      <c r="J64" s="37"/>
      <c r="K64" s="37">
        <f t="shared" si="6"/>
        <v>0.28749999999999998</v>
      </c>
      <c r="L64" s="37">
        <f t="shared" si="7"/>
        <v>0.28749999999999998</v>
      </c>
      <c r="M64" s="37"/>
    </row>
    <row r="65" spans="1:13" hidden="1">
      <c r="A65" s="37"/>
      <c r="B65" s="393" t="s">
        <v>642</v>
      </c>
      <c r="C65" s="393"/>
      <c r="D65" s="37">
        <v>1</v>
      </c>
      <c r="E65" s="37">
        <v>1.1000000000000001</v>
      </c>
      <c r="F65" s="37"/>
      <c r="G65" s="37">
        <v>1.25</v>
      </c>
      <c r="H65" s="37"/>
      <c r="I65" s="37">
        <v>0.25</v>
      </c>
      <c r="J65" s="37"/>
      <c r="K65" s="37">
        <f t="shared" si="6"/>
        <v>0.34375</v>
      </c>
      <c r="L65" s="37">
        <f t="shared" si="7"/>
        <v>0.34375</v>
      </c>
      <c r="M65" s="37"/>
    </row>
    <row r="66" spans="1:13" hidden="1">
      <c r="A66" s="37"/>
      <c r="B66" s="393" t="s">
        <v>643</v>
      </c>
      <c r="C66" s="393"/>
      <c r="D66" s="37">
        <v>1</v>
      </c>
      <c r="E66" s="37">
        <v>0.6</v>
      </c>
      <c r="F66" s="37"/>
      <c r="G66" s="37">
        <v>0.85</v>
      </c>
      <c r="H66" s="37"/>
      <c r="I66" s="37">
        <v>0.25</v>
      </c>
      <c r="J66" s="37"/>
      <c r="K66" s="37">
        <f t="shared" si="6"/>
        <v>0.1275</v>
      </c>
      <c r="L66" s="37">
        <f t="shared" si="7"/>
        <v>0.1275</v>
      </c>
      <c r="M66" s="37"/>
    </row>
    <row r="67" spans="1:13" hidden="1">
      <c r="A67" s="37"/>
      <c r="B67" s="393" t="s">
        <v>644</v>
      </c>
      <c r="C67" s="393"/>
      <c r="D67" s="37">
        <v>1</v>
      </c>
      <c r="E67" s="37">
        <v>1.5</v>
      </c>
      <c r="F67" s="37"/>
      <c r="G67" s="37">
        <v>1.3</v>
      </c>
      <c r="H67" s="37"/>
      <c r="I67" s="37">
        <v>0.25</v>
      </c>
      <c r="J67" s="37"/>
      <c r="K67" s="37">
        <f t="shared" si="6"/>
        <v>0.48750000000000004</v>
      </c>
      <c r="L67" s="37">
        <f t="shared" si="7"/>
        <v>0.48750000000000004</v>
      </c>
      <c r="M67" s="37"/>
    </row>
    <row r="68" spans="1:13" hidden="1">
      <c r="A68" s="37"/>
      <c r="B68" s="393" t="s">
        <v>645</v>
      </c>
      <c r="C68" s="393"/>
      <c r="D68" s="37">
        <v>1</v>
      </c>
      <c r="E68" s="37">
        <v>1.1499999999999999</v>
      </c>
      <c r="F68" s="37"/>
      <c r="G68" s="37">
        <v>1.35</v>
      </c>
      <c r="H68" s="37"/>
      <c r="I68" s="37">
        <v>0.25</v>
      </c>
      <c r="J68" s="37"/>
      <c r="K68" s="37">
        <f t="shared" si="6"/>
        <v>0.388125</v>
      </c>
      <c r="L68" s="37">
        <f t="shared" si="7"/>
        <v>0.388125</v>
      </c>
      <c r="M68" s="37"/>
    </row>
    <row r="69" spans="1:13" hidden="1">
      <c r="A69" s="37"/>
      <c r="B69" s="393" t="s">
        <v>646</v>
      </c>
      <c r="C69" s="393"/>
      <c r="D69" s="37">
        <v>1</v>
      </c>
      <c r="E69" s="37">
        <v>1.2</v>
      </c>
      <c r="F69" s="37"/>
      <c r="G69" s="37">
        <v>0.9</v>
      </c>
      <c r="H69" s="37"/>
      <c r="I69" s="37">
        <v>0.25</v>
      </c>
      <c r="J69" s="37"/>
      <c r="K69" s="37">
        <f t="shared" si="6"/>
        <v>0.27</v>
      </c>
      <c r="L69" s="37">
        <f t="shared" si="7"/>
        <v>0.27</v>
      </c>
      <c r="M69" s="37"/>
    </row>
    <row r="70" spans="1:13" hidden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</row>
    <row r="71" spans="1:13" ht="21" hidden="1" customHeight="1">
      <c r="A71" s="142" t="s">
        <v>19</v>
      </c>
      <c r="B71" s="394" t="str">
        <f>[4]BM_10!B35</f>
        <v>CONCRETO FCK = 30MPA, TRAÇO 1:2,1:2,5 (EM MASSA SECA DE CIMENTO/ AREIA MÉDIA/ BRITA 1) - PREPARO MECÂNICO COM BETONEIRA 600 L. AF_05/2021</v>
      </c>
      <c r="C71" s="394"/>
      <c r="D71" s="394"/>
      <c r="E71" s="394"/>
      <c r="F71" s="394"/>
      <c r="G71" s="394"/>
      <c r="H71" s="394"/>
      <c r="I71" s="394"/>
      <c r="J71" s="394"/>
      <c r="K71" s="394"/>
      <c r="L71" s="142">
        <f>SUM(L74:L87)</f>
        <v>9.4600000000000009</v>
      </c>
      <c r="M71" s="142" t="s">
        <v>495</v>
      </c>
    </row>
    <row r="72" spans="1:13" hidden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</row>
    <row r="73" spans="1:13" hidden="1">
      <c r="A73" s="37"/>
      <c r="B73" s="393" t="s">
        <v>637</v>
      </c>
      <c r="C73" s="393"/>
      <c r="D73" s="37"/>
      <c r="E73" s="37" t="s">
        <v>647</v>
      </c>
      <c r="F73" s="37" t="s">
        <v>648</v>
      </c>
      <c r="G73" s="37"/>
      <c r="H73" s="37"/>
      <c r="I73" s="37"/>
      <c r="J73" s="37"/>
      <c r="K73" s="37"/>
      <c r="L73" s="37"/>
      <c r="M73" s="37"/>
    </row>
    <row r="74" spans="1:13" hidden="1">
      <c r="A74" s="37"/>
      <c r="B74" s="393" t="s">
        <v>625</v>
      </c>
      <c r="C74" s="393"/>
      <c r="D74" s="37">
        <v>1</v>
      </c>
      <c r="E74" s="37">
        <v>7.45</v>
      </c>
      <c r="F74" s="37">
        <v>1.5</v>
      </c>
      <c r="G74" s="37">
        <v>0.2</v>
      </c>
      <c r="H74" s="37"/>
      <c r="I74" s="37">
        <v>0.4</v>
      </c>
      <c r="J74" s="37"/>
      <c r="K74" s="152">
        <f>ROUND((E74+F74)*G74*I74,2)</f>
        <v>0.72</v>
      </c>
      <c r="L74" s="204">
        <f>K74*D74</f>
        <v>0.72</v>
      </c>
      <c r="M74" s="37"/>
    </row>
    <row r="75" spans="1:13" hidden="1">
      <c r="A75" s="37"/>
      <c r="B75" s="393" t="s">
        <v>626</v>
      </c>
      <c r="C75" s="393"/>
      <c r="D75" s="37">
        <v>1</v>
      </c>
      <c r="E75" s="37">
        <v>5.25</v>
      </c>
      <c r="F75" s="37">
        <v>1.5</v>
      </c>
      <c r="G75" s="37">
        <v>0.2</v>
      </c>
      <c r="H75" s="37"/>
      <c r="I75" s="37">
        <v>0.3</v>
      </c>
      <c r="J75" s="37"/>
      <c r="K75" s="152">
        <f t="shared" ref="K75:K85" si="8">ROUND((E75+F75)*G75*I75,2)</f>
        <v>0.41</v>
      </c>
      <c r="L75" s="204">
        <f t="shared" ref="L75:L85" si="9">K75*D75</f>
        <v>0.41</v>
      </c>
      <c r="M75" s="37"/>
    </row>
    <row r="76" spans="1:13" hidden="1">
      <c r="A76" s="37"/>
      <c r="B76" s="393" t="s">
        <v>627</v>
      </c>
      <c r="C76" s="393"/>
      <c r="D76" s="37">
        <v>1</v>
      </c>
      <c r="E76" s="37">
        <v>5.25</v>
      </c>
      <c r="F76" s="37">
        <v>1.5</v>
      </c>
      <c r="G76" s="37">
        <v>0.2</v>
      </c>
      <c r="H76" s="37"/>
      <c r="I76" s="37">
        <v>0.5</v>
      </c>
      <c r="J76" s="37"/>
      <c r="K76" s="152">
        <f t="shared" si="8"/>
        <v>0.68</v>
      </c>
      <c r="L76" s="204">
        <f t="shared" si="9"/>
        <v>0.68</v>
      </c>
      <c r="M76" s="37"/>
    </row>
    <row r="77" spans="1:13" hidden="1">
      <c r="A77" s="37"/>
      <c r="B77" s="393" t="s">
        <v>628</v>
      </c>
      <c r="C77" s="393"/>
      <c r="D77" s="37">
        <v>1</v>
      </c>
      <c r="E77" s="37">
        <v>5.25</v>
      </c>
      <c r="F77" s="37">
        <v>1.5</v>
      </c>
      <c r="G77" s="37">
        <v>0.25</v>
      </c>
      <c r="H77" s="37"/>
      <c r="I77" s="37">
        <v>0.4</v>
      </c>
      <c r="J77" s="37"/>
      <c r="K77" s="152">
        <f t="shared" si="8"/>
        <v>0.68</v>
      </c>
      <c r="L77" s="204">
        <f t="shared" si="9"/>
        <v>0.68</v>
      </c>
      <c r="M77" s="37"/>
    </row>
    <row r="78" spans="1:13" hidden="1">
      <c r="A78" s="37"/>
      <c r="B78" s="393" t="s">
        <v>629</v>
      </c>
      <c r="C78" s="393"/>
      <c r="D78" s="37">
        <v>1</v>
      </c>
      <c r="E78" s="37">
        <v>5.25</v>
      </c>
      <c r="F78" s="37">
        <v>1.5</v>
      </c>
      <c r="G78" s="37">
        <v>0.25</v>
      </c>
      <c r="H78" s="37"/>
      <c r="I78" s="37">
        <v>0.4</v>
      </c>
      <c r="J78" s="37"/>
      <c r="K78" s="152">
        <f t="shared" si="8"/>
        <v>0.68</v>
      </c>
      <c r="L78" s="204">
        <f t="shared" si="9"/>
        <v>0.68</v>
      </c>
      <c r="M78" s="37"/>
    </row>
    <row r="79" spans="1:13" hidden="1">
      <c r="A79" s="37"/>
      <c r="B79" s="393" t="s">
        <v>630</v>
      </c>
      <c r="C79" s="393"/>
      <c r="D79" s="37">
        <v>1</v>
      </c>
      <c r="E79" s="37">
        <v>7.45</v>
      </c>
      <c r="F79" s="37">
        <v>1.5</v>
      </c>
      <c r="G79" s="37">
        <v>0.2</v>
      </c>
      <c r="H79" s="37"/>
      <c r="I79" s="37">
        <v>0.45</v>
      </c>
      <c r="J79" s="37"/>
      <c r="K79" s="152">
        <f t="shared" si="8"/>
        <v>0.81</v>
      </c>
      <c r="L79" s="204">
        <f t="shared" si="9"/>
        <v>0.81</v>
      </c>
      <c r="M79" s="37"/>
    </row>
    <row r="80" spans="1:13" hidden="1">
      <c r="A80" s="37"/>
      <c r="B80" s="393" t="s">
        <v>631</v>
      </c>
      <c r="C80" s="393"/>
      <c r="D80" s="37">
        <v>1</v>
      </c>
      <c r="E80" s="37">
        <v>5.25</v>
      </c>
      <c r="F80" s="37">
        <v>1.5</v>
      </c>
      <c r="G80" s="37">
        <v>0.2</v>
      </c>
      <c r="H80" s="37"/>
      <c r="I80" s="37">
        <v>0.4</v>
      </c>
      <c r="J80" s="37"/>
      <c r="K80" s="152">
        <f t="shared" si="8"/>
        <v>0.54</v>
      </c>
      <c r="L80" s="204">
        <f t="shared" si="9"/>
        <v>0.54</v>
      </c>
      <c r="M80" s="37"/>
    </row>
    <row r="81" spans="1:13" hidden="1">
      <c r="A81" s="37"/>
      <c r="B81" s="393" t="s">
        <v>632</v>
      </c>
      <c r="C81" s="393"/>
      <c r="D81" s="37">
        <v>1</v>
      </c>
      <c r="E81" s="37">
        <v>5.25</v>
      </c>
      <c r="F81" s="37">
        <v>1.5</v>
      </c>
      <c r="G81" s="37">
        <v>0.2</v>
      </c>
      <c r="H81" s="37"/>
      <c r="I81" s="37">
        <v>0.4</v>
      </c>
      <c r="J81" s="37"/>
      <c r="K81" s="152">
        <f t="shared" si="8"/>
        <v>0.54</v>
      </c>
      <c r="L81" s="204">
        <f t="shared" si="9"/>
        <v>0.54</v>
      </c>
      <c r="M81" s="37"/>
    </row>
    <row r="82" spans="1:13" hidden="1">
      <c r="A82" s="37"/>
      <c r="B82" s="393" t="s">
        <v>633</v>
      </c>
      <c r="C82" s="393"/>
      <c r="D82" s="37">
        <v>1</v>
      </c>
      <c r="E82" s="37">
        <v>4.45</v>
      </c>
      <c r="F82" s="37"/>
      <c r="G82" s="37">
        <v>0.2</v>
      </c>
      <c r="H82" s="37"/>
      <c r="I82" s="37">
        <v>0.4</v>
      </c>
      <c r="J82" s="37"/>
      <c r="K82" s="152">
        <f t="shared" si="8"/>
        <v>0.36</v>
      </c>
      <c r="L82" s="204">
        <f t="shared" si="9"/>
        <v>0.36</v>
      </c>
      <c r="M82" s="37"/>
    </row>
    <row r="83" spans="1:13" hidden="1">
      <c r="A83" s="37"/>
      <c r="B83" s="393" t="s">
        <v>634</v>
      </c>
      <c r="C83" s="393"/>
      <c r="D83" s="37">
        <v>1</v>
      </c>
      <c r="E83" s="37">
        <v>4.45</v>
      </c>
      <c r="F83" s="37"/>
      <c r="G83" s="37">
        <v>0.2</v>
      </c>
      <c r="H83" s="37"/>
      <c r="I83" s="37">
        <v>0.4</v>
      </c>
      <c r="J83" s="37"/>
      <c r="K83" s="152">
        <f t="shared" si="8"/>
        <v>0.36</v>
      </c>
      <c r="L83" s="204">
        <f t="shared" si="9"/>
        <v>0.36</v>
      </c>
      <c r="M83" s="37"/>
    </row>
    <row r="84" spans="1:13" hidden="1">
      <c r="A84" s="37"/>
      <c r="B84" s="393" t="s">
        <v>635</v>
      </c>
      <c r="C84" s="393"/>
      <c r="D84" s="37">
        <v>1</v>
      </c>
      <c r="E84" s="37">
        <v>4.45</v>
      </c>
      <c r="F84" s="37"/>
      <c r="G84" s="37">
        <v>0.2</v>
      </c>
      <c r="H84" s="37"/>
      <c r="I84" s="37">
        <v>0.4</v>
      </c>
      <c r="J84" s="37"/>
      <c r="K84" s="152">
        <f t="shared" si="8"/>
        <v>0.36</v>
      </c>
      <c r="L84" s="204">
        <f t="shared" si="9"/>
        <v>0.36</v>
      </c>
      <c r="M84" s="37"/>
    </row>
    <row r="85" spans="1:13" hidden="1">
      <c r="A85" s="37"/>
      <c r="B85" s="393" t="s">
        <v>636</v>
      </c>
      <c r="C85" s="393"/>
      <c r="D85" s="37">
        <v>1</v>
      </c>
      <c r="E85" s="37">
        <v>7.45</v>
      </c>
      <c r="F85" s="37">
        <v>1.5</v>
      </c>
      <c r="G85" s="37">
        <v>0.2</v>
      </c>
      <c r="H85" s="37"/>
      <c r="I85" s="37">
        <v>0.45</v>
      </c>
      <c r="J85" s="37"/>
      <c r="K85" s="152">
        <f t="shared" si="8"/>
        <v>0.81</v>
      </c>
      <c r="L85" s="204">
        <f t="shared" si="9"/>
        <v>0.81</v>
      </c>
      <c r="M85" s="37"/>
    </row>
    <row r="86" spans="1:13" hidden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152"/>
      <c r="L86" s="204"/>
      <c r="M86" s="37"/>
    </row>
    <row r="87" spans="1:13" hidden="1">
      <c r="A87" s="37"/>
      <c r="B87" s="393" t="s">
        <v>650</v>
      </c>
      <c r="C87" s="393"/>
      <c r="D87" s="37">
        <v>1</v>
      </c>
      <c r="E87" s="37">
        <v>41.8</v>
      </c>
      <c r="F87" s="37"/>
      <c r="G87" s="37">
        <v>0.3</v>
      </c>
      <c r="H87" s="37"/>
      <c r="I87" s="37">
        <v>0.2</v>
      </c>
      <c r="J87" s="37"/>
      <c r="K87" s="152">
        <f t="shared" ref="K87" si="10">ROUND((E87+F87)*G87*I87,2)</f>
        <v>2.5099999999999998</v>
      </c>
      <c r="L87" s="204">
        <f t="shared" ref="L87" si="11">K87*D87</f>
        <v>2.5099999999999998</v>
      </c>
      <c r="M87" s="37"/>
    </row>
    <row r="88" spans="1:13" hidden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152"/>
      <c r="L88" s="204"/>
      <c r="M88" s="37"/>
    </row>
    <row r="89" spans="1:13" hidden="1">
      <c r="A89" s="142" t="s">
        <v>20</v>
      </c>
      <c r="B89" s="394" t="str">
        <f>[4]BM_10!B36</f>
        <v>LANÇAMENTO COM USO DE BALDES, ADENSAMENTO E ACABAMENTO DE CONCRETO EM ESTRUTURAS. AF_12/2015</v>
      </c>
      <c r="C89" s="394"/>
      <c r="D89" s="394"/>
      <c r="E89" s="394"/>
      <c r="F89" s="394"/>
      <c r="G89" s="394"/>
      <c r="H89" s="394"/>
      <c r="I89" s="394"/>
      <c r="J89" s="394"/>
      <c r="K89" s="394"/>
      <c r="L89" s="142">
        <f>SUM(L92:L105)</f>
        <v>9.4600000000000009</v>
      </c>
      <c r="M89" s="142" t="s">
        <v>495</v>
      </c>
    </row>
    <row r="90" spans="1:13" hidden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</row>
    <row r="91" spans="1:13" hidden="1">
      <c r="A91" s="37"/>
      <c r="B91" s="393" t="s">
        <v>637</v>
      </c>
      <c r="C91" s="393"/>
      <c r="D91" s="37"/>
      <c r="E91" s="37" t="s">
        <v>647</v>
      </c>
      <c r="F91" s="37" t="s">
        <v>648</v>
      </c>
      <c r="G91" s="37"/>
      <c r="H91" s="37"/>
      <c r="I91" s="37"/>
      <c r="J91" s="37"/>
      <c r="K91" s="37"/>
      <c r="L91" s="37"/>
      <c r="M91" s="37"/>
    </row>
    <row r="92" spans="1:13" hidden="1">
      <c r="A92" s="37"/>
      <c r="B92" s="393" t="s">
        <v>625</v>
      </c>
      <c r="C92" s="393"/>
      <c r="D92" s="37">
        <v>1</v>
      </c>
      <c r="E92" s="37">
        <v>7.45</v>
      </c>
      <c r="F92" s="37">
        <v>1.5</v>
      </c>
      <c r="G92" s="37">
        <v>0.2</v>
      </c>
      <c r="H92" s="37"/>
      <c r="I92" s="37">
        <v>0.4</v>
      </c>
      <c r="J92" s="37"/>
      <c r="K92" s="152">
        <f>ROUND((E92+F92)*G92*I92,2)</f>
        <v>0.72</v>
      </c>
      <c r="L92" s="204">
        <f>K92*D92</f>
        <v>0.72</v>
      </c>
      <c r="M92" s="37"/>
    </row>
    <row r="93" spans="1:13" hidden="1">
      <c r="A93" s="37"/>
      <c r="B93" s="393" t="s">
        <v>626</v>
      </c>
      <c r="C93" s="393"/>
      <c r="D93" s="37">
        <v>1</v>
      </c>
      <c r="E93" s="37">
        <v>5.25</v>
      </c>
      <c r="F93" s="37">
        <v>1.5</v>
      </c>
      <c r="G93" s="37">
        <v>0.2</v>
      </c>
      <c r="H93" s="37"/>
      <c r="I93" s="37">
        <v>0.3</v>
      </c>
      <c r="J93" s="37"/>
      <c r="K93" s="152">
        <f t="shared" ref="K93:K103" si="12">ROUND((E93+F93)*G93*I93,2)</f>
        <v>0.41</v>
      </c>
      <c r="L93" s="204">
        <f t="shared" ref="L93:L103" si="13">K93*D93</f>
        <v>0.41</v>
      </c>
      <c r="M93" s="37"/>
    </row>
    <row r="94" spans="1:13" hidden="1">
      <c r="A94" s="37"/>
      <c r="B94" s="393" t="s">
        <v>627</v>
      </c>
      <c r="C94" s="393"/>
      <c r="D94" s="37">
        <v>1</v>
      </c>
      <c r="E94" s="37">
        <v>5.25</v>
      </c>
      <c r="F94" s="37">
        <v>1.5</v>
      </c>
      <c r="G94" s="37">
        <v>0.2</v>
      </c>
      <c r="H94" s="37"/>
      <c r="I94" s="37">
        <v>0.5</v>
      </c>
      <c r="J94" s="37"/>
      <c r="K94" s="152">
        <f t="shared" si="12"/>
        <v>0.68</v>
      </c>
      <c r="L94" s="204">
        <f t="shared" si="13"/>
        <v>0.68</v>
      </c>
      <c r="M94" s="37"/>
    </row>
    <row r="95" spans="1:13" hidden="1">
      <c r="A95" s="37"/>
      <c r="B95" s="393" t="s">
        <v>628</v>
      </c>
      <c r="C95" s="393"/>
      <c r="D95" s="37">
        <v>1</v>
      </c>
      <c r="E95" s="37">
        <v>5.25</v>
      </c>
      <c r="F95" s="37">
        <v>1.5</v>
      </c>
      <c r="G95" s="37">
        <v>0.25</v>
      </c>
      <c r="H95" s="37"/>
      <c r="I95" s="37">
        <v>0.4</v>
      </c>
      <c r="J95" s="37"/>
      <c r="K95" s="152">
        <f t="shared" si="12"/>
        <v>0.68</v>
      </c>
      <c r="L95" s="204">
        <f t="shared" si="13"/>
        <v>0.68</v>
      </c>
      <c r="M95" s="37"/>
    </row>
    <row r="96" spans="1:13" hidden="1">
      <c r="A96" s="37"/>
      <c r="B96" s="393" t="s">
        <v>629</v>
      </c>
      <c r="C96" s="393"/>
      <c r="D96" s="37">
        <v>1</v>
      </c>
      <c r="E96" s="37">
        <v>5.25</v>
      </c>
      <c r="F96" s="37">
        <v>1.5</v>
      </c>
      <c r="G96" s="37">
        <v>0.25</v>
      </c>
      <c r="H96" s="37"/>
      <c r="I96" s="37">
        <v>0.4</v>
      </c>
      <c r="J96" s="37"/>
      <c r="K96" s="152">
        <f t="shared" si="12"/>
        <v>0.68</v>
      </c>
      <c r="L96" s="204">
        <f t="shared" si="13"/>
        <v>0.68</v>
      </c>
      <c r="M96" s="37"/>
    </row>
    <row r="97" spans="1:13" hidden="1">
      <c r="A97" s="37"/>
      <c r="B97" s="393" t="s">
        <v>630</v>
      </c>
      <c r="C97" s="393"/>
      <c r="D97" s="37">
        <v>1</v>
      </c>
      <c r="E97" s="37">
        <v>7.45</v>
      </c>
      <c r="F97" s="37">
        <v>1.5</v>
      </c>
      <c r="G97" s="37">
        <v>0.2</v>
      </c>
      <c r="H97" s="37"/>
      <c r="I97" s="37">
        <v>0.45</v>
      </c>
      <c r="J97" s="37"/>
      <c r="K97" s="152">
        <f t="shared" si="12"/>
        <v>0.81</v>
      </c>
      <c r="L97" s="204">
        <f t="shared" si="13"/>
        <v>0.81</v>
      </c>
      <c r="M97" s="37"/>
    </row>
    <row r="98" spans="1:13" hidden="1">
      <c r="A98" s="37"/>
      <c r="B98" s="393" t="s">
        <v>631</v>
      </c>
      <c r="C98" s="393"/>
      <c r="D98" s="37">
        <v>1</v>
      </c>
      <c r="E98" s="37">
        <v>5.25</v>
      </c>
      <c r="F98" s="37">
        <v>1.5</v>
      </c>
      <c r="G98" s="37">
        <v>0.2</v>
      </c>
      <c r="H98" s="37"/>
      <c r="I98" s="37">
        <v>0.4</v>
      </c>
      <c r="J98" s="37"/>
      <c r="K98" s="152">
        <f t="shared" si="12"/>
        <v>0.54</v>
      </c>
      <c r="L98" s="204">
        <f t="shared" si="13"/>
        <v>0.54</v>
      </c>
      <c r="M98" s="37"/>
    </row>
    <row r="99" spans="1:13" hidden="1">
      <c r="A99" s="37"/>
      <c r="B99" s="393" t="s">
        <v>632</v>
      </c>
      <c r="C99" s="393"/>
      <c r="D99" s="37">
        <v>1</v>
      </c>
      <c r="E99" s="37">
        <v>5.25</v>
      </c>
      <c r="F99" s="37">
        <v>1.5</v>
      </c>
      <c r="G99" s="37">
        <v>0.2</v>
      </c>
      <c r="H99" s="37"/>
      <c r="I99" s="37">
        <v>0.4</v>
      </c>
      <c r="J99" s="37"/>
      <c r="K99" s="152">
        <f t="shared" si="12"/>
        <v>0.54</v>
      </c>
      <c r="L99" s="204">
        <f t="shared" si="13"/>
        <v>0.54</v>
      </c>
      <c r="M99" s="37"/>
    </row>
    <row r="100" spans="1:13" hidden="1">
      <c r="A100" s="37"/>
      <c r="B100" s="393" t="s">
        <v>633</v>
      </c>
      <c r="C100" s="393"/>
      <c r="D100" s="37">
        <v>1</v>
      </c>
      <c r="E100" s="37">
        <v>4.45</v>
      </c>
      <c r="F100" s="37"/>
      <c r="G100" s="37">
        <v>0.2</v>
      </c>
      <c r="H100" s="37"/>
      <c r="I100" s="37">
        <v>0.4</v>
      </c>
      <c r="J100" s="37"/>
      <c r="K100" s="152">
        <f t="shared" si="12"/>
        <v>0.36</v>
      </c>
      <c r="L100" s="204">
        <f t="shared" si="13"/>
        <v>0.36</v>
      </c>
      <c r="M100" s="37"/>
    </row>
    <row r="101" spans="1:13" hidden="1">
      <c r="A101" s="37"/>
      <c r="B101" s="393" t="s">
        <v>634</v>
      </c>
      <c r="C101" s="393"/>
      <c r="D101" s="37">
        <v>1</v>
      </c>
      <c r="E101" s="37">
        <v>4.45</v>
      </c>
      <c r="F101" s="37"/>
      <c r="G101" s="37">
        <v>0.2</v>
      </c>
      <c r="H101" s="37"/>
      <c r="I101" s="37">
        <v>0.4</v>
      </c>
      <c r="J101" s="37"/>
      <c r="K101" s="152">
        <f t="shared" si="12"/>
        <v>0.36</v>
      </c>
      <c r="L101" s="204">
        <f t="shared" si="13"/>
        <v>0.36</v>
      </c>
      <c r="M101" s="37"/>
    </row>
    <row r="102" spans="1:13" hidden="1">
      <c r="A102" s="37"/>
      <c r="B102" s="393" t="s">
        <v>635</v>
      </c>
      <c r="C102" s="393"/>
      <c r="D102" s="37">
        <v>1</v>
      </c>
      <c r="E102" s="37">
        <v>4.45</v>
      </c>
      <c r="F102" s="37"/>
      <c r="G102" s="37">
        <v>0.2</v>
      </c>
      <c r="H102" s="37"/>
      <c r="I102" s="37">
        <v>0.4</v>
      </c>
      <c r="J102" s="37"/>
      <c r="K102" s="152">
        <f t="shared" si="12"/>
        <v>0.36</v>
      </c>
      <c r="L102" s="204">
        <f t="shared" si="13"/>
        <v>0.36</v>
      </c>
      <c r="M102" s="37"/>
    </row>
    <row r="103" spans="1:13" hidden="1">
      <c r="A103" s="37"/>
      <c r="B103" s="393" t="s">
        <v>636</v>
      </c>
      <c r="C103" s="393"/>
      <c r="D103" s="37">
        <v>1</v>
      </c>
      <c r="E103" s="37">
        <v>7.45</v>
      </c>
      <c r="F103" s="37">
        <v>1.5</v>
      </c>
      <c r="G103" s="37">
        <v>0.2</v>
      </c>
      <c r="H103" s="37"/>
      <c r="I103" s="37">
        <v>0.45</v>
      </c>
      <c r="J103" s="37"/>
      <c r="K103" s="152">
        <f t="shared" si="12"/>
        <v>0.81</v>
      </c>
      <c r="L103" s="204">
        <f t="shared" si="13"/>
        <v>0.81</v>
      </c>
      <c r="M103" s="37"/>
    </row>
    <row r="104" spans="1:13" hidden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152"/>
      <c r="L104" s="204"/>
      <c r="M104" s="37"/>
    </row>
    <row r="105" spans="1:13" hidden="1">
      <c r="A105" s="37"/>
      <c r="B105" s="393" t="s">
        <v>650</v>
      </c>
      <c r="C105" s="393"/>
      <c r="D105" s="37">
        <v>1</v>
      </c>
      <c r="E105" s="37">
        <v>41.8</v>
      </c>
      <c r="F105" s="37"/>
      <c r="G105" s="37">
        <v>0.3</v>
      </c>
      <c r="H105" s="37"/>
      <c r="I105" s="37">
        <v>0.2</v>
      </c>
      <c r="J105" s="37"/>
      <c r="K105" s="152">
        <f t="shared" ref="K105" si="14">ROUND((E105+F105)*G105*I105,2)</f>
        <v>2.5099999999999998</v>
      </c>
      <c r="L105" s="204">
        <f t="shared" ref="L105" si="15">K105*D105</f>
        <v>2.5099999999999998</v>
      </c>
      <c r="M105" s="37"/>
    </row>
    <row r="106" spans="1:13" hidden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</row>
    <row r="107" spans="1:13" hidden="1">
      <c r="A107" s="142" t="s">
        <v>27</v>
      </c>
      <c r="B107" s="394" t="str">
        <f>[4]BM_10!B37</f>
        <v>Forma plana para fundações, em tábua de pinho, 07 usos.</v>
      </c>
      <c r="C107" s="394"/>
      <c r="D107" s="394"/>
      <c r="E107" s="394"/>
      <c r="F107" s="394"/>
      <c r="G107" s="394"/>
      <c r="H107" s="394"/>
      <c r="I107" s="394"/>
      <c r="J107" s="394"/>
      <c r="K107" s="394"/>
      <c r="L107" s="142">
        <f>SUM(L109:L117)</f>
        <v>9.4</v>
      </c>
      <c r="M107" s="142" t="s">
        <v>429</v>
      </c>
    </row>
    <row r="108" spans="1:13" hidden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</row>
    <row r="109" spans="1:13" hidden="1">
      <c r="A109" s="37"/>
      <c r="B109" s="393" t="s">
        <v>638</v>
      </c>
      <c r="C109" s="393"/>
      <c r="D109" s="37">
        <v>1</v>
      </c>
      <c r="E109" s="37">
        <f>0.6+0.6+0.85+0.85</f>
        <v>2.9</v>
      </c>
      <c r="F109" s="37"/>
      <c r="G109" s="37">
        <v>0.25</v>
      </c>
      <c r="H109" s="37"/>
      <c r="I109" s="37"/>
      <c r="J109" s="37"/>
      <c r="K109" s="37">
        <f>E109*G109</f>
        <v>0.72499999999999998</v>
      </c>
      <c r="L109" s="37">
        <f>K109*D109</f>
        <v>0.72499999999999998</v>
      </c>
      <c r="M109" s="37"/>
    </row>
    <row r="110" spans="1:13" hidden="1">
      <c r="A110" s="37"/>
      <c r="B110" s="393" t="s">
        <v>639</v>
      </c>
      <c r="C110" s="393"/>
      <c r="D110" s="37">
        <v>1</v>
      </c>
      <c r="E110" s="37">
        <f>0.9+0.9+1+1</f>
        <v>3.8</v>
      </c>
      <c r="F110" s="37"/>
      <c r="G110" s="37">
        <v>0.25</v>
      </c>
      <c r="H110" s="37"/>
      <c r="I110" s="37"/>
      <c r="J110" s="37"/>
      <c r="K110" s="37">
        <f t="shared" ref="K110:K117" si="16">E110*G110</f>
        <v>0.95</v>
      </c>
      <c r="L110" s="37">
        <f t="shared" ref="L110:L117" si="17">K110*D110</f>
        <v>0.95</v>
      </c>
      <c r="M110" s="37"/>
    </row>
    <row r="111" spans="1:13" hidden="1">
      <c r="A111" s="37"/>
      <c r="B111" s="393" t="s">
        <v>640</v>
      </c>
      <c r="C111" s="393"/>
      <c r="D111" s="37">
        <v>1</v>
      </c>
      <c r="E111" s="37">
        <f>1.2+1.2+0.9+0.9</f>
        <v>4.2</v>
      </c>
      <c r="F111" s="37"/>
      <c r="G111" s="37">
        <v>0.25</v>
      </c>
      <c r="H111" s="37"/>
      <c r="I111" s="37"/>
      <c r="J111" s="37"/>
      <c r="K111" s="37">
        <f t="shared" si="16"/>
        <v>1.05</v>
      </c>
      <c r="L111" s="37">
        <f t="shared" si="17"/>
        <v>1.05</v>
      </c>
      <c r="M111" s="37"/>
    </row>
    <row r="112" spans="1:13" hidden="1">
      <c r="A112" s="37"/>
      <c r="B112" s="393" t="s">
        <v>641</v>
      </c>
      <c r="C112" s="393"/>
      <c r="D112" s="37">
        <v>1</v>
      </c>
      <c r="E112" s="37">
        <f>1.15+1.15+1+1</f>
        <v>4.3</v>
      </c>
      <c r="F112" s="37"/>
      <c r="G112" s="37">
        <v>0.25</v>
      </c>
      <c r="H112" s="37"/>
      <c r="I112" s="37"/>
      <c r="J112" s="37"/>
      <c r="K112" s="37">
        <f t="shared" si="16"/>
        <v>1.075</v>
      </c>
      <c r="L112" s="37">
        <f t="shared" si="17"/>
        <v>1.075</v>
      </c>
      <c r="M112" s="37"/>
    </row>
    <row r="113" spans="1:13" hidden="1">
      <c r="A113" s="37"/>
      <c r="B113" s="393" t="s">
        <v>642</v>
      </c>
      <c r="C113" s="393"/>
      <c r="D113" s="37">
        <v>1</v>
      </c>
      <c r="E113" s="37">
        <f>1.1+1.1+1.25+1.25</f>
        <v>4.7</v>
      </c>
      <c r="F113" s="37"/>
      <c r="G113" s="37">
        <v>0.25</v>
      </c>
      <c r="H113" s="37"/>
      <c r="I113" s="37"/>
      <c r="J113" s="37"/>
      <c r="K113" s="37">
        <f t="shared" si="16"/>
        <v>1.175</v>
      </c>
      <c r="L113" s="37">
        <f t="shared" si="17"/>
        <v>1.175</v>
      </c>
      <c r="M113" s="37"/>
    </row>
    <row r="114" spans="1:13" hidden="1">
      <c r="A114" s="37"/>
      <c r="B114" s="393" t="s">
        <v>643</v>
      </c>
      <c r="C114" s="393"/>
      <c r="D114" s="37">
        <v>1</v>
      </c>
      <c r="E114" s="37">
        <f>0.6+0.6+0.85+0.85</f>
        <v>2.9</v>
      </c>
      <c r="F114" s="37"/>
      <c r="G114" s="37">
        <v>0.25</v>
      </c>
      <c r="H114" s="37"/>
      <c r="I114" s="37"/>
      <c r="J114" s="37"/>
      <c r="K114" s="37">
        <f t="shared" si="16"/>
        <v>0.72499999999999998</v>
      </c>
      <c r="L114" s="37">
        <f t="shared" si="17"/>
        <v>0.72499999999999998</v>
      </c>
      <c r="M114" s="37"/>
    </row>
    <row r="115" spans="1:13" hidden="1">
      <c r="A115" s="37"/>
      <c r="B115" s="393" t="s">
        <v>644</v>
      </c>
      <c r="C115" s="393"/>
      <c r="D115" s="37">
        <v>1</v>
      </c>
      <c r="E115" s="37">
        <f>1.5+1.5+1.3+1.3</f>
        <v>5.6</v>
      </c>
      <c r="F115" s="37"/>
      <c r="G115" s="37">
        <v>0.25</v>
      </c>
      <c r="H115" s="37"/>
      <c r="I115" s="37"/>
      <c r="J115" s="37"/>
      <c r="K115" s="37">
        <f t="shared" si="16"/>
        <v>1.4</v>
      </c>
      <c r="L115" s="37">
        <f t="shared" si="17"/>
        <v>1.4</v>
      </c>
      <c r="M115" s="37"/>
    </row>
    <row r="116" spans="1:13" hidden="1">
      <c r="A116" s="37"/>
      <c r="B116" s="393" t="s">
        <v>645</v>
      </c>
      <c r="C116" s="393"/>
      <c r="D116" s="37">
        <v>1</v>
      </c>
      <c r="E116" s="37">
        <f>1.15+1.15+1.35+1.35</f>
        <v>5</v>
      </c>
      <c r="F116" s="37"/>
      <c r="G116" s="37">
        <v>0.25</v>
      </c>
      <c r="H116" s="37"/>
      <c r="I116" s="37"/>
      <c r="J116" s="37"/>
      <c r="K116" s="37">
        <f t="shared" si="16"/>
        <v>1.25</v>
      </c>
      <c r="L116" s="37">
        <f t="shared" si="17"/>
        <v>1.25</v>
      </c>
      <c r="M116" s="37"/>
    </row>
    <row r="117" spans="1:13" hidden="1">
      <c r="A117" s="37"/>
      <c r="B117" s="393" t="s">
        <v>646</v>
      </c>
      <c r="C117" s="393"/>
      <c r="D117" s="37">
        <v>1</v>
      </c>
      <c r="E117" s="37">
        <f>1.2+1.2+0.9+0.9</f>
        <v>4.2</v>
      </c>
      <c r="F117" s="37"/>
      <c r="G117" s="37">
        <v>0.25</v>
      </c>
      <c r="H117" s="37"/>
      <c r="I117" s="37"/>
      <c r="J117" s="37"/>
      <c r="K117" s="37">
        <f t="shared" si="16"/>
        <v>1.05</v>
      </c>
      <c r="L117" s="37">
        <f t="shared" si="17"/>
        <v>1.05</v>
      </c>
      <c r="M117" s="37"/>
    </row>
    <row r="118" spans="1:13" hidden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</row>
    <row r="119" spans="1:13" hidden="1">
      <c r="A119" s="142" t="s">
        <v>28</v>
      </c>
      <c r="B119" s="394" t="str">
        <f>[4]BM_10!B38</f>
        <v>Forma plana para estruturas, em compensado plastificado de 12mm, 07 usos.</v>
      </c>
      <c r="C119" s="394"/>
      <c r="D119" s="394"/>
      <c r="E119" s="394"/>
      <c r="F119" s="394"/>
      <c r="G119" s="394"/>
      <c r="H119" s="394"/>
      <c r="I119" s="394"/>
      <c r="J119" s="394"/>
      <c r="K119" s="394"/>
      <c r="L119" s="142">
        <f>SUM(L122:L135)</f>
        <v>125.06</v>
      </c>
      <c r="M119" s="142" t="s">
        <v>513</v>
      </c>
    </row>
    <row r="120" spans="1:13" hidden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</row>
    <row r="121" spans="1:13" hidden="1">
      <c r="A121" s="37"/>
      <c r="B121" s="393" t="s">
        <v>637</v>
      </c>
      <c r="C121" s="393"/>
      <c r="D121" s="37"/>
      <c r="E121" s="37" t="s">
        <v>647</v>
      </c>
      <c r="F121" s="37" t="s">
        <v>648</v>
      </c>
      <c r="G121" s="37"/>
      <c r="H121" s="37"/>
      <c r="I121" s="37"/>
      <c r="J121" s="37"/>
      <c r="K121" s="37"/>
      <c r="L121" s="37"/>
      <c r="M121" s="37"/>
    </row>
    <row r="122" spans="1:13" hidden="1">
      <c r="A122" s="37"/>
      <c r="B122" s="393" t="s">
        <v>625</v>
      </c>
      <c r="C122" s="393"/>
      <c r="D122" s="37">
        <v>1</v>
      </c>
      <c r="E122" s="37">
        <v>7.45</v>
      </c>
      <c r="F122" s="37">
        <v>1.5</v>
      </c>
      <c r="G122" s="37">
        <f>0.2+0.2+0.4+0.4</f>
        <v>1.2000000000000002</v>
      </c>
      <c r="H122" s="37"/>
      <c r="I122" s="37"/>
      <c r="J122" s="37"/>
      <c r="K122" s="146">
        <f>(E122+F122)*G122</f>
        <v>10.74</v>
      </c>
      <c r="L122" s="146">
        <f>K122*D122</f>
        <v>10.74</v>
      </c>
      <c r="M122" s="37"/>
    </row>
    <row r="123" spans="1:13" hidden="1">
      <c r="A123" s="37"/>
      <c r="B123" s="393" t="s">
        <v>626</v>
      </c>
      <c r="C123" s="393"/>
      <c r="D123" s="37">
        <v>1</v>
      </c>
      <c r="E123" s="37">
        <v>5.25</v>
      </c>
      <c r="F123" s="37">
        <v>1.5</v>
      </c>
      <c r="G123" s="37">
        <f>0.2+0.2+0.3+0.3</f>
        <v>1</v>
      </c>
      <c r="H123" s="37"/>
      <c r="I123" s="37"/>
      <c r="J123" s="37"/>
      <c r="K123" s="146">
        <f t="shared" ref="K123:K133" si="18">(E123+F123)*G123</f>
        <v>6.75</v>
      </c>
      <c r="L123" s="146">
        <f t="shared" ref="L123:L133" si="19">K123*D123</f>
        <v>6.75</v>
      </c>
      <c r="M123" s="37"/>
    </row>
    <row r="124" spans="1:13" hidden="1">
      <c r="A124" s="37"/>
      <c r="B124" s="393" t="s">
        <v>627</v>
      </c>
      <c r="C124" s="393"/>
      <c r="D124" s="37">
        <v>1</v>
      </c>
      <c r="E124" s="37">
        <v>5.25</v>
      </c>
      <c r="F124" s="37">
        <v>1.5</v>
      </c>
      <c r="G124" s="37">
        <f>0.2+0.2+0.5+0.5</f>
        <v>1.4</v>
      </c>
      <c r="H124" s="37"/>
      <c r="I124" s="37"/>
      <c r="J124" s="37"/>
      <c r="K124" s="146">
        <f t="shared" si="18"/>
        <v>9.4499999999999993</v>
      </c>
      <c r="L124" s="146">
        <f t="shared" si="19"/>
        <v>9.4499999999999993</v>
      </c>
      <c r="M124" s="37"/>
    </row>
    <row r="125" spans="1:13" hidden="1">
      <c r="A125" s="37"/>
      <c r="B125" s="393" t="s">
        <v>628</v>
      </c>
      <c r="C125" s="393"/>
      <c r="D125" s="37">
        <v>1</v>
      </c>
      <c r="E125" s="37">
        <v>5.25</v>
      </c>
      <c r="F125" s="37">
        <v>1.5</v>
      </c>
      <c r="G125" s="37">
        <f>0.25+0.25+0.4+0.4</f>
        <v>1.3</v>
      </c>
      <c r="H125" s="37"/>
      <c r="I125" s="37"/>
      <c r="J125" s="37"/>
      <c r="K125" s="146">
        <f t="shared" si="18"/>
        <v>8.7750000000000004</v>
      </c>
      <c r="L125" s="146">
        <f t="shared" si="19"/>
        <v>8.7750000000000004</v>
      </c>
      <c r="M125" s="37"/>
    </row>
    <row r="126" spans="1:13" hidden="1">
      <c r="A126" s="37"/>
      <c r="B126" s="393" t="s">
        <v>629</v>
      </c>
      <c r="C126" s="393"/>
      <c r="D126" s="37">
        <v>1</v>
      </c>
      <c r="E126" s="37">
        <v>5.25</v>
      </c>
      <c r="F126" s="37">
        <v>1.5</v>
      </c>
      <c r="G126" s="37">
        <f>0.25+0.25+0.4+0.4</f>
        <v>1.3</v>
      </c>
      <c r="H126" s="37"/>
      <c r="I126" s="37"/>
      <c r="J126" s="37"/>
      <c r="K126" s="146">
        <f t="shared" si="18"/>
        <v>8.7750000000000004</v>
      </c>
      <c r="L126" s="146">
        <f t="shared" si="19"/>
        <v>8.7750000000000004</v>
      </c>
      <c r="M126" s="37"/>
    </row>
    <row r="127" spans="1:13" hidden="1">
      <c r="A127" s="37"/>
      <c r="B127" s="393" t="s">
        <v>630</v>
      </c>
      <c r="C127" s="393"/>
      <c r="D127" s="37">
        <v>1</v>
      </c>
      <c r="E127" s="37">
        <v>7.45</v>
      </c>
      <c r="F127" s="37">
        <v>1.5</v>
      </c>
      <c r="G127" s="37">
        <f>0.2+0.2+0.45+0.45</f>
        <v>1.3</v>
      </c>
      <c r="H127" s="37"/>
      <c r="I127" s="37"/>
      <c r="J127" s="37"/>
      <c r="K127" s="146">
        <f t="shared" si="18"/>
        <v>11.635</v>
      </c>
      <c r="L127" s="146">
        <f t="shared" si="19"/>
        <v>11.635</v>
      </c>
      <c r="M127" s="37"/>
    </row>
    <row r="128" spans="1:13" hidden="1">
      <c r="A128" s="37"/>
      <c r="B128" s="393" t="s">
        <v>631</v>
      </c>
      <c r="C128" s="393"/>
      <c r="D128" s="37">
        <v>1</v>
      </c>
      <c r="E128" s="37">
        <v>5.25</v>
      </c>
      <c r="F128" s="37">
        <v>1.5</v>
      </c>
      <c r="G128" s="37">
        <f>0.2+0.2+0.4+0.4</f>
        <v>1.2000000000000002</v>
      </c>
      <c r="H128" s="37"/>
      <c r="I128" s="37"/>
      <c r="J128" s="37"/>
      <c r="K128" s="146">
        <f t="shared" si="18"/>
        <v>8.1000000000000014</v>
      </c>
      <c r="L128" s="146">
        <f t="shared" si="19"/>
        <v>8.1000000000000014</v>
      </c>
      <c r="M128" s="37"/>
    </row>
    <row r="129" spans="1:13" hidden="1">
      <c r="A129" s="37"/>
      <c r="B129" s="393" t="s">
        <v>632</v>
      </c>
      <c r="C129" s="393"/>
      <c r="D129" s="37">
        <v>1</v>
      </c>
      <c r="E129" s="37">
        <v>5.25</v>
      </c>
      <c r="F129" s="37">
        <v>1.5</v>
      </c>
      <c r="G129" s="37">
        <f>0.2+0.2+0.4+0.4</f>
        <v>1.2000000000000002</v>
      </c>
      <c r="H129" s="37"/>
      <c r="I129" s="37"/>
      <c r="J129" s="37"/>
      <c r="K129" s="146">
        <f t="shared" si="18"/>
        <v>8.1000000000000014</v>
      </c>
      <c r="L129" s="146">
        <f t="shared" si="19"/>
        <v>8.1000000000000014</v>
      </c>
      <c r="M129" s="37"/>
    </row>
    <row r="130" spans="1:13" hidden="1">
      <c r="A130" s="37"/>
      <c r="B130" s="393" t="s">
        <v>633</v>
      </c>
      <c r="C130" s="393"/>
      <c r="D130" s="37">
        <v>1</v>
      </c>
      <c r="E130" s="37">
        <v>4.45</v>
      </c>
      <c r="F130" s="37"/>
      <c r="G130" s="37">
        <f>0.2+0.2+0.4+0.4</f>
        <v>1.2000000000000002</v>
      </c>
      <c r="H130" s="37"/>
      <c r="I130" s="37"/>
      <c r="J130" s="37"/>
      <c r="K130" s="146">
        <f t="shared" si="18"/>
        <v>5.3400000000000007</v>
      </c>
      <c r="L130" s="146">
        <f t="shared" si="19"/>
        <v>5.3400000000000007</v>
      </c>
      <c r="M130" s="37"/>
    </row>
    <row r="131" spans="1:13" hidden="1">
      <c r="A131" s="37"/>
      <c r="B131" s="393" t="s">
        <v>634</v>
      </c>
      <c r="C131" s="393"/>
      <c r="D131" s="37">
        <v>1</v>
      </c>
      <c r="E131" s="37">
        <v>4.45</v>
      </c>
      <c r="F131" s="37"/>
      <c r="G131" s="37">
        <f t="shared" ref="G131:G132" si="20">0.2+0.2+0.4+0.4</f>
        <v>1.2000000000000002</v>
      </c>
      <c r="H131" s="37"/>
      <c r="I131" s="37"/>
      <c r="J131" s="37"/>
      <c r="K131" s="146">
        <f t="shared" si="18"/>
        <v>5.3400000000000007</v>
      </c>
      <c r="L131" s="146">
        <f t="shared" si="19"/>
        <v>5.3400000000000007</v>
      </c>
      <c r="M131" s="37"/>
    </row>
    <row r="132" spans="1:13" hidden="1">
      <c r="A132" s="37"/>
      <c r="B132" s="393" t="s">
        <v>635</v>
      </c>
      <c r="C132" s="393"/>
      <c r="D132" s="37">
        <v>1</v>
      </c>
      <c r="E132" s="37">
        <v>4.45</v>
      </c>
      <c r="F132" s="37"/>
      <c r="G132" s="37">
        <f t="shared" si="20"/>
        <v>1.2000000000000002</v>
      </c>
      <c r="H132" s="37"/>
      <c r="I132" s="37"/>
      <c r="J132" s="37"/>
      <c r="K132" s="146">
        <f t="shared" si="18"/>
        <v>5.3400000000000007</v>
      </c>
      <c r="L132" s="146">
        <f t="shared" si="19"/>
        <v>5.3400000000000007</v>
      </c>
      <c r="M132" s="37"/>
    </row>
    <row r="133" spans="1:13" hidden="1">
      <c r="A133" s="37"/>
      <c r="B133" s="393" t="s">
        <v>636</v>
      </c>
      <c r="C133" s="393"/>
      <c r="D133" s="37">
        <v>1</v>
      </c>
      <c r="E133" s="37">
        <v>7.45</v>
      </c>
      <c r="F133" s="37">
        <v>1.5</v>
      </c>
      <c r="G133" s="37">
        <f>0.2+0.2+0.45+0.45</f>
        <v>1.3</v>
      </c>
      <c r="H133" s="37"/>
      <c r="I133" s="37"/>
      <c r="J133" s="37"/>
      <c r="K133" s="146">
        <f t="shared" si="18"/>
        <v>11.635</v>
      </c>
      <c r="L133" s="146">
        <f t="shared" si="19"/>
        <v>11.635</v>
      </c>
      <c r="M133" s="37"/>
    </row>
    <row r="134" spans="1:13" hidden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146"/>
      <c r="L134" s="146"/>
      <c r="M134" s="37"/>
    </row>
    <row r="135" spans="1:13" hidden="1">
      <c r="A135" s="37"/>
      <c r="B135" s="393" t="s">
        <v>650</v>
      </c>
      <c r="C135" s="393"/>
      <c r="D135" s="37">
        <v>1</v>
      </c>
      <c r="E135" s="37">
        <v>41.8</v>
      </c>
      <c r="F135" s="37"/>
      <c r="G135" s="37">
        <v>0.6</v>
      </c>
      <c r="H135" s="37"/>
      <c r="I135" s="37"/>
      <c r="J135" s="37"/>
      <c r="K135" s="146">
        <f t="shared" ref="K135" si="21">(E135+F135)*G135</f>
        <v>25.08</v>
      </c>
      <c r="L135" s="146">
        <f t="shared" ref="L135" si="22">K135*D135</f>
        <v>25.08</v>
      </c>
      <c r="M135" s="37"/>
    </row>
    <row r="136" spans="1:13" hidden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</row>
    <row r="137" spans="1:13" ht="22.15" hidden="1" customHeight="1">
      <c r="A137" s="142" t="str">
        <f>[4]BM_10!A39</f>
        <v>2.9</v>
      </c>
      <c r="B137" s="394" t="str">
        <f>[4]BM_10!B39</f>
        <v>ARMAÇÃO DE PILAR OU VIGA DE UMA ESTRUTURA CONVENCIONAL DE CONCRETO ARMADO EM UM EDIFÍCIO DE MÚLTIPLOS PAVIMENTOS UTILIZANDO AÇO CA-50 DE 12,5 MM - MONTAGEM. AF_12/2015</v>
      </c>
      <c r="C137" s="394"/>
      <c r="D137" s="394"/>
      <c r="E137" s="394"/>
      <c r="F137" s="394"/>
      <c r="G137" s="394"/>
      <c r="H137" s="394"/>
      <c r="I137" s="394"/>
      <c r="J137" s="394"/>
      <c r="K137" s="394"/>
      <c r="L137" s="142">
        <f>SUM(L140:L144)</f>
        <v>286.79999999999995</v>
      </c>
      <c r="M137" s="142" t="s">
        <v>601</v>
      </c>
    </row>
    <row r="138" spans="1:13" hidden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</row>
    <row r="139" spans="1:13" hidden="1">
      <c r="A139" s="37"/>
      <c r="B139" s="393" t="s">
        <v>637</v>
      </c>
      <c r="C139" s="393"/>
      <c r="D139" s="37"/>
      <c r="E139" s="37" t="s">
        <v>647</v>
      </c>
      <c r="F139" s="37" t="s">
        <v>648</v>
      </c>
      <c r="G139" s="37" t="s">
        <v>649</v>
      </c>
      <c r="H139" s="37"/>
      <c r="I139" s="37"/>
      <c r="J139" s="37"/>
      <c r="K139" s="37"/>
      <c r="L139" s="37"/>
      <c r="M139" s="37"/>
    </row>
    <row r="140" spans="1:13" hidden="1">
      <c r="A140" s="37"/>
      <c r="B140" s="393" t="s">
        <v>627</v>
      </c>
      <c r="C140" s="393"/>
      <c r="D140" s="37">
        <v>1</v>
      </c>
      <c r="E140" s="37">
        <v>5.25</v>
      </c>
      <c r="F140" s="37">
        <v>1.5</v>
      </c>
      <c r="G140" s="37">
        <v>8</v>
      </c>
      <c r="H140" s="37"/>
      <c r="I140" s="37"/>
      <c r="J140" s="37"/>
      <c r="K140" s="152">
        <f>ROUND((E140+F140)*G140,2)</f>
        <v>54</v>
      </c>
      <c r="L140" s="152">
        <f>ROUND(K140*1,2)</f>
        <v>54</v>
      </c>
      <c r="M140" s="37"/>
    </row>
    <row r="141" spans="1:13" hidden="1">
      <c r="A141" s="37"/>
      <c r="B141" s="393" t="s">
        <v>629</v>
      </c>
      <c r="C141" s="393"/>
      <c r="D141" s="37">
        <v>1</v>
      </c>
      <c r="E141" s="37">
        <v>5.25</v>
      </c>
      <c r="F141" s="37">
        <v>1.5</v>
      </c>
      <c r="G141" s="37">
        <v>8</v>
      </c>
      <c r="H141" s="37"/>
      <c r="I141" s="37"/>
      <c r="J141" s="37"/>
      <c r="K141" s="152">
        <f t="shared" ref="K141:K144" si="23">ROUND((E141+F141)*G141,2)</f>
        <v>54</v>
      </c>
      <c r="L141" s="152">
        <f t="shared" ref="L141:L144" si="24">ROUND(K141*1,2)</f>
        <v>54</v>
      </c>
      <c r="M141" s="37"/>
    </row>
    <row r="142" spans="1:13" hidden="1">
      <c r="A142" s="37"/>
      <c r="B142" s="393" t="s">
        <v>630</v>
      </c>
      <c r="C142" s="393"/>
      <c r="D142" s="37">
        <v>1</v>
      </c>
      <c r="E142" s="37">
        <v>7.45</v>
      </c>
      <c r="F142" s="37">
        <v>1.5</v>
      </c>
      <c r="G142" s="37">
        <v>8</v>
      </c>
      <c r="H142" s="37"/>
      <c r="I142" s="37"/>
      <c r="J142" s="37"/>
      <c r="K142" s="152">
        <f t="shared" si="23"/>
        <v>71.599999999999994</v>
      </c>
      <c r="L142" s="152">
        <f t="shared" si="24"/>
        <v>71.599999999999994</v>
      </c>
      <c r="M142" s="37"/>
    </row>
    <row r="143" spans="1:13" hidden="1">
      <c r="A143" s="37"/>
      <c r="B143" s="393" t="s">
        <v>635</v>
      </c>
      <c r="C143" s="393"/>
      <c r="D143" s="37">
        <v>1</v>
      </c>
      <c r="E143" s="37">
        <v>4.45</v>
      </c>
      <c r="F143" s="37"/>
      <c r="G143" s="37">
        <v>8</v>
      </c>
      <c r="H143" s="37"/>
      <c r="I143" s="37"/>
      <c r="J143" s="37"/>
      <c r="K143" s="152">
        <f t="shared" si="23"/>
        <v>35.6</v>
      </c>
      <c r="L143" s="152">
        <f t="shared" si="24"/>
        <v>35.6</v>
      </c>
      <c r="M143" s="37"/>
    </row>
    <row r="144" spans="1:13" hidden="1">
      <c r="A144" s="37"/>
      <c r="B144" s="393" t="s">
        <v>636</v>
      </c>
      <c r="C144" s="393"/>
      <c r="D144" s="37">
        <v>1</v>
      </c>
      <c r="E144" s="37">
        <v>7.45</v>
      </c>
      <c r="F144" s="37">
        <v>1.5</v>
      </c>
      <c r="G144" s="37">
        <v>8</v>
      </c>
      <c r="H144" s="37"/>
      <c r="I144" s="37"/>
      <c r="J144" s="37"/>
      <c r="K144" s="152">
        <f t="shared" si="23"/>
        <v>71.599999999999994</v>
      </c>
      <c r="L144" s="152">
        <f t="shared" si="24"/>
        <v>71.599999999999994</v>
      </c>
      <c r="M144" s="37"/>
    </row>
    <row r="145" spans="1:13" hidden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</row>
    <row r="146" spans="1:13" ht="21" hidden="1" customHeight="1">
      <c r="A146" s="142" t="s">
        <v>30</v>
      </c>
      <c r="B146" s="394" t="str">
        <f>[4]BM_10!B40</f>
        <v>ARMAÇÃO DE PILAR OU VIGA DE UMA ESTRUTURA CONVENCIONAL DE CONCRETO ARMADO EM UM EDIFÍCIO DE MÚLTIPLOS PAVIMENTOS UTILIZANDO AÇO CA-50 DE 10,0 MM - MONTAGEM. AF_12/2015</v>
      </c>
      <c r="C146" s="394"/>
      <c r="D146" s="394"/>
      <c r="E146" s="394"/>
      <c r="F146" s="394"/>
      <c r="G146" s="394"/>
      <c r="H146" s="394"/>
      <c r="I146" s="394"/>
      <c r="J146" s="394"/>
      <c r="K146" s="394"/>
      <c r="L146" s="142">
        <f>SUM(L149:L157)</f>
        <v>269.19</v>
      </c>
      <c r="M146" s="142" t="s">
        <v>601</v>
      </c>
    </row>
    <row r="147" spans="1:13" hidden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</row>
    <row r="148" spans="1:13" hidden="1">
      <c r="A148" s="37"/>
      <c r="B148" s="393" t="s">
        <v>637</v>
      </c>
      <c r="C148" s="393"/>
      <c r="D148" s="37"/>
      <c r="E148" s="37" t="s">
        <v>647</v>
      </c>
      <c r="F148" s="37" t="s">
        <v>648</v>
      </c>
      <c r="G148" s="37" t="s">
        <v>649</v>
      </c>
      <c r="H148" s="37"/>
      <c r="I148" s="37"/>
      <c r="J148" s="37"/>
      <c r="K148" s="37"/>
      <c r="L148" s="37"/>
      <c r="M148" s="37"/>
    </row>
    <row r="149" spans="1:13" hidden="1">
      <c r="A149" s="37"/>
      <c r="B149" s="393" t="s">
        <v>625</v>
      </c>
      <c r="C149" s="393"/>
      <c r="D149" s="37">
        <v>1</v>
      </c>
      <c r="E149" s="37">
        <v>7.45</v>
      </c>
      <c r="F149" s="37">
        <v>1.5</v>
      </c>
      <c r="G149" s="37">
        <v>6</v>
      </c>
      <c r="H149" s="37"/>
      <c r="I149" s="37"/>
      <c r="J149" s="37"/>
      <c r="K149" s="152">
        <f>ROUND((E149+F149)*G149,2)</f>
        <v>53.7</v>
      </c>
      <c r="L149" s="152">
        <f>ROUND(K149*0.617,2)</f>
        <v>33.130000000000003</v>
      </c>
      <c r="M149" s="37"/>
    </row>
    <row r="150" spans="1:13" hidden="1">
      <c r="A150" s="37"/>
      <c r="B150" s="393" t="s">
        <v>626</v>
      </c>
      <c r="C150" s="393"/>
      <c r="D150" s="37">
        <v>1</v>
      </c>
      <c r="E150" s="37">
        <v>5.25</v>
      </c>
      <c r="F150" s="37">
        <v>1.5</v>
      </c>
      <c r="G150" s="37">
        <v>6</v>
      </c>
      <c r="H150" s="37"/>
      <c r="I150" s="37"/>
      <c r="J150" s="37"/>
      <c r="K150" s="152">
        <f t="shared" ref="K150:K155" si="25">ROUND((E150+F150)*G150,2)</f>
        <v>40.5</v>
      </c>
      <c r="L150" s="152">
        <f t="shared" ref="L150:L155" si="26">ROUND(K150*0.617,2)</f>
        <v>24.99</v>
      </c>
      <c r="M150" s="37"/>
    </row>
    <row r="151" spans="1:13" hidden="1">
      <c r="A151" s="37"/>
      <c r="B151" s="393" t="s">
        <v>628</v>
      </c>
      <c r="C151" s="393"/>
      <c r="D151" s="37">
        <v>1</v>
      </c>
      <c r="E151" s="37">
        <v>5.25</v>
      </c>
      <c r="F151" s="37">
        <v>1.5</v>
      </c>
      <c r="G151" s="37">
        <v>6</v>
      </c>
      <c r="H151" s="37"/>
      <c r="I151" s="37"/>
      <c r="J151" s="37"/>
      <c r="K151" s="152">
        <f t="shared" si="25"/>
        <v>40.5</v>
      </c>
      <c r="L151" s="152">
        <f t="shared" si="26"/>
        <v>24.99</v>
      </c>
      <c r="M151" s="37"/>
    </row>
    <row r="152" spans="1:13" hidden="1">
      <c r="A152" s="37"/>
      <c r="B152" s="393" t="s">
        <v>631</v>
      </c>
      <c r="C152" s="393"/>
      <c r="D152" s="37">
        <v>1</v>
      </c>
      <c r="E152" s="37">
        <v>5.25</v>
      </c>
      <c r="F152" s="37">
        <v>1.5</v>
      </c>
      <c r="G152" s="37">
        <v>6</v>
      </c>
      <c r="H152" s="37"/>
      <c r="I152" s="37"/>
      <c r="J152" s="37"/>
      <c r="K152" s="152">
        <f t="shared" si="25"/>
        <v>40.5</v>
      </c>
      <c r="L152" s="152">
        <f t="shared" si="26"/>
        <v>24.99</v>
      </c>
      <c r="M152" s="37"/>
    </row>
    <row r="153" spans="1:13" hidden="1">
      <c r="A153" s="37"/>
      <c r="B153" s="393" t="s">
        <v>632</v>
      </c>
      <c r="C153" s="393"/>
      <c r="D153" s="37">
        <v>1</v>
      </c>
      <c r="E153" s="37">
        <v>5.25</v>
      </c>
      <c r="F153" s="37">
        <v>1.5</v>
      </c>
      <c r="G153" s="37">
        <v>6</v>
      </c>
      <c r="H153" s="37"/>
      <c r="I153" s="37"/>
      <c r="J153" s="37"/>
      <c r="K153" s="152">
        <f t="shared" si="25"/>
        <v>40.5</v>
      </c>
      <c r="L153" s="152">
        <f t="shared" si="26"/>
        <v>24.99</v>
      </c>
      <c r="M153" s="37"/>
    </row>
    <row r="154" spans="1:13" hidden="1">
      <c r="A154" s="37"/>
      <c r="B154" s="393" t="s">
        <v>633</v>
      </c>
      <c r="C154" s="393"/>
      <c r="D154" s="37">
        <v>1</v>
      </c>
      <c r="E154" s="37">
        <v>4.45</v>
      </c>
      <c r="F154" s="37"/>
      <c r="G154" s="37">
        <v>6</v>
      </c>
      <c r="H154" s="37"/>
      <c r="I154" s="37"/>
      <c r="J154" s="37"/>
      <c r="K154" s="152">
        <f t="shared" si="25"/>
        <v>26.7</v>
      </c>
      <c r="L154" s="152">
        <f t="shared" si="26"/>
        <v>16.47</v>
      </c>
      <c r="M154" s="37"/>
    </row>
    <row r="155" spans="1:13" hidden="1">
      <c r="A155" s="37"/>
      <c r="B155" s="393" t="s">
        <v>634</v>
      </c>
      <c r="C155" s="393"/>
      <c r="D155" s="37">
        <v>1</v>
      </c>
      <c r="E155" s="37">
        <v>4.45</v>
      </c>
      <c r="F155" s="37"/>
      <c r="G155" s="37">
        <v>6</v>
      </c>
      <c r="H155" s="37"/>
      <c r="I155" s="37"/>
      <c r="J155" s="37"/>
      <c r="K155" s="152">
        <f t="shared" si="25"/>
        <v>26.7</v>
      </c>
      <c r="L155" s="152">
        <f t="shared" si="26"/>
        <v>16.47</v>
      </c>
      <c r="M155" s="37"/>
    </row>
    <row r="156" spans="1:13" hidden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152"/>
      <c r="L156" s="152"/>
      <c r="M156" s="37"/>
    </row>
    <row r="157" spans="1:13" hidden="1">
      <c r="A157" s="37"/>
      <c r="B157" s="393" t="s">
        <v>650</v>
      </c>
      <c r="C157" s="393"/>
      <c r="D157" s="37">
        <v>1</v>
      </c>
      <c r="E157" s="37">
        <v>41.8</v>
      </c>
      <c r="F157" s="37"/>
      <c r="G157" s="37">
        <v>4</v>
      </c>
      <c r="H157" s="37"/>
      <c r="I157" s="37"/>
      <c r="J157" s="37"/>
      <c r="K157" s="152">
        <f t="shared" ref="K157" si="27">ROUND((E157+F157)*G157,2)</f>
        <v>167.2</v>
      </c>
      <c r="L157" s="152">
        <f t="shared" ref="L157" si="28">ROUND(K157*0.617,2)</f>
        <v>103.16</v>
      </c>
      <c r="M157" s="37"/>
    </row>
    <row r="158" spans="1:13" hidden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</row>
    <row r="159" spans="1:13" hidden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</row>
    <row r="160" spans="1:13" ht="24" hidden="1" customHeight="1">
      <c r="A160" s="142" t="s">
        <v>32</v>
      </c>
      <c r="B160" s="394" t="str">
        <f>[4]BM_10!B42</f>
        <v>ARMAÇÃO DE PILAR OU VIGA DE UMA ESTRUTURA CONVENCIONAL DE CONCRETO ARMADO EM UM EDIFÍCIO DE MÚLTIPLOS PAVIMENTOS UTILIZANDO AÇO CA-60 DE 5,0 MM - MONTAGEM. AF_12/2015</v>
      </c>
      <c r="C160" s="394"/>
      <c r="D160" s="394"/>
      <c r="E160" s="394"/>
      <c r="F160" s="394"/>
      <c r="G160" s="394"/>
      <c r="H160" s="394"/>
      <c r="I160" s="394"/>
      <c r="J160" s="394"/>
      <c r="K160" s="394"/>
      <c r="L160" s="142">
        <f>SUM(L163:L176)</f>
        <v>129.23000000000002</v>
      </c>
      <c r="M160" s="142" t="s">
        <v>601</v>
      </c>
    </row>
    <row r="161" spans="1:13" hidden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</row>
    <row r="162" spans="1:13" hidden="1">
      <c r="A162" s="37"/>
      <c r="B162" s="393" t="s">
        <v>637</v>
      </c>
      <c r="C162" s="393"/>
      <c r="D162" s="37"/>
      <c r="E162" s="37" t="s">
        <v>647</v>
      </c>
      <c r="F162" s="37" t="s">
        <v>648</v>
      </c>
      <c r="G162" s="37"/>
      <c r="H162" s="37"/>
      <c r="I162" s="37"/>
      <c r="J162" s="37"/>
      <c r="K162" s="37"/>
      <c r="L162" s="37"/>
      <c r="M162" s="37"/>
    </row>
    <row r="163" spans="1:13" hidden="1">
      <c r="A163" s="37"/>
      <c r="B163" s="393" t="s">
        <v>625</v>
      </c>
      <c r="C163" s="393"/>
      <c r="D163" s="37">
        <v>1</v>
      </c>
      <c r="E163" s="37">
        <v>7.45</v>
      </c>
      <c r="F163" s="37">
        <v>1.5</v>
      </c>
      <c r="G163" s="37">
        <v>1.07</v>
      </c>
      <c r="H163" s="37"/>
      <c r="I163" s="37"/>
      <c r="J163" s="37"/>
      <c r="K163" s="151">
        <f>ROUND((E163+F163)/0.15,2)*G163</f>
        <v>63.846900000000005</v>
      </c>
      <c r="L163" s="146">
        <f>ROUND(K163*0.154,2)</f>
        <v>9.83</v>
      </c>
      <c r="M163" s="37"/>
    </row>
    <row r="164" spans="1:13" hidden="1">
      <c r="A164" s="37"/>
      <c r="B164" s="393" t="s">
        <v>626</v>
      </c>
      <c r="C164" s="393"/>
      <c r="D164" s="37">
        <v>1</v>
      </c>
      <c r="E164" s="37">
        <v>5.25</v>
      </c>
      <c r="F164" s="37">
        <v>1.5</v>
      </c>
      <c r="G164" s="37">
        <v>0.87</v>
      </c>
      <c r="H164" s="37"/>
      <c r="I164" s="37"/>
      <c r="J164" s="37"/>
      <c r="K164" s="151">
        <f t="shared" ref="K164:K176" si="29">ROUND((E164+F164)/0.15,2)*G164</f>
        <v>39.15</v>
      </c>
      <c r="L164" s="146">
        <f t="shared" ref="L164:L176" si="30">ROUND(K164*0.154,2)</f>
        <v>6.03</v>
      </c>
      <c r="M164" s="37"/>
    </row>
    <row r="165" spans="1:13" hidden="1">
      <c r="A165" s="37"/>
      <c r="B165" s="393" t="s">
        <v>627</v>
      </c>
      <c r="C165" s="393"/>
      <c r="D165" s="37">
        <v>1</v>
      </c>
      <c r="E165" s="37">
        <v>5.25</v>
      </c>
      <c r="F165" s="37">
        <v>1.5</v>
      </c>
      <c r="G165" s="37">
        <v>1.27</v>
      </c>
      <c r="H165" s="37"/>
      <c r="I165" s="37"/>
      <c r="J165" s="37"/>
      <c r="K165" s="151">
        <f t="shared" si="29"/>
        <v>57.15</v>
      </c>
      <c r="L165" s="146">
        <f t="shared" si="30"/>
        <v>8.8000000000000007</v>
      </c>
      <c r="M165" s="37"/>
    </row>
    <row r="166" spans="1:13" hidden="1">
      <c r="A166" s="37"/>
      <c r="B166" s="393" t="s">
        <v>628</v>
      </c>
      <c r="C166" s="393"/>
      <c r="D166" s="37">
        <v>1</v>
      </c>
      <c r="E166" s="37">
        <v>5.25</v>
      </c>
      <c r="F166" s="37">
        <v>1.5</v>
      </c>
      <c r="G166" s="37">
        <v>1.17</v>
      </c>
      <c r="H166" s="37"/>
      <c r="I166" s="37"/>
      <c r="J166" s="37"/>
      <c r="K166" s="151">
        <f t="shared" si="29"/>
        <v>52.65</v>
      </c>
      <c r="L166" s="146">
        <f t="shared" si="30"/>
        <v>8.11</v>
      </c>
      <c r="M166" s="37"/>
    </row>
    <row r="167" spans="1:13" hidden="1">
      <c r="A167" s="37"/>
      <c r="B167" s="393" t="s">
        <v>629</v>
      </c>
      <c r="C167" s="393"/>
      <c r="D167" s="37">
        <v>1</v>
      </c>
      <c r="E167" s="37">
        <v>5.25</v>
      </c>
      <c r="F167" s="37">
        <v>1.5</v>
      </c>
      <c r="G167" s="37">
        <v>1.17</v>
      </c>
      <c r="H167" s="37"/>
      <c r="I167" s="37"/>
      <c r="J167" s="37"/>
      <c r="K167" s="151">
        <f t="shared" si="29"/>
        <v>52.65</v>
      </c>
      <c r="L167" s="146">
        <f t="shared" si="30"/>
        <v>8.11</v>
      </c>
      <c r="M167" s="37"/>
    </row>
    <row r="168" spans="1:13" hidden="1">
      <c r="A168" s="37"/>
      <c r="B168" s="393" t="s">
        <v>630</v>
      </c>
      <c r="C168" s="393"/>
      <c r="D168" s="37">
        <v>1</v>
      </c>
      <c r="E168" s="37">
        <v>7.45</v>
      </c>
      <c r="F168" s="37">
        <v>1.5</v>
      </c>
      <c r="G168" s="37">
        <v>1.17</v>
      </c>
      <c r="H168" s="37"/>
      <c r="I168" s="37"/>
      <c r="J168" s="37"/>
      <c r="K168" s="151">
        <f t="shared" si="29"/>
        <v>69.813900000000004</v>
      </c>
      <c r="L168" s="146">
        <f t="shared" si="30"/>
        <v>10.75</v>
      </c>
      <c r="M168" s="37"/>
    </row>
    <row r="169" spans="1:13" hidden="1">
      <c r="A169" s="37"/>
      <c r="B169" s="393" t="s">
        <v>631</v>
      </c>
      <c r="C169" s="393"/>
      <c r="D169" s="37">
        <v>1</v>
      </c>
      <c r="E169" s="37">
        <v>5.25</v>
      </c>
      <c r="F169" s="37">
        <v>1.5</v>
      </c>
      <c r="G169" s="37">
        <v>1.07</v>
      </c>
      <c r="H169" s="37"/>
      <c r="I169" s="37"/>
      <c r="J169" s="37"/>
      <c r="K169" s="151">
        <f t="shared" si="29"/>
        <v>48.150000000000006</v>
      </c>
      <c r="L169" s="146">
        <f t="shared" si="30"/>
        <v>7.42</v>
      </c>
      <c r="M169" s="37"/>
    </row>
    <row r="170" spans="1:13" hidden="1">
      <c r="A170" s="37"/>
      <c r="B170" s="393" t="s">
        <v>632</v>
      </c>
      <c r="C170" s="393"/>
      <c r="D170" s="37">
        <v>1</v>
      </c>
      <c r="E170" s="37">
        <v>5.25</v>
      </c>
      <c r="F170" s="37">
        <v>1.5</v>
      </c>
      <c r="G170" s="37">
        <v>1.07</v>
      </c>
      <c r="H170" s="37"/>
      <c r="I170" s="37"/>
      <c r="J170" s="37"/>
      <c r="K170" s="151">
        <f t="shared" si="29"/>
        <v>48.150000000000006</v>
      </c>
      <c r="L170" s="146">
        <f t="shared" si="30"/>
        <v>7.42</v>
      </c>
      <c r="M170" s="37"/>
    </row>
    <row r="171" spans="1:13" hidden="1">
      <c r="A171" s="37"/>
      <c r="B171" s="393" t="s">
        <v>633</v>
      </c>
      <c r="C171" s="393"/>
      <c r="D171" s="37">
        <v>1</v>
      </c>
      <c r="E171" s="37">
        <v>4.45</v>
      </c>
      <c r="F171" s="37"/>
      <c r="G171" s="37">
        <v>1.07</v>
      </c>
      <c r="H171" s="37"/>
      <c r="I171" s="37"/>
      <c r="J171" s="37"/>
      <c r="K171" s="151">
        <f t="shared" si="29"/>
        <v>31.746900000000004</v>
      </c>
      <c r="L171" s="146">
        <f t="shared" si="30"/>
        <v>4.8899999999999997</v>
      </c>
      <c r="M171" s="37"/>
    </row>
    <row r="172" spans="1:13" hidden="1">
      <c r="A172" s="37"/>
      <c r="B172" s="393" t="s">
        <v>634</v>
      </c>
      <c r="C172" s="393"/>
      <c r="D172" s="37">
        <v>1</v>
      </c>
      <c r="E172" s="37">
        <v>4.45</v>
      </c>
      <c r="F172" s="37"/>
      <c r="G172" s="37">
        <v>1.07</v>
      </c>
      <c r="H172" s="37"/>
      <c r="I172" s="37"/>
      <c r="J172" s="37"/>
      <c r="K172" s="151">
        <f t="shared" si="29"/>
        <v>31.746900000000004</v>
      </c>
      <c r="L172" s="146">
        <f t="shared" si="30"/>
        <v>4.8899999999999997</v>
      </c>
      <c r="M172" s="37"/>
    </row>
    <row r="173" spans="1:13" hidden="1">
      <c r="A173" s="37"/>
      <c r="B173" s="393" t="s">
        <v>635</v>
      </c>
      <c r="C173" s="393"/>
      <c r="D173" s="37">
        <v>1</v>
      </c>
      <c r="E173" s="37">
        <v>4.45</v>
      </c>
      <c r="F173" s="37"/>
      <c r="G173" s="37">
        <v>1.07</v>
      </c>
      <c r="H173" s="37"/>
      <c r="I173" s="37"/>
      <c r="J173" s="37"/>
      <c r="K173" s="151">
        <f t="shared" si="29"/>
        <v>31.746900000000004</v>
      </c>
      <c r="L173" s="146">
        <f t="shared" si="30"/>
        <v>4.8899999999999997</v>
      </c>
      <c r="M173" s="37"/>
    </row>
    <row r="174" spans="1:13" hidden="1">
      <c r="A174" s="37"/>
      <c r="B174" s="393" t="s">
        <v>636</v>
      </c>
      <c r="C174" s="393"/>
      <c r="D174" s="37">
        <v>1</v>
      </c>
      <c r="E174" s="37">
        <v>7.45</v>
      </c>
      <c r="F174" s="37">
        <v>1.5</v>
      </c>
      <c r="G174" s="37">
        <v>1.17</v>
      </c>
      <c r="H174" s="37"/>
      <c r="I174" s="37"/>
      <c r="J174" s="37"/>
      <c r="K174" s="151">
        <f t="shared" si="29"/>
        <v>69.813900000000004</v>
      </c>
      <c r="L174" s="146">
        <f t="shared" si="30"/>
        <v>10.75</v>
      </c>
      <c r="M174" s="37"/>
    </row>
    <row r="175" spans="1:13" hidden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151"/>
      <c r="L175" s="146"/>
      <c r="M175" s="37"/>
    </row>
    <row r="176" spans="1:13" hidden="1">
      <c r="A176" s="37"/>
      <c r="B176" s="393" t="s">
        <v>650</v>
      </c>
      <c r="C176" s="393"/>
      <c r="D176" s="37">
        <v>1</v>
      </c>
      <c r="E176" s="37">
        <v>41.8</v>
      </c>
      <c r="F176" s="37"/>
      <c r="G176" s="37">
        <v>0.87</v>
      </c>
      <c r="H176" s="37"/>
      <c r="I176" s="37"/>
      <c r="J176" s="37"/>
      <c r="K176" s="151">
        <f t="shared" si="29"/>
        <v>242.44290000000001</v>
      </c>
      <c r="L176" s="146">
        <f t="shared" si="30"/>
        <v>37.340000000000003</v>
      </c>
      <c r="M176" s="37"/>
    </row>
    <row r="177" spans="1:13" hidden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</row>
    <row r="178" spans="1:13" ht="20.45" hidden="1" customHeight="1">
      <c r="A178" s="142" t="s">
        <v>30</v>
      </c>
      <c r="B178" s="394" t="str">
        <f>[4]BM_10!B39</f>
        <v>ARMAÇÃO DE PILAR OU VIGA DE UMA ESTRUTURA CONVENCIONAL DE CONCRETO ARMADO EM UM EDIFÍCIO DE MÚLTIPLOS PAVIMENTOS UTILIZANDO AÇO CA-50 DE 12,5 MM - MONTAGEM. AF_12/2015</v>
      </c>
      <c r="C178" s="394"/>
      <c r="D178" s="394"/>
      <c r="E178" s="394"/>
      <c r="F178" s="394"/>
      <c r="G178" s="394"/>
      <c r="H178" s="394"/>
      <c r="I178" s="394"/>
      <c r="J178" s="394"/>
      <c r="K178" s="394"/>
      <c r="L178" s="142">
        <f>SUM(L181:L189)</f>
        <v>269.19</v>
      </c>
      <c r="M178" s="142" t="s">
        <v>601</v>
      </c>
    </row>
    <row r="179" spans="1:13" hidden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</row>
    <row r="180" spans="1:13" hidden="1">
      <c r="A180" s="37"/>
      <c r="B180" s="393" t="s">
        <v>637</v>
      </c>
      <c r="C180" s="393"/>
      <c r="D180" s="37"/>
      <c r="E180" s="37" t="s">
        <v>647</v>
      </c>
      <c r="F180" s="37" t="s">
        <v>648</v>
      </c>
      <c r="G180" s="37" t="s">
        <v>649</v>
      </c>
      <c r="H180" s="37"/>
      <c r="I180" s="37"/>
      <c r="J180" s="37"/>
      <c r="K180" s="37"/>
      <c r="L180" s="37"/>
      <c r="M180" s="37"/>
    </row>
    <row r="181" spans="1:13" hidden="1">
      <c r="A181" s="37"/>
      <c r="B181" s="393" t="s">
        <v>625</v>
      </c>
      <c r="C181" s="393"/>
      <c r="D181" s="37">
        <v>1</v>
      </c>
      <c r="E181" s="37">
        <v>7.45</v>
      </c>
      <c r="F181" s="37">
        <v>1.5</v>
      </c>
      <c r="G181" s="37">
        <v>6</v>
      </c>
      <c r="H181" s="37"/>
      <c r="I181" s="37"/>
      <c r="J181" s="37"/>
      <c r="K181" s="152">
        <f>ROUND((E181+F181)*G181,2)</f>
        <v>53.7</v>
      </c>
      <c r="L181" s="152">
        <f>ROUND(K181*0.617,2)</f>
        <v>33.130000000000003</v>
      </c>
      <c r="M181" s="37"/>
    </row>
    <row r="182" spans="1:13" hidden="1">
      <c r="A182" s="37"/>
      <c r="B182" s="393" t="s">
        <v>626</v>
      </c>
      <c r="C182" s="393"/>
      <c r="D182" s="37">
        <v>1</v>
      </c>
      <c r="E182" s="37">
        <v>5.25</v>
      </c>
      <c r="F182" s="37">
        <v>1.5</v>
      </c>
      <c r="G182" s="37">
        <v>6</v>
      </c>
      <c r="H182" s="37"/>
      <c r="I182" s="37"/>
      <c r="J182" s="37"/>
      <c r="K182" s="152">
        <f t="shared" ref="K182:K189" si="31">ROUND((E182+F182)*G182,2)</f>
        <v>40.5</v>
      </c>
      <c r="L182" s="152">
        <f t="shared" ref="L182:L189" si="32">ROUND(K182*0.617,2)</f>
        <v>24.99</v>
      </c>
      <c r="M182" s="37"/>
    </row>
    <row r="183" spans="1:13" hidden="1">
      <c r="A183" s="37"/>
      <c r="B183" s="393" t="s">
        <v>628</v>
      </c>
      <c r="C183" s="393"/>
      <c r="D183" s="37">
        <v>1</v>
      </c>
      <c r="E183" s="37">
        <v>5.25</v>
      </c>
      <c r="F183" s="37">
        <v>1.5</v>
      </c>
      <c r="G183" s="37">
        <v>6</v>
      </c>
      <c r="H183" s="37"/>
      <c r="I183" s="37"/>
      <c r="J183" s="37"/>
      <c r="K183" s="152">
        <f t="shared" si="31"/>
        <v>40.5</v>
      </c>
      <c r="L183" s="152">
        <f t="shared" si="32"/>
        <v>24.99</v>
      </c>
      <c r="M183" s="37"/>
    </row>
    <row r="184" spans="1:13" hidden="1">
      <c r="A184" s="37"/>
      <c r="B184" s="393" t="s">
        <v>631</v>
      </c>
      <c r="C184" s="393"/>
      <c r="D184" s="37">
        <v>1</v>
      </c>
      <c r="E184" s="37">
        <v>5.25</v>
      </c>
      <c r="F184" s="37">
        <v>1.5</v>
      </c>
      <c r="G184" s="37">
        <v>6</v>
      </c>
      <c r="H184" s="37"/>
      <c r="I184" s="37"/>
      <c r="J184" s="37"/>
      <c r="K184" s="152">
        <f t="shared" si="31"/>
        <v>40.5</v>
      </c>
      <c r="L184" s="152">
        <f t="shared" si="32"/>
        <v>24.99</v>
      </c>
      <c r="M184" s="37"/>
    </row>
    <row r="185" spans="1:13" hidden="1">
      <c r="A185" s="37"/>
      <c r="B185" s="393" t="s">
        <v>632</v>
      </c>
      <c r="C185" s="393"/>
      <c r="D185" s="37">
        <v>1</v>
      </c>
      <c r="E185" s="37">
        <v>5.25</v>
      </c>
      <c r="F185" s="37">
        <v>1.5</v>
      </c>
      <c r="G185" s="37">
        <v>6</v>
      </c>
      <c r="H185" s="37"/>
      <c r="I185" s="37"/>
      <c r="J185" s="37"/>
      <c r="K185" s="152">
        <f t="shared" si="31"/>
        <v>40.5</v>
      </c>
      <c r="L185" s="152">
        <f t="shared" si="32"/>
        <v>24.99</v>
      </c>
      <c r="M185" s="37"/>
    </row>
    <row r="186" spans="1:13" hidden="1">
      <c r="A186" s="37"/>
      <c r="B186" s="393" t="s">
        <v>633</v>
      </c>
      <c r="C186" s="393"/>
      <c r="D186" s="37">
        <v>1</v>
      </c>
      <c r="E186" s="37">
        <v>4.45</v>
      </c>
      <c r="F186" s="37"/>
      <c r="G186" s="37">
        <v>6</v>
      </c>
      <c r="H186" s="37"/>
      <c r="I186" s="37"/>
      <c r="J186" s="37"/>
      <c r="K186" s="152">
        <f t="shared" si="31"/>
        <v>26.7</v>
      </c>
      <c r="L186" s="152">
        <f t="shared" si="32"/>
        <v>16.47</v>
      </c>
      <c r="M186" s="37"/>
    </row>
    <row r="187" spans="1:13" hidden="1">
      <c r="A187" s="37"/>
      <c r="B187" s="393" t="s">
        <v>634</v>
      </c>
      <c r="C187" s="393"/>
      <c r="D187" s="37">
        <v>1</v>
      </c>
      <c r="E187" s="37">
        <v>4.45</v>
      </c>
      <c r="F187" s="37"/>
      <c r="G187" s="37">
        <v>6</v>
      </c>
      <c r="H187" s="37"/>
      <c r="I187" s="37"/>
      <c r="J187" s="37"/>
      <c r="K187" s="152">
        <f t="shared" si="31"/>
        <v>26.7</v>
      </c>
      <c r="L187" s="152">
        <f t="shared" si="32"/>
        <v>16.47</v>
      </c>
      <c r="M187" s="37"/>
    </row>
    <row r="188" spans="1:13" hidden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152"/>
      <c r="L188" s="152"/>
      <c r="M188" s="37"/>
    </row>
    <row r="189" spans="1:13" hidden="1">
      <c r="A189" s="37"/>
      <c r="B189" s="393" t="s">
        <v>650</v>
      </c>
      <c r="C189" s="393"/>
      <c r="D189" s="37">
        <v>1</v>
      </c>
      <c r="E189" s="37">
        <v>41.8</v>
      </c>
      <c r="F189" s="37"/>
      <c r="G189" s="37">
        <v>4</v>
      </c>
      <c r="H189" s="37"/>
      <c r="I189" s="37"/>
      <c r="J189" s="37"/>
      <c r="K189" s="152">
        <f t="shared" si="31"/>
        <v>167.2</v>
      </c>
      <c r="L189" s="152">
        <f t="shared" si="32"/>
        <v>103.16</v>
      </c>
      <c r="M189" s="37"/>
    </row>
    <row r="190" spans="1:13" hidden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</row>
    <row r="191" spans="1:13" ht="22.15" hidden="1" customHeight="1">
      <c r="A191" s="142" t="str">
        <f>[4]BM_10!A38</f>
        <v>2.8</v>
      </c>
      <c r="B191" s="394" t="str">
        <f>[4]BM_10!B38</f>
        <v>Forma plana para estruturas, em compensado plastificado de 12mm, 07 usos.</v>
      </c>
      <c r="C191" s="394"/>
      <c r="D191" s="394"/>
      <c r="E191" s="394"/>
      <c r="F191" s="394"/>
      <c r="G191" s="394"/>
      <c r="H191" s="394"/>
      <c r="I191" s="394"/>
      <c r="J191" s="394"/>
      <c r="K191" s="394"/>
      <c r="L191" s="142">
        <f>SUM(L194:L198)</f>
        <v>286.79999999999995</v>
      </c>
      <c r="M191" s="142" t="s">
        <v>601</v>
      </c>
    </row>
    <row r="192" spans="1:13" hidden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</row>
    <row r="193" spans="1:13" hidden="1">
      <c r="A193" s="37"/>
      <c r="B193" s="393" t="s">
        <v>637</v>
      </c>
      <c r="C193" s="393"/>
      <c r="D193" s="37"/>
      <c r="E193" s="37" t="s">
        <v>647</v>
      </c>
      <c r="F193" s="37" t="s">
        <v>648</v>
      </c>
      <c r="G193" s="37" t="s">
        <v>649</v>
      </c>
      <c r="H193" s="37"/>
      <c r="I193" s="37"/>
      <c r="J193" s="37"/>
      <c r="K193" s="37"/>
      <c r="L193" s="37"/>
      <c r="M193" s="37"/>
    </row>
    <row r="194" spans="1:13" hidden="1">
      <c r="A194" s="37"/>
      <c r="B194" s="393" t="s">
        <v>627</v>
      </c>
      <c r="C194" s="393"/>
      <c r="D194" s="37">
        <v>1</v>
      </c>
      <c r="E194" s="37">
        <v>5.25</v>
      </c>
      <c r="F194" s="37">
        <v>1.5</v>
      </c>
      <c r="G194" s="37">
        <v>8</v>
      </c>
      <c r="H194" s="37"/>
      <c r="I194" s="37"/>
      <c r="J194" s="37"/>
      <c r="K194" s="152">
        <f>ROUND((E194+F194)*G194,2)</f>
        <v>54</v>
      </c>
      <c r="L194" s="152">
        <f>ROUND(K194*1,2)</f>
        <v>54</v>
      </c>
      <c r="M194" s="37"/>
    </row>
    <row r="195" spans="1:13" hidden="1">
      <c r="A195" s="37"/>
      <c r="B195" s="393" t="s">
        <v>629</v>
      </c>
      <c r="C195" s="393"/>
      <c r="D195" s="37">
        <v>1</v>
      </c>
      <c r="E195" s="37">
        <v>5.25</v>
      </c>
      <c r="F195" s="37">
        <v>1.5</v>
      </c>
      <c r="G195" s="37">
        <v>8</v>
      </c>
      <c r="H195" s="37"/>
      <c r="I195" s="37"/>
      <c r="J195" s="37"/>
      <c r="K195" s="152">
        <f t="shared" ref="K195:K198" si="33">ROUND((E195+F195)*G195,2)</f>
        <v>54</v>
      </c>
      <c r="L195" s="152">
        <f t="shared" ref="L195:L198" si="34">ROUND(K195*1,2)</f>
        <v>54</v>
      </c>
      <c r="M195" s="37"/>
    </row>
    <row r="196" spans="1:13" hidden="1">
      <c r="A196" s="37"/>
      <c r="B196" s="393" t="s">
        <v>630</v>
      </c>
      <c r="C196" s="393"/>
      <c r="D196" s="37">
        <v>1</v>
      </c>
      <c r="E196" s="37">
        <v>7.45</v>
      </c>
      <c r="F196" s="37">
        <v>1.5</v>
      </c>
      <c r="G196" s="37">
        <v>8</v>
      </c>
      <c r="H196" s="37"/>
      <c r="I196" s="37"/>
      <c r="J196" s="37"/>
      <c r="K196" s="152">
        <f t="shared" si="33"/>
        <v>71.599999999999994</v>
      </c>
      <c r="L196" s="152">
        <f t="shared" si="34"/>
        <v>71.599999999999994</v>
      </c>
      <c r="M196" s="37"/>
    </row>
    <row r="197" spans="1:13" hidden="1">
      <c r="A197" s="37"/>
      <c r="B197" s="393" t="s">
        <v>635</v>
      </c>
      <c r="C197" s="393"/>
      <c r="D197" s="37">
        <v>1</v>
      </c>
      <c r="E197" s="37">
        <v>4.45</v>
      </c>
      <c r="F197" s="37"/>
      <c r="G197" s="37">
        <v>8</v>
      </c>
      <c r="H197" s="37"/>
      <c r="I197" s="37"/>
      <c r="J197" s="37"/>
      <c r="K197" s="152">
        <f t="shared" si="33"/>
        <v>35.6</v>
      </c>
      <c r="L197" s="152">
        <f t="shared" si="34"/>
        <v>35.6</v>
      </c>
      <c r="M197" s="37"/>
    </row>
    <row r="198" spans="1:13" hidden="1">
      <c r="A198" s="37"/>
      <c r="B198" s="393" t="s">
        <v>636</v>
      </c>
      <c r="C198" s="393"/>
      <c r="D198" s="37">
        <v>1</v>
      </c>
      <c r="E198" s="37">
        <v>7.45</v>
      </c>
      <c r="F198" s="37">
        <v>1.5</v>
      </c>
      <c r="G198" s="37">
        <v>8</v>
      </c>
      <c r="H198" s="37"/>
      <c r="I198" s="37"/>
      <c r="J198" s="37"/>
      <c r="K198" s="152">
        <f t="shared" si="33"/>
        <v>71.599999999999994</v>
      </c>
      <c r="L198" s="152">
        <f t="shared" si="34"/>
        <v>71.599999999999994</v>
      </c>
      <c r="M198" s="37"/>
    </row>
    <row r="199" spans="1:13" hidden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</row>
    <row r="200" spans="1:13" hidden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</row>
    <row r="201" spans="1:13" hidden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</row>
    <row r="202" spans="1:13" hidden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</row>
    <row r="203" spans="1:13" ht="14.45" hidden="1" customHeight="1">
      <c r="A203" s="142" t="s">
        <v>604</v>
      </c>
      <c r="B203" s="394" t="str">
        <f>[2]ORÇAMENTO!B36</f>
        <v>ALVENARIA E VEDAÇÕES</v>
      </c>
      <c r="C203" s="394"/>
      <c r="D203" s="394"/>
      <c r="E203" s="394"/>
      <c r="F203" s="394"/>
      <c r="G203" s="394"/>
      <c r="H203" s="394"/>
      <c r="I203" s="394"/>
      <c r="J203" s="394"/>
      <c r="K203" s="394"/>
      <c r="L203" s="142"/>
      <c r="M203" s="142"/>
    </row>
    <row r="204" spans="1:13" hidden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</row>
    <row r="205" spans="1:13" ht="28.9" hidden="1" customHeight="1">
      <c r="A205" s="142" t="s">
        <v>48</v>
      </c>
      <c r="B205" s="394" t="str">
        <f>[2]REPROGRAMAÇÃO!C45</f>
        <v>ALVENARIA DE VEDAÇÃO DE BLOCOS CERÂMICOS FURADOS NA HORIZONTAL DE 9X19X19 CM (ESPESSURA 9 CM) E ARGAMASSA DE ASSENTAMENTO COM PREPARO EM BETONEIRA.</v>
      </c>
      <c r="C205" s="394"/>
      <c r="D205" s="394"/>
      <c r="E205" s="394"/>
      <c r="F205" s="394"/>
      <c r="G205" s="394"/>
      <c r="H205" s="394"/>
      <c r="I205" s="394"/>
      <c r="J205" s="394"/>
      <c r="K205" s="394"/>
      <c r="L205" s="142">
        <f>SUM(L207:L218)</f>
        <v>86.983999999999995</v>
      </c>
      <c r="M205" s="142" t="s">
        <v>429</v>
      </c>
    </row>
    <row r="206" spans="1:13" hidden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46"/>
      <c r="L206" s="68"/>
      <c r="M206" s="37"/>
    </row>
    <row r="207" spans="1:13" hidden="1">
      <c r="A207" s="37"/>
      <c r="B207" s="437" t="s">
        <v>608</v>
      </c>
      <c r="C207" s="437"/>
      <c r="D207" s="149">
        <v>1</v>
      </c>
      <c r="E207" s="146">
        <v>1.2</v>
      </c>
      <c r="F207" s="146"/>
      <c r="G207" s="146">
        <v>1.4</v>
      </c>
      <c r="H207" s="149"/>
      <c r="I207" s="149"/>
      <c r="J207" s="149"/>
      <c r="K207" s="149">
        <f>E207*G207</f>
        <v>1.68</v>
      </c>
      <c r="L207" s="149">
        <f>K207*D207</f>
        <v>1.68</v>
      </c>
      <c r="M207" s="37"/>
    </row>
    <row r="208" spans="1:13" hidden="1">
      <c r="A208" s="37"/>
      <c r="B208" s="437" t="s">
        <v>609</v>
      </c>
      <c r="C208" s="437"/>
      <c r="D208" s="149">
        <v>1</v>
      </c>
      <c r="E208" s="146">
        <v>3.8</v>
      </c>
      <c r="F208" s="146"/>
      <c r="G208" s="146">
        <v>0.7</v>
      </c>
      <c r="H208" s="149"/>
      <c r="I208" s="149"/>
      <c r="J208" s="149"/>
      <c r="K208" s="149">
        <f t="shared" ref="K208:K218" si="35">E208*G208</f>
        <v>2.6599999999999997</v>
      </c>
      <c r="L208" s="149">
        <f t="shared" ref="L208:L218" si="36">K208*D208</f>
        <v>2.6599999999999997</v>
      </c>
      <c r="M208" s="37"/>
    </row>
    <row r="209" spans="1:13" hidden="1">
      <c r="A209" s="37"/>
      <c r="B209" s="437" t="s">
        <v>610</v>
      </c>
      <c r="C209" s="437"/>
      <c r="D209" s="149">
        <v>1</v>
      </c>
      <c r="E209" s="146">
        <v>2.1</v>
      </c>
      <c r="F209" s="146"/>
      <c r="G209" s="146">
        <v>2.8</v>
      </c>
      <c r="H209" s="149"/>
      <c r="I209" s="149"/>
      <c r="J209" s="149"/>
      <c r="K209" s="149">
        <f t="shared" si="35"/>
        <v>5.88</v>
      </c>
      <c r="L209" s="149">
        <f t="shared" si="36"/>
        <v>5.88</v>
      </c>
      <c r="M209" s="37"/>
    </row>
    <row r="210" spans="1:13" hidden="1">
      <c r="A210" s="37"/>
      <c r="B210" s="437" t="s">
        <v>610</v>
      </c>
      <c r="C210" s="437"/>
      <c r="D210" s="149">
        <v>1</v>
      </c>
      <c r="E210" s="146">
        <v>2.8</v>
      </c>
      <c r="F210" s="146"/>
      <c r="G210" s="146">
        <v>1.5</v>
      </c>
      <c r="H210" s="149"/>
      <c r="I210" s="149"/>
      <c r="J210" s="149"/>
      <c r="K210" s="149">
        <f t="shared" si="35"/>
        <v>4.1999999999999993</v>
      </c>
      <c r="L210" s="149">
        <f t="shared" si="36"/>
        <v>4.1999999999999993</v>
      </c>
      <c r="M210" s="37"/>
    </row>
    <row r="211" spans="1:13" hidden="1">
      <c r="A211" s="37"/>
      <c r="B211" s="437" t="s">
        <v>611</v>
      </c>
      <c r="C211" s="437"/>
      <c r="D211" s="149">
        <v>1</v>
      </c>
      <c r="E211" s="146">
        <v>8</v>
      </c>
      <c r="F211" s="146"/>
      <c r="G211" s="146">
        <v>1.9</v>
      </c>
      <c r="H211" s="149"/>
      <c r="I211" s="149"/>
      <c r="J211" s="149"/>
      <c r="K211" s="149">
        <f t="shared" si="35"/>
        <v>15.2</v>
      </c>
      <c r="L211" s="149">
        <f t="shared" si="36"/>
        <v>15.2</v>
      </c>
      <c r="M211" s="37"/>
    </row>
    <row r="212" spans="1:13" hidden="1">
      <c r="A212" s="37"/>
      <c r="B212" s="437" t="s">
        <v>612</v>
      </c>
      <c r="C212" s="437"/>
      <c r="D212" s="149">
        <v>1</v>
      </c>
      <c r="E212" s="146">
        <v>4.9000000000000004</v>
      </c>
      <c r="F212" s="146"/>
      <c r="G212" s="146">
        <v>1.85</v>
      </c>
      <c r="H212" s="149"/>
      <c r="I212" s="149"/>
      <c r="J212" s="149"/>
      <c r="K212" s="149">
        <f t="shared" si="35"/>
        <v>9.0650000000000013</v>
      </c>
      <c r="L212" s="149">
        <f t="shared" si="36"/>
        <v>9.0650000000000013</v>
      </c>
      <c r="M212" s="37"/>
    </row>
    <row r="213" spans="1:13" hidden="1">
      <c r="A213" s="37"/>
      <c r="B213" s="437" t="s">
        <v>613</v>
      </c>
      <c r="C213" s="437"/>
      <c r="D213" s="149">
        <v>1</v>
      </c>
      <c r="E213" s="146">
        <v>5</v>
      </c>
      <c r="F213" s="146"/>
      <c r="G213" s="146">
        <v>1.65</v>
      </c>
      <c r="H213" s="149"/>
      <c r="I213" s="149"/>
      <c r="J213" s="149"/>
      <c r="K213" s="149">
        <f t="shared" si="35"/>
        <v>8.25</v>
      </c>
      <c r="L213" s="149">
        <f t="shared" si="36"/>
        <v>8.25</v>
      </c>
      <c r="M213" s="37"/>
    </row>
    <row r="214" spans="1:13" hidden="1">
      <c r="A214" s="37"/>
      <c r="B214" s="437" t="s">
        <v>614</v>
      </c>
      <c r="C214" s="437"/>
      <c r="D214" s="149">
        <v>1</v>
      </c>
      <c r="E214" s="146">
        <v>20.2</v>
      </c>
      <c r="F214" s="146"/>
      <c r="G214" s="146">
        <v>0.35</v>
      </c>
      <c r="H214" s="149"/>
      <c r="I214" s="149"/>
      <c r="J214" s="149"/>
      <c r="K214" s="149">
        <f t="shared" si="35"/>
        <v>7.0699999999999994</v>
      </c>
      <c r="L214" s="149">
        <f t="shared" si="36"/>
        <v>7.0699999999999994</v>
      </c>
      <c r="M214" s="37"/>
    </row>
    <row r="215" spans="1:13" hidden="1">
      <c r="A215" s="37"/>
      <c r="B215" s="437" t="s">
        <v>620</v>
      </c>
      <c r="C215" s="437"/>
      <c r="D215" s="149">
        <v>1</v>
      </c>
      <c r="E215" s="146">
        <v>5.9</v>
      </c>
      <c r="F215" s="146"/>
      <c r="G215" s="146">
        <v>2.35</v>
      </c>
      <c r="H215" s="149"/>
      <c r="I215" s="149"/>
      <c r="J215" s="149"/>
      <c r="K215" s="149">
        <f t="shared" si="35"/>
        <v>13.865000000000002</v>
      </c>
      <c r="L215" s="149">
        <f t="shared" si="36"/>
        <v>13.865000000000002</v>
      </c>
      <c r="M215" s="37"/>
    </row>
    <row r="216" spans="1:13" hidden="1">
      <c r="A216" s="37"/>
      <c r="B216" s="437" t="s">
        <v>621</v>
      </c>
      <c r="C216" s="437"/>
      <c r="D216" s="149">
        <v>1</v>
      </c>
      <c r="E216" s="146">
        <v>7.2</v>
      </c>
      <c r="F216" s="146"/>
      <c r="G216" s="146">
        <v>0.67</v>
      </c>
      <c r="H216" s="149"/>
      <c r="I216" s="149"/>
      <c r="J216" s="149"/>
      <c r="K216" s="149">
        <f t="shared" si="35"/>
        <v>4.8240000000000007</v>
      </c>
      <c r="L216" s="149">
        <f t="shared" si="36"/>
        <v>4.8240000000000007</v>
      </c>
      <c r="M216" s="37"/>
    </row>
    <row r="217" spans="1:13" hidden="1">
      <c r="A217" s="37"/>
      <c r="B217" s="437" t="s">
        <v>622</v>
      </c>
      <c r="C217" s="437"/>
      <c r="D217" s="149">
        <v>1</v>
      </c>
      <c r="E217" s="146">
        <v>0.6</v>
      </c>
      <c r="F217" s="146"/>
      <c r="G217" s="146">
        <v>8.6</v>
      </c>
      <c r="H217" s="149"/>
      <c r="I217" s="149"/>
      <c r="J217" s="149"/>
      <c r="K217" s="149">
        <f t="shared" si="35"/>
        <v>5.1599999999999993</v>
      </c>
      <c r="L217" s="149">
        <f t="shared" si="36"/>
        <v>5.1599999999999993</v>
      </c>
      <c r="M217" s="37"/>
    </row>
    <row r="218" spans="1:13" hidden="1">
      <c r="A218" s="37"/>
      <c r="B218" s="437" t="s">
        <v>623</v>
      </c>
      <c r="C218" s="437"/>
      <c r="D218" s="149">
        <v>1</v>
      </c>
      <c r="E218" s="146">
        <v>8.3000000000000007</v>
      </c>
      <c r="F218" s="146"/>
      <c r="G218" s="146">
        <v>1.1000000000000001</v>
      </c>
      <c r="H218" s="149"/>
      <c r="I218" s="149"/>
      <c r="J218" s="149"/>
      <c r="K218" s="149">
        <f t="shared" si="35"/>
        <v>9.1300000000000008</v>
      </c>
      <c r="L218" s="149">
        <f t="shared" si="36"/>
        <v>9.1300000000000008</v>
      </c>
      <c r="M218" s="37"/>
    </row>
    <row r="219" spans="1:13" hidden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1:13" hidden="1">
      <c r="A220" s="142" t="s">
        <v>527</v>
      </c>
      <c r="B220" s="394" t="str">
        <f>'[2]ITENS NOVOS'!D17</f>
        <v>ALVENARIA DE TIJOLO CERÂMICO FURADO (9x19x19)cm C/ARGAMASSA MISTA DE CAL HIDRATADA ESP=20 cm</v>
      </c>
      <c r="C220" s="394"/>
      <c r="D220" s="394"/>
      <c r="E220" s="394"/>
      <c r="F220" s="394"/>
      <c r="G220" s="394"/>
      <c r="H220" s="394"/>
      <c r="I220" s="394"/>
      <c r="J220" s="394"/>
      <c r="K220" s="394"/>
      <c r="L220" s="142">
        <f>SUM(L222:L231)</f>
        <v>82.929999999999993</v>
      </c>
      <c r="M220" s="142" t="s">
        <v>429</v>
      </c>
    </row>
    <row r="221" spans="1:13" hidden="1">
      <c r="A221" s="37"/>
      <c r="B221" s="37"/>
      <c r="C221" s="37"/>
      <c r="D221" s="37"/>
      <c r="E221" s="143" t="s">
        <v>606</v>
      </c>
      <c r="F221" s="37"/>
      <c r="G221" s="143" t="s">
        <v>584</v>
      </c>
      <c r="H221" s="37"/>
      <c r="I221" s="37"/>
      <c r="J221" s="37"/>
      <c r="K221" s="37"/>
      <c r="L221" s="37"/>
      <c r="M221" s="37"/>
    </row>
    <row r="222" spans="1:13" hidden="1">
      <c r="A222" s="37"/>
      <c r="B222" s="393"/>
      <c r="C222" s="393"/>
      <c r="D222" s="37"/>
      <c r="E222" s="37"/>
      <c r="F222" s="37"/>
      <c r="G222" s="37"/>
      <c r="H222" s="37"/>
      <c r="I222" s="37"/>
      <c r="J222" s="37"/>
      <c r="K222" s="37"/>
      <c r="L222" s="37"/>
      <c r="M222" s="37"/>
    </row>
    <row r="223" spans="1:13" hidden="1">
      <c r="A223" s="37"/>
      <c r="B223" s="437" t="s">
        <v>615</v>
      </c>
      <c r="C223" s="437"/>
      <c r="D223" s="146">
        <v>1</v>
      </c>
      <c r="E223" s="146">
        <v>1.4</v>
      </c>
      <c r="F223" s="146"/>
      <c r="G223" s="146">
        <v>0.23</v>
      </c>
      <c r="H223" s="37"/>
      <c r="I223" s="37"/>
      <c r="J223" s="37"/>
      <c r="K223" s="149">
        <f t="shared" ref="K223:K229" si="37">E223*G223</f>
        <v>0.32200000000000001</v>
      </c>
      <c r="L223" s="149">
        <f t="shared" ref="L223:L229" si="38">K223*D223</f>
        <v>0.32200000000000001</v>
      </c>
      <c r="M223" s="37"/>
    </row>
    <row r="224" spans="1:13" hidden="1">
      <c r="A224" s="37"/>
      <c r="B224" s="437" t="s">
        <v>615</v>
      </c>
      <c r="C224" s="437"/>
      <c r="D224" s="146">
        <v>1</v>
      </c>
      <c r="E224" s="146">
        <v>2.6</v>
      </c>
      <c r="F224" s="146"/>
      <c r="G224" s="146">
        <v>0.43</v>
      </c>
      <c r="H224" s="37"/>
      <c r="I224" s="37"/>
      <c r="J224" s="37"/>
      <c r="K224" s="149">
        <f t="shared" si="37"/>
        <v>1.1180000000000001</v>
      </c>
      <c r="L224" s="149">
        <f t="shared" si="38"/>
        <v>1.1180000000000001</v>
      </c>
      <c r="M224" s="37"/>
    </row>
    <row r="225" spans="1:14" hidden="1">
      <c r="A225" s="37"/>
      <c r="B225" s="437" t="s">
        <v>616</v>
      </c>
      <c r="C225" s="437"/>
      <c r="D225" s="146">
        <v>1</v>
      </c>
      <c r="E225" s="146">
        <v>1.8</v>
      </c>
      <c r="F225" s="146"/>
      <c r="G225" s="146">
        <v>1.2</v>
      </c>
      <c r="H225" s="37"/>
      <c r="I225" s="37"/>
      <c r="J225" s="37"/>
      <c r="K225" s="149">
        <f t="shared" si="37"/>
        <v>2.16</v>
      </c>
      <c r="L225" s="149">
        <f t="shared" si="38"/>
        <v>2.16</v>
      </c>
      <c r="M225" s="37"/>
    </row>
    <row r="226" spans="1:14" hidden="1">
      <c r="A226" s="37"/>
      <c r="B226" s="437" t="s">
        <v>617</v>
      </c>
      <c r="C226" s="437"/>
      <c r="D226" s="146">
        <v>1</v>
      </c>
      <c r="E226" s="146">
        <v>15.1</v>
      </c>
      <c r="F226" s="146"/>
      <c r="G226" s="146">
        <v>0.6</v>
      </c>
      <c r="H226" s="37"/>
      <c r="I226" s="37"/>
      <c r="J226" s="37"/>
      <c r="K226" s="149">
        <f t="shared" si="37"/>
        <v>9.0599999999999987</v>
      </c>
      <c r="L226" s="149">
        <f t="shared" si="38"/>
        <v>9.0599999999999987</v>
      </c>
      <c r="M226" s="37"/>
    </row>
    <row r="227" spans="1:14" hidden="1">
      <c r="A227" s="37"/>
      <c r="B227" s="437" t="s">
        <v>618</v>
      </c>
      <c r="C227" s="437"/>
      <c r="D227" s="146">
        <v>1</v>
      </c>
      <c r="E227" s="146">
        <v>1.2</v>
      </c>
      <c r="F227" s="146"/>
      <c r="G227" s="146">
        <v>1.4</v>
      </c>
      <c r="H227" s="37"/>
      <c r="I227" s="37"/>
      <c r="J227" s="37"/>
      <c r="K227" s="149">
        <f t="shared" si="37"/>
        <v>1.68</v>
      </c>
      <c r="L227" s="149">
        <f t="shared" si="38"/>
        <v>1.68</v>
      </c>
      <c r="M227" s="37"/>
    </row>
    <row r="228" spans="1:14" hidden="1">
      <c r="A228" s="37"/>
      <c r="B228" s="437" t="s">
        <v>619</v>
      </c>
      <c r="C228" s="437"/>
      <c r="D228" s="146">
        <v>1</v>
      </c>
      <c r="E228" s="146">
        <v>10.5</v>
      </c>
      <c r="F228" s="146"/>
      <c r="G228" s="146">
        <v>0.3</v>
      </c>
      <c r="H228" s="37"/>
      <c r="I228" s="37"/>
      <c r="J228" s="37"/>
      <c r="K228" s="149">
        <f t="shared" si="37"/>
        <v>3.15</v>
      </c>
      <c r="L228" s="149">
        <f t="shared" si="38"/>
        <v>3.15</v>
      </c>
      <c r="M228" s="37"/>
    </row>
    <row r="229" spans="1:14" hidden="1">
      <c r="A229" s="37"/>
      <c r="B229" s="437" t="s">
        <v>605</v>
      </c>
      <c r="C229" s="437"/>
      <c r="D229" s="146">
        <v>1</v>
      </c>
      <c r="E229" s="146">
        <v>41.8</v>
      </c>
      <c r="F229" s="146"/>
      <c r="G229" s="146">
        <v>1.3</v>
      </c>
      <c r="H229" s="37"/>
      <c r="I229" s="37"/>
      <c r="J229" s="37"/>
      <c r="K229" s="149">
        <f t="shared" si="37"/>
        <v>54.339999999999996</v>
      </c>
      <c r="L229" s="149">
        <f t="shared" si="38"/>
        <v>54.339999999999996</v>
      </c>
      <c r="M229" s="37"/>
    </row>
    <row r="230" spans="1:14" hidden="1">
      <c r="A230" s="37"/>
      <c r="B230" s="437" t="s">
        <v>624</v>
      </c>
      <c r="C230" s="437"/>
      <c r="D230" s="146">
        <v>1</v>
      </c>
      <c r="E230" s="146"/>
      <c r="F230" s="146"/>
      <c r="G230" s="146"/>
      <c r="H230" s="37"/>
      <c r="I230" s="37"/>
      <c r="J230" s="37"/>
      <c r="K230" s="149">
        <v>11.1</v>
      </c>
      <c r="L230" s="149">
        <v>11.1</v>
      </c>
      <c r="M230" s="37"/>
    </row>
    <row r="231" spans="1:14" ht="13.15" hidden="1" customHeight="1">
      <c r="A231" s="37"/>
      <c r="B231" s="437"/>
      <c r="C231" s="437"/>
      <c r="D231" s="146"/>
      <c r="E231" s="146"/>
      <c r="F231" s="37"/>
      <c r="G231" s="37"/>
      <c r="H231" s="37"/>
      <c r="I231" s="37"/>
      <c r="J231" s="37"/>
      <c r="K231" s="37"/>
      <c r="L231" s="37"/>
      <c r="M231" s="37"/>
    </row>
    <row r="232" spans="1:14" ht="26.45" customHeight="1">
      <c r="A232" s="37"/>
      <c r="B232" s="204"/>
      <c r="C232" s="204"/>
      <c r="D232" s="204"/>
      <c r="E232" s="204"/>
      <c r="F232" s="204"/>
      <c r="G232" s="204"/>
      <c r="H232" s="204"/>
      <c r="I232" s="204"/>
      <c r="J232" s="204"/>
      <c r="K232" s="37"/>
      <c r="L232" s="37"/>
      <c r="M232" s="37"/>
    </row>
    <row r="233" spans="1:14">
      <c r="A233" s="142">
        <f>BM_15!A53</f>
        <v>4</v>
      </c>
      <c r="B233" s="438" t="str">
        <f>BM_15!B53</f>
        <v>IMPERMEABILIZAÇÕES</v>
      </c>
      <c r="C233" s="439"/>
      <c r="D233" s="439"/>
      <c r="E233" s="439"/>
      <c r="F233" s="439"/>
      <c r="G233" s="439"/>
      <c r="H233" s="439"/>
      <c r="I233" s="439"/>
      <c r="J233" s="439"/>
      <c r="K233" s="440"/>
      <c r="L233" s="142"/>
      <c r="M233" s="142"/>
    </row>
    <row r="234" spans="1:14">
      <c r="A234" s="37"/>
      <c r="B234" s="204"/>
      <c r="C234" s="204"/>
      <c r="D234" s="204"/>
      <c r="E234" s="204"/>
      <c r="F234" s="204"/>
      <c r="G234" s="204"/>
      <c r="H234" s="204"/>
      <c r="I234" s="204"/>
      <c r="J234" s="204"/>
      <c r="K234" s="37"/>
      <c r="L234" s="37"/>
      <c r="M234" s="37"/>
    </row>
    <row r="235" spans="1:14" ht="27.6" customHeight="1">
      <c r="A235" s="142" t="str">
        <f>BM_15!A54</f>
        <v>4.1</v>
      </c>
      <c r="B235" s="438" t="str">
        <f>BM_15!B54</f>
        <v>IMPERMEABILIZAÇÃO DE SUPERFÍCIE COM EMULSÃO ASFÁLTICA, 2 DEMÃOS AF_06/2018</v>
      </c>
      <c r="C235" s="439"/>
      <c r="D235" s="439"/>
      <c r="E235" s="439"/>
      <c r="F235" s="439"/>
      <c r="G235" s="439"/>
      <c r="H235" s="439"/>
      <c r="I235" s="439"/>
      <c r="J235" s="439"/>
      <c r="K235" s="440"/>
      <c r="L235" s="243">
        <f>L237</f>
        <v>0</v>
      </c>
      <c r="M235" s="142" t="s">
        <v>429</v>
      </c>
    </row>
    <row r="236" spans="1:14">
      <c r="A236" s="37"/>
      <c r="B236" s="204"/>
      <c r="C236" s="204"/>
      <c r="D236" s="204"/>
      <c r="E236" s="204"/>
      <c r="F236" s="204"/>
      <c r="G236" s="204"/>
      <c r="H236" s="204"/>
      <c r="I236" s="204"/>
      <c r="J236" s="204"/>
      <c r="K236" s="37"/>
      <c r="L236" s="37"/>
      <c r="M236" s="37"/>
    </row>
    <row r="237" spans="1:14">
      <c r="A237" s="37"/>
      <c r="B237" s="441" t="s">
        <v>799</v>
      </c>
      <c r="C237" s="441"/>
      <c r="D237" s="204">
        <v>1</v>
      </c>
      <c r="E237" s="146"/>
      <c r="F237" s="146"/>
      <c r="G237" s="146"/>
      <c r="H237" s="204"/>
      <c r="I237" s="204"/>
      <c r="J237" s="204"/>
      <c r="K237" s="37">
        <v>25</v>
      </c>
      <c r="L237" s="143"/>
      <c r="M237" s="37"/>
      <c r="N237" s="244" t="s">
        <v>810</v>
      </c>
    </row>
    <row r="238" spans="1:14">
      <c r="A238" s="37"/>
      <c r="B238" s="441"/>
      <c r="C238" s="441"/>
      <c r="D238" s="204"/>
      <c r="E238" s="204"/>
      <c r="F238" s="204"/>
      <c r="G238" s="204"/>
      <c r="H238" s="204"/>
      <c r="I238" s="204"/>
      <c r="J238" s="204"/>
      <c r="K238" s="37"/>
      <c r="L238" s="37"/>
      <c r="M238" s="37"/>
    </row>
    <row r="239" spans="1:14">
      <c r="A239" s="142">
        <v>6</v>
      </c>
      <c r="B239" s="394" t="str">
        <f>[4]BM_10!B67</f>
        <v>ESQUADRIAS</v>
      </c>
      <c r="C239" s="394"/>
      <c r="D239" s="394"/>
      <c r="E239" s="394"/>
      <c r="F239" s="394"/>
      <c r="G239" s="394"/>
      <c r="H239" s="394"/>
      <c r="I239" s="394"/>
      <c r="J239" s="394"/>
      <c r="K239" s="394"/>
      <c r="L239" s="142"/>
      <c r="M239" s="142"/>
    </row>
    <row r="240" spans="1:14">
      <c r="A240" s="37"/>
      <c r="B240" s="204"/>
      <c r="C240" s="204"/>
      <c r="D240" s="204"/>
      <c r="E240" s="146"/>
      <c r="F240" s="204"/>
      <c r="G240" s="146"/>
      <c r="H240" s="204"/>
      <c r="I240" s="204"/>
      <c r="J240" s="204"/>
      <c r="K240" s="37"/>
      <c r="L240" s="37"/>
      <c r="M240" s="37"/>
    </row>
    <row r="241" spans="1:15" ht="32.450000000000003" customHeight="1">
      <c r="A241" s="142" t="str">
        <f>BM_15!A71</f>
        <v>6.1.3</v>
      </c>
      <c r="B241" s="394" t="str">
        <f>BM_15!B71</f>
        <v>PORTA EM ALUMÍNIO DE ABRIR TIPO VENEZIANA COM GUARNIÇÃO, FIXAÇÃO COM PARAFUSOS - FORNECIMENTO E INSTALAÇÃO. AF_12/2019</v>
      </c>
      <c r="C241" s="394"/>
      <c r="D241" s="394"/>
      <c r="E241" s="394"/>
      <c r="F241" s="394"/>
      <c r="G241" s="394"/>
      <c r="H241" s="394"/>
      <c r="I241" s="394"/>
      <c r="J241" s="394"/>
      <c r="K241" s="394"/>
      <c r="L241" s="242">
        <f>SUM(L243:L247)</f>
        <v>5.4600000000000009</v>
      </c>
      <c r="M241" s="142" t="s">
        <v>429</v>
      </c>
    </row>
    <row r="242" spans="1:15">
      <c r="A242" s="37"/>
      <c r="B242" s="204"/>
      <c r="C242" s="204"/>
      <c r="D242" s="204"/>
      <c r="E242" s="204"/>
      <c r="F242" s="204"/>
      <c r="G242" s="204"/>
      <c r="H242" s="204"/>
      <c r="I242" s="204"/>
      <c r="J242" s="204"/>
      <c r="K242" s="37"/>
      <c r="L242" s="37"/>
      <c r="M242" s="37"/>
      <c r="N242" s="210"/>
    </row>
    <row r="243" spans="1:15">
      <c r="A243" s="37"/>
      <c r="B243" s="442" t="s">
        <v>788</v>
      </c>
      <c r="C243" s="443"/>
      <c r="D243" s="204">
        <v>1</v>
      </c>
      <c r="E243" s="146">
        <v>2.1</v>
      </c>
      <c r="F243" s="204"/>
      <c r="G243" s="146">
        <v>0.76</v>
      </c>
      <c r="H243" s="204"/>
      <c r="I243" s="204"/>
      <c r="J243" s="204"/>
      <c r="K243" s="37">
        <f t="shared" ref="K243:K247" si="39">E243*G243</f>
        <v>1.5960000000000001</v>
      </c>
      <c r="L243" s="37"/>
      <c r="M243" s="37"/>
      <c r="N243" s="244" t="s">
        <v>810</v>
      </c>
    </row>
    <row r="244" spans="1:15">
      <c r="A244" s="37"/>
      <c r="B244" s="442" t="s">
        <v>789</v>
      </c>
      <c r="C244" s="443"/>
      <c r="D244" s="204">
        <v>2</v>
      </c>
      <c r="E244" s="146">
        <v>1.5</v>
      </c>
      <c r="F244" s="204"/>
      <c r="G244" s="146">
        <v>0.63</v>
      </c>
      <c r="H244" s="204"/>
      <c r="I244" s="204"/>
      <c r="J244" s="204"/>
      <c r="K244" s="37">
        <f t="shared" si="39"/>
        <v>0.94500000000000006</v>
      </c>
      <c r="L244" s="37">
        <f>K244*D244</f>
        <v>1.8900000000000001</v>
      </c>
      <c r="M244" s="37"/>
      <c r="N244" s="361"/>
      <c r="O244" s="362"/>
    </row>
    <row r="245" spans="1:15">
      <c r="A245" s="37"/>
      <c r="B245" s="442" t="s">
        <v>790</v>
      </c>
      <c r="C245" s="443"/>
      <c r="D245" s="204">
        <v>2</v>
      </c>
      <c r="E245" s="146">
        <v>1.5</v>
      </c>
      <c r="F245" s="204"/>
      <c r="G245" s="146">
        <v>0.63</v>
      </c>
      <c r="H245" s="204"/>
      <c r="I245" s="204"/>
      <c r="J245" s="204"/>
      <c r="K245" s="37">
        <f t="shared" si="39"/>
        <v>0.94500000000000006</v>
      </c>
      <c r="L245" s="37">
        <f>K245*D245</f>
        <v>1.8900000000000001</v>
      </c>
      <c r="M245" s="37"/>
      <c r="N245" s="361"/>
      <c r="O245" s="362"/>
    </row>
    <row r="246" spans="1:15">
      <c r="A246" s="37"/>
      <c r="B246" s="442" t="s">
        <v>824</v>
      </c>
      <c r="C246" s="443"/>
      <c r="D246" s="204">
        <v>1</v>
      </c>
      <c r="E246" s="146">
        <v>2.1</v>
      </c>
      <c r="F246" s="204"/>
      <c r="G246" s="146">
        <v>0.8</v>
      </c>
      <c r="H246" s="204"/>
      <c r="I246" s="204"/>
      <c r="J246" s="204"/>
      <c r="K246" s="37">
        <f t="shared" si="39"/>
        <v>1.6800000000000002</v>
      </c>
      <c r="L246" s="37">
        <f>K246</f>
        <v>1.6800000000000002</v>
      </c>
      <c r="M246" s="37"/>
      <c r="N246" s="244"/>
    </row>
    <row r="247" spans="1:15">
      <c r="A247" s="37"/>
      <c r="B247" s="442" t="s">
        <v>791</v>
      </c>
      <c r="C247" s="443"/>
      <c r="D247" s="204">
        <v>1</v>
      </c>
      <c r="E247" s="146">
        <v>1.6</v>
      </c>
      <c r="F247" s="204"/>
      <c r="G247" s="146">
        <v>0.7</v>
      </c>
      <c r="H247" s="204"/>
      <c r="I247" s="204"/>
      <c r="J247" s="204"/>
      <c r="K247" s="37">
        <f t="shared" si="39"/>
        <v>1.1199999999999999</v>
      </c>
      <c r="L247" s="37"/>
      <c r="M247" s="37"/>
      <c r="N247" s="244" t="s">
        <v>810</v>
      </c>
    </row>
    <row r="248" spans="1:15">
      <c r="A248" s="37"/>
      <c r="B248" s="205"/>
      <c r="C248" s="205"/>
      <c r="D248" s="204"/>
      <c r="E248" s="146"/>
      <c r="F248" s="204"/>
      <c r="G248" s="146"/>
      <c r="H248" s="204"/>
      <c r="I248" s="204"/>
      <c r="J248" s="204"/>
      <c r="K248" s="37"/>
      <c r="L248" s="37"/>
      <c r="M248" s="37"/>
    </row>
    <row r="249" spans="1:15" ht="24" customHeight="1" thickBot="1">
      <c r="A249" s="142" t="str">
        <f>BM_15!A76</f>
        <v>6.1.8</v>
      </c>
      <c r="B249" s="394" t="str">
        <f>BM_15!B76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C249" s="394"/>
      <c r="D249" s="394"/>
      <c r="E249" s="394"/>
      <c r="F249" s="394"/>
      <c r="G249" s="394"/>
      <c r="H249" s="394"/>
      <c r="I249" s="394"/>
      <c r="J249" s="394"/>
      <c r="K249" s="394"/>
      <c r="L249" s="143">
        <f>L251</f>
        <v>15</v>
      </c>
      <c r="M249" s="142" t="s">
        <v>800</v>
      </c>
    </row>
    <row r="250" spans="1:15">
      <c r="A250" s="37"/>
      <c r="B250" s="204"/>
      <c r="C250" s="204"/>
      <c r="D250" s="204"/>
      <c r="E250" s="146"/>
      <c r="F250" s="146"/>
      <c r="G250" s="146"/>
      <c r="H250" s="204"/>
      <c r="I250" s="204"/>
      <c r="J250" s="204"/>
      <c r="K250" s="37"/>
      <c r="L250" s="37"/>
      <c r="M250" s="73"/>
      <c r="N250" s="374" t="s">
        <v>822</v>
      </c>
      <c r="O250" s="375"/>
    </row>
    <row r="251" spans="1:15">
      <c r="A251" s="37"/>
      <c r="B251" s="204"/>
      <c r="C251" s="204"/>
      <c r="D251" s="204">
        <v>1</v>
      </c>
      <c r="E251" s="146"/>
      <c r="F251" s="146"/>
      <c r="G251" s="146"/>
      <c r="H251" s="204"/>
      <c r="I251" s="204"/>
      <c r="J251" s="204"/>
      <c r="K251" s="37">
        <v>15</v>
      </c>
      <c r="L251" s="37">
        <f t="shared" ref="L251" si="40">K251*D251</f>
        <v>15</v>
      </c>
      <c r="M251" s="73"/>
      <c r="N251" s="376"/>
      <c r="O251" s="377"/>
    </row>
    <row r="252" spans="1:15" ht="15.75" thickBot="1">
      <c r="A252" s="37"/>
      <c r="B252" s="204"/>
      <c r="C252" s="204"/>
      <c r="D252" s="204"/>
      <c r="E252" s="146"/>
      <c r="F252" s="146"/>
      <c r="G252" s="146"/>
      <c r="H252" s="204"/>
      <c r="I252" s="204"/>
      <c r="J252" s="204"/>
      <c r="K252" s="37"/>
      <c r="L252" s="37"/>
      <c r="M252" s="73"/>
      <c r="N252" s="378"/>
      <c r="O252" s="379"/>
    </row>
    <row r="253" spans="1:15" ht="24.6" customHeight="1" thickBot="1">
      <c r="A253" s="142" t="str">
        <f>BM_15!A77</f>
        <v>6.1.9</v>
      </c>
      <c r="B253" s="394" t="str">
        <f>BM_15!B77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253" s="394"/>
      <c r="D253" s="394"/>
      <c r="E253" s="394"/>
      <c r="F253" s="394"/>
      <c r="G253" s="394"/>
      <c r="H253" s="394"/>
      <c r="I253" s="394"/>
      <c r="J253" s="394"/>
      <c r="K253" s="394"/>
      <c r="L253" s="143">
        <f>L255</f>
        <v>2</v>
      </c>
      <c r="M253" s="142" t="s">
        <v>800</v>
      </c>
    </row>
    <row r="254" spans="1:15" ht="15" customHeight="1">
      <c r="A254" s="37"/>
      <c r="B254" s="204"/>
      <c r="C254" s="204"/>
      <c r="D254" s="204"/>
      <c r="E254" s="146"/>
      <c r="F254" s="146"/>
      <c r="G254" s="146"/>
      <c r="H254" s="204"/>
      <c r="I254" s="204"/>
      <c r="J254" s="204"/>
      <c r="K254" s="37"/>
      <c r="L254" s="37"/>
      <c r="M254" s="37"/>
      <c r="N254" s="374" t="s">
        <v>822</v>
      </c>
      <c r="O254" s="375"/>
    </row>
    <row r="255" spans="1:15">
      <c r="A255" s="37"/>
      <c r="B255" s="204"/>
      <c r="C255" s="204"/>
      <c r="D255" s="204">
        <v>1</v>
      </c>
      <c r="E255" s="146"/>
      <c r="F255" s="146"/>
      <c r="G255" s="146"/>
      <c r="H255" s="204"/>
      <c r="I255" s="204"/>
      <c r="J255" s="204"/>
      <c r="K255" s="37">
        <v>2</v>
      </c>
      <c r="L255" s="37">
        <f t="shared" ref="L255" si="41">K255*D255</f>
        <v>2</v>
      </c>
      <c r="M255" s="37"/>
      <c r="N255" s="376"/>
      <c r="O255" s="377"/>
    </row>
    <row r="256" spans="1:15" ht="15.75" thickBot="1">
      <c r="A256" s="37"/>
      <c r="B256" s="204"/>
      <c r="C256" s="204"/>
      <c r="D256" s="204"/>
      <c r="E256" s="146"/>
      <c r="F256" s="146"/>
      <c r="G256" s="146"/>
      <c r="H256" s="204"/>
      <c r="I256" s="204"/>
      <c r="J256" s="204"/>
      <c r="K256" s="37"/>
      <c r="L256" s="37"/>
      <c r="M256" s="37"/>
      <c r="N256" s="378"/>
      <c r="O256" s="379"/>
    </row>
    <row r="257" spans="1:15" ht="37.5" customHeight="1" thickBot="1">
      <c r="A257" s="142" t="str">
        <f>BM_15!A85</f>
        <v>6.1.17</v>
      </c>
      <c r="B257" s="394" t="str">
        <f>BM_15!B85</f>
        <v>Porta em madeira compensada (canela), lisa, semi-ôca, 1.20 x 2.10 m, revestida c/fórmica, inclusive batentes e ferragens</v>
      </c>
      <c r="C257" s="394"/>
      <c r="D257" s="394"/>
      <c r="E257" s="394"/>
      <c r="F257" s="394"/>
      <c r="G257" s="394"/>
      <c r="H257" s="394"/>
      <c r="I257" s="394"/>
      <c r="J257" s="394"/>
      <c r="K257" s="394"/>
      <c r="L257" s="143">
        <f>L259</f>
        <v>2</v>
      </c>
      <c r="M257" s="142" t="s">
        <v>800</v>
      </c>
    </row>
    <row r="258" spans="1:15">
      <c r="A258" s="37"/>
      <c r="B258" s="204"/>
      <c r="C258" s="204"/>
      <c r="D258" s="204"/>
      <c r="E258" s="146"/>
      <c r="F258" s="146"/>
      <c r="G258" s="146"/>
      <c r="H258" s="204"/>
      <c r="I258" s="204"/>
      <c r="J258" s="204"/>
      <c r="K258" s="37"/>
      <c r="L258" s="37"/>
      <c r="M258" s="73"/>
      <c r="N258" s="380" t="s">
        <v>811</v>
      </c>
      <c r="O258" s="381"/>
    </row>
    <row r="259" spans="1:15">
      <c r="A259" s="37"/>
      <c r="B259" s="204"/>
      <c r="C259" s="204"/>
      <c r="D259" s="204">
        <v>1</v>
      </c>
      <c r="E259" s="146"/>
      <c r="F259" s="146"/>
      <c r="G259" s="146"/>
      <c r="H259" s="204"/>
      <c r="I259" s="204"/>
      <c r="J259" s="204"/>
      <c r="K259" s="37">
        <v>2</v>
      </c>
      <c r="L259" s="37">
        <f t="shared" ref="L259" si="42">K259*D259</f>
        <v>2</v>
      </c>
      <c r="M259" s="73"/>
      <c r="N259" s="382"/>
      <c r="O259" s="383"/>
    </row>
    <row r="260" spans="1:15" ht="15.75" thickBot="1">
      <c r="A260" s="37"/>
      <c r="B260" s="204"/>
      <c r="C260" s="204"/>
      <c r="D260" s="204"/>
      <c r="E260" s="146"/>
      <c r="F260" s="146"/>
      <c r="G260" s="146"/>
      <c r="H260" s="204"/>
      <c r="I260" s="204"/>
      <c r="J260" s="204"/>
      <c r="K260" s="37"/>
      <c r="L260" s="37"/>
      <c r="M260" s="73"/>
      <c r="N260" s="384"/>
      <c r="O260" s="385"/>
    </row>
    <row r="261" spans="1:15" ht="41.25" customHeight="1">
      <c r="A261" s="142" t="str">
        <f>BM_15!A86</f>
        <v>6.1.18</v>
      </c>
      <c r="B261" s="394" t="str">
        <f>BM_15!B86</f>
        <v>Porta em madeira compensada (canela), lisa, semi-ôca, 1.40 x 2.10 m, com duas folhas, inclusive batentes e ferragens</v>
      </c>
      <c r="C261" s="394"/>
      <c r="D261" s="394"/>
      <c r="E261" s="394"/>
      <c r="F261" s="394"/>
      <c r="G261" s="394"/>
      <c r="H261" s="394"/>
      <c r="I261" s="394"/>
      <c r="J261" s="394"/>
      <c r="K261" s="394"/>
      <c r="L261" s="142">
        <f>L263</f>
        <v>0</v>
      </c>
      <c r="M261" s="142" t="s">
        <v>800</v>
      </c>
    </row>
    <row r="262" spans="1:15">
      <c r="A262" s="37"/>
      <c r="B262" s="204"/>
      <c r="C262" s="204"/>
      <c r="D262" s="204"/>
      <c r="E262" s="146"/>
      <c r="F262" s="146"/>
      <c r="G262" s="146"/>
      <c r="H262" s="204"/>
      <c r="I262" s="204"/>
      <c r="J262" s="204"/>
      <c r="K262" s="37"/>
      <c r="L262" s="37"/>
      <c r="M262" s="37"/>
    </row>
    <row r="263" spans="1:15">
      <c r="A263" s="37"/>
      <c r="B263" s="204"/>
      <c r="C263" s="204"/>
      <c r="D263" s="204">
        <v>1</v>
      </c>
      <c r="E263" s="146"/>
      <c r="F263" s="146"/>
      <c r="G263" s="146"/>
      <c r="H263" s="204"/>
      <c r="I263" s="204"/>
      <c r="J263" s="204"/>
      <c r="K263" s="37"/>
      <c r="L263" s="37">
        <f t="shared" ref="L263" si="43">K263*D263</f>
        <v>0</v>
      </c>
      <c r="M263" s="37"/>
      <c r="N263" s="244" t="s">
        <v>810</v>
      </c>
    </row>
    <row r="264" spans="1:15">
      <c r="A264" s="37"/>
      <c r="B264" s="204"/>
      <c r="C264" s="204"/>
      <c r="D264" s="204"/>
      <c r="E264" s="146"/>
      <c r="F264" s="146"/>
      <c r="G264" s="146"/>
      <c r="H264" s="204"/>
      <c r="I264" s="204"/>
      <c r="J264" s="204"/>
      <c r="K264" s="37"/>
      <c r="L264" s="37"/>
      <c r="M264" s="37"/>
    </row>
    <row r="265" spans="1:15" ht="28.5" customHeight="1">
      <c r="A265" s="142" t="str">
        <f>BM_15!A87</f>
        <v>6.1.19</v>
      </c>
      <c r="B265" s="394" t="str">
        <f>BM_15!B87</f>
        <v>Porta em madeira compensada (canela), lisa, semi-ôca, 2.00 x 2.10 m, com duas folhas, inclusive batentes e ferragens</v>
      </c>
      <c r="C265" s="394"/>
      <c r="D265" s="394"/>
      <c r="E265" s="394"/>
      <c r="F265" s="394"/>
      <c r="G265" s="394"/>
      <c r="H265" s="394"/>
      <c r="I265" s="394"/>
      <c r="J265" s="394"/>
      <c r="K265" s="394"/>
      <c r="L265" s="142">
        <f>L267</f>
        <v>0</v>
      </c>
      <c r="M265" s="142" t="s">
        <v>800</v>
      </c>
    </row>
    <row r="266" spans="1:15">
      <c r="A266" s="37"/>
      <c r="B266" s="204"/>
      <c r="C266" s="204"/>
      <c r="D266" s="204"/>
      <c r="E266" s="146"/>
      <c r="F266" s="146"/>
      <c r="G266" s="146"/>
      <c r="H266" s="204"/>
      <c r="I266" s="204"/>
      <c r="J266" s="204"/>
      <c r="K266" s="37"/>
      <c r="L266" s="37"/>
      <c r="M266" s="37"/>
    </row>
    <row r="267" spans="1:15">
      <c r="A267" s="37"/>
      <c r="B267" s="204"/>
      <c r="C267" s="204"/>
      <c r="D267" s="204">
        <v>1</v>
      </c>
      <c r="E267" s="146"/>
      <c r="F267" s="146"/>
      <c r="G267" s="146"/>
      <c r="H267" s="204"/>
      <c r="I267" s="204"/>
      <c r="J267" s="204"/>
      <c r="K267" s="37"/>
      <c r="L267" s="37">
        <f t="shared" ref="L267" si="44">K267*D267</f>
        <v>0</v>
      </c>
      <c r="M267" s="37"/>
      <c r="N267" s="244" t="s">
        <v>810</v>
      </c>
    </row>
    <row r="268" spans="1:15">
      <c r="A268" s="37"/>
      <c r="B268" s="204"/>
      <c r="C268" s="204"/>
      <c r="D268" s="204"/>
      <c r="E268" s="146"/>
      <c r="F268" s="146"/>
      <c r="G268" s="146"/>
      <c r="H268" s="204"/>
      <c r="I268" s="204"/>
      <c r="J268" s="204"/>
      <c r="K268" s="37"/>
      <c r="L268" s="37"/>
      <c r="M268" s="37"/>
    </row>
    <row r="269" spans="1:15">
      <c r="A269" s="142" t="str">
        <f>BM_15!A82</f>
        <v>6.1.14</v>
      </c>
      <c r="B269" s="394" t="str">
        <f>BM_15!B82</f>
        <v>Revestimento com chapa em fórmica brilhante, esp. = 1,3 mm, colada c/ formicola ou similar</v>
      </c>
      <c r="C269" s="394"/>
      <c r="D269" s="394"/>
      <c r="E269" s="394"/>
      <c r="F269" s="394"/>
      <c r="G269" s="394"/>
      <c r="H269" s="394"/>
      <c r="I269" s="394"/>
      <c r="J269" s="394"/>
      <c r="K269" s="394"/>
      <c r="L269" s="142">
        <f>SUM(L271:L275)</f>
        <v>32.340000000000003</v>
      </c>
      <c r="M269" s="142" t="s">
        <v>513</v>
      </c>
    </row>
    <row r="270" spans="1:15">
      <c r="A270" s="37"/>
      <c r="B270" s="204"/>
      <c r="C270" s="204"/>
      <c r="D270" s="204"/>
      <c r="E270" s="146"/>
      <c r="F270" s="146"/>
      <c r="G270" s="146"/>
      <c r="H270" s="204"/>
      <c r="I270" s="204"/>
      <c r="J270" s="204"/>
      <c r="K270" s="37"/>
      <c r="L270" s="37"/>
      <c r="M270" s="37"/>
    </row>
    <row r="271" spans="1:15">
      <c r="A271" s="37"/>
      <c r="B271" s="444" t="s">
        <v>802</v>
      </c>
      <c r="C271" s="445"/>
      <c r="D271" s="204">
        <f>29-12</f>
        <v>17</v>
      </c>
      <c r="E271" s="146">
        <v>0.8</v>
      </c>
      <c r="F271" s="146"/>
      <c r="G271" s="146">
        <v>2.1</v>
      </c>
      <c r="H271" s="204"/>
      <c r="I271" s="204"/>
      <c r="J271" s="204"/>
      <c r="K271" s="37">
        <f t="shared" ref="K271" si="45">E271*G271</f>
        <v>1.6800000000000002</v>
      </c>
      <c r="L271" s="37">
        <f t="shared" ref="L271" si="46">K271*D271</f>
        <v>28.560000000000002</v>
      </c>
      <c r="M271" s="37"/>
      <c r="N271" s="210" t="s">
        <v>813</v>
      </c>
    </row>
    <row r="272" spans="1:15">
      <c r="A272" s="37"/>
      <c r="B272" s="444" t="s">
        <v>803</v>
      </c>
      <c r="C272" s="445"/>
      <c r="D272" s="204">
        <f>L253</f>
        <v>2</v>
      </c>
      <c r="E272" s="146">
        <v>0.9</v>
      </c>
      <c r="F272" s="146"/>
      <c r="G272" s="146">
        <v>2.1</v>
      </c>
      <c r="H272" s="204"/>
      <c r="I272" s="204"/>
      <c r="J272" s="204"/>
      <c r="K272" s="37">
        <f t="shared" ref="K272" si="47">E272*G272</f>
        <v>1.8900000000000001</v>
      </c>
      <c r="L272" s="37">
        <f t="shared" ref="L272:L275" si="48">K272*D272</f>
        <v>3.7800000000000002</v>
      </c>
      <c r="M272" s="37"/>
      <c r="N272" s="210" t="s">
        <v>812</v>
      </c>
    </row>
    <row r="273" spans="1:22">
      <c r="A273" s="37"/>
      <c r="B273" s="444" t="s">
        <v>804</v>
      </c>
      <c r="C273" s="445"/>
      <c r="D273" s="204">
        <v>3</v>
      </c>
      <c r="E273" s="146"/>
      <c r="F273" s="146"/>
      <c r="G273" s="146">
        <v>2.1</v>
      </c>
      <c r="H273" s="204"/>
      <c r="I273" s="204"/>
      <c r="J273" s="204"/>
      <c r="K273" s="37"/>
      <c r="L273" s="37">
        <f t="shared" si="48"/>
        <v>0</v>
      </c>
      <c r="M273" s="37"/>
      <c r="N273" s="210" t="s">
        <v>814</v>
      </c>
    </row>
    <row r="274" spans="1:22">
      <c r="A274" s="37"/>
      <c r="B274" s="444" t="s">
        <v>805</v>
      </c>
      <c r="C274" s="445"/>
      <c r="D274" s="204">
        <v>4</v>
      </c>
      <c r="E274" s="146"/>
      <c r="F274" s="146"/>
      <c r="G274" s="146">
        <v>2.1</v>
      </c>
      <c r="H274" s="204"/>
      <c r="I274" s="204"/>
      <c r="J274" s="204"/>
      <c r="K274" s="37"/>
      <c r="L274" s="37">
        <f t="shared" si="48"/>
        <v>0</v>
      </c>
      <c r="M274" s="37"/>
      <c r="N274" s="244" t="s">
        <v>810</v>
      </c>
    </row>
    <row r="275" spans="1:22">
      <c r="A275" s="37"/>
      <c r="B275" s="444" t="s">
        <v>806</v>
      </c>
      <c r="C275" s="445"/>
      <c r="D275" s="204">
        <v>3</v>
      </c>
      <c r="E275" s="146"/>
      <c r="F275" s="146"/>
      <c r="G275" s="146">
        <v>2.1</v>
      </c>
      <c r="H275" s="204"/>
      <c r="I275" s="204"/>
      <c r="J275" s="204"/>
      <c r="K275" s="37"/>
      <c r="L275" s="37">
        <f t="shared" si="48"/>
        <v>0</v>
      </c>
      <c r="M275" s="37"/>
      <c r="N275" s="244" t="s">
        <v>810</v>
      </c>
    </row>
    <row r="276" spans="1:22">
      <c r="A276" s="37"/>
      <c r="B276" s="204"/>
      <c r="C276" s="204"/>
      <c r="D276" s="204"/>
      <c r="E276" s="146"/>
      <c r="F276" s="146"/>
      <c r="G276" s="146"/>
      <c r="H276" s="204"/>
      <c r="I276" s="204"/>
      <c r="J276" s="204"/>
      <c r="K276" s="37"/>
      <c r="L276" s="37"/>
      <c r="M276" s="37"/>
    </row>
    <row r="277" spans="1:22">
      <c r="A277" s="37"/>
      <c r="B277" s="204"/>
      <c r="C277" s="204"/>
      <c r="D277" s="204"/>
      <c r="E277" s="146"/>
      <c r="F277" s="146"/>
      <c r="G277" s="146"/>
      <c r="H277" s="204"/>
      <c r="I277" s="204"/>
      <c r="J277" s="204"/>
      <c r="K277" s="37"/>
      <c r="L277" s="37"/>
      <c r="M277" s="37"/>
      <c r="N277" s="50"/>
    </row>
    <row r="278" spans="1:22">
      <c r="A278" s="142" t="str">
        <f>BM_15!A92</f>
        <v>6.2.3</v>
      </c>
      <c r="B278" s="394" t="str">
        <f>BM_15!B92</f>
        <v>Fornecimento e instalação de fachada em pele de vidro, em vidro laminado 3+3 refletivo</v>
      </c>
      <c r="C278" s="394"/>
      <c r="D278" s="394"/>
      <c r="E278" s="394"/>
      <c r="F278" s="394"/>
      <c r="G278" s="394"/>
      <c r="H278" s="394"/>
      <c r="I278" s="394"/>
      <c r="J278" s="394"/>
      <c r="K278" s="394"/>
      <c r="L278" s="143">
        <f>L280</f>
        <v>7.7512499999999989</v>
      </c>
      <c r="M278" s="142" t="s">
        <v>800</v>
      </c>
    </row>
    <row r="279" spans="1:22" ht="15.75" thickBot="1">
      <c r="A279" s="37"/>
      <c r="B279" s="204"/>
      <c r="C279" s="204"/>
      <c r="D279" s="204"/>
      <c r="E279" s="146"/>
      <c r="F279" s="146"/>
      <c r="G279" s="146"/>
      <c r="H279" s="204"/>
      <c r="I279" s="204"/>
      <c r="J279" s="204"/>
      <c r="K279" s="37"/>
      <c r="L279" s="37"/>
      <c r="M279" s="37"/>
    </row>
    <row r="280" spans="1:22">
      <c r="A280" s="37"/>
      <c r="B280" s="444" t="s">
        <v>801</v>
      </c>
      <c r="C280" s="445"/>
      <c r="D280" s="204">
        <v>1</v>
      </c>
      <c r="E280" s="146">
        <v>5.85</v>
      </c>
      <c r="F280" s="146"/>
      <c r="G280" s="146">
        <v>2.65</v>
      </c>
      <c r="H280" s="204"/>
      <c r="I280" s="204"/>
      <c r="J280" s="204"/>
      <c r="K280" s="37"/>
      <c r="L280" s="37">
        <f>G280*E280*0.5</f>
        <v>7.7512499999999989</v>
      </c>
      <c r="M280" s="37"/>
      <c r="N280" s="374" t="s">
        <v>826</v>
      </c>
      <c r="O280" s="375"/>
    </row>
    <row r="281" spans="1:22" ht="15.75" thickBot="1">
      <c r="A281" s="71"/>
      <c r="B281" s="257"/>
      <c r="C281" s="257"/>
      <c r="D281" s="257"/>
      <c r="E281" s="258"/>
      <c r="F281" s="258"/>
      <c r="G281" s="258"/>
      <c r="H281" s="257"/>
      <c r="I281" s="257"/>
      <c r="J281" s="257"/>
      <c r="K281" s="71"/>
      <c r="L281" s="71"/>
      <c r="M281" s="71"/>
      <c r="N281" s="376"/>
      <c r="O281" s="377"/>
    </row>
    <row r="282" spans="1:22" ht="409.6" customHeight="1">
      <c r="A282" s="363"/>
      <c r="B282" s="364"/>
      <c r="C282" s="364"/>
      <c r="D282" s="364"/>
      <c r="E282" s="364"/>
      <c r="F282" s="364"/>
      <c r="G282" s="364"/>
      <c r="H282" s="364"/>
      <c r="I282" s="364"/>
      <c r="J282" s="364"/>
      <c r="K282" s="364"/>
      <c r="L282" s="364"/>
      <c r="M282" s="364"/>
      <c r="N282" s="364"/>
      <c r="O282" s="364"/>
      <c r="P282" s="364"/>
      <c r="Q282" s="364"/>
      <c r="R282" s="364"/>
      <c r="S282" s="364"/>
      <c r="T282" s="364"/>
      <c r="U282" s="364"/>
      <c r="V282" s="365"/>
    </row>
    <row r="283" spans="1:22">
      <c r="A283" s="366"/>
      <c r="B283" s="367"/>
      <c r="C283" s="367"/>
      <c r="D283" s="367"/>
      <c r="E283" s="367"/>
      <c r="F283" s="367"/>
      <c r="G283" s="367"/>
      <c r="H283" s="367"/>
      <c r="I283" s="367"/>
      <c r="J283" s="367"/>
      <c r="K283" s="367"/>
      <c r="L283" s="367"/>
      <c r="M283" s="367"/>
      <c r="N283" s="367"/>
      <c r="O283" s="367"/>
      <c r="P283" s="367"/>
      <c r="Q283" s="367"/>
      <c r="R283" s="367"/>
      <c r="S283" s="367"/>
      <c r="T283" s="367"/>
      <c r="U283" s="367"/>
      <c r="V283" s="368"/>
    </row>
    <row r="284" spans="1:22" ht="15.75" thickBot="1">
      <c r="A284" s="369"/>
      <c r="B284" s="370"/>
      <c r="C284" s="370"/>
      <c r="D284" s="370"/>
      <c r="E284" s="370"/>
      <c r="F284" s="370"/>
      <c r="G284" s="370"/>
      <c r="H284" s="370"/>
      <c r="I284" s="370"/>
      <c r="J284" s="370"/>
      <c r="K284" s="370"/>
      <c r="L284" s="370"/>
      <c r="M284" s="370"/>
      <c r="N284" s="370"/>
      <c r="O284" s="370"/>
      <c r="P284" s="370"/>
      <c r="Q284" s="370"/>
      <c r="R284" s="370"/>
      <c r="S284" s="370"/>
      <c r="T284" s="370"/>
      <c r="U284" s="370"/>
      <c r="V284" s="371"/>
    </row>
    <row r="285" spans="1:22">
      <c r="A285" s="259">
        <v>11</v>
      </c>
      <c r="B285" s="446" t="str">
        <f>[4]BM_10!B215</f>
        <v>PINTURA</v>
      </c>
      <c r="C285" s="446"/>
      <c r="D285" s="446"/>
      <c r="E285" s="446"/>
      <c r="F285" s="446"/>
      <c r="G285" s="446"/>
      <c r="H285" s="446"/>
      <c r="I285" s="446"/>
      <c r="J285" s="446"/>
      <c r="K285" s="446"/>
      <c r="L285" s="260"/>
      <c r="M285" s="260"/>
    </row>
    <row r="286" spans="1:22">
      <c r="A286" s="37"/>
      <c r="B286" s="204"/>
      <c r="C286" s="204"/>
      <c r="D286" s="204"/>
      <c r="E286" s="204"/>
      <c r="F286" s="204"/>
      <c r="G286" s="204"/>
      <c r="H286" s="204"/>
      <c r="I286" s="204"/>
      <c r="J286" s="204"/>
      <c r="K286" s="37"/>
      <c r="L286" s="37"/>
      <c r="M286" s="37"/>
    </row>
    <row r="287" spans="1:22">
      <c r="A287" s="204"/>
      <c r="B287" s="69"/>
      <c r="C287" s="69"/>
      <c r="D287" s="204"/>
      <c r="E287" s="204"/>
      <c r="F287" s="204"/>
      <c r="G287" s="204"/>
      <c r="H287" s="69"/>
      <c r="I287" s="69"/>
      <c r="J287" s="69"/>
      <c r="K287" s="37"/>
      <c r="L287" s="37"/>
      <c r="M287" s="204"/>
    </row>
    <row r="288" spans="1:22" ht="24.6" customHeight="1" thickBot="1">
      <c r="A288" s="142" t="str">
        <f>BM_15!A216</f>
        <v>11.1</v>
      </c>
      <c r="B288" s="394" t="str">
        <f>BM_15!B216</f>
        <v>APLICAÇÃO MANUAL DE PINTURA COM TINTA LÁTEX ACRÍLICA EM PAREDES, DUAS DEMÃOS. AF_06/2014</v>
      </c>
      <c r="C288" s="394"/>
      <c r="D288" s="394"/>
      <c r="E288" s="394"/>
      <c r="F288" s="394"/>
      <c r="G288" s="394"/>
      <c r="H288" s="394"/>
      <c r="I288" s="394"/>
      <c r="J288" s="394"/>
      <c r="K288" s="394"/>
      <c r="L288" s="142">
        <f>SUM(L290:L408)*0.7</f>
        <v>2166.0174199999997</v>
      </c>
      <c r="M288" s="142" t="s">
        <v>429</v>
      </c>
    </row>
    <row r="289" spans="1:15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245"/>
      <c r="N289" s="386" t="s">
        <v>823</v>
      </c>
      <c r="O289" s="387"/>
    </row>
    <row r="290" spans="1:15">
      <c r="A290" s="204"/>
      <c r="B290" s="204" t="s">
        <v>725</v>
      </c>
      <c r="C290" s="204"/>
      <c r="D290" s="204">
        <v>1</v>
      </c>
      <c r="E290" s="204">
        <v>19.899999999999999</v>
      </c>
      <c r="F290" s="204"/>
      <c r="G290" s="204">
        <v>4.3</v>
      </c>
      <c r="H290" s="204"/>
      <c r="I290" s="204"/>
      <c r="J290" s="204"/>
      <c r="K290" s="37">
        <f t="shared" ref="K290" si="49">E290*G290</f>
        <v>85.57</v>
      </c>
      <c r="L290" s="37">
        <f t="shared" ref="L290" si="50">K290*D290</f>
        <v>85.57</v>
      </c>
      <c r="M290" s="246"/>
      <c r="N290" s="388"/>
      <c r="O290" s="389"/>
    </row>
    <row r="291" spans="1:15">
      <c r="A291" s="204"/>
      <c r="B291" s="204" t="s">
        <v>727</v>
      </c>
      <c r="C291" s="204"/>
      <c r="D291" s="204">
        <v>1</v>
      </c>
      <c r="E291" s="204">
        <v>12.2</v>
      </c>
      <c r="F291" s="204"/>
      <c r="G291" s="204">
        <v>2</v>
      </c>
      <c r="H291" s="204"/>
      <c r="I291" s="204"/>
      <c r="J291" s="204"/>
      <c r="K291" s="37">
        <f t="shared" ref="K291:K344" si="51">E291*G291</f>
        <v>24.4</v>
      </c>
      <c r="L291" s="37">
        <f t="shared" ref="L291:L344" si="52">K291*D291</f>
        <v>24.4</v>
      </c>
      <c r="M291" s="246"/>
      <c r="N291" s="388"/>
      <c r="O291" s="389"/>
    </row>
    <row r="292" spans="1:15">
      <c r="A292" s="204"/>
      <c r="B292" s="204" t="s">
        <v>727</v>
      </c>
      <c r="C292" s="204"/>
      <c r="D292" s="204">
        <v>1</v>
      </c>
      <c r="E292" s="204">
        <v>7.6</v>
      </c>
      <c r="F292" s="204"/>
      <c r="G292" s="204">
        <v>1.7</v>
      </c>
      <c r="H292" s="204"/>
      <c r="I292" s="204"/>
      <c r="J292" s="204"/>
      <c r="K292" s="37">
        <f t="shared" si="51"/>
        <v>12.92</v>
      </c>
      <c r="L292" s="37">
        <f t="shared" si="52"/>
        <v>12.92</v>
      </c>
      <c r="M292" s="246"/>
      <c r="N292" s="388"/>
      <c r="O292" s="389"/>
    </row>
    <row r="293" spans="1:15">
      <c r="A293" s="204"/>
      <c r="B293" s="204" t="s">
        <v>727</v>
      </c>
      <c r="C293" s="204"/>
      <c r="D293" s="204">
        <v>1</v>
      </c>
      <c r="E293" s="204">
        <v>9.6</v>
      </c>
      <c r="F293" s="204"/>
      <c r="G293" s="204">
        <v>2</v>
      </c>
      <c r="H293" s="204"/>
      <c r="I293" s="204"/>
      <c r="J293" s="204"/>
      <c r="K293" s="37">
        <f t="shared" si="51"/>
        <v>19.2</v>
      </c>
      <c r="L293" s="37">
        <f t="shared" si="52"/>
        <v>19.2</v>
      </c>
      <c r="M293" s="246"/>
      <c r="N293" s="388"/>
      <c r="O293" s="389"/>
    </row>
    <row r="294" spans="1:15" ht="15.75" thickBot="1">
      <c r="A294" s="204"/>
      <c r="B294" s="204" t="s">
        <v>730</v>
      </c>
      <c r="C294" s="204"/>
      <c r="D294" s="204">
        <v>1</v>
      </c>
      <c r="E294" s="204">
        <v>15</v>
      </c>
      <c r="F294" s="204"/>
      <c r="G294" s="204">
        <v>4.0999999999999996</v>
      </c>
      <c r="H294" s="204"/>
      <c r="I294" s="204"/>
      <c r="J294" s="204"/>
      <c r="K294" s="37">
        <f t="shared" si="51"/>
        <v>61.499999999999993</v>
      </c>
      <c r="L294" s="37">
        <f t="shared" si="52"/>
        <v>61.499999999999993</v>
      </c>
      <c r="M294" s="246"/>
      <c r="N294" s="390"/>
      <c r="O294" s="391"/>
    </row>
    <row r="295" spans="1:15">
      <c r="A295" s="204"/>
      <c r="B295" s="204" t="s">
        <v>730</v>
      </c>
      <c r="C295" s="204"/>
      <c r="D295" s="204">
        <v>1</v>
      </c>
      <c r="E295" s="204">
        <v>1.6</v>
      </c>
      <c r="F295" s="204"/>
      <c r="G295" s="204">
        <v>2.8</v>
      </c>
      <c r="H295" s="204"/>
      <c r="I295" s="204"/>
      <c r="J295" s="204"/>
      <c r="K295" s="37">
        <f t="shared" si="51"/>
        <v>4.4799999999999995</v>
      </c>
      <c r="L295" s="37">
        <f t="shared" si="52"/>
        <v>4.4799999999999995</v>
      </c>
      <c r="M295" s="239"/>
    </row>
    <row r="296" spans="1:15">
      <c r="A296" s="204"/>
      <c r="B296" s="204" t="s">
        <v>730</v>
      </c>
      <c r="C296" s="204"/>
      <c r="D296" s="204">
        <v>1</v>
      </c>
      <c r="E296" s="204">
        <v>5.0999999999999996</v>
      </c>
      <c r="F296" s="204"/>
      <c r="G296" s="204">
        <v>2.8</v>
      </c>
      <c r="H296" s="204"/>
      <c r="I296" s="204"/>
      <c r="J296" s="204"/>
      <c r="K296" s="37">
        <f t="shared" si="51"/>
        <v>14.279999999999998</v>
      </c>
      <c r="L296" s="37">
        <f t="shared" si="52"/>
        <v>14.279999999999998</v>
      </c>
      <c r="M296" s="239"/>
    </row>
    <row r="297" spans="1:15" ht="30">
      <c r="A297" s="204"/>
      <c r="B297" s="241" t="s">
        <v>732</v>
      </c>
      <c r="C297" s="204"/>
      <c r="D297" s="204">
        <v>1</v>
      </c>
      <c r="E297" s="204">
        <v>16</v>
      </c>
      <c r="F297" s="204"/>
      <c r="G297" s="204">
        <v>3.4</v>
      </c>
      <c r="H297" s="204"/>
      <c r="I297" s="204"/>
      <c r="J297" s="204"/>
      <c r="K297" s="37">
        <f t="shared" si="51"/>
        <v>54.4</v>
      </c>
      <c r="L297" s="37">
        <f t="shared" si="52"/>
        <v>54.4</v>
      </c>
      <c r="M297" s="239"/>
    </row>
    <row r="298" spans="1:15" ht="30">
      <c r="A298" s="204"/>
      <c r="B298" s="241" t="s">
        <v>732</v>
      </c>
      <c r="C298" s="204"/>
      <c r="D298" s="204">
        <v>1</v>
      </c>
      <c r="E298" s="204">
        <v>11.8</v>
      </c>
      <c r="F298" s="204"/>
      <c r="G298" s="204">
        <v>5.8</v>
      </c>
      <c r="H298" s="204"/>
      <c r="I298" s="204"/>
      <c r="J298" s="204"/>
      <c r="K298" s="37">
        <f t="shared" si="51"/>
        <v>68.44</v>
      </c>
      <c r="L298" s="37">
        <f t="shared" si="52"/>
        <v>68.44</v>
      </c>
      <c r="M298" s="239"/>
    </row>
    <row r="299" spans="1:15">
      <c r="A299" s="204"/>
      <c r="B299" s="204" t="s">
        <v>734</v>
      </c>
      <c r="C299" s="204"/>
      <c r="D299" s="204">
        <v>1</v>
      </c>
      <c r="E299" s="204">
        <v>8</v>
      </c>
      <c r="F299" s="204"/>
      <c r="G299" s="204">
        <v>4.8</v>
      </c>
      <c r="H299" s="204"/>
      <c r="I299" s="204"/>
      <c r="J299" s="204"/>
      <c r="K299" s="37">
        <f t="shared" si="51"/>
        <v>38.4</v>
      </c>
      <c r="L299" s="37">
        <f t="shared" si="52"/>
        <v>38.4</v>
      </c>
      <c r="M299" s="239"/>
    </row>
    <row r="300" spans="1:15">
      <c r="A300" s="204"/>
      <c r="B300" s="204" t="s">
        <v>734</v>
      </c>
      <c r="C300" s="204"/>
      <c r="D300" s="204">
        <v>1</v>
      </c>
      <c r="E300" s="204">
        <v>15.1</v>
      </c>
      <c r="F300" s="204"/>
      <c r="G300" s="204">
        <v>4.8</v>
      </c>
      <c r="H300" s="204"/>
      <c r="I300" s="204"/>
      <c r="J300" s="204"/>
      <c r="K300" s="37">
        <f t="shared" si="51"/>
        <v>72.47999999999999</v>
      </c>
      <c r="L300" s="37">
        <f t="shared" si="52"/>
        <v>72.47999999999999</v>
      </c>
      <c r="M300" s="239"/>
    </row>
    <row r="301" spans="1:15">
      <c r="A301" s="204"/>
      <c r="B301" s="204" t="s">
        <v>736</v>
      </c>
      <c r="C301" s="204"/>
      <c r="D301" s="204">
        <v>1</v>
      </c>
      <c r="E301" s="204">
        <v>10.5</v>
      </c>
      <c r="F301" s="204"/>
      <c r="G301" s="204">
        <v>0.5</v>
      </c>
      <c r="H301" s="204"/>
      <c r="I301" s="204"/>
      <c r="J301" s="204"/>
      <c r="K301" s="37">
        <f t="shared" si="51"/>
        <v>5.25</v>
      </c>
      <c r="L301" s="37">
        <f t="shared" si="52"/>
        <v>5.25</v>
      </c>
      <c r="M301" s="239"/>
    </row>
    <row r="302" spans="1:15">
      <c r="A302" s="204"/>
      <c r="B302" s="204" t="s">
        <v>737</v>
      </c>
      <c r="C302" s="204"/>
      <c r="D302" s="204">
        <v>1</v>
      </c>
      <c r="E302" s="204">
        <v>4.5</v>
      </c>
      <c r="F302" s="204"/>
      <c r="G302" s="204">
        <v>0.6</v>
      </c>
      <c r="H302" s="204"/>
      <c r="I302" s="204"/>
      <c r="J302" s="204"/>
      <c r="K302" s="37">
        <f t="shared" si="51"/>
        <v>2.6999999999999997</v>
      </c>
      <c r="L302" s="37">
        <f t="shared" si="52"/>
        <v>2.6999999999999997</v>
      </c>
      <c r="M302" s="239"/>
    </row>
    <row r="303" spans="1:15">
      <c r="A303" s="204"/>
      <c r="B303" s="204" t="s">
        <v>738</v>
      </c>
      <c r="C303" s="204"/>
      <c r="D303" s="204">
        <v>1</v>
      </c>
      <c r="E303" s="204">
        <v>4.5</v>
      </c>
      <c r="F303" s="204"/>
      <c r="G303" s="204">
        <v>0.6</v>
      </c>
      <c r="H303" s="204"/>
      <c r="I303" s="204"/>
      <c r="J303" s="204"/>
      <c r="K303" s="37">
        <f t="shared" si="51"/>
        <v>2.6999999999999997</v>
      </c>
      <c r="L303" s="37">
        <f t="shared" si="52"/>
        <v>2.6999999999999997</v>
      </c>
      <c r="M303" s="239"/>
    </row>
    <row r="304" spans="1:15">
      <c r="A304" s="204"/>
      <c r="B304" s="204" t="s">
        <v>623</v>
      </c>
      <c r="C304" s="204"/>
      <c r="D304" s="204">
        <v>1</v>
      </c>
      <c r="E304" s="204">
        <v>8</v>
      </c>
      <c r="F304" s="204"/>
      <c r="G304" s="204">
        <v>0.6</v>
      </c>
      <c r="H304" s="204"/>
      <c r="I304" s="204"/>
      <c r="J304" s="204"/>
      <c r="K304" s="37">
        <f t="shared" si="51"/>
        <v>4.8</v>
      </c>
      <c r="L304" s="37">
        <f t="shared" si="52"/>
        <v>4.8</v>
      </c>
      <c r="M304" s="239"/>
    </row>
    <row r="305" spans="1:13">
      <c r="A305" s="204"/>
      <c r="B305" s="204" t="s">
        <v>623</v>
      </c>
      <c r="C305" s="204"/>
      <c r="D305" s="204">
        <v>1</v>
      </c>
      <c r="E305" s="204">
        <v>8</v>
      </c>
      <c r="F305" s="204"/>
      <c r="G305" s="204">
        <v>0.8</v>
      </c>
      <c r="H305" s="204"/>
      <c r="I305" s="204"/>
      <c r="J305" s="204"/>
      <c r="K305" s="37">
        <f t="shared" si="51"/>
        <v>6.4</v>
      </c>
      <c r="L305" s="37">
        <f t="shared" si="52"/>
        <v>6.4</v>
      </c>
      <c r="M305" s="239"/>
    </row>
    <row r="306" spans="1:13">
      <c r="A306" s="204"/>
      <c r="B306" s="204" t="s">
        <v>623</v>
      </c>
      <c r="C306" s="204"/>
      <c r="D306" s="204">
        <v>1</v>
      </c>
      <c r="E306" s="204">
        <v>3</v>
      </c>
      <c r="F306" s="204"/>
      <c r="G306" s="204">
        <v>0.2</v>
      </c>
      <c r="H306" s="204"/>
      <c r="I306" s="204"/>
      <c r="J306" s="204"/>
      <c r="K306" s="37">
        <f t="shared" si="51"/>
        <v>0.60000000000000009</v>
      </c>
      <c r="L306" s="37">
        <f t="shared" si="52"/>
        <v>0.60000000000000009</v>
      </c>
      <c r="M306" s="239"/>
    </row>
    <row r="307" spans="1:13">
      <c r="A307" s="204"/>
      <c r="B307" s="204" t="s">
        <v>742</v>
      </c>
      <c r="C307" s="204"/>
      <c r="D307" s="204">
        <v>1</v>
      </c>
      <c r="E307" s="204">
        <v>0.85</v>
      </c>
      <c r="F307" s="204"/>
      <c r="G307" s="204">
        <v>5.8</v>
      </c>
      <c r="H307" s="204"/>
      <c r="I307" s="204"/>
      <c r="J307" s="204"/>
      <c r="K307" s="37">
        <f t="shared" si="51"/>
        <v>4.93</v>
      </c>
      <c r="L307" s="37">
        <f t="shared" si="52"/>
        <v>4.93</v>
      </c>
      <c r="M307" s="239"/>
    </row>
    <row r="308" spans="1:13">
      <c r="A308" s="204"/>
      <c r="B308" s="204" t="s">
        <v>622</v>
      </c>
      <c r="C308" s="204"/>
      <c r="D308" s="204">
        <v>1</v>
      </c>
      <c r="E308" s="204">
        <v>10.4</v>
      </c>
      <c r="F308" s="204"/>
      <c r="G308" s="204">
        <v>0.72</v>
      </c>
      <c r="H308" s="204"/>
      <c r="I308" s="204"/>
      <c r="J308" s="204"/>
      <c r="K308" s="37">
        <f t="shared" si="51"/>
        <v>7.4879999999999995</v>
      </c>
      <c r="L308" s="37">
        <f t="shared" si="52"/>
        <v>7.4879999999999995</v>
      </c>
      <c r="M308" s="239"/>
    </row>
    <row r="309" spans="1:13">
      <c r="A309" s="204"/>
      <c r="B309" s="204" t="s">
        <v>622</v>
      </c>
      <c r="C309" s="204"/>
      <c r="D309" s="204">
        <v>1</v>
      </c>
      <c r="E309" s="204">
        <v>10.4</v>
      </c>
      <c r="F309" s="204"/>
      <c r="G309" s="204">
        <v>0.8</v>
      </c>
      <c r="H309" s="204"/>
      <c r="I309" s="204"/>
      <c r="J309" s="204"/>
      <c r="K309" s="37">
        <f t="shared" si="51"/>
        <v>8.32</v>
      </c>
      <c r="L309" s="37">
        <f t="shared" si="52"/>
        <v>8.32</v>
      </c>
      <c r="M309" s="239"/>
    </row>
    <row r="310" spans="1:13">
      <c r="A310" s="204"/>
      <c r="B310" s="204" t="s">
        <v>622</v>
      </c>
      <c r="C310" s="204"/>
      <c r="D310" s="204">
        <v>1</v>
      </c>
      <c r="E310" s="204">
        <v>7</v>
      </c>
      <c r="F310" s="204"/>
      <c r="G310" s="204">
        <v>0.6</v>
      </c>
      <c r="H310" s="204"/>
      <c r="I310" s="204"/>
      <c r="J310" s="204"/>
      <c r="K310" s="37">
        <f t="shared" si="51"/>
        <v>4.2</v>
      </c>
      <c r="L310" s="37">
        <f t="shared" si="52"/>
        <v>4.2</v>
      </c>
      <c r="M310" s="239"/>
    </row>
    <row r="311" spans="1:13">
      <c r="A311" s="204"/>
      <c r="B311" s="204" t="s">
        <v>792</v>
      </c>
      <c r="C311" s="204"/>
      <c r="D311" s="204">
        <v>1</v>
      </c>
      <c r="E311" s="204"/>
      <c r="F311" s="204"/>
      <c r="G311" s="204"/>
      <c r="H311" s="204"/>
      <c r="I311" s="204"/>
      <c r="J311" s="204"/>
      <c r="K311" s="37">
        <v>153.13999999999999</v>
      </c>
      <c r="L311" s="37">
        <f t="shared" si="52"/>
        <v>153.13999999999999</v>
      </c>
      <c r="M311" s="239"/>
    </row>
    <row r="312" spans="1:13">
      <c r="A312" s="204"/>
      <c r="B312" s="204" t="s">
        <v>793</v>
      </c>
      <c r="C312" s="204"/>
      <c r="D312" s="204">
        <v>1</v>
      </c>
      <c r="E312" s="204">
        <v>60.3</v>
      </c>
      <c r="F312" s="204"/>
      <c r="G312" s="204">
        <v>2.5499999999999998</v>
      </c>
      <c r="H312" s="204"/>
      <c r="I312" s="204"/>
      <c r="J312" s="204"/>
      <c r="K312" s="37">
        <f t="shared" si="51"/>
        <v>153.76499999999999</v>
      </c>
      <c r="L312" s="37">
        <f t="shared" si="52"/>
        <v>153.76499999999999</v>
      </c>
      <c r="M312" s="239"/>
    </row>
    <row r="313" spans="1:13">
      <c r="A313" s="204"/>
      <c r="B313" s="204" t="s">
        <v>794</v>
      </c>
      <c r="C313" s="204"/>
      <c r="D313" s="204">
        <v>1</v>
      </c>
      <c r="E313" s="204">
        <v>13.3</v>
      </c>
      <c r="F313" s="204"/>
      <c r="G313" s="204">
        <v>4</v>
      </c>
      <c r="H313" s="204"/>
      <c r="I313" s="204"/>
      <c r="J313" s="204"/>
      <c r="K313" s="37">
        <f t="shared" si="51"/>
        <v>53.2</v>
      </c>
      <c r="L313" s="37">
        <f t="shared" si="52"/>
        <v>53.2</v>
      </c>
      <c r="M313" s="239"/>
    </row>
    <row r="314" spans="1:13">
      <c r="A314" s="204"/>
      <c r="B314" s="204" t="s">
        <v>795</v>
      </c>
      <c r="C314" s="204"/>
      <c r="D314" s="204">
        <v>1</v>
      </c>
      <c r="E314" s="204">
        <v>13.5</v>
      </c>
      <c r="F314" s="204"/>
      <c r="G314" s="204">
        <v>2.1</v>
      </c>
      <c r="H314" s="204"/>
      <c r="I314" s="204"/>
      <c r="J314" s="204"/>
      <c r="K314" s="37">
        <f t="shared" si="51"/>
        <v>28.35</v>
      </c>
      <c r="L314" s="37">
        <f t="shared" si="52"/>
        <v>28.35</v>
      </c>
      <c r="M314" s="239"/>
    </row>
    <row r="315" spans="1:13">
      <c r="A315" s="204"/>
      <c r="B315" s="204" t="s">
        <v>796</v>
      </c>
      <c r="C315" s="204"/>
      <c r="D315" s="204">
        <v>1</v>
      </c>
      <c r="E315" s="204">
        <v>12.4</v>
      </c>
      <c r="F315" s="204"/>
      <c r="G315" s="204">
        <v>2.4</v>
      </c>
      <c r="H315" s="204"/>
      <c r="I315" s="204"/>
      <c r="J315" s="204"/>
      <c r="K315" s="37">
        <f t="shared" si="51"/>
        <v>29.759999999999998</v>
      </c>
      <c r="L315" s="37">
        <f t="shared" si="52"/>
        <v>29.759999999999998</v>
      </c>
      <c r="M315" s="239"/>
    </row>
    <row r="316" spans="1:13">
      <c r="A316" s="204"/>
      <c r="B316" s="204" t="s">
        <v>797</v>
      </c>
      <c r="C316" s="204"/>
      <c r="D316" s="204">
        <v>1</v>
      </c>
      <c r="E316" s="204">
        <v>20.7</v>
      </c>
      <c r="F316" s="204"/>
      <c r="G316" s="204">
        <v>4.45</v>
      </c>
      <c r="H316" s="204"/>
      <c r="I316" s="204"/>
      <c r="J316" s="204"/>
      <c r="K316" s="37">
        <f t="shared" si="51"/>
        <v>92.114999999999995</v>
      </c>
      <c r="L316" s="37">
        <f t="shared" si="52"/>
        <v>92.114999999999995</v>
      </c>
      <c r="M316" s="239"/>
    </row>
    <row r="317" spans="1:13">
      <c r="A317" s="204"/>
      <c r="B317" s="204" t="s">
        <v>669</v>
      </c>
      <c r="C317" s="204"/>
      <c r="D317" s="204">
        <v>1</v>
      </c>
      <c r="E317" s="204">
        <v>46</v>
      </c>
      <c r="F317" s="204"/>
      <c r="G317" s="204">
        <v>2.7</v>
      </c>
      <c r="H317" s="204"/>
      <c r="I317" s="204"/>
      <c r="J317" s="204"/>
      <c r="K317" s="37">
        <f t="shared" si="51"/>
        <v>124.2</v>
      </c>
      <c r="L317" s="37">
        <f t="shared" si="52"/>
        <v>124.2</v>
      </c>
      <c r="M317" s="239"/>
    </row>
    <row r="318" spans="1:13">
      <c r="A318" s="204"/>
      <c r="B318" s="204" t="s">
        <v>669</v>
      </c>
      <c r="C318" s="204"/>
      <c r="D318" s="204">
        <v>1</v>
      </c>
      <c r="E318" s="204">
        <v>10</v>
      </c>
      <c r="F318" s="204"/>
      <c r="G318" s="204">
        <v>1</v>
      </c>
      <c r="H318" s="204"/>
      <c r="I318" s="204"/>
      <c r="J318" s="204"/>
      <c r="K318" s="37">
        <f t="shared" si="51"/>
        <v>10</v>
      </c>
      <c r="L318" s="37">
        <f t="shared" si="52"/>
        <v>10</v>
      </c>
      <c r="M318" s="239"/>
    </row>
    <row r="319" spans="1:13">
      <c r="A319" s="204"/>
      <c r="B319" s="204" t="s">
        <v>725</v>
      </c>
      <c r="C319" s="204"/>
      <c r="D319" s="204">
        <v>1</v>
      </c>
      <c r="E319" s="204">
        <v>3.7</v>
      </c>
      <c r="F319" s="204"/>
      <c r="G319" s="204">
        <v>1</v>
      </c>
      <c r="H319" s="204"/>
      <c r="I319" s="204"/>
      <c r="J319" s="204"/>
      <c r="K319" s="37">
        <f t="shared" si="51"/>
        <v>3.7</v>
      </c>
      <c r="L319" s="37">
        <f t="shared" si="52"/>
        <v>3.7</v>
      </c>
      <c r="M319" s="239"/>
    </row>
    <row r="320" spans="1:13" ht="45">
      <c r="A320" s="204"/>
      <c r="B320" s="241" t="s">
        <v>751</v>
      </c>
      <c r="C320" s="204"/>
      <c r="D320" s="204">
        <v>1</v>
      </c>
      <c r="E320" s="204">
        <v>12.9</v>
      </c>
      <c r="F320" s="204"/>
      <c r="G320" s="204">
        <v>2.7</v>
      </c>
      <c r="H320" s="204"/>
      <c r="I320" s="204"/>
      <c r="J320" s="204"/>
      <c r="K320" s="37">
        <f t="shared" si="51"/>
        <v>34.830000000000005</v>
      </c>
      <c r="L320" s="37">
        <f t="shared" si="52"/>
        <v>34.830000000000005</v>
      </c>
      <c r="M320" s="239"/>
    </row>
    <row r="321" spans="1:13">
      <c r="A321" s="204"/>
      <c r="B321" s="204" t="s">
        <v>675</v>
      </c>
      <c r="C321" s="204"/>
      <c r="D321" s="204">
        <v>1</v>
      </c>
      <c r="E321" s="204">
        <v>11.75</v>
      </c>
      <c r="F321" s="204"/>
      <c r="G321" s="204">
        <v>2.7</v>
      </c>
      <c r="H321" s="204"/>
      <c r="I321" s="204"/>
      <c r="J321" s="204"/>
      <c r="K321" s="37">
        <f t="shared" si="51"/>
        <v>31.725000000000001</v>
      </c>
      <c r="L321" s="37">
        <f t="shared" si="52"/>
        <v>31.725000000000001</v>
      </c>
      <c r="M321" s="239"/>
    </row>
    <row r="322" spans="1:13">
      <c r="A322" s="204"/>
      <c r="B322" s="204" t="s">
        <v>752</v>
      </c>
      <c r="C322" s="204"/>
      <c r="D322" s="204">
        <v>1</v>
      </c>
      <c r="E322" s="204">
        <v>26.4</v>
      </c>
      <c r="F322" s="204"/>
      <c r="G322" s="204">
        <v>2.7</v>
      </c>
      <c r="H322" s="204"/>
      <c r="I322" s="204"/>
      <c r="J322" s="204"/>
      <c r="K322" s="37">
        <f t="shared" si="51"/>
        <v>71.28</v>
      </c>
      <c r="L322" s="37">
        <f t="shared" si="52"/>
        <v>71.28</v>
      </c>
      <c r="M322" s="239"/>
    </row>
    <row r="323" spans="1:13">
      <c r="A323" s="204"/>
      <c r="B323" s="204" t="s">
        <v>753</v>
      </c>
      <c r="C323" s="204"/>
      <c r="D323" s="204">
        <v>1</v>
      </c>
      <c r="E323" s="204">
        <v>26.8</v>
      </c>
      <c r="F323" s="204"/>
      <c r="G323" s="204">
        <v>2.7</v>
      </c>
      <c r="H323" s="204"/>
      <c r="I323" s="204"/>
      <c r="J323" s="204"/>
      <c r="K323" s="37">
        <f t="shared" si="51"/>
        <v>72.360000000000014</v>
      </c>
      <c r="L323" s="37">
        <f t="shared" si="52"/>
        <v>72.360000000000014</v>
      </c>
      <c r="M323" s="239"/>
    </row>
    <row r="324" spans="1:13">
      <c r="A324" s="204"/>
      <c r="B324" s="204" t="s">
        <v>754</v>
      </c>
      <c r="C324" s="204"/>
      <c r="D324" s="204">
        <v>1</v>
      </c>
      <c r="E324" s="204">
        <v>10.9</v>
      </c>
      <c r="F324" s="204"/>
      <c r="G324" s="204">
        <v>2.7</v>
      </c>
      <c r="H324" s="204"/>
      <c r="I324" s="204"/>
      <c r="J324" s="204"/>
      <c r="K324" s="37">
        <f t="shared" si="51"/>
        <v>29.430000000000003</v>
      </c>
      <c r="L324" s="37">
        <f t="shared" si="52"/>
        <v>29.430000000000003</v>
      </c>
      <c r="M324" s="239"/>
    </row>
    <row r="325" spans="1:13">
      <c r="A325" s="204"/>
      <c r="B325" s="204" t="s">
        <v>755</v>
      </c>
      <c r="C325" s="204"/>
      <c r="D325" s="204">
        <v>1</v>
      </c>
      <c r="E325" s="204">
        <v>24.7</v>
      </c>
      <c r="F325" s="204"/>
      <c r="G325" s="204">
        <v>2.7</v>
      </c>
      <c r="H325" s="204"/>
      <c r="I325" s="204"/>
      <c r="J325" s="204"/>
      <c r="K325" s="37">
        <f t="shared" si="51"/>
        <v>66.69</v>
      </c>
      <c r="L325" s="37">
        <f t="shared" si="52"/>
        <v>66.69</v>
      </c>
      <c r="M325" s="239"/>
    </row>
    <row r="326" spans="1:13" ht="45">
      <c r="A326" s="204"/>
      <c r="B326" s="241" t="s">
        <v>756</v>
      </c>
      <c r="C326" s="204"/>
      <c r="D326" s="204">
        <v>1</v>
      </c>
      <c r="E326" s="204">
        <v>31</v>
      </c>
      <c r="F326" s="204"/>
      <c r="G326" s="204">
        <v>2.7</v>
      </c>
      <c r="H326" s="204"/>
      <c r="I326" s="204"/>
      <c r="J326" s="204"/>
      <c r="K326" s="37">
        <f t="shared" si="51"/>
        <v>83.7</v>
      </c>
      <c r="L326" s="37">
        <f t="shared" si="52"/>
        <v>83.7</v>
      </c>
      <c r="M326" s="239"/>
    </row>
    <row r="327" spans="1:13">
      <c r="A327" s="204"/>
      <c r="B327" s="204" t="s">
        <v>735</v>
      </c>
      <c r="C327" s="204"/>
      <c r="D327" s="204">
        <v>1</v>
      </c>
      <c r="E327" s="204">
        <v>16.100000000000001</v>
      </c>
      <c r="F327" s="204"/>
      <c r="G327" s="204">
        <v>2.7</v>
      </c>
      <c r="H327" s="204"/>
      <c r="I327" s="204"/>
      <c r="J327" s="204"/>
      <c r="K327" s="37">
        <f t="shared" si="51"/>
        <v>43.470000000000006</v>
      </c>
      <c r="L327" s="37">
        <f t="shared" si="52"/>
        <v>43.470000000000006</v>
      </c>
      <c r="M327" s="239"/>
    </row>
    <row r="328" spans="1:13">
      <c r="A328" s="204"/>
      <c r="B328" s="204" t="s">
        <v>731</v>
      </c>
      <c r="C328" s="204"/>
      <c r="D328" s="204">
        <v>1</v>
      </c>
      <c r="E328" s="204">
        <v>16.600000000000001</v>
      </c>
      <c r="F328" s="204"/>
      <c r="G328" s="204">
        <v>2.7</v>
      </c>
      <c r="H328" s="204"/>
      <c r="I328" s="204"/>
      <c r="J328" s="204"/>
      <c r="K328" s="37">
        <f t="shared" si="51"/>
        <v>44.820000000000007</v>
      </c>
      <c r="L328" s="37">
        <f t="shared" si="52"/>
        <v>44.820000000000007</v>
      </c>
      <c r="M328" s="239"/>
    </row>
    <row r="329" spans="1:13">
      <c r="A329" s="204"/>
      <c r="B329" s="204" t="s">
        <v>731</v>
      </c>
      <c r="C329" s="204"/>
      <c r="D329" s="204">
        <v>1</v>
      </c>
      <c r="E329" s="204">
        <v>11.7</v>
      </c>
      <c r="F329" s="204"/>
      <c r="G329" s="204">
        <v>2.7</v>
      </c>
      <c r="H329" s="204"/>
      <c r="I329" s="204"/>
      <c r="J329" s="204"/>
      <c r="K329" s="37">
        <f t="shared" si="51"/>
        <v>31.59</v>
      </c>
      <c r="L329" s="37">
        <f t="shared" si="52"/>
        <v>31.59</v>
      </c>
      <c r="M329" s="239"/>
    </row>
    <row r="330" spans="1:13">
      <c r="A330" s="204"/>
      <c r="B330" s="204" t="s">
        <v>744</v>
      </c>
      <c r="C330" s="204"/>
      <c r="D330" s="204">
        <v>1</v>
      </c>
      <c r="E330" s="204">
        <v>10.199999999999999</v>
      </c>
      <c r="F330" s="204"/>
      <c r="G330" s="204">
        <v>2.7</v>
      </c>
      <c r="H330" s="204"/>
      <c r="I330" s="204"/>
      <c r="J330" s="204"/>
      <c r="K330" s="37">
        <f t="shared" si="51"/>
        <v>27.54</v>
      </c>
      <c r="L330" s="37">
        <f t="shared" si="52"/>
        <v>27.54</v>
      </c>
      <c r="M330" s="239"/>
    </row>
    <row r="331" spans="1:13">
      <c r="A331" s="204"/>
      <c r="B331" s="204" t="s">
        <v>757</v>
      </c>
      <c r="C331" s="204"/>
      <c r="D331" s="204">
        <v>1</v>
      </c>
      <c r="E331" s="204">
        <v>29.3</v>
      </c>
      <c r="F331" s="204"/>
      <c r="G331" s="204">
        <v>2.7</v>
      </c>
      <c r="H331" s="204"/>
      <c r="I331" s="204"/>
      <c r="J331" s="204"/>
      <c r="K331" s="37">
        <f t="shared" si="51"/>
        <v>79.110000000000014</v>
      </c>
      <c r="L331" s="37">
        <f t="shared" si="52"/>
        <v>79.110000000000014</v>
      </c>
      <c r="M331" s="239"/>
    </row>
    <row r="332" spans="1:13">
      <c r="A332" s="204"/>
      <c r="B332" s="204" t="s">
        <v>581</v>
      </c>
      <c r="C332" s="204"/>
      <c r="D332" s="204">
        <v>1</v>
      </c>
      <c r="E332" s="204">
        <v>29.1</v>
      </c>
      <c r="F332" s="204"/>
      <c r="G332" s="204">
        <v>2.7</v>
      </c>
      <c r="H332" s="204"/>
      <c r="I332" s="204"/>
      <c r="J332" s="204"/>
      <c r="K332" s="37">
        <f t="shared" si="51"/>
        <v>78.570000000000007</v>
      </c>
      <c r="L332" s="37">
        <f t="shared" si="52"/>
        <v>78.570000000000007</v>
      </c>
      <c r="M332" s="239"/>
    </row>
    <row r="333" spans="1:13">
      <c r="A333" s="204"/>
      <c r="B333" s="204" t="s">
        <v>758</v>
      </c>
      <c r="C333" s="204"/>
      <c r="D333" s="204">
        <v>1</v>
      </c>
      <c r="E333" s="204">
        <v>17.600000000000001</v>
      </c>
      <c r="F333" s="204"/>
      <c r="G333" s="204">
        <v>2.7</v>
      </c>
      <c r="H333" s="204"/>
      <c r="I333" s="204"/>
      <c r="J333" s="204"/>
      <c r="K333" s="37">
        <f t="shared" si="51"/>
        <v>47.52000000000001</v>
      </c>
      <c r="L333" s="37">
        <f t="shared" si="52"/>
        <v>47.52000000000001</v>
      </c>
      <c r="M333" s="239"/>
    </row>
    <row r="334" spans="1:13">
      <c r="A334" s="204"/>
      <c r="B334" s="204" t="s">
        <v>471</v>
      </c>
      <c r="C334" s="204"/>
      <c r="D334" s="204">
        <v>1</v>
      </c>
      <c r="E334" s="204">
        <v>18.5</v>
      </c>
      <c r="F334" s="204"/>
      <c r="G334" s="204">
        <v>2.7</v>
      </c>
      <c r="H334" s="204"/>
      <c r="I334" s="204"/>
      <c r="J334" s="204"/>
      <c r="K334" s="37">
        <f t="shared" si="51"/>
        <v>49.95</v>
      </c>
      <c r="L334" s="37">
        <f t="shared" si="52"/>
        <v>49.95</v>
      </c>
      <c r="M334" s="239"/>
    </row>
    <row r="335" spans="1:13">
      <c r="A335" s="204"/>
      <c r="B335" s="204" t="s">
        <v>759</v>
      </c>
      <c r="C335" s="204"/>
      <c r="D335" s="204">
        <v>1</v>
      </c>
      <c r="E335" s="204">
        <v>18.7</v>
      </c>
      <c r="F335" s="204"/>
      <c r="G335" s="204">
        <v>2.7</v>
      </c>
      <c r="H335" s="204"/>
      <c r="I335" s="204"/>
      <c r="J335" s="204"/>
      <c r="K335" s="37">
        <f t="shared" si="51"/>
        <v>50.49</v>
      </c>
      <c r="L335" s="37">
        <f t="shared" si="52"/>
        <v>50.49</v>
      </c>
      <c r="M335" s="239"/>
    </row>
    <row r="336" spans="1:13">
      <c r="A336" s="204"/>
      <c r="B336" s="204" t="s">
        <v>760</v>
      </c>
      <c r="C336" s="204"/>
      <c r="D336" s="204">
        <v>1</v>
      </c>
      <c r="E336" s="204">
        <v>13</v>
      </c>
      <c r="F336" s="204"/>
      <c r="G336" s="204">
        <v>2.7</v>
      </c>
      <c r="H336" s="204"/>
      <c r="I336" s="204"/>
      <c r="J336" s="204"/>
      <c r="K336" s="37">
        <f t="shared" si="51"/>
        <v>35.1</v>
      </c>
      <c r="L336" s="37">
        <f t="shared" si="52"/>
        <v>35.1</v>
      </c>
      <c r="M336" s="239"/>
    </row>
    <row r="337" spans="1:13">
      <c r="A337" s="204"/>
      <c r="B337" s="204" t="s">
        <v>761</v>
      </c>
      <c r="C337" s="204"/>
      <c r="D337" s="204">
        <v>1</v>
      </c>
      <c r="E337" s="204">
        <v>35.700000000000003</v>
      </c>
      <c r="F337" s="204"/>
      <c r="G337" s="204">
        <v>2.7</v>
      </c>
      <c r="H337" s="204"/>
      <c r="I337" s="204"/>
      <c r="J337" s="204"/>
      <c r="K337" s="37">
        <f t="shared" si="51"/>
        <v>96.390000000000015</v>
      </c>
      <c r="L337" s="37">
        <f t="shared" si="52"/>
        <v>96.390000000000015</v>
      </c>
      <c r="M337" s="239"/>
    </row>
    <row r="338" spans="1:13">
      <c r="A338" s="204"/>
      <c r="B338" s="204" t="s">
        <v>449</v>
      </c>
      <c r="C338" s="204"/>
      <c r="D338" s="204">
        <v>1</v>
      </c>
      <c r="E338" s="204">
        <v>13.8</v>
      </c>
      <c r="F338" s="204"/>
      <c r="G338" s="204">
        <v>2.7</v>
      </c>
      <c r="H338" s="204"/>
      <c r="I338" s="204"/>
      <c r="J338" s="204"/>
      <c r="K338" s="37">
        <f t="shared" si="51"/>
        <v>37.260000000000005</v>
      </c>
      <c r="L338" s="37">
        <f t="shared" si="52"/>
        <v>37.260000000000005</v>
      </c>
      <c r="M338" s="239"/>
    </row>
    <row r="339" spans="1:13">
      <c r="A339" s="204"/>
      <c r="B339" s="204" t="s">
        <v>762</v>
      </c>
      <c r="C339" s="204"/>
      <c r="D339" s="204">
        <v>1</v>
      </c>
      <c r="E339" s="204">
        <v>33.700000000000003</v>
      </c>
      <c r="F339" s="204"/>
      <c r="G339" s="204">
        <v>2.7</v>
      </c>
      <c r="H339" s="204"/>
      <c r="I339" s="204"/>
      <c r="J339" s="204"/>
      <c r="K339" s="37">
        <f t="shared" si="51"/>
        <v>90.990000000000009</v>
      </c>
      <c r="L339" s="37">
        <f t="shared" si="52"/>
        <v>90.990000000000009</v>
      </c>
      <c r="M339" s="239"/>
    </row>
    <row r="340" spans="1:13">
      <c r="A340" s="204"/>
      <c r="B340" s="204" t="s">
        <v>763</v>
      </c>
      <c r="C340" s="204"/>
      <c r="D340" s="204">
        <v>1</v>
      </c>
      <c r="E340" s="204">
        <v>4.8</v>
      </c>
      <c r="F340" s="204"/>
      <c r="G340" s="204">
        <v>2.7</v>
      </c>
      <c r="H340" s="204"/>
      <c r="I340" s="204"/>
      <c r="J340" s="204"/>
      <c r="K340" s="37">
        <f t="shared" si="51"/>
        <v>12.96</v>
      </c>
      <c r="L340" s="37">
        <f t="shared" si="52"/>
        <v>12.96</v>
      </c>
      <c r="M340" s="239"/>
    </row>
    <row r="341" spans="1:13">
      <c r="A341" s="204"/>
      <c r="B341" s="204" t="s">
        <v>473</v>
      </c>
      <c r="C341" s="204"/>
      <c r="D341" s="204">
        <v>1</v>
      </c>
      <c r="E341" s="204">
        <v>11.6</v>
      </c>
      <c r="F341" s="204"/>
      <c r="G341" s="204">
        <v>2.7</v>
      </c>
      <c r="H341" s="204"/>
      <c r="I341" s="204"/>
      <c r="J341" s="204"/>
      <c r="K341" s="37">
        <f t="shared" si="51"/>
        <v>31.32</v>
      </c>
      <c r="L341" s="37">
        <f t="shared" si="52"/>
        <v>31.32</v>
      </c>
      <c r="M341" s="239"/>
    </row>
    <row r="342" spans="1:13">
      <c r="A342" s="204"/>
      <c r="B342" s="204" t="s">
        <v>764</v>
      </c>
      <c r="C342" s="204"/>
      <c r="D342" s="204">
        <v>1</v>
      </c>
      <c r="E342" s="204">
        <v>12.2</v>
      </c>
      <c r="F342" s="204"/>
      <c r="G342" s="204">
        <v>2.7</v>
      </c>
      <c r="H342" s="204"/>
      <c r="I342" s="204"/>
      <c r="J342" s="204"/>
      <c r="K342" s="37">
        <f t="shared" si="51"/>
        <v>32.94</v>
      </c>
      <c r="L342" s="37">
        <f t="shared" si="52"/>
        <v>32.94</v>
      </c>
      <c r="M342" s="239"/>
    </row>
    <row r="343" spans="1:13">
      <c r="A343" s="204"/>
      <c r="B343" s="204" t="s">
        <v>765</v>
      </c>
      <c r="C343" s="204"/>
      <c r="D343" s="204">
        <v>1</v>
      </c>
      <c r="E343" s="204">
        <v>12.3</v>
      </c>
      <c r="F343" s="204"/>
      <c r="G343" s="204">
        <v>2.7</v>
      </c>
      <c r="H343" s="204"/>
      <c r="I343" s="204"/>
      <c r="J343" s="204"/>
      <c r="K343" s="37">
        <f t="shared" si="51"/>
        <v>33.21</v>
      </c>
      <c r="L343" s="37">
        <f t="shared" si="52"/>
        <v>33.21</v>
      </c>
      <c r="M343" s="239"/>
    </row>
    <row r="344" spans="1:13">
      <c r="A344" s="204"/>
      <c r="B344" s="204" t="s">
        <v>766</v>
      </c>
      <c r="C344" s="204"/>
      <c r="D344" s="204">
        <v>1</v>
      </c>
      <c r="E344" s="204">
        <v>12.3</v>
      </c>
      <c r="F344" s="204"/>
      <c r="G344" s="204">
        <v>2.7</v>
      </c>
      <c r="H344" s="204"/>
      <c r="I344" s="204"/>
      <c r="J344" s="204"/>
      <c r="K344" s="37">
        <f t="shared" si="51"/>
        <v>33.21</v>
      </c>
      <c r="L344" s="37">
        <f t="shared" si="52"/>
        <v>33.21</v>
      </c>
      <c r="M344" s="239"/>
    </row>
    <row r="345" spans="1:13">
      <c r="A345" s="204"/>
      <c r="B345" s="204"/>
      <c r="C345" s="204"/>
      <c r="D345" s="204"/>
      <c r="E345" s="204"/>
      <c r="F345" s="204"/>
      <c r="G345" s="204"/>
      <c r="H345" s="204"/>
      <c r="I345" s="204"/>
      <c r="J345" s="204"/>
      <c r="K345" s="204"/>
      <c r="L345" s="204"/>
    </row>
    <row r="346" spans="1:13">
      <c r="A346" s="204"/>
      <c r="B346" s="204" t="s">
        <v>798</v>
      </c>
      <c r="C346" s="204"/>
      <c r="D346" s="204"/>
      <c r="E346" s="204"/>
      <c r="F346" s="204"/>
      <c r="G346" s="204"/>
      <c r="H346" s="204"/>
      <c r="I346" s="204"/>
      <c r="J346" s="204"/>
      <c r="K346" s="204"/>
      <c r="L346" s="204"/>
    </row>
    <row r="347" spans="1:13">
      <c r="A347" s="204"/>
      <c r="B347" s="204"/>
      <c r="C347" s="204"/>
      <c r="D347" s="204"/>
      <c r="E347" s="204"/>
      <c r="F347" s="204"/>
      <c r="G347" s="204"/>
      <c r="H347" s="204"/>
      <c r="I347" s="204"/>
      <c r="J347" s="204"/>
      <c r="K347" s="204"/>
      <c r="L347" s="204"/>
    </row>
    <row r="348" spans="1:13">
      <c r="A348" s="204"/>
      <c r="B348" s="204" t="s">
        <v>761</v>
      </c>
      <c r="C348" s="204"/>
      <c r="D348" s="204">
        <v>1</v>
      </c>
      <c r="E348" s="204">
        <v>5.85</v>
      </c>
      <c r="F348" s="204"/>
      <c r="G348" s="204">
        <v>1.48</v>
      </c>
      <c r="H348" s="204"/>
      <c r="I348" s="204"/>
      <c r="J348" s="204"/>
      <c r="K348" s="37">
        <f t="shared" ref="K348" si="53">E348*G348</f>
        <v>8.6579999999999995</v>
      </c>
      <c r="L348" s="37">
        <f t="shared" ref="L348" si="54">K348*D348</f>
        <v>8.6579999999999995</v>
      </c>
      <c r="M348" s="240"/>
    </row>
    <row r="349" spans="1:13">
      <c r="A349" s="204"/>
      <c r="B349" s="204" t="s">
        <v>761</v>
      </c>
      <c r="C349" s="204"/>
      <c r="D349" s="204">
        <v>1</v>
      </c>
      <c r="E349" s="204">
        <v>18.7</v>
      </c>
      <c r="F349" s="204"/>
      <c r="G349" s="204">
        <v>1.42</v>
      </c>
      <c r="H349" s="204"/>
      <c r="I349" s="204"/>
      <c r="J349" s="204"/>
      <c r="K349" s="37">
        <f t="shared" ref="K349:K408" si="55">E349*G349</f>
        <v>26.553999999999998</v>
      </c>
      <c r="L349" s="37">
        <f t="shared" ref="L349:L408" si="56">K349*D349</f>
        <v>26.553999999999998</v>
      </c>
      <c r="M349" s="240"/>
    </row>
    <row r="350" spans="1:13">
      <c r="A350" s="204"/>
      <c r="B350" s="204" t="s">
        <v>778</v>
      </c>
      <c r="C350" s="204"/>
      <c r="D350" s="204">
        <v>1</v>
      </c>
      <c r="E350" s="204">
        <v>30.1</v>
      </c>
      <c r="F350" s="204"/>
      <c r="G350" s="204">
        <v>1.91</v>
      </c>
      <c r="H350" s="204"/>
      <c r="I350" s="204"/>
      <c r="J350" s="204"/>
      <c r="K350" s="37">
        <f t="shared" si="55"/>
        <v>57.491</v>
      </c>
      <c r="L350" s="37">
        <f t="shared" si="56"/>
        <v>57.491</v>
      </c>
      <c r="M350" s="240"/>
    </row>
    <row r="351" spans="1:13">
      <c r="A351" s="204"/>
      <c r="B351" s="235" t="s">
        <v>779</v>
      </c>
      <c r="C351" s="204"/>
      <c r="D351" s="204">
        <v>1</v>
      </c>
      <c r="E351" s="204">
        <v>17</v>
      </c>
      <c r="F351" s="204"/>
      <c r="G351" s="204">
        <v>2</v>
      </c>
      <c r="H351" s="204"/>
      <c r="I351" s="204"/>
      <c r="J351" s="204"/>
      <c r="K351" s="37">
        <f t="shared" si="55"/>
        <v>34</v>
      </c>
      <c r="L351" s="37">
        <f t="shared" si="56"/>
        <v>34</v>
      </c>
      <c r="M351" s="240"/>
    </row>
    <row r="352" spans="1:13">
      <c r="A352" s="204"/>
      <c r="B352" s="235" t="s">
        <v>780</v>
      </c>
      <c r="C352" s="204"/>
      <c r="D352" s="204">
        <v>1</v>
      </c>
      <c r="E352" s="204">
        <v>1.96</v>
      </c>
      <c r="F352" s="204"/>
      <c r="G352" s="204">
        <v>2</v>
      </c>
      <c r="H352" s="204"/>
      <c r="I352" s="204"/>
      <c r="J352" s="204"/>
      <c r="K352" s="37">
        <f t="shared" si="55"/>
        <v>3.92</v>
      </c>
      <c r="L352" s="37">
        <f t="shared" si="56"/>
        <v>3.92</v>
      </c>
      <c r="M352" s="240"/>
    </row>
    <row r="353" spans="1:13">
      <c r="A353" s="204"/>
      <c r="B353" s="235" t="s">
        <v>780</v>
      </c>
      <c r="C353" s="204"/>
      <c r="D353" s="204">
        <v>1</v>
      </c>
      <c r="E353" s="204">
        <v>2.85</v>
      </c>
      <c r="F353" s="204"/>
      <c r="G353" s="204">
        <v>4.0999999999999996</v>
      </c>
      <c r="H353" s="204"/>
      <c r="I353" s="204"/>
      <c r="J353" s="204"/>
      <c r="K353" s="37">
        <f t="shared" si="55"/>
        <v>11.684999999999999</v>
      </c>
      <c r="L353" s="37">
        <f t="shared" si="56"/>
        <v>11.684999999999999</v>
      </c>
      <c r="M353" s="240"/>
    </row>
    <row r="354" spans="1:13">
      <c r="A354" s="204"/>
      <c r="B354" s="235" t="s">
        <v>780</v>
      </c>
      <c r="C354" s="204"/>
      <c r="D354" s="204">
        <v>1</v>
      </c>
      <c r="E354" s="204">
        <v>6.33</v>
      </c>
      <c r="F354" s="204"/>
      <c r="G354" s="204">
        <v>2.2999999999999998</v>
      </c>
      <c r="H354" s="204"/>
      <c r="I354" s="204"/>
      <c r="J354" s="204"/>
      <c r="K354" s="37">
        <f t="shared" si="55"/>
        <v>14.558999999999999</v>
      </c>
      <c r="L354" s="37">
        <f t="shared" si="56"/>
        <v>14.558999999999999</v>
      </c>
      <c r="M354" s="240"/>
    </row>
    <row r="355" spans="1:13">
      <c r="A355" s="204"/>
      <c r="B355" s="235" t="s">
        <v>780</v>
      </c>
      <c r="C355" s="204"/>
      <c r="D355" s="204">
        <v>1</v>
      </c>
      <c r="E355" s="204">
        <v>1</v>
      </c>
      <c r="F355" s="204"/>
      <c r="G355" s="204">
        <v>1.8</v>
      </c>
      <c r="H355" s="204"/>
      <c r="I355" s="204"/>
      <c r="J355" s="204"/>
      <c r="K355" s="37">
        <f t="shared" si="55"/>
        <v>1.8</v>
      </c>
      <c r="L355" s="37">
        <f t="shared" si="56"/>
        <v>1.8</v>
      </c>
      <c r="M355" s="240"/>
    </row>
    <row r="356" spans="1:13">
      <c r="A356" s="204"/>
      <c r="B356" s="235" t="s">
        <v>583</v>
      </c>
      <c r="C356" s="204"/>
      <c r="D356" s="204">
        <v>1</v>
      </c>
      <c r="E356" s="204">
        <v>5.5</v>
      </c>
      <c r="F356" s="204"/>
      <c r="G356" s="204">
        <v>2</v>
      </c>
      <c r="H356" s="204"/>
      <c r="I356" s="204"/>
      <c r="J356" s="204"/>
      <c r="K356" s="37">
        <f t="shared" si="55"/>
        <v>11</v>
      </c>
      <c r="L356" s="37">
        <f t="shared" si="56"/>
        <v>11</v>
      </c>
      <c r="M356" s="240"/>
    </row>
    <row r="357" spans="1:13">
      <c r="A357" s="204"/>
      <c r="B357" s="235" t="s">
        <v>583</v>
      </c>
      <c r="C357" s="204"/>
      <c r="D357" s="204">
        <v>1</v>
      </c>
      <c r="E357" s="235">
        <v>4.0999999999999996</v>
      </c>
      <c r="F357" s="204"/>
      <c r="G357" s="235">
        <v>2.65</v>
      </c>
      <c r="H357" s="204"/>
      <c r="I357" s="204"/>
      <c r="J357" s="204"/>
      <c r="K357" s="37">
        <f t="shared" si="55"/>
        <v>10.864999999999998</v>
      </c>
      <c r="L357" s="37">
        <f t="shared" si="56"/>
        <v>10.864999999999998</v>
      </c>
      <c r="M357" s="240"/>
    </row>
    <row r="358" spans="1:13">
      <c r="A358" s="204"/>
      <c r="B358" s="235" t="s">
        <v>778</v>
      </c>
      <c r="C358" s="204"/>
      <c r="D358" s="204">
        <v>1</v>
      </c>
      <c r="E358" s="235">
        <v>4.2</v>
      </c>
      <c r="F358" s="204"/>
      <c r="G358" s="235">
        <v>2.42</v>
      </c>
      <c r="H358" s="204"/>
      <c r="I358" s="204"/>
      <c r="J358" s="204"/>
      <c r="K358" s="37">
        <f t="shared" si="55"/>
        <v>10.164</v>
      </c>
      <c r="L358" s="37">
        <f t="shared" si="56"/>
        <v>10.164</v>
      </c>
      <c r="M358" s="240"/>
    </row>
    <row r="359" spans="1:13">
      <c r="A359" s="204"/>
      <c r="B359" s="204" t="s">
        <v>449</v>
      </c>
      <c r="C359" s="204"/>
      <c r="D359" s="204">
        <v>1</v>
      </c>
      <c r="E359" s="204">
        <v>3.7</v>
      </c>
      <c r="F359" s="204"/>
      <c r="G359" s="204">
        <v>4.1900000000000004</v>
      </c>
      <c r="H359" s="204"/>
      <c r="I359" s="204"/>
      <c r="J359" s="204"/>
      <c r="K359" s="37">
        <f t="shared" si="55"/>
        <v>15.503000000000002</v>
      </c>
      <c r="L359" s="37">
        <f t="shared" si="56"/>
        <v>15.503000000000002</v>
      </c>
      <c r="M359" s="240"/>
    </row>
    <row r="360" spans="1:13">
      <c r="A360" s="204"/>
      <c r="B360" s="204" t="s">
        <v>781</v>
      </c>
      <c r="C360" s="204"/>
      <c r="D360" s="204">
        <v>1</v>
      </c>
      <c r="E360" s="204">
        <v>2.6</v>
      </c>
      <c r="F360" s="204"/>
      <c r="G360" s="204">
        <v>4.07</v>
      </c>
      <c r="H360" s="204"/>
      <c r="I360" s="204"/>
      <c r="J360" s="204"/>
      <c r="K360" s="37">
        <f t="shared" si="55"/>
        <v>10.582000000000001</v>
      </c>
      <c r="L360" s="37">
        <f t="shared" si="56"/>
        <v>10.582000000000001</v>
      </c>
      <c r="M360" s="240"/>
    </row>
    <row r="361" spans="1:13">
      <c r="A361" s="204"/>
      <c r="B361" s="204" t="s">
        <v>452</v>
      </c>
      <c r="C361" s="204"/>
      <c r="D361" s="204">
        <v>1</v>
      </c>
      <c r="E361" s="204">
        <v>4.18</v>
      </c>
      <c r="F361" s="204"/>
      <c r="G361" s="204">
        <v>3</v>
      </c>
      <c r="H361" s="204"/>
      <c r="I361" s="204"/>
      <c r="J361" s="204"/>
      <c r="K361" s="37">
        <f t="shared" si="55"/>
        <v>12.54</v>
      </c>
      <c r="L361" s="37">
        <f t="shared" si="56"/>
        <v>12.54</v>
      </c>
      <c r="M361" s="240"/>
    </row>
    <row r="362" spans="1:13">
      <c r="A362" s="204"/>
      <c r="B362" s="204" t="s">
        <v>769</v>
      </c>
      <c r="C362" s="204"/>
      <c r="D362" s="204">
        <v>1</v>
      </c>
      <c r="E362" s="204">
        <v>4.17</v>
      </c>
      <c r="F362" s="204"/>
      <c r="G362" s="204">
        <v>2.83</v>
      </c>
      <c r="H362" s="204"/>
      <c r="I362" s="204"/>
      <c r="J362" s="204"/>
      <c r="K362" s="37">
        <f t="shared" si="55"/>
        <v>11.8011</v>
      </c>
      <c r="L362" s="37">
        <f t="shared" si="56"/>
        <v>11.8011</v>
      </c>
      <c r="M362" s="240"/>
    </row>
    <row r="363" spans="1:13">
      <c r="A363" s="204"/>
      <c r="B363" s="204" t="s">
        <v>782</v>
      </c>
      <c r="C363" s="204"/>
      <c r="D363" s="204">
        <v>1</v>
      </c>
      <c r="E363" s="204">
        <v>1.95</v>
      </c>
      <c r="F363" s="204"/>
      <c r="G363" s="204">
        <v>2.2999999999999998</v>
      </c>
      <c r="H363" s="204"/>
      <c r="I363" s="204"/>
      <c r="J363" s="204"/>
      <c r="K363" s="37">
        <f t="shared" si="55"/>
        <v>4.4849999999999994</v>
      </c>
      <c r="L363" s="37">
        <f t="shared" si="56"/>
        <v>4.4849999999999994</v>
      </c>
      <c r="M363" s="240"/>
    </row>
    <row r="364" spans="1:13">
      <c r="A364" s="204"/>
      <c r="B364" s="204" t="s">
        <v>764</v>
      </c>
      <c r="C364" s="204"/>
      <c r="D364" s="204">
        <v>1</v>
      </c>
      <c r="E364" s="204">
        <v>3.53</v>
      </c>
      <c r="F364" s="204"/>
      <c r="G364" s="204">
        <v>3.24</v>
      </c>
      <c r="H364" s="204"/>
      <c r="I364" s="204"/>
      <c r="J364" s="204"/>
      <c r="K364" s="37">
        <f t="shared" si="55"/>
        <v>11.437200000000001</v>
      </c>
      <c r="L364" s="37">
        <f t="shared" si="56"/>
        <v>11.437200000000001</v>
      </c>
      <c r="M364" s="240"/>
    </row>
    <row r="365" spans="1:13">
      <c r="A365" s="204"/>
      <c r="B365" s="204" t="s">
        <v>473</v>
      </c>
      <c r="C365" s="204"/>
      <c r="D365" s="204">
        <v>1</v>
      </c>
      <c r="E365" s="204">
        <v>3.54</v>
      </c>
      <c r="F365" s="204"/>
      <c r="G365" s="204">
        <v>3</v>
      </c>
      <c r="H365" s="204"/>
      <c r="I365" s="204"/>
      <c r="J365" s="204"/>
      <c r="K365" s="37">
        <f t="shared" si="55"/>
        <v>10.620000000000001</v>
      </c>
      <c r="L365" s="37">
        <f t="shared" si="56"/>
        <v>10.620000000000001</v>
      </c>
      <c r="M365" s="240"/>
    </row>
    <row r="366" spans="1:13">
      <c r="A366" s="204"/>
      <c r="B366" s="204" t="s">
        <v>770</v>
      </c>
      <c r="C366" s="204"/>
      <c r="D366" s="204">
        <v>1</v>
      </c>
      <c r="E366" s="204">
        <v>1.43</v>
      </c>
      <c r="F366" s="204"/>
      <c r="G366" s="204">
        <v>1.6</v>
      </c>
      <c r="H366" s="204"/>
      <c r="I366" s="204"/>
      <c r="J366" s="204"/>
      <c r="K366" s="37">
        <f t="shared" si="55"/>
        <v>2.2879999999999998</v>
      </c>
      <c r="L366" s="37">
        <f t="shared" si="56"/>
        <v>2.2879999999999998</v>
      </c>
      <c r="M366" s="240"/>
    </row>
    <row r="367" spans="1:13">
      <c r="A367" s="204"/>
      <c r="B367" s="204" t="s">
        <v>783</v>
      </c>
      <c r="C367" s="204"/>
      <c r="D367" s="204">
        <v>1</v>
      </c>
      <c r="E367" s="204">
        <v>2.63</v>
      </c>
      <c r="F367" s="204"/>
      <c r="G367" s="204">
        <v>4.53</v>
      </c>
      <c r="H367" s="204"/>
      <c r="I367" s="204"/>
      <c r="J367" s="204"/>
      <c r="K367" s="37">
        <f t="shared" si="55"/>
        <v>11.9139</v>
      </c>
      <c r="L367" s="37">
        <f t="shared" si="56"/>
        <v>11.9139</v>
      </c>
      <c r="M367" s="240"/>
    </row>
    <row r="368" spans="1:13">
      <c r="A368" s="204"/>
      <c r="B368" s="204" t="s">
        <v>445</v>
      </c>
      <c r="C368" s="204"/>
      <c r="D368" s="204">
        <v>1</v>
      </c>
      <c r="E368" s="204">
        <v>3.93</v>
      </c>
      <c r="F368" s="204"/>
      <c r="G368" s="204">
        <v>2.2999999999999998</v>
      </c>
      <c r="H368" s="204"/>
      <c r="I368" s="204"/>
      <c r="J368" s="204"/>
      <c r="K368" s="37">
        <f t="shared" si="55"/>
        <v>9.0389999999999997</v>
      </c>
      <c r="L368" s="37">
        <f t="shared" si="56"/>
        <v>9.0389999999999997</v>
      </c>
      <c r="M368" s="240"/>
    </row>
    <row r="369" spans="1:13">
      <c r="A369" s="204"/>
      <c r="B369" s="204" t="s">
        <v>784</v>
      </c>
      <c r="C369" s="204"/>
      <c r="D369" s="204">
        <v>1</v>
      </c>
      <c r="E369" s="204">
        <v>4.53</v>
      </c>
      <c r="F369" s="204"/>
      <c r="G369" s="204">
        <v>2.4</v>
      </c>
      <c r="H369" s="204"/>
      <c r="I369" s="204"/>
      <c r="J369" s="204"/>
      <c r="K369" s="37">
        <f t="shared" si="55"/>
        <v>10.872</v>
      </c>
      <c r="L369" s="37">
        <f t="shared" si="56"/>
        <v>10.872</v>
      </c>
      <c r="M369" s="240"/>
    </row>
    <row r="370" spans="1:13">
      <c r="A370" s="204"/>
      <c r="B370" s="204" t="s">
        <v>772</v>
      </c>
      <c r="C370" s="204"/>
      <c r="D370" s="204">
        <v>1</v>
      </c>
      <c r="E370" s="204">
        <v>2.5499999999999998</v>
      </c>
      <c r="F370" s="204"/>
      <c r="G370" s="204">
        <v>1.9</v>
      </c>
      <c r="H370" s="204"/>
      <c r="I370" s="204"/>
      <c r="J370" s="204"/>
      <c r="K370" s="37">
        <f t="shared" si="55"/>
        <v>4.8449999999999998</v>
      </c>
      <c r="L370" s="37">
        <f t="shared" si="56"/>
        <v>4.8449999999999998</v>
      </c>
      <c r="M370" s="240"/>
    </row>
    <row r="371" spans="1:13">
      <c r="A371" s="204"/>
      <c r="B371" s="204" t="s">
        <v>773</v>
      </c>
      <c r="C371" s="204"/>
      <c r="D371" s="204">
        <v>1</v>
      </c>
      <c r="E371" s="204">
        <v>2.5499999999999998</v>
      </c>
      <c r="F371" s="204"/>
      <c r="G371" s="204">
        <v>1.9</v>
      </c>
      <c r="H371" s="204"/>
      <c r="I371" s="204"/>
      <c r="J371" s="204"/>
      <c r="K371" s="37">
        <f t="shared" si="55"/>
        <v>4.8449999999999998</v>
      </c>
      <c r="L371" s="37">
        <f t="shared" si="56"/>
        <v>4.8449999999999998</v>
      </c>
      <c r="M371" s="240"/>
    </row>
    <row r="372" spans="1:13">
      <c r="A372" s="204"/>
      <c r="B372" s="204" t="s">
        <v>475</v>
      </c>
      <c r="C372" s="204"/>
      <c r="D372" s="204">
        <v>1</v>
      </c>
      <c r="E372" s="204">
        <v>2.5499999999999998</v>
      </c>
      <c r="F372" s="204"/>
      <c r="G372" s="204">
        <v>1.9</v>
      </c>
      <c r="H372" s="204"/>
      <c r="I372" s="204"/>
      <c r="J372" s="204"/>
      <c r="K372" s="37">
        <f t="shared" si="55"/>
        <v>4.8449999999999998</v>
      </c>
      <c r="L372" s="37">
        <f t="shared" si="56"/>
        <v>4.8449999999999998</v>
      </c>
      <c r="M372" s="240"/>
    </row>
    <row r="373" spans="1:13">
      <c r="A373" s="204"/>
      <c r="B373" s="204" t="s">
        <v>675</v>
      </c>
      <c r="C373" s="204"/>
      <c r="D373" s="204">
        <v>1</v>
      </c>
      <c r="E373" s="204">
        <v>3.23</v>
      </c>
      <c r="F373" s="204"/>
      <c r="G373" s="204">
        <v>3</v>
      </c>
      <c r="H373" s="204"/>
      <c r="I373" s="204"/>
      <c r="J373" s="204"/>
      <c r="K373" s="37">
        <f t="shared" si="55"/>
        <v>9.69</v>
      </c>
      <c r="L373" s="37">
        <f t="shared" si="56"/>
        <v>9.69</v>
      </c>
      <c r="M373" s="240"/>
    </row>
    <row r="374" spans="1:13">
      <c r="A374" s="204"/>
      <c r="B374" s="204" t="s">
        <v>785</v>
      </c>
      <c r="C374" s="204"/>
      <c r="D374" s="204">
        <v>1</v>
      </c>
      <c r="E374" s="204">
        <v>2</v>
      </c>
      <c r="F374" s="204"/>
      <c r="G374" s="204">
        <v>1</v>
      </c>
      <c r="H374" s="204"/>
      <c r="I374" s="204"/>
      <c r="J374" s="204"/>
      <c r="K374" s="37">
        <f t="shared" si="55"/>
        <v>2</v>
      </c>
      <c r="L374" s="37">
        <f t="shared" si="56"/>
        <v>2</v>
      </c>
      <c r="M374" s="240"/>
    </row>
    <row r="375" spans="1:13">
      <c r="A375" s="204"/>
      <c r="B375" s="237" t="s">
        <v>669</v>
      </c>
      <c r="C375" s="204"/>
      <c r="D375" s="204">
        <v>1</v>
      </c>
      <c r="E375" s="238"/>
      <c r="F375" s="204"/>
      <c r="G375" s="238"/>
      <c r="H375" s="204"/>
      <c r="I375" s="204">
        <v>56.2</v>
      </c>
      <c r="J375" s="204"/>
      <c r="K375" s="37">
        <f t="shared" si="55"/>
        <v>0</v>
      </c>
      <c r="L375" s="37">
        <f t="shared" si="56"/>
        <v>0</v>
      </c>
      <c r="M375" s="240"/>
    </row>
    <row r="376" spans="1:13">
      <c r="A376" s="204"/>
      <c r="B376" s="204" t="s">
        <v>669</v>
      </c>
      <c r="C376" s="204"/>
      <c r="D376" s="204">
        <v>1</v>
      </c>
      <c r="E376" s="204">
        <v>9.1</v>
      </c>
      <c r="F376" s="204"/>
      <c r="G376" s="204">
        <v>2.5499999999999998</v>
      </c>
      <c r="H376" s="204"/>
      <c r="I376" s="204"/>
      <c r="J376" s="204"/>
      <c r="K376" s="37">
        <f t="shared" si="55"/>
        <v>23.204999999999998</v>
      </c>
      <c r="L376" s="37">
        <f t="shared" si="56"/>
        <v>23.204999999999998</v>
      </c>
      <c r="M376" s="240"/>
    </row>
    <row r="377" spans="1:13">
      <c r="A377" s="204"/>
      <c r="B377" s="204" t="s">
        <v>786</v>
      </c>
      <c r="C377" s="204"/>
      <c r="D377" s="204">
        <v>1</v>
      </c>
      <c r="E377" s="204">
        <v>2.1</v>
      </c>
      <c r="F377" s="204"/>
      <c r="G377" s="204">
        <v>1.05</v>
      </c>
      <c r="H377" s="204"/>
      <c r="I377" s="204"/>
      <c r="J377" s="204"/>
      <c r="K377" s="37">
        <f t="shared" si="55"/>
        <v>2.2050000000000001</v>
      </c>
      <c r="L377" s="37">
        <f t="shared" si="56"/>
        <v>2.2050000000000001</v>
      </c>
      <c r="M377" s="240"/>
    </row>
    <row r="378" spans="1:13">
      <c r="A378" s="204"/>
      <c r="B378" s="204" t="s">
        <v>669</v>
      </c>
      <c r="C378" s="204"/>
      <c r="D378" s="204">
        <v>1</v>
      </c>
      <c r="E378" s="204">
        <v>3.77</v>
      </c>
      <c r="F378" s="204"/>
      <c r="G378" s="204">
        <v>4.5</v>
      </c>
      <c r="H378" s="204"/>
      <c r="I378" s="204"/>
      <c r="J378" s="204"/>
      <c r="K378" s="37">
        <f t="shared" si="55"/>
        <v>16.965</v>
      </c>
      <c r="L378" s="37">
        <f t="shared" si="56"/>
        <v>16.965</v>
      </c>
      <c r="M378" s="240"/>
    </row>
    <row r="379" spans="1:13">
      <c r="A379" s="204"/>
      <c r="B379" s="204" t="s">
        <v>669</v>
      </c>
      <c r="C379" s="204"/>
      <c r="D379" s="204">
        <v>1</v>
      </c>
      <c r="E379" s="204">
        <v>2.2000000000000002</v>
      </c>
      <c r="F379" s="204"/>
      <c r="G379" s="204">
        <v>1.45</v>
      </c>
      <c r="H379" s="204"/>
      <c r="I379" s="204"/>
      <c r="J379" s="204"/>
      <c r="K379" s="37">
        <f t="shared" si="55"/>
        <v>3.19</v>
      </c>
      <c r="L379" s="37">
        <f t="shared" si="56"/>
        <v>3.19</v>
      </c>
      <c r="M379" s="240"/>
    </row>
    <row r="380" spans="1:13">
      <c r="A380" s="204"/>
      <c r="B380" s="204" t="s">
        <v>759</v>
      </c>
      <c r="C380" s="204"/>
      <c r="D380" s="204">
        <v>1</v>
      </c>
      <c r="E380" s="204">
        <v>3.25</v>
      </c>
      <c r="F380" s="204"/>
      <c r="G380" s="204">
        <v>3.85</v>
      </c>
      <c r="H380" s="204"/>
      <c r="I380" s="204"/>
      <c r="J380" s="204"/>
      <c r="K380" s="37">
        <f t="shared" si="55"/>
        <v>12.512500000000001</v>
      </c>
      <c r="L380" s="37">
        <f t="shared" si="56"/>
        <v>12.512500000000001</v>
      </c>
      <c r="M380" s="240"/>
    </row>
    <row r="381" spans="1:13">
      <c r="A381" s="204"/>
      <c r="B381" s="204" t="s">
        <v>787</v>
      </c>
      <c r="C381" s="204"/>
      <c r="D381" s="204">
        <v>1</v>
      </c>
      <c r="E381" s="204">
        <v>1.4</v>
      </c>
      <c r="F381" s="204"/>
      <c r="G381" s="204">
        <v>3.8</v>
      </c>
      <c r="H381" s="204"/>
      <c r="I381" s="204"/>
      <c r="J381" s="204"/>
      <c r="K381" s="37">
        <f t="shared" si="55"/>
        <v>5.3199999999999994</v>
      </c>
      <c r="L381" s="37">
        <f t="shared" si="56"/>
        <v>5.3199999999999994</v>
      </c>
      <c r="M381" s="240"/>
    </row>
    <row r="382" spans="1:13">
      <c r="A382" s="204"/>
      <c r="B382" s="204" t="s">
        <v>471</v>
      </c>
      <c r="C382" s="204"/>
      <c r="D382" s="204">
        <v>1</v>
      </c>
      <c r="E382" s="204">
        <v>6.15</v>
      </c>
      <c r="F382" s="204"/>
      <c r="G382" s="204">
        <v>3.87</v>
      </c>
      <c r="H382" s="204"/>
      <c r="I382" s="204"/>
      <c r="J382" s="204"/>
      <c r="K382" s="37">
        <f t="shared" si="55"/>
        <v>23.800500000000003</v>
      </c>
      <c r="L382" s="37">
        <f t="shared" si="56"/>
        <v>23.800500000000003</v>
      </c>
      <c r="M382" s="240"/>
    </row>
    <row r="383" spans="1:13">
      <c r="A383" s="204"/>
      <c r="B383" s="204" t="s">
        <v>758</v>
      </c>
      <c r="C383" s="204"/>
      <c r="D383" s="204">
        <v>1</v>
      </c>
      <c r="E383" s="204">
        <v>5.45</v>
      </c>
      <c r="F383" s="204"/>
      <c r="G383" s="204">
        <v>1.95</v>
      </c>
      <c r="H383" s="204"/>
      <c r="I383" s="204"/>
      <c r="J383" s="204"/>
      <c r="K383" s="37">
        <f t="shared" si="55"/>
        <v>10.6275</v>
      </c>
      <c r="L383" s="37">
        <f t="shared" si="56"/>
        <v>10.6275</v>
      </c>
      <c r="M383" s="240"/>
    </row>
    <row r="384" spans="1:13">
      <c r="A384" s="204"/>
      <c r="B384" s="204" t="s">
        <v>758</v>
      </c>
      <c r="C384" s="204"/>
      <c r="D384" s="204">
        <v>1</v>
      </c>
      <c r="E384" s="204">
        <v>2.1</v>
      </c>
      <c r="F384" s="204"/>
      <c r="G384" s="204">
        <v>3.13</v>
      </c>
      <c r="H384" s="204"/>
      <c r="I384" s="204"/>
      <c r="J384" s="204"/>
      <c r="K384" s="37">
        <f t="shared" si="55"/>
        <v>6.5730000000000004</v>
      </c>
      <c r="L384" s="37">
        <f t="shared" si="56"/>
        <v>6.5730000000000004</v>
      </c>
      <c r="M384" s="240"/>
    </row>
    <row r="385" spans="1:13">
      <c r="A385" s="204"/>
      <c r="B385" s="204" t="s">
        <v>706</v>
      </c>
      <c r="C385" s="204"/>
      <c r="D385" s="204">
        <v>1</v>
      </c>
      <c r="E385" s="204">
        <v>1.95</v>
      </c>
      <c r="F385" s="204"/>
      <c r="G385" s="204">
        <v>2.4500000000000002</v>
      </c>
      <c r="H385" s="204"/>
      <c r="I385" s="204"/>
      <c r="J385" s="204"/>
      <c r="K385" s="37">
        <f t="shared" si="55"/>
        <v>4.7774999999999999</v>
      </c>
      <c r="L385" s="37">
        <f t="shared" si="56"/>
        <v>4.7774999999999999</v>
      </c>
      <c r="M385" s="240"/>
    </row>
    <row r="386" spans="1:13">
      <c r="A386" s="204"/>
      <c r="B386" s="204" t="s">
        <v>760</v>
      </c>
      <c r="C386" s="204"/>
      <c r="D386" s="204">
        <v>1</v>
      </c>
      <c r="E386" s="204">
        <v>4.3499999999999996</v>
      </c>
      <c r="F386" s="204"/>
      <c r="G386" s="204">
        <v>2.95</v>
      </c>
      <c r="H386" s="204"/>
      <c r="I386" s="204"/>
      <c r="J386" s="204"/>
      <c r="K386" s="37">
        <f t="shared" si="55"/>
        <v>12.8325</v>
      </c>
      <c r="L386" s="37">
        <f t="shared" si="56"/>
        <v>12.8325</v>
      </c>
      <c r="M386" s="240"/>
    </row>
    <row r="387" spans="1:13">
      <c r="A387" s="204"/>
      <c r="B387" s="204" t="s">
        <v>581</v>
      </c>
      <c r="C387" s="204"/>
      <c r="D387" s="204">
        <v>1</v>
      </c>
      <c r="E387" s="204">
        <v>7.17</v>
      </c>
      <c r="F387" s="204"/>
      <c r="G387" s="204">
        <v>2.25</v>
      </c>
      <c r="H387" s="204"/>
      <c r="I387" s="204"/>
      <c r="J387" s="204"/>
      <c r="K387" s="37">
        <f t="shared" si="55"/>
        <v>16.1325</v>
      </c>
      <c r="L387" s="37">
        <f t="shared" si="56"/>
        <v>16.1325</v>
      </c>
      <c r="M387" s="240"/>
    </row>
    <row r="388" spans="1:13">
      <c r="A388" s="204"/>
      <c r="B388" s="204" t="s">
        <v>581</v>
      </c>
      <c r="C388" s="204"/>
      <c r="D388" s="204">
        <v>1</v>
      </c>
      <c r="E388" s="204">
        <v>3.45</v>
      </c>
      <c r="F388" s="204"/>
      <c r="G388" s="204">
        <v>8.6999999999999993</v>
      </c>
      <c r="H388" s="204"/>
      <c r="I388" s="204"/>
      <c r="J388" s="204"/>
      <c r="K388" s="37">
        <f t="shared" si="55"/>
        <v>30.015000000000001</v>
      </c>
      <c r="L388" s="37">
        <f t="shared" si="56"/>
        <v>30.015000000000001</v>
      </c>
      <c r="M388" s="240"/>
    </row>
    <row r="389" spans="1:13">
      <c r="A389" s="204"/>
      <c r="B389" s="204" t="s">
        <v>705</v>
      </c>
      <c r="C389" s="204"/>
      <c r="D389" s="204">
        <v>1</v>
      </c>
      <c r="E389" s="204">
        <v>1.5</v>
      </c>
      <c r="F389" s="204"/>
      <c r="G389" s="204">
        <v>3</v>
      </c>
      <c r="H389" s="204"/>
      <c r="I389" s="204"/>
      <c r="J389" s="204"/>
      <c r="K389" s="37">
        <f t="shared" si="55"/>
        <v>4.5</v>
      </c>
      <c r="L389" s="37">
        <f t="shared" si="56"/>
        <v>4.5</v>
      </c>
      <c r="M389" s="240"/>
    </row>
    <row r="390" spans="1:13">
      <c r="A390" s="204"/>
      <c r="B390" s="204" t="s">
        <v>771</v>
      </c>
      <c r="C390" s="204"/>
      <c r="D390" s="204">
        <v>1</v>
      </c>
      <c r="E390" s="204">
        <v>1.95</v>
      </c>
      <c r="F390" s="204"/>
      <c r="G390" s="204">
        <v>2.13</v>
      </c>
      <c r="H390" s="204"/>
      <c r="I390" s="204"/>
      <c r="J390" s="204"/>
      <c r="K390" s="37">
        <f t="shared" si="55"/>
        <v>4.1534999999999993</v>
      </c>
      <c r="L390" s="37">
        <f t="shared" si="56"/>
        <v>4.1534999999999993</v>
      </c>
      <c r="M390" s="240"/>
    </row>
    <row r="391" spans="1:13">
      <c r="A391" s="204"/>
      <c r="B391" s="204" t="s">
        <v>572</v>
      </c>
      <c r="C391" s="204"/>
      <c r="D391" s="204">
        <v>1</v>
      </c>
      <c r="E391" s="204">
        <v>1.95</v>
      </c>
      <c r="F391" s="204"/>
      <c r="G391" s="204">
        <v>2.1</v>
      </c>
      <c r="H391" s="204"/>
      <c r="I391" s="204"/>
      <c r="J391" s="204"/>
      <c r="K391" s="37">
        <f t="shared" si="55"/>
        <v>4.0949999999999998</v>
      </c>
      <c r="L391" s="37">
        <f t="shared" si="56"/>
        <v>4.0949999999999998</v>
      </c>
      <c r="M391" s="240"/>
    </row>
    <row r="392" spans="1:13">
      <c r="A392" s="204"/>
      <c r="B392" s="204" t="s">
        <v>744</v>
      </c>
      <c r="C392" s="204"/>
      <c r="D392" s="204">
        <v>1</v>
      </c>
      <c r="E392" s="204">
        <v>2.95</v>
      </c>
      <c r="F392" s="204"/>
      <c r="G392" s="204">
        <v>4.5599999999999996</v>
      </c>
      <c r="H392" s="204"/>
      <c r="I392" s="204"/>
      <c r="J392" s="204"/>
      <c r="K392" s="37">
        <f t="shared" si="55"/>
        <v>13.452</v>
      </c>
      <c r="L392" s="37">
        <f t="shared" si="56"/>
        <v>13.452</v>
      </c>
      <c r="M392" s="240"/>
    </row>
    <row r="393" spans="1:13">
      <c r="A393" s="204"/>
      <c r="B393" s="204" t="s">
        <v>745</v>
      </c>
      <c r="C393" s="204"/>
      <c r="D393" s="204">
        <v>1</v>
      </c>
      <c r="E393" s="204">
        <v>3.1</v>
      </c>
      <c r="F393" s="204"/>
      <c r="G393" s="204">
        <v>1.8</v>
      </c>
      <c r="H393" s="204"/>
      <c r="I393" s="204"/>
      <c r="J393" s="204"/>
      <c r="K393" s="37">
        <f t="shared" si="55"/>
        <v>5.58</v>
      </c>
      <c r="L393" s="37">
        <f t="shared" si="56"/>
        <v>5.58</v>
      </c>
      <c r="M393" s="240"/>
    </row>
    <row r="394" spans="1:13">
      <c r="A394" s="204"/>
      <c r="B394" s="204" t="s">
        <v>772</v>
      </c>
      <c r="C394" s="204"/>
      <c r="D394" s="204">
        <v>1</v>
      </c>
      <c r="E394" s="204">
        <v>2.0499999999999998</v>
      </c>
      <c r="F394" s="204"/>
      <c r="G394" s="204">
        <v>1.43</v>
      </c>
      <c r="H394" s="204"/>
      <c r="I394" s="204"/>
      <c r="J394" s="204"/>
      <c r="K394" s="37">
        <f t="shared" si="55"/>
        <v>2.9314999999999998</v>
      </c>
      <c r="L394" s="37">
        <f t="shared" si="56"/>
        <v>2.9314999999999998</v>
      </c>
      <c r="M394" s="240"/>
    </row>
    <row r="395" spans="1:13">
      <c r="A395" s="204"/>
      <c r="B395" s="204" t="s">
        <v>773</v>
      </c>
      <c r="C395" s="204"/>
      <c r="D395" s="204">
        <v>1</v>
      </c>
      <c r="E395" s="204">
        <v>1.8</v>
      </c>
      <c r="F395" s="204"/>
      <c r="G395" s="204">
        <v>1.43</v>
      </c>
      <c r="H395" s="204"/>
      <c r="I395" s="204"/>
      <c r="J395" s="204"/>
      <c r="K395" s="37">
        <f t="shared" si="55"/>
        <v>2.5739999999999998</v>
      </c>
      <c r="L395" s="37">
        <f t="shared" si="56"/>
        <v>2.5739999999999998</v>
      </c>
      <c r="M395" s="240"/>
    </row>
    <row r="396" spans="1:13">
      <c r="A396" s="204"/>
      <c r="B396" s="204" t="s">
        <v>771</v>
      </c>
      <c r="C396" s="204"/>
      <c r="D396" s="204">
        <v>1</v>
      </c>
      <c r="E396" s="204">
        <v>1.9</v>
      </c>
      <c r="F396" s="204"/>
      <c r="G396" s="204">
        <v>1.0900000000000001</v>
      </c>
      <c r="H396" s="204"/>
      <c r="I396" s="204"/>
      <c r="J396" s="204"/>
      <c r="K396" s="37">
        <f t="shared" si="55"/>
        <v>2.0710000000000002</v>
      </c>
      <c r="L396" s="37">
        <f t="shared" si="56"/>
        <v>2.0710000000000002</v>
      </c>
      <c r="M396" s="240"/>
    </row>
    <row r="397" spans="1:13">
      <c r="A397" s="204"/>
      <c r="B397" s="204" t="s">
        <v>464</v>
      </c>
      <c r="C397" s="204"/>
      <c r="D397" s="204">
        <v>1</v>
      </c>
      <c r="E397" s="204">
        <v>5.57</v>
      </c>
      <c r="F397" s="204"/>
      <c r="G397" s="204">
        <v>7.25</v>
      </c>
      <c r="H397" s="204"/>
      <c r="I397" s="204"/>
      <c r="J397" s="204"/>
      <c r="K397" s="37">
        <f t="shared" si="55"/>
        <v>40.3825</v>
      </c>
      <c r="L397" s="37">
        <f t="shared" si="56"/>
        <v>40.3825</v>
      </c>
      <c r="M397" s="240"/>
    </row>
    <row r="398" spans="1:13">
      <c r="A398" s="204"/>
      <c r="B398" s="204" t="s">
        <v>772</v>
      </c>
      <c r="C398" s="204"/>
      <c r="D398" s="204">
        <v>1</v>
      </c>
      <c r="E398" s="204">
        <v>2.5499999999999998</v>
      </c>
      <c r="F398" s="204"/>
      <c r="G398" s="204">
        <v>1.95</v>
      </c>
      <c r="H398" s="204"/>
      <c r="I398" s="204"/>
      <c r="J398" s="204"/>
      <c r="K398" s="37">
        <f t="shared" si="55"/>
        <v>4.9724999999999993</v>
      </c>
      <c r="L398" s="37">
        <f t="shared" si="56"/>
        <v>4.9724999999999993</v>
      </c>
      <c r="M398" s="240"/>
    </row>
    <row r="399" spans="1:13">
      <c r="A399" s="204"/>
      <c r="B399" s="204" t="s">
        <v>773</v>
      </c>
      <c r="C399" s="204"/>
      <c r="D399" s="204">
        <v>1</v>
      </c>
      <c r="E399" s="204">
        <v>1.95</v>
      </c>
      <c r="F399" s="204"/>
      <c r="G399" s="204">
        <v>2.5499999999999998</v>
      </c>
      <c r="H399" s="204"/>
      <c r="I399" s="204"/>
      <c r="J399" s="204"/>
      <c r="K399" s="37">
        <f t="shared" si="55"/>
        <v>4.9724999999999993</v>
      </c>
      <c r="L399" s="37">
        <f t="shared" si="56"/>
        <v>4.9724999999999993</v>
      </c>
      <c r="M399" s="240"/>
    </row>
    <row r="400" spans="1:13">
      <c r="A400" s="204"/>
      <c r="B400" s="204" t="s">
        <v>774</v>
      </c>
      <c r="C400" s="204"/>
      <c r="D400" s="204">
        <v>1</v>
      </c>
      <c r="E400" s="204">
        <v>5.23</v>
      </c>
      <c r="F400" s="204"/>
      <c r="G400" s="204">
        <v>3.52</v>
      </c>
      <c r="H400" s="204"/>
      <c r="I400" s="204"/>
      <c r="J400" s="204"/>
      <c r="K400" s="37">
        <f t="shared" si="55"/>
        <v>18.409600000000001</v>
      </c>
      <c r="L400" s="37">
        <f t="shared" si="56"/>
        <v>18.409600000000001</v>
      </c>
      <c r="M400" s="240"/>
    </row>
    <row r="401" spans="1:15">
      <c r="A401" s="204"/>
      <c r="B401" s="204" t="s">
        <v>775</v>
      </c>
      <c r="C401" s="204"/>
      <c r="D401" s="204">
        <v>1</v>
      </c>
      <c r="E401" s="204">
        <v>5.2</v>
      </c>
      <c r="F401" s="204"/>
      <c r="G401" s="204">
        <v>3.9</v>
      </c>
      <c r="H401" s="204"/>
      <c r="I401" s="204"/>
      <c r="J401" s="204"/>
      <c r="K401" s="37">
        <f t="shared" si="55"/>
        <v>20.28</v>
      </c>
      <c r="L401" s="37">
        <f t="shared" si="56"/>
        <v>20.28</v>
      </c>
      <c r="M401" s="240"/>
    </row>
    <row r="402" spans="1:15">
      <c r="A402" s="204"/>
      <c r="B402" s="204" t="s">
        <v>776</v>
      </c>
      <c r="C402" s="204"/>
      <c r="D402" s="204">
        <v>1</v>
      </c>
      <c r="E402" s="204">
        <v>5.12</v>
      </c>
      <c r="F402" s="204"/>
      <c r="G402" s="204">
        <v>1.55</v>
      </c>
      <c r="H402" s="204"/>
      <c r="I402" s="204"/>
      <c r="J402" s="204"/>
      <c r="K402" s="37">
        <f t="shared" si="55"/>
        <v>7.9360000000000008</v>
      </c>
      <c r="L402" s="37">
        <f t="shared" si="56"/>
        <v>7.9360000000000008</v>
      </c>
      <c r="M402" s="240"/>
    </row>
    <row r="403" spans="1:15">
      <c r="A403" s="204"/>
      <c r="B403" s="204" t="s">
        <v>775</v>
      </c>
      <c r="C403" s="204"/>
      <c r="D403" s="204">
        <v>1</v>
      </c>
      <c r="E403" s="204">
        <v>5.2</v>
      </c>
      <c r="F403" s="204"/>
      <c r="G403" s="204">
        <v>3.87</v>
      </c>
      <c r="H403" s="204"/>
      <c r="I403" s="204"/>
      <c r="J403" s="204"/>
      <c r="K403" s="37">
        <f t="shared" si="55"/>
        <v>20.124000000000002</v>
      </c>
      <c r="L403" s="37">
        <f t="shared" si="56"/>
        <v>20.124000000000002</v>
      </c>
      <c r="M403" s="240"/>
    </row>
    <row r="404" spans="1:15">
      <c r="A404" s="204"/>
      <c r="B404" s="204" t="s">
        <v>776</v>
      </c>
      <c r="C404" s="204"/>
      <c r="D404" s="204">
        <v>1</v>
      </c>
      <c r="E404" s="204">
        <v>1.56</v>
      </c>
      <c r="F404" s="204"/>
      <c r="G404" s="204">
        <v>5.13</v>
      </c>
      <c r="H404" s="204"/>
      <c r="I404" s="204"/>
      <c r="J404" s="204"/>
      <c r="K404" s="37">
        <f t="shared" si="55"/>
        <v>8.0028000000000006</v>
      </c>
      <c r="L404" s="37">
        <f t="shared" si="56"/>
        <v>8.0028000000000006</v>
      </c>
      <c r="M404" s="240"/>
    </row>
    <row r="405" spans="1:15">
      <c r="A405" s="204"/>
      <c r="B405" s="204" t="s">
        <v>739</v>
      </c>
      <c r="C405" s="204"/>
      <c r="D405" s="204">
        <v>1</v>
      </c>
      <c r="E405" s="204">
        <v>4.51</v>
      </c>
      <c r="F405" s="204"/>
      <c r="G405" s="204">
        <v>5.2</v>
      </c>
      <c r="H405" s="204"/>
      <c r="I405" s="204"/>
      <c r="J405" s="204"/>
      <c r="K405" s="37">
        <f t="shared" si="55"/>
        <v>23.451999999999998</v>
      </c>
      <c r="L405" s="37">
        <f t="shared" si="56"/>
        <v>23.451999999999998</v>
      </c>
      <c r="M405" s="240"/>
    </row>
    <row r="406" spans="1:15">
      <c r="A406" s="204"/>
      <c r="B406" s="204" t="s">
        <v>768</v>
      </c>
      <c r="C406" s="204"/>
      <c r="D406" s="204">
        <v>1</v>
      </c>
      <c r="E406" s="204">
        <v>1.43</v>
      </c>
      <c r="F406" s="204"/>
      <c r="G406" s="204">
        <v>4.3499999999999996</v>
      </c>
      <c r="H406" s="204"/>
      <c r="I406" s="204"/>
      <c r="J406" s="204"/>
      <c r="K406" s="37">
        <f t="shared" si="55"/>
        <v>6.2204999999999995</v>
      </c>
      <c r="L406" s="37">
        <f t="shared" si="56"/>
        <v>6.2204999999999995</v>
      </c>
      <c r="M406" s="240"/>
    </row>
    <row r="407" spans="1:15">
      <c r="A407" s="204"/>
      <c r="B407" s="204" t="s">
        <v>740</v>
      </c>
      <c r="C407" s="204"/>
      <c r="D407" s="204">
        <v>1</v>
      </c>
      <c r="E407" s="204">
        <v>2</v>
      </c>
      <c r="F407" s="204"/>
      <c r="G407" s="204">
        <v>0.95</v>
      </c>
      <c r="H407" s="204"/>
      <c r="I407" s="204"/>
      <c r="J407" s="204"/>
      <c r="K407" s="37">
        <f t="shared" si="55"/>
        <v>1.9</v>
      </c>
      <c r="L407" s="37">
        <f t="shared" si="56"/>
        <v>1.9</v>
      </c>
      <c r="M407" s="240"/>
    </row>
    <row r="408" spans="1:15">
      <c r="A408" s="69"/>
      <c r="B408" s="69" t="s">
        <v>777</v>
      </c>
      <c r="C408" s="69"/>
      <c r="D408" s="69">
        <v>1</v>
      </c>
      <c r="E408" s="204">
        <v>2.5</v>
      </c>
      <c r="F408" s="69"/>
      <c r="G408" s="204">
        <v>1.6</v>
      </c>
      <c r="H408" s="69"/>
      <c r="I408" s="69"/>
      <c r="J408" s="69"/>
      <c r="K408" s="37">
        <f t="shared" si="55"/>
        <v>4</v>
      </c>
      <c r="L408" s="73">
        <f t="shared" si="56"/>
        <v>4</v>
      </c>
      <c r="M408" s="69"/>
    </row>
    <row r="409" spans="1:15">
      <c r="A409" s="247">
        <f>BM_15!A188</f>
        <v>10</v>
      </c>
      <c r="B409" s="392" t="str">
        <f>BM_15!B188</f>
        <v>INSTALAÇÕES ELÉTRICAS</v>
      </c>
      <c r="C409" s="392"/>
      <c r="D409" s="392"/>
      <c r="E409" s="392"/>
      <c r="F409" s="392"/>
      <c r="G409" s="392"/>
      <c r="H409" s="392"/>
      <c r="I409" s="392"/>
      <c r="J409" s="392"/>
      <c r="K409" s="392"/>
      <c r="L409" s="392"/>
      <c r="M409" s="249"/>
    </row>
    <row r="410" spans="1:15" ht="67.5" customHeight="1">
      <c r="A410" s="187" t="str">
        <f>BM_15!A190</f>
        <v>10.2</v>
      </c>
      <c r="B410" s="351" t="str">
        <f>BM_15!B190</f>
        <v>TOMADA MÉDIA DE EMBUTIR (1 MÓDULO), 2P+T 20 A, INCLUINDO SUPORTE E PLACA - FORNECIMENTO E INSTALAÇÃO. AF_12/2015</v>
      </c>
      <c r="C410" s="352"/>
      <c r="D410" s="352"/>
      <c r="E410" s="352"/>
      <c r="F410" s="353"/>
      <c r="G410" s="69"/>
      <c r="H410" s="69"/>
      <c r="I410" s="65">
        <v>123</v>
      </c>
      <c r="J410" s="204">
        <f t="shared" ref="J410:J413" si="57">ROUND(E410*G410,2)</f>
        <v>0</v>
      </c>
      <c r="K410" s="204">
        <f t="shared" ref="K410:K413" si="58">ROUND(E410*H410,2)</f>
        <v>0</v>
      </c>
      <c r="L410" s="261">
        <f>I410</f>
        <v>123</v>
      </c>
      <c r="M410" s="46"/>
      <c r="N410" s="248" t="s">
        <v>810</v>
      </c>
    </row>
    <row r="411" spans="1:15" ht="67.5" customHeight="1">
      <c r="A411" s="187" t="str">
        <f>BM_15!A191</f>
        <v>10.3</v>
      </c>
      <c r="B411" s="351" t="str">
        <f>BM_15!B191</f>
        <v>TOMADA MÉDIA DE EMBUTIR (1 MÓDULO), 2P+T 10 A, INCLUINDO SUPORTE E PLACA - FORNECIMENTO E INSTALAÇÃO. AF_12/2015</v>
      </c>
      <c r="C411" s="352"/>
      <c r="D411" s="352"/>
      <c r="E411" s="352"/>
      <c r="F411" s="353"/>
      <c r="G411" s="69"/>
      <c r="H411" s="69"/>
      <c r="I411" s="65">
        <f t="shared" ref="I411" si="59">ROUND(E411*F411,2)</f>
        <v>0</v>
      </c>
      <c r="J411" s="204">
        <f t="shared" si="57"/>
        <v>0</v>
      </c>
      <c r="K411" s="204">
        <f t="shared" si="58"/>
        <v>0</v>
      </c>
      <c r="L411" s="262">
        <f t="shared" ref="L411:L414" si="60">I411</f>
        <v>0</v>
      </c>
      <c r="M411" s="46"/>
      <c r="N411" s="248" t="s">
        <v>810</v>
      </c>
    </row>
    <row r="412" spans="1:15" ht="25.5" customHeight="1">
      <c r="A412" s="187" t="str">
        <f>BM_15!A192</f>
        <v>10.4</v>
      </c>
      <c r="B412" s="351" t="str">
        <f>BM_15!B192</f>
        <v>INTERRUPTOR SIMPLES (1 MÓDULO), 10A/250V, INCLUINDO SUPORTE E PLACA - FORNECIMENTO E INSTALAÇÃO. AF_12/2015</v>
      </c>
      <c r="C412" s="352"/>
      <c r="D412" s="352"/>
      <c r="E412" s="352"/>
      <c r="F412" s="353"/>
      <c r="G412" s="69"/>
      <c r="H412" s="69"/>
      <c r="I412" s="65">
        <v>15</v>
      </c>
      <c r="J412" s="204">
        <f t="shared" si="57"/>
        <v>0</v>
      </c>
      <c r="K412" s="204">
        <f t="shared" si="58"/>
        <v>0</v>
      </c>
      <c r="L412" s="261">
        <f t="shared" si="60"/>
        <v>15</v>
      </c>
      <c r="M412" s="46"/>
      <c r="N412" s="248" t="s">
        <v>810</v>
      </c>
    </row>
    <row r="413" spans="1:15" ht="42.75" customHeight="1">
      <c r="A413" s="187" t="str">
        <f>BM_15!A193</f>
        <v>10.5</v>
      </c>
      <c r="B413" s="351" t="str">
        <f>BM_15!B193</f>
        <v>INTERRUPTOR SIMPLES (2 MÓDULOS), 10A/250V, INCLUINDO SUPORTE E PLACA - FORNECIMENTO E INSTALAÇÃO. AF_12/2015</v>
      </c>
      <c r="C413" s="352"/>
      <c r="D413" s="352"/>
      <c r="E413" s="352"/>
      <c r="F413" s="353"/>
      <c r="G413" s="69"/>
      <c r="H413" s="69"/>
      <c r="I413" s="65">
        <v>3</v>
      </c>
      <c r="J413" s="204">
        <f t="shared" si="57"/>
        <v>0</v>
      </c>
      <c r="K413" s="204">
        <f t="shared" si="58"/>
        <v>0</v>
      </c>
      <c r="L413" s="261">
        <f t="shared" si="60"/>
        <v>3</v>
      </c>
      <c r="M413" s="46"/>
      <c r="N413" s="248" t="s">
        <v>810</v>
      </c>
    </row>
    <row r="414" spans="1:15">
      <c r="A414" s="187" t="str">
        <f>BM_15!A201</f>
        <v>10.13</v>
      </c>
      <c r="B414" s="354" t="str">
        <f>BM_15!B201</f>
        <v>LUMINÁRIA TIPO PLAFON EM PLÁSTICO, DE SOBREPOR, COM 1 LÂMPADA FLUORESCENTE DE 15 W, SEM REATOR - FORNECIMENTO E INSTALAÇÃO. AF_02/2020</v>
      </c>
      <c r="C414" s="354"/>
      <c r="D414" s="354"/>
      <c r="E414" s="354"/>
      <c r="F414" s="354"/>
      <c r="G414" s="69"/>
      <c r="H414" s="69">
        <f>G414</f>
        <v>0</v>
      </c>
      <c r="I414" s="46">
        <v>93</v>
      </c>
      <c r="J414" s="46"/>
      <c r="K414" s="46"/>
      <c r="L414" s="261">
        <f t="shared" si="60"/>
        <v>93</v>
      </c>
      <c r="M414" s="46"/>
      <c r="N414" s="248" t="s">
        <v>810</v>
      </c>
    </row>
    <row r="415" spans="1:15" ht="15.75" thickBot="1">
      <c r="A415" s="46"/>
      <c r="B415" s="263"/>
      <c r="C415" s="263"/>
      <c r="D415" s="263"/>
      <c r="E415" s="263"/>
      <c r="F415" s="263"/>
      <c r="G415" s="46"/>
      <c r="H415" s="46"/>
      <c r="I415" s="46"/>
      <c r="J415" s="46"/>
      <c r="K415" s="46"/>
      <c r="L415" s="46"/>
      <c r="M415" s="46"/>
    </row>
    <row r="416" spans="1:15">
      <c r="A416" s="187" t="str">
        <f>BM_15!A206</f>
        <v>10.18</v>
      </c>
      <c r="B416" s="250" t="str">
        <f>BM_15!B206</f>
        <v>DISJUNTOR MONOPOLAR TIPO DIN, CORRENTE NOMINAL DE 10A - FORNECIMENTO E INSTALAÇÃO. AF_10/2020</v>
      </c>
      <c r="C416" s="263"/>
      <c r="D416" s="263"/>
      <c r="E416" s="263"/>
      <c r="F416" s="263"/>
      <c r="G416" s="46"/>
      <c r="H416" s="46"/>
      <c r="I416" s="46"/>
      <c r="J416" s="46"/>
      <c r="K416" s="46"/>
      <c r="L416" s="265">
        <v>24</v>
      </c>
      <c r="M416" s="245"/>
      <c r="N416" s="355" t="s">
        <v>815</v>
      </c>
      <c r="O416" s="356"/>
    </row>
    <row r="417" spans="1:15">
      <c r="A417" s="187" t="str">
        <f>BM_15!A207</f>
        <v>10.19</v>
      </c>
      <c r="B417" s="250" t="str">
        <f>BM_15!B207</f>
        <v>DISJUNTOR MONOPOLAR TIPO DIN, CORRENTE NOMINAL DE 16A - FORNECIMENTO E INSTALAÇÃO. AF_10/2020</v>
      </c>
      <c r="C417" s="263"/>
      <c r="D417" s="263"/>
      <c r="E417" s="263"/>
      <c r="F417" s="263"/>
      <c r="G417" s="46"/>
      <c r="H417" s="46"/>
      <c r="I417" s="46"/>
      <c r="J417" s="46"/>
      <c r="K417" s="46"/>
      <c r="L417" s="265">
        <v>4</v>
      </c>
      <c r="M417" s="245"/>
      <c r="N417" s="357"/>
      <c r="O417" s="358"/>
    </row>
    <row r="418" spans="1:15">
      <c r="A418" s="187" t="str">
        <f>BM_15!A208</f>
        <v>10.20</v>
      </c>
      <c r="B418" s="250" t="str">
        <f>BM_15!B208</f>
        <v>DISJUNTOR MONOPOLAR TIPO DIN, CORRENTE NOMINAL DE 25A - FORNECIMENTO E INSTALAÇÃO. AF_10/2020</v>
      </c>
      <c r="C418" s="263"/>
      <c r="D418" s="263"/>
      <c r="E418" s="263"/>
      <c r="F418" s="263"/>
      <c r="G418" s="46"/>
      <c r="H418" s="46"/>
      <c r="I418" s="46"/>
      <c r="J418" s="46"/>
      <c r="K418" s="46"/>
      <c r="L418" s="265">
        <v>10</v>
      </c>
      <c r="M418" s="245"/>
      <c r="N418" s="357"/>
      <c r="O418" s="358"/>
    </row>
    <row r="419" spans="1:15" ht="15.75" thickBot="1">
      <c r="A419" s="187" t="str">
        <f>BM_15!A209</f>
        <v>10.21</v>
      </c>
      <c r="B419" s="250" t="str">
        <f>BM_15!B209</f>
        <v>DISJUNTOR TERMOMAGNÉTICO TRIPOLAR , CORRENTE NOMINAL DE 125A - FORNECIMENTO E INSTALAÇÃO. AF_10/2020</v>
      </c>
      <c r="C419" s="263"/>
      <c r="D419" s="263"/>
      <c r="E419" s="263"/>
      <c r="F419" s="263"/>
      <c r="G419" s="46"/>
      <c r="H419" s="46"/>
      <c r="I419" s="46"/>
      <c r="J419" s="46"/>
      <c r="K419" s="46"/>
      <c r="L419" s="264"/>
      <c r="M419" s="245"/>
      <c r="N419" s="359"/>
      <c r="O419" s="360"/>
    </row>
    <row r="420" spans="1:15">
      <c r="A420" s="46"/>
      <c r="B420" s="263"/>
      <c r="C420" s="263"/>
      <c r="D420" s="263"/>
      <c r="E420" s="263"/>
      <c r="F420" s="263"/>
      <c r="G420" s="46"/>
      <c r="H420" s="46"/>
      <c r="I420" s="46"/>
      <c r="J420" s="46"/>
      <c r="K420" s="46"/>
      <c r="L420" s="46"/>
      <c r="M420" s="46"/>
    </row>
    <row r="421" spans="1:15">
      <c r="A421" s="187" t="str">
        <f>BM_15!A230</f>
        <v>12.7</v>
      </c>
      <c r="B421" s="250" t="str">
        <f>BM_15!B230</f>
        <v>ASSENTO SANITÁRIO CONVENCIONAL - FORNECIMENTO E INSTALACAO. AF_01/2020</v>
      </c>
      <c r="C421" s="263"/>
      <c r="D421" s="263"/>
      <c r="E421" s="263"/>
      <c r="F421" s="263"/>
      <c r="G421" s="46"/>
      <c r="H421" s="46"/>
      <c r="I421" s="46"/>
      <c r="J421" s="46"/>
      <c r="K421" s="46"/>
      <c r="L421" s="46"/>
      <c r="M421" s="46"/>
      <c r="N421" s="248" t="s">
        <v>810</v>
      </c>
    </row>
    <row r="422" spans="1:15">
      <c r="A422" s="187" t="str">
        <f>BM_15!A231</f>
        <v>12.8</v>
      </c>
      <c r="B422" s="250" t="str">
        <f>BM_15!B231</f>
        <v>VASO SANITÁRIO SIFONADO COM CAIXA ACOPLADA LOUÇA BRANCA, INCLUSO ENGATE FLEXÍVEL EM PLÁSTICO BRANCO, 1/2  X 40CM - FORNECIMENTO E INSTALAÇÃO. AF_01/2020</v>
      </c>
      <c r="C422" s="263"/>
      <c r="D422" s="263"/>
      <c r="E422" s="263"/>
      <c r="F422" s="263"/>
      <c r="G422" s="46"/>
      <c r="H422" s="46"/>
      <c r="I422" s="46"/>
      <c r="J422" s="46"/>
      <c r="K422" s="46"/>
      <c r="L422" s="46"/>
      <c r="M422" s="46"/>
      <c r="N422" s="248" t="s">
        <v>810</v>
      </c>
    </row>
    <row r="423" spans="1:15">
      <c r="A423" s="187" t="str">
        <f>BM_15!A232</f>
        <v>12.9</v>
      </c>
      <c r="B423" s="250" t="str">
        <f>BM_15!B232</f>
        <v>VASO SANITARIO SIFONADO CONVENCIONAL PARA PCD SEM FURO FRONTAL COM LOUÇA BRANCA SEM ASSENTO, INCLUSO CONJUNTO DE LIGAÇÃO PARA BACIA SANITÁRIA AJUSTÁVEL - FORNECIMENTO E INSTALAÇÃO. AF_01/2020</v>
      </c>
      <c r="C423" s="263"/>
      <c r="D423" s="263"/>
      <c r="E423" s="263"/>
      <c r="F423" s="263"/>
      <c r="G423" s="46"/>
      <c r="H423" s="46"/>
      <c r="I423" s="46"/>
      <c r="J423" s="46"/>
      <c r="K423" s="46"/>
      <c r="L423" s="46"/>
      <c r="M423" s="46"/>
      <c r="N423" s="248" t="s">
        <v>810</v>
      </c>
    </row>
    <row r="424" spans="1:15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</row>
    <row r="425" spans="1:15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</row>
    <row r="426" spans="1:15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</row>
    <row r="427" spans="1:15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</row>
    <row r="428" spans="1:15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</row>
    <row r="429" spans="1:15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</row>
    <row r="430" spans="1:15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</row>
  </sheetData>
  <protectedRanges>
    <protectedRange sqref="L7" name="Intervalo1_1"/>
    <protectedRange sqref="L158:L159 L25:L27 L10:L11 L219:L222 L42:L44 L161:L162 L192:L193 L179:L180 L120:L121 L72:L73 L46:L57 L59:L70 L177 L190 L199:L205 L90:L91 L29:L40 L106 L108:L118 L136 L145 L138:L139 L147:L148 L348:L408 L290:L344 L285:L288 L231:L283" name="Intervalo1_1_2"/>
    <protectedRange sqref="L41 L45 L58 L160 L178 L191 L107 L119 L71 L89 L28 L137 L146" name="Intervalo1_1_1_3"/>
    <protectedRange sqref="L13 L206" name="Intervalo1_1_2_7"/>
    <protectedRange sqref="L12" name="Intervalo1_1_1_3_1"/>
    <protectedRange sqref="L14:L24" name="Intervalo1_1_2_1_1"/>
  </protectedRanges>
  <mergeCells count="235">
    <mergeCell ref="N280:O281"/>
    <mergeCell ref="B288:K288"/>
    <mergeCell ref="B237:C237"/>
    <mergeCell ref="B238:C238"/>
    <mergeCell ref="B235:K235"/>
    <mergeCell ref="B246:C246"/>
    <mergeCell ref="B253:K253"/>
    <mergeCell ref="B257:K257"/>
    <mergeCell ref="B261:K261"/>
    <mergeCell ref="B265:K265"/>
    <mergeCell ref="B278:K278"/>
    <mergeCell ref="B280:C280"/>
    <mergeCell ref="B269:K269"/>
    <mergeCell ref="B271:C271"/>
    <mergeCell ref="B272:C272"/>
    <mergeCell ref="B273:C273"/>
    <mergeCell ref="B274:C274"/>
    <mergeCell ref="B243:C243"/>
    <mergeCell ref="B247:C247"/>
    <mergeCell ref="B249:K249"/>
    <mergeCell ref="B285:K285"/>
    <mergeCell ref="B275:C275"/>
    <mergeCell ref="B244:C244"/>
    <mergeCell ref="B245:C245"/>
    <mergeCell ref="B239:K239"/>
    <mergeCell ref="B241:K241"/>
    <mergeCell ref="B228:C228"/>
    <mergeCell ref="B229:C229"/>
    <mergeCell ref="B230:C230"/>
    <mergeCell ref="B231:C231"/>
    <mergeCell ref="B222:C222"/>
    <mergeCell ref="B223:C223"/>
    <mergeCell ref="B224:C224"/>
    <mergeCell ref="B225:C225"/>
    <mergeCell ref="B226:C226"/>
    <mergeCell ref="B227:C227"/>
    <mergeCell ref="B233:K233"/>
    <mergeCell ref="B214:C214"/>
    <mergeCell ref="B215:C215"/>
    <mergeCell ref="B216:C216"/>
    <mergeCell ref="B217:C217"/>
    <mergeCell ref="B218:C218"/>
    <mergeCell ref="B220:K220"/>
    <mergeCell ref="B208:C208"/>
    <mergeCell ref="B209:C209"/>
    <mergeCell ref="B210:C210"/>
    <mergeCell ref="B211:C211"/>
    <mergeCell ref="B212:C212"/>
    <mergeCell ref="B213:C213"/>
    <mergeCell ref="B196:C196"/>
    <mergeCell ref="B197:C197"/>
    <mergeCell ref="B198:C198"/>
    <mergeCell ref="B203:K203"/>
    <mergeCell ref="B205:K205"/>
    <mergeCell ref="B207:C207"/>
    <mergeCell ref="B187:C187"/>
    <mergeCell ref="B189:C189"/>
    <mergeCell ref="B191:K191"/>
    <mergeCell ref="B193:C193"/>
    <mergeCell ref="B194:C194"/>
    <mergeCell ref="B195:C195"/>
    <mergeCell ref="B181:C181"/>
    <mergeCell ref="B182:C182"/>
    <mergeCell ref="B183:C183"/>
    <mergeCell ref="B184:C184"/>
    <mergeCell ref="B185:C185"/>
    <mergeCell ref="B186:C186"/>
    <mergeCell ref="B172:C172"/>
    <mergeCell ref="B173:C173"/>
    <mergeCell ref="B174:C174"/>
    <mergeCell ref="B176:C176"/>
    <mergeCell ref="B178:K178"/>
    <mergeCell ref="B180:C180"/>
    <mergeCell ref="B166:C166"/>
    <mergeCell ref="B167:C167"/>
    <mergeCell ref="B168:C168"/>
    <mergeCell ref="B169:C169"/>
    <mergeCell ref="B170:C170"/>
    <mergeCell ref="B171:C171"/>
    <mergeCell ref="B157:C157"/>
    <mergeCell ref="B160:K160"/>
    <mergeCell ref="B162:C162"/>
    <mergeCell ref="B163:C163"/>
    <mergeCell ref="B164:C164"/>
    <mergeCell ref="B165:C165"/>
    <mergeCell ref="B150:C150"/>
    <mergeCell ref="B151:C151"/>
    <mergeCell ref="B152:C152"/>
    <mergeCell ref="B153:C153"/>
    <mergeCell ref="B154:C154"/>
    <mergeCell ref="B155:C155"/>
    <mergeCell ref="B142:C142"/>
    <mergeCell ref="B143:C143"/>
    <mergeCell ref="B144:C144"/>
    <mergeCell ref="B146:K146"/>
    <mergeCell ref="B148:C148"/>
    <mergeCell ref="B149:C149"/>
    <mergeCell ref="B133:C133"/>
    <mergeCell ref="B135:C135"/>
    <mergeCell ref="B137:K137"/>
    <mergeCell ref="B139:C139"/>
    <mergeCell ref="B140:C140"/>
    <mergeCell ref="B141:C141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13:C113"/>
    <mergeCell ref="B114:C114"/>
    <mergeCell ref="B115:C115"/>
    <mergeCell ref="B116:C116"/>
    <mergeCell ref="B117:C117"/>
    <mergeCell ref="B119:K119"/>
    <mergeCell ref="B105:C105"/>
    <mergeCell ref="B107:K107"/>
    <mergeCell ref="B109:C109"/>
    <mergeCell ref="B110:C110"/>
    <mergeCell ref="B111:C111"/>
    <mergeCell ref="B112:C112"/>
    <mergeCell ref="B98:C98"/>
    <mergeCell ref="B99:C99"/>
    <mergeCell ref="B100:C100"/>
    <mergeCell ref="B101:C101"/>
    <mergeCell ref="B102:C102"/>
    <mergeCell ref="B103:C103"/>
    <mergeCell ref="B92:C92"/>
    <mergeCell ref="B93:C93"/>
    <mergeCell ref="B94:C94"/>
    <mergeCell ref="B95:C95"/>
    <mergeCell ref="B96:C96"/>
    <mergeCell ref="B97:C97"/>
    <mergeCell ref="B83:C83"/>
    <mergeCell ref="B84:C84"/>
    <mergeCell ref="B85:C85"/>
    <mergeCell ref="B87:C87"/>
    <mergeCell ref="B89:K89"/>
    <mergeCell ref="B91:C91"/>
    <mergeCell ref="B77:C77"/>
    <mergeCell ref="B78:C78"/>
    <mergeCell ref="B79:C79"/>
    <mergeCell ref="B80:C80"/>
    <mergeCell ref="B81:C81"/>
    <mergeCell ref="B82:C82"/>
    <mergeCell ref="B69:C69"/>
    <mergeCell ref="B71:K71"/>
    <mergeCell ref="B73:C73"/>
    <mergeCell ref="B74:C74"/>
    <mergeCell ref="B75:C75"/>
    <mergeCell ref="B76:C76"/>
    <mergeCell ref="B63:C63"/>
    <mergeCell ref="B64:C64"/>
    <mergeCell ref="B65:C65"/>
    <mergeCell ref="B66:C66"/>
    <mergeCell ref="B67:C67"/>
    <mergeCell ref="B68:C68"/>
    <mergeCell ref="B55:C55"/>
    <mergeCell ref="B56:C56"/>
    <mergeCell ref="B58:K58"/>
    <mergeCell ref="B60:C60"/>
    <mergeCell ref="B61:C61"/>
    <mergeCell ref="B62:C62"/>
    <mergeCell ref="B49:C49"/>
    <mergeCell ref="B50:C50"/>
    <mergeCell ref="B51:C51"/>
    <mergeCell ref="B52:C52"/>
    <mergeCell ref="B53:C53"/>
    <mergeCell ref="B54:C54"/>
    <mergeCell ref="B39:C39"/>
    <mergeCell ref="B41:K41"/>
    <mergeCell ref="B43:C43"/>
    <mergeCell ref="B45:K45"/>
    <mergeCell ref="B47:C47"/>
    <mergeCell ref="B48:C48"/>
    <mergeCell ref="B15:C15"/>
    <mergeCell ref="B16:C16"/>
    <mergeCell ref="B33:C33"/>
    <mergeCell ref="B34:C34"/>
    <mergeCell ref="B35:C35"/>
    <mergeCell ref="B36:C36"/>
    <mergeCell ref="B37:C37"/>
    <mergeCell ref="B38:C38"/>
    <mergeCell ref="B24:C24"/>
    <mergeCell ref="B26:K26"/>
    <mergeCell ref="B28:K28"/>
    <mergeCell ref="B30:C30"/>
    <mergeCell ref="B31:C31"/>
    <mergeCell ref="B32:C32"/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413:F413"/>
    <mergeCell ref="B414:F414"/>
    <mergeCell ref="N416:O419"/>
    <mergeCell ref="N244:O245"/>
    <mergeCell ref="A282:V284"/>
    <mergeCell ref="N9:O9"/>
    <mergeCell ref="N254:O256"/>
    <mergeCell ref="N250:O252"/>
    <mergeCell ref="N258:O260"/>
    <mergeCell ref="N289:O294"/>
    <mergeCell ref="B409:L409"/>
    <mergeCell ref="B410:F410"/>
    <mergeCell ref="B411:F411"/>
    <mergeCell ref="B412:F412"/>
    <mergeCell ref="B17:C17"/>
    <mergeCell ref="B18:C18"/>
    <mergeCell ref="B19:C19"/>
    <mergeCell ref="B21:C21"/>
    <mergeCell ref="B22:C22"/>
    <mergeCell ref="B23:C23"/>
    <mergeCell ref="B10:K10"/>
    <mergeCell ref="B11:K11"/>
    <mergeCell ref="B12:K12"/>
    <mergeCell ref="B14:C14"/>
  </mergeCells>
  <conditionalFormatting sqref="G410:G414">
    <cfRule type="cellIs" dxfId="6" priority="1" operator="greaterThan">
      <formula>0</formula>
    </cfRule>
  </conditionalFormatting>
  <conditionalFormatting sqref="J410:J413">
    <cfRule type="cellIs" dxfId="5" priority="2" operator="lessThan">
      <formula>0</formula>
    </cfRule>
    <cfRule type="cellIs" dxfId="4" priority="3" operator="greaterThan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scale="4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F77EB-6BAB-4BD1-93FD-4854EA9DDBB1}">
  <dimension ref="A1:L8"/>
  <sheetViews>
    <sheetView view="pageBreakPreview" zoomScaleNormal="100" zoomScaleSheetLayoutView="100" workbookViewId="0">
      <selection activeCell="K16" sqref="K16"/>
    </sheetView>
  </sheetViews>
  <sheetFormatPr defaultRowHeight="15"/>
  <sheetData>
    <row r="1" spans="1:12">
      <c r="A1" s="447" t="s">
        <v>383</v>
      </c>
      <c r="B1" s="448"/>
      <c r="C1" s="292" t="s">
        <v>828</v>
      </c>
      <c r="D1" s="292"/>
      <c r="E1" s="292"/>
      <c r="F1" s="292"/>
      <c r="G1" s="292"/>
      <c r="H1" s="292"/>
      <c r="I1" s="292"/>
      <c r="J1" s="292"/>
      <c r="K1" s="292"/>
      <c r="L1" s="293"/>
    </row>
    <row r="2" spans="1:12">
      <c r="A2" s="447"/>
      <c r="B2" s="448"/>
      <c r="C2" s="292"/>
      <c r="D2" s="292"/>
      <c r="E2" s="292"/>
      <c r="F2" s="292"/>
      <c r="G2" s="292"/>
      <c r="H2" s="292"/>
      <c r="I2" s="292"/>
      <c r="J2" s="292"/>
      <c r="K2" s="292"/>
      <c r="L2" s="293"/>
    </row>
    <row r="3" spans="1:12">
      <c r="A3" s="447"/>
      <c r="B3" s="448"/>
      <c r="C3" s="292"/>
      <c r="D3" s="292"/>
      <c r="E3" s="292"/>
      <c r="F3" s="292"/>
      <c r="G3" s="292"/>
      <c r="H3" s="292"/>
      <c r="I3" s="292"/>
      <c r="J3" s="292"/>
      <c r="K3" s="292"/>
      <c r="L3" s="293"/>
    </row>
    <row r="4" spans="1:12" ht="15" customHeight="1">
      <c r="A4" s="447"/>
      <c r="B4" s="448"/>
      <c r="C4" s="292"/>
      <c r="D4" s="292"/>
      <c r="E4" s="292"/>
      <c r="F4" s="292"/>
      <c r="G4" s="292"/>
      <c r="H4" s="292"/>
      <c r="I4" s="292"/>
      <c r="J4" s="292"/>
      <c r="K4" s="292"/>
      <c r="L4" s="293"/>
    </row>
    <row r="5" spans="1:12" ht="10.15" customHeight="1">
      <c r="A5" s="302"/>
      <c r="B5" s="303"/>
      <c r="C5" s="294"/>
      <c r="D5" s="294"/>
      <c r="E5" s="294"/>
      <c r="F5" s="294"/>
      <c r="G5" s="294"/>
      <c r="H5" s="294"/>
      <c r="I5" s="294"/>
      <c r="J5" s="294"/>
      <c r="K5" s="294"/>
      <c r="L5" s="295"/>
    </row>
    <row r="6" spans="1:12" ht="25.5">
      <c r="A6" s="275" t="s">
        <v>385</v>
      </c>
      <c r="B6" s="276"/>
      <c r="C6" s="276"/>
      <c r="D6" s="276"/>
      <c r="E6" s="276"/>
      <c r="F6" s="277"/>
      <c r="G6" s="296" t="s">
        <v>386</v>
      </c>
      <c r="H6" s="297"/>
      <c r="I6" s="297"/>
      <c r="J6" s="298"/>
      <c r="K6" s="222" t="s">
        <v>387</v>
      </c>
      <c r="L6" s="222" t="s">
        <v>388</v>
      </c>
    </row>
    <row r="7" spans="1:12">
      <c r="A7" s="279" t="s">
        <v>431</v>
      </c>
      <c r="B7" s="280"/>
      <c r="C7" s="280"/>
      <c r="D7" s="280"/>
      <c r="E7" s="280"/>
      <c r="F7" s="281"/>
      <c r="G7" s="299" t="s">
        <v>384</v>
      </c>
      <c r="H7" s="300"/>
      <c r="I7" s="300"/>
      <c r="J7" s="301"/>
      <c r="K7" s="273">
        <v>44600</v>
      </c>
      <c r="L7" s="287" t="s">
        <v>808</v>
      </c>
    </row>
    <row r="8" spans="1:12">
      <c r="A8" s="282"/>
      <c r="B8" s="283"/>
      <c r="C8" s="283"/>
      <c r="D8" s="283"/>
      <c r="E8" s="283"/>
      <c r="F8" s="284"/>
      <c r="G8" s="302"/>
      <c r="H8" s="303"/>
      <c r="I8" s="303"/>
      <c r="J8" s="304"/>
      <c r="K8" s="273"/>
      <c r="L8" s="288"/>
    </row>
  </sheetData>
  <mergeCells count="8">
    <mergeCell ref="C1:L5"/>
    <mergeCell ref="A6:F6"/>
    <mergeCell ref="G6:J6"/>
    <mergeCell ref="A7:F8"/>
    <mergeCell ref="G7:J8"/>
    <mergeCell ref="K7:K8"/>
    <mergeCell ref="L7:L8"/>
    <mergeCell ref="A1:B5"/>
  </mergeCells>
  <pageMargins left="0.511811024" right="0.511811024" top="0.78740157499999996" bottom="0.78740157499999996" header="0.31496062000000002" footer="0.31496062000000002"/>
  <pageSetup paperSize="9" scale="8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4"/>
  <sheetViews>
    <sheetView view="pageBreakPreview" topLeftCell="A94" zoomScale="60" zoomScaleNormal="100" workbookViewId="0">
      <selection activeCell="K65" sqref="K65"/>
    </sheetView>
  </sheetViews>
  <sheetFormatPr defaultRowHeight="15"/>
  <cols>
    <col min="11" max="11" width="13.7109375" bestFit="1" customWidth="1"/>
    <col min="12" max="12" width="16.140625" bestFit="1" customWidth="1"/>
  </cols>
  <sheetData>
    <row r="1" spans="1:12" ht="15" customHeight="1">
      <c r="A1" s="447" t="s">
        <v>383</v>
      </c>
      <c r="B1" s="448"/>
      <c r="C1" s="292" t="s">
        <v>767</v>
      </c>
      <c r="D1" s="292"/>
      <c r="E1" s="292"/>
      <c r="F1" s="292"/>
      <c r="G1" s="292"/>
      <c r="H1" s="292"/>
      <c r="I1" s="292"/>
      <c r="J1" s="292"/>
      <c r="K1" s="292"/>
      <c r="L1" s="293"/>
    </row>
    <row r="2" spans="1:12">
      <c r="A2" s="447"/>
      <c r="B2" s="448"/>
      <c r="C2" s="292"/>
      <c r="D2" s="292"/>
      <c r="E2" s="292"/>
      <c r="F2" s="292"/>
      <c r="G2" s="292"/>
      <c r="H2" s="292"/>
      <c r="I2" s="292"/>
      <c r="J2" s="292"/>
      <c r="K2" s="292"/>
      <c r="L2" s="293"/>
    </row>
    <row r="3" spans="1:12">
      <c r="A3" s="447"/>
      <c r="B3" s="448"/>
      <c r="C3" s="292"/>
      <c r="D3" s="292"/>
      <c r="E3" s="292"/>
      <c r="F3" s="292"/>
      <c r="G3" s="292"/>
      <c r="H3" s="292"/>
      <c r="I3" s="292"/>
      <c r="J3" s="292"/>
      <c r="K3" s="292"/>
      <c r="L3" s="293"/>
    </row>
    <row r="4" spans="1:12" ht="15" customHeight="1">
      <c r="A4" s="447"/>
      <c r="B4" s="448"/>
      <c r="C4" s="292"/>
      <c r="D4" s="292"/>
      <c r="E4" s="292"/>
      <c r="F4" s="292"/>
      <c r="G4" s="292"/>
      <c r="H4" s="292"/>
      <c r="I4" s="292"/>
      <c r="J4" s="292"/>
      <c r="K4" s="292"/>
      <c r="L4" s="293"/>
    </row>
    <row r="5" spans="1:12" ht="10.15" customHeight="1">
      <c r="A5" s="302"/>
      <c r="B5" s="303"/>
      <c r="C5" s="294"/>
      <c r="D5" s="294"/>
      <c r="E5" s="294"/>
      <c r="F5" s="294"/>
      <c r="G5" s="294"/>
      <c r="H5" s="294"/>
      <c r="I5" s="294"/>
      <c r="J5" s="294"/>
      <c r="K5" s="294"/>
      <c r="L5" s="295"/>
    </row>
    <row r="6" spans="1:12">
      <c r="A6" s="275" t="s">
        <v>385</v>
      </c>
      <c r="B6" s="276"/>
      <c r="C6" s="276"/>
      <c r="D6" s="276"/>
      <c r="E6" s="276"/>
      <c r="F6" s="277"/>
      <c r="G6" s="296" t="s">
        <v>386</v>
      </c>
      <c r="H6" s="297"/>
      <c r="I6" s="297"/>
      <c r="J6" s="298"/>
      <c r="K6" s="222" t="s">
        <v>387</v>
      </c>
      <c r="L6" s="222" t="s">
        <v>388</v>
      </c>
    </row>
    <row r="7" spans="1:12">
      <c r="A7" s="279" t="s">
        <v>431</v>
      </c>
      <c r="B7" s="280"/>
      <c r="C7" s="280"/>
      <c r="D7" s="280"/>
      <c r="E7" s="280"/>
      <c r="F7" s="281"/>
      <c r="G7" s="299" t="s">
        <v>384</v>
      </c>
      <c r="H7" s="300"/>
      <c r="I7" s="300"/>
      <c r="J7" s="301"/>
      <c r="K7" s="273">
        <v>44600</v>
      </c>
      <c r="L7" s="287" t="s">
        <v>720</v>
      </c>
    </row>
    <row r="8" spans="1:12">
      <c r="A8" s="282"/>
      <c r="B8" s="283"/>
      <c r="C8" s="283"/>
      <c r="D8" s="283"/>
      <c r="E8" s="283"/>
      <c r="F8" s="284"/>
      <c r="G8" s="302"/>
      <c r="H8" s="303"/>
      <c r="I8" s="303"/>
      <c r="J8" s="304"/>
      <c r="K8" s="273"/>
      <c r="L8" s="288"/>
    </row>
    <row r="9" spans="1:12">
      <c r="A9" s="275" t="s">
        <v>389</v>
      </c>
      <c r="B9" s="276"/>
      <c r="C9" s="276"/>
      <c r="D9" s="276"/>
      <c r="E9" s="276"/>
      <c r="F9" s="277"/>
      <c r="G9" s="278" t="s">
        <v>390</v>
      </c>
      <c r="H9" s="278"/>
      <c r="I9" s="278"/>
      <c r="J9" s="278"/>
      <c r="K9" s="223" t="s">
        <v>391</v>
      </c>
      <c r="L9" s="224" t="s">
        <v>392</v>
      </c>
    </row>
    <row r="10" spans="1:12" ht="10.9" customHeight="1">
      <c r="A10" s="279" t="s">
        <v>432</v>
      </c>
      <c r="B10" s="280"/>
      <c r="C10" s="280"/>
      <c r="D10" s="280"/>
      <c r="E10" s="280"/>
      <c r="F10" s="281"/>
      <c r="G10" s="285" t="s">
        <v>393</v>
      </c>
      <c r="H10" s="285"/>
      <c r="I10" s="285"/>
      <c r="J10" s="285"/>
      <c r="K10" s="273">
        <v>44854</v>
      </c>
      <c r="L10" s="273">
        <v>45219</v>
      </c>
    </row>
    <row r="11" spans="1:12" ht="10.9" customHeight="1">
      <c r="A11" s="282"/>
      <c r="B11" s="283"/>
      <c r="C11" s="283"/>
      <c r="D11" s="283"/>
      <c r="E11" s="283"/>
      <c r="F11" s="284"/>
      <c r="G11" s="285"/>
      <c r="H11" s="285"/>
      <c r="I11" s="285"/>
      <c r="J11" s="285"/>
      <c r="K11" s="273"/>
      <c r="L11" s="273"/>
    </row>
    <row r="12" spans="1:12">
      <c r="A12" s="307" t="s">
        <v>394</v>
      </c>
      <c r="B12" s="307"/>
      <c r="C12" s="307" t="s">
        <v>395</v>
      </c>
      <c r="D12" s="307"/>
      <c r="E12" s="307"/>
      <c r="F12" s="307"/>
      <c r="G12" s="449"/>
      <c r="H12" s="450"/>
      <c r="I12" s="450"/>
      <c r="J12" s="450"/>
      <c r="K12" s="450"/>
      <c r="L12" s="451"/>
    </row>
    <row r="13" spans="1:12" ht="15" customHeight="1">
      <c r="A13" s="308" t="s">
        <v>430</v>
      </c>
      <c r="B13" s="308"/>
      <c r="C13" s="308" t="s">
        <v>433</v>
      </c>
      <c r="D13" s="308"/>
      <c r="E13" s="308"/>
      <c r="F13" s="308"/>
      <c r="G13" s="452"/>
      <c r="H13" s="453"/>
      <c r="I13" s="453"/>
      <c r="J13" s="453"/>
      <c r="K13" s="453"/>
      <c r="L13" s="454"/>
    </row>
    <row r="14" spans="1:12" ht="15" customHeight="1">
      <c r="A14" s="308"/>
      <c r="B14" s="308"/>
      <c r="C14" s="308"/>
      <c r="D14" s="308"/>
      <c r="E14" s="308"/>
      <c r="F14" s="308"/>
      <c r="G14" s="455"/>
      <c r="H14" s="456"/>
      <c r="I14" s="456"/>
      <c r="J14" s="456"/>
      <c r="K14" s="456"/>
      <c r="L14" s="457"/>
    </row>
  </sheetData>
  <mergeCells count="19">
    <mergeCell ref="A13:B14"/>
    <mergeCell ref="C13:F14"/>
    <mergeCell ref="A9:F9"/>
    <mergeCell ref="A10:F11"/>
    <mergeCell ref="C1:L5"/>
    <mergeCell ref="A6:F6"/>
    <mergeCell ref="G6:J6"/>
    <mergeCell ref="A7:F8"/>
    <mergeCell ref="G7:J8"/>
    <mergeCell ref="K7:K8"/>
    <mergeCell ref="L7:L8"/>
    <mergeCell ref="G12:L14"/>
    <mergeCell ref="G9:J9"/>
    <mergeCell ref="G10:J11"/>
    <mergeCell ref="K10:K11"/>
    <mergeCell ref="L10:L11"/>
    <mergeCell ref="A1:B5"/>
    <mergeCell ref="A12:B12"/>
    <mergeCell ref="C12:F12"/>
  </mergeCells>
  <pageMargins left="0.511811024" right="0.511811024" top="0.78740157499999996" bottom="0.78740157499999996" header="0.31496062000000002" footer="0.31496062000000002"/>
  <pageSetup paperSize="9" scale="71"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72"/>
  <sheetViews>
    <sheetView view="pageBreakPreview" topLeftCell="A9" zoomScale="70" zoomScaleNormal="70" zoomScaleSheetLayoutView="70" workbookViewId="0">
      <selection activeCell="K257" sqref="K257"/>
    </sheetView>
  </sheetViews>
  <sheetFormatPr defaultRowHeight="15"/>
  <cols>
    <col min="2" max="2" width="16.7109375" customWidth="1"/>
    <col min="3" max="3" width="17.140625" customWidth="1"/>
    <col min="5" max="5" width="11.42578125" customWidth="1"/>
    <col min="6" max="6" width="13.85546875" customWidth="1"/>
    <col min="7" max="7" width="12.85546875" customWidth="1"/>
    <col min="8" max="8" width="11.42578125" customWidth="1"/>
    <col min="10" max="10" width="11.28515625" customWidth="1"/>
    <col min="11" max="11" width="14.28515625" customWidth="1"/>
    <col min="12" max="12" width="11.28515625" customWidth="1"/>
  </cols>
  <sheetData>
    <row r="1" spans="1:13" ht="16.5" thickBot="1">
      <c r="A1" s="409"/>
      <c r="B1" s="410"/>
      <c r="C1" s="415" t="s">
        <v>409</v>
      </c>
      <c r="D1" s="416"/>
      <c r="E1" s="416"/>
      <c r="F1" s="416"/>
      <c r="G1" s="416"/>
      <c r="H1" s="416"/>
      <c r="I1" s="416"/>
      <c r="J1" s="416"/>
      <c r="K1" s="416"/>
      <c r="L1" s="416"/>
      <c r="M1" s="417"/>
    </row>
    <row r="2" spans="1:13">
      <c r="A2" s="411"/>
      <c r="B2" s="412"/>
      <c r="C2" s="418" t="s">
        <v>410</v>
      </c>
      <c r="D2" s="419"/>
      <c r="E2" s="419"/>
      <c r="F2" s="419"/>
      <c r="G2" s="420"/>
      <c r="H2" s="418" t="s">
        <v>411</v>
      </c>
      <c r="I2" s="419"/>
      <c r="J2" s="419"/>
      <c r="K2" s="419"/>
      <c r="L2" s="419"/>
      <c r="M2" s="420"/>
    </row>
    <row r="3" spans="1:13" ht="15.75" thickBot="1">
      <c r="A3" s="411"/>
      <c r="B3" s="412"/>
      <c r="C3" s="421" t="s">
        <v>431</v>
      </c>
      <c r="D3" s="422"/>
      <c r="E3" s="422"/>
      <c r="F3" s="422"/>
      <c r="G3" s="423"/>
      <c r="H3" s="424" t="s">
        <v>412</v>
      </c>
      <c r="I3" s="425"/>
      <c r="J3" s="425"/>
      <c r="K3" s="425"/>
      <c r="L3" s="425"/>
      <c r="M3" s="426"/>
    </row>
    <row r="4" spans="1:13">
      <c r="A4" s="411"/>
      <c r="B4" s="412"/>
      <c r="C4" s="418" t="s">
        <v>413</v>
      </c>
      <c r="D4" s="419"/>
      <c r="E4" s="419"/>
      <c r="F4" s="419"/>
      <c r="G4" s="420"/>
      <c r="H4" s="427" t="s">
        <v>414</v>
      </c>
      <c r="I4" s="428"/>
      <c r="J4" s="428"/>
      <c r="K4" s="429"/>
      <c r="L4" s="28"/>
      <c r="M4" s="29"/>
    </row>
    <row r="5" spans="1:13" ht="15.75" thickBot="1">
      <c r="A5" s="413"/>
      <c r="B5" s="414"/>
      <c r="C5" s="430" t="s">
        <v>432</v>
      </c>
      <c r="D5" s="431"/>
      <c r="E5" s="431"/>
      <c r="F5" s="431"/>
      <c r="G5" s="432"/>
      <c r="H5" s="433"/>
      <c r="I5" s="434"/>
      <c r="J5" s="434"/>
      <c r="K5" s="435"/>
      <c r="L5" s="30"/>
      <c r="M5" s="31"/>
    </row>
    <row r="6" spans="1:13" ht="15.75" thickBot="1">
      <c r="A6" s="141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>
      <c r="A7" s="396" t="s">
        <v>415</v>
      </c>
      <c r="B7" s="398" t="s">
        <v>416</v>
      </c>
      <c r="C7" s="399"/>
      <c r="D7" s="402" t="s">
        <v>417</v>
      </c>
      <c r="E7" s="404" t="s">
        <v>418</v>
      </c>
      <c r="F7" s="405"/>
      <c r="G7" s="405"/>
      <c r="H7" s="405"/>
      <c r="I7" s="405"/>
      <c r="J7" s="406"/>
      <c r="K7" s="404" t="s">
        <v>419</v>
      </c>
      <c r="L7" s="406"/>
      <c r="M7" s="407" t="s">
        <v>420</v>
      </c>
    </row>
    <row r="8" spans="1:13">
      <c r="A8" s="397"/>
      <c r="B8" s="400"/>
      <c r="C8" s="401"/>
      <c r="D8" s="403"/>
      <c r="E8" s="219" t="s">
        <v>421</v>
      </c>
      <c r="F8" s="219" t="s">
        <v>422</v>
      </c>
      <c r="G8" s="219" t="s">
        <v>423</v>
      </c>
      <c r="H8" s="219" t="s">
        <v>424</v>
      </c>
      <c r="I8" s="219" t="s">
        <v>425</v>
      </c>
      <c r="J8" s="219" t="s">
        <v>426</v>
      </c>
      <c r="K8" s="219" t="s">
        <v>427</v>
      </c>
      <c r="L8" s="219" t="s">
        <v>428</v>
      </c>
      <c r="M8" s="408"/>
    </row>
    <row r="9" spans="1:13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 ht="14.45" hidden="1" customHeight="1">
      <c r="A10" s="142" t="s">
        <v>568</v>
      </c>
      <c r="B10" s="394" t="str">
        <f>[2]REPROGRAMAÇÃO!C9</f>
        <v>SERVIÇOS PRELIMINARES</v>
      </c>
      <c r="C10" s="394"/>
      <c r="D10" s="394"/>
      <c r="E10" s="394"/>
      <c r="F10" s="394"/>
      <c r="G10" s="394"/>
      <c r="H10" s="394"/>
      <c r="I10" s="394"/>
      <c r="J10" s="394"/>
      <c r="K10" s="394"/>
      <c r="L10" s="142"/>
      <c r="M10" s="142"/>
    </row>
    <row r="11" spans="1:13" hidden="1">
      <c r="A11" s="37"/>
      <c r="B11" s="393"/>
      <c r="C11" s="393"/>
      <c r="D11" s="393"/>
      <c r="E11" s="393"/>
      <c r="F11" s="393"/>
      <c r="G11" s="393"/>
      <c r="H11" s="393"/>
      <c r="I11" s="393"/>
      <c r="J11" s="393"/>
      <c r="K11" s="393"/>
      <c r="L11" s="37"/>
      <c r="M11" s="37"/>
    </row>
    <row r="12" spans="1:13" hidden="1">
      <c r="A12" s="142" t="s">
        <v>3</v>
      </c>
      <c r="B12" s="395" t="str">
        <f>BM_15!B20</f>
        <v>DEMOLIÇÃO DE ALVENARIA DE BLOCOFURADO, DE FORMA MANUAL, SEM REAPROVEITAMENTO</v>
      </c>
      <c r="C12" s="395"/>
      <c r="D12" s="395"/>
      <c r="E12" s="395"/>
      <c r="F12" s="395"/>
      <c r="G12" s="395"/>
      <c r="H12" s="395"/>
      <c r="I12" s="395"/>
      <c r="J12" s="395"/>
      <c r="K12" s="395"/>
      <c r="L12" s="142">
        <f>SUM(L14:L24)</f>
        <v>18.461999999999993</v>
      </c>
      <c r="M12" s="142" t="s">
        <v>495</v>
      </c>
    </row>
    <row r="13" spans="1:13" hidden="1">
      <c r="A13" s="37"/>
      <c r="B13" s="37"/>
      <c r="C13" s="37"/>
      <c r="D13" s="37"/>
      <c r="E13" s="37"/>
      <c r="F13" s="38"/>
      <c r="G13" s="37"/>
      <c r="H13" s="38"/>
      <c r="I13" s="37"/>
      <c r="J13" s="37"/>
      <c r="K13" s="46"/>
      <c r="L13" s="68"/>
      <c r="M13" s="38"/>
    </row>
    <row r="14" spans="1:13" hidden="1">
      <c r="A14" s="37"/>
      <c r="B14" s="393"/>
      <c r="C14" s="393"/>
      <c r="D14" s="206">
        <v>1</v>
      </c>
      <c r="E14" s="146">
        <v>0.3</v>
      </c>
      <c r="F14" s="146"/>
      <c r="G14" s="146">
        <v>0.5</v>
      </c>
      <c r="H14" s="146"/>
      <c r="I14" s="146">
        <v>0.5</v>
      </c>
      <c r="J14" s="37"/>
      <c r="K14" s="206">
        <f>E14*G14*I14</f>
        <v>7.4999999999999997E-2</v>
      </c>
      <c r="L14" s="38">
        <f t="shared" ref="L14:L24" si="0">K14*D14</f>
        <v>7.4999999999999997E-2</v>
      </c>
      <c r="M14" s="38"/>
    </row>
    <row r="15" spans="1:13" hidden="1">
      <c r="A15" s="37"/>
      <c r="B15" s="393"/>
      <c r="C15" s="393"/>
      <c r="D15" s="206">
        <v>1</v>
      </c>
      <c r="E15" s="146">
        <v>0.3</v>
      </c>
      <c r="F15" s="146"/>
      <c r="G15" s="146">
        <v>0.5</v>
      </c>
      <c r="H15" s="146"/>
      <c r="I15" s="146">
        <v>0.5</v>
      </c>
      <c r="J15" s="37"/>
      <c r="K15" s="206">
        <f t="shared" ref="K15:K24" si="1">E15*G15*I15</f>
        <v>7.4999999999999997E-2</v>
      </c>
      <c r="L15" s="38">
        <f t="shared" si="0"/>
        <v>7.4999999999999997E-2</v>
      </c>
      <c r="M15" s="38"/>
    </row>
    <row r="16" spans="1:13" hidden="1">
      <c r="A16" s="37"/>
      <c r="B16" s="393"/>
      <c r="C16" s="393"/>
      <c r="D16" s="206">
        <v>1</v>
      </c>
      <c r="E16" s="146">
        <v>0.3</v>
      </c>
      <c r="F16" s="146"/>
      <c r="G16" s="146">
        <v>0.5</v>
      </c>
      <c r="H16" s="146"/>
      <c r="I16" s="146">
        <v>0.5</v>
      </c>
      <c r="J16" s="37"/>
      <c r="K16" s="206">
        <f t="shared" si="1"/>
        <v>7.4999999999999997E-2</v>
      </c>
      <c r="L16" s="38">
        <f t="shared" si="0"/>
        <v>7.4999999999999997E-2</v>
      </c>
      <c r="M16" s="38"/>
    </row>
    <row r="17" spans="1:13" hidden="1">
      <c r="A17" s="37"/>
      <c r="B17" s="393"/>
      <c r="C17" s="393"/>
      <c r="D17" s="206">
        <v>1</v>
      </c>
      <c r="E17" s="146">
        <v>2</v>
      </c>
      <c r="F17" s="146"/>
      <c r="G17" s="146">
        <v>0.5</v>
      </c>
      <c r="H17" s="146"/>
      <c r="I17" s="146">
        <v>0.3</v>
      </c>
      <c r="J17" s="37"/>
      <c r="K17" s="206">
        <f t="shared" si="1"/>
        <v>0.3</v>
      </c>
      <c r="L17" s="38">
        <f t="shared" si="0"/>
        <v>0.3</v>
      </c>
      <c r="M17" s="38"/>
    </row>
    <row r="18" spans="1:13" hidden="1">
      <c r="A18" s="37"/>
      <c r="B18" s="393" t="s">
        <v>586</v>
      </c>
      <c r="C18" s="393"/>
      <c r="D18" s="206">
        <v>1</v>
      </c>
      <c r="E18" s="146">
        <v>11.7</v>
      </c>
      <c r="F18" s="146"/>
      <c r="G18" s="146">
        <v>4.2</v>
      </c>
      <c r="H18" s="146"/>
      <c r="I18" s="146">
        <v>0.3</v>
      </c>
      <c r="J18" s="37"/>
      <c r="K18" s="206">
        <f t="shared" si="1"/>
        <v>14.741999999999999</v>
      </c>
      <c r="L18" s="38">
        <f t="shared" si="0"/>
        <v>14.741999999999999</v>
      </c>
      <c r="M18" s="38"/>
    </row>
    <row r="19" spans="1:13" hidden="1">
      <c r="A19" s="37"/>
      <c r="B19" s="393"/>
      <c r="C19" s="393"/>
      <c r="D19" s="206">
        <v>1</v>
      </c>
      <c r="E19" s="146">
        <v>13</v>
      </c>
      <c r="F19" s="146"/>
      <c r="G19" s="146">
        <v>0.3</v>
      </c>
      <c r="H19" s="146"/>
      <c r="I19" s="146">
        <v>0.3</v>
      </c>
      <c r="J19" s="38"/>
      <c r="K19" s="206">
        <f t="shared" si="1"/>
        <v>1.17</v>
      </c>
      <c r="L19" s="38">
        <f t="shared" si="0"/>
        <v>1.17</v>
      </c>
      <c r="M19" s="38"/>
    </row>
    <row r="20" spans="1:13" hidden="1">
      <c r="A20" s="37"/>
      <c r="B20" s="37"/>
      <c r="C20" s="37"/>
      <c r="D20" s="206">
        <v>1</v>
      </c>
      <c r="E20" s="146">
        <v>9.1999999999999993</v>
      </c>
      <c r="F20" s="146"/>
      <c r="G20" s="146">
        <v>0.3</v>
      </c>
      <c r="H20" s="146"/>
      <c r="I20" s="146">
        <v>0.3</v>
      </c>
      <c r="J20" s="38"/>
      <c r="K20" s="206">
        <f t="shared" si="1"/>
        <v>0.82799999999999996</v>
      </c>
      <c r="L20" s="38">
        <f t="shared" si="0"/>
        <v>0.82799999999999996</v>
      </c>
      <c r="M20" s="38"/>
    </row>
    <row r="21" spans="1:13" hidden="1">
      <c r="A21" s="37"/>
      <c r="B21" s="393"/>
      <c r="C21" s="393"/>
      <c r="D21" s="206">
        <v>1</v>
      </c>
      <c r="E21" s="146">
        <v>0.7</v>
      </c>
      <c r="F21" s="146"/>
      <c r="G21" s="146">
        <v>0.7</v>
      </c>
      <c r="H21" s="146"/>
      <c r="I21" s="146">
        <v>0.3</v>
      </c>
      <c r="J21" s="38"/>
      <c r="K21" s="206">
        <f t="shared" si="1"/>
        <v>0.14699999999999996</v>
      </c>
      <c r="L21" s="38">
        <f t="shared" si="0"/>
        <v>0.14699999999999996</v>
      </c>
      <c r="M21" s="38"/>
    </row>
    <row r="22" spans="1:13" hidden="1">
      <c r="A22" s="37"/>
      <c r="B22" s="393"/>
      <c r="C22" s="393"/>
      <c r="D22" s="206">
        <v>1</v>
      </c>
      <c r="E22" s="146">
        <v>0.5</v>
      </c>
      <c r="F22" s="146"/>
      <c r="G22" s="146">
        <v>0.5</v>
      </c>
      <c r="H22" s="146"/>
      <c r="I22" s="146">
        <v>0.3</v>
      </c>
      <c r="J22" s="38"/>
      <c r="K22" s="206">
        <f t="shared" si="1"/>
        <v>7.4999999999999997E-2</v>
      </c>
      <c r="L22" s="38">
        <f t="shared" si="0"/>
        <v>7.4999999999999997E-2</v>
      </c>
      <c r="M22" s="38"/>
    </row>
    <row r="23" spans="1:13" hidden="1">
      <c r="A23" s="37"/>
      <c r="B23" s="393"/>
      <c r="C23" s="393"/>
      <c r="D23" s="206">
        <v>1</v>
      </c>
      <c r="E23" s="146">
        <v>0.5</v>
      </c>
      <c r="F23" s="146"/>
      <c r="G23" s="146">
        <v>0.5</v>
      </c>
      <c r="H23" s="146"/>
      <c r="I23" s="146">
        <v>0.3</v>
      </c>
      <c r="J23" s="38"/>
      <c r="K23" s="206">
        <f t="shared" si="1"/>
        <v>7.4999999999999997E-2</v>
      </c>
      <c r="L23" s="38">
        <f t="shared" si="0"/>
        <v>7.4999999999999997E-2</v>
      </c>
      <c r="M23" s="38"/>
    </row>
    <row r="24" spans="1:13" hidden="1">
      <c r="A24" s="37"/>
      <c r="B24" s="393"/>
      <c r="C24" s="393"/>
      <c r="D24" s="206">
        <v>1</v>
      </c>
      <c r="E24" s="146">
        <v>2</v>
      </c>
      <c r="F24" s="146"/>
      <c r="G24" s="146">
        <v>0.3</v>
      </c>
      <c r="H24" s="146"/>
      <c r="I24" s="146">
        <v>1.5</v>
      </c>
      <c r="J24" s="38"/>
      <c r="K24" s="206">
        <f t="shared" si="1"/>
        <v>0.89999999999999991</v>
      </c>
      <c r="L24" s="38">
        <f t="shared" si="0"/>
        <v>0.89999999999999991</v>
      </c>
      <c r="M24" s="38"/>
    </row>
    <row r="25" spans="1:13" hidden="1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6" spans="1:13" hidden="1">
      <c r="A26" s="142" t="s">
        <v>589</v>
      </c>
      <c r="B26" s="394" t="str">
        <f>[2]REPROGRAMAÇÃO!C25</f>
        <v>INFRA ESTRUTURA E SUPERESTRUTURA</v>
      </c>
      <c r="C26" s="394"/>
      <c r="D26" s="394"/>
      <c r="E26" s="394"/>
      <c r="F26" s="394"/>
      <c r="G26" s="394"/>
      <c r="H26" s="394"/>
      <c r="I26" s="394"/>
      <c r="J26" s="394"/>
      <c r="K26" s="394"/>
      <c r="L26" s="142"/>
      <c r="M26" s="142"/>
    </row>
    <row r="27" spans="1:13" hidden="1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3" hidden="1">
      <c r="A28" s="142" t="s">
        <v>15</v>
      </c>
      <c r="B28" s="394" t="str">
        <f>BM_15!B31</f>
        <v>ESCAVAÇÃO MANUAL PARA BLOCO DE COROAMENTO OU SAPATA (INCLUINDO ESCAVAÇÃO PARA COLOCAÇÃO DE FÔRMAS). AF_06/2017</v>
      </c>
      <c r="C28" s="394"/>
      <c r="D28" s="394"/>
      <c r="E28" s="394"/>
      <c r="F28" s="394"/>
      <c r="G28" s="394"/>
      <c r="H28" s="394"/>
      <c r="I28" s="394"/>
      <c r="J28" s="394"/>
      <c r="K28" s="394"/>
      <c r="L28" s="142">
        <f>SUM(L31:L39)</f>
        <v>18.193499999999997</v>
      </c>
      <c r="M28" s="142" t="s">
        <v>495</v>
      </c>
    </row>
    <row r="29" spans="1:13" hidden="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</row>
    <row r="30" spans="1:13" hidden="1">
      <c r="A30" s="37"/>
      <c r="B30" s="393" t="s">
        <v>637</v>
      </c>
      <c r="C30" s="393"/>
      <c r="D30" s="37"/>
      <c r="E30" s="37"/>
      <c r="F30" s="37"/>
      <c r="G30" s="37"/>
      <c r="H30" s="37"/>
      <c r="I30" s="37"/>
      <c r="J30" s="37"/>
      <c r="K30" s="37"/>
      <c r="L30" s="37"/>
      <c r="M30" s="37"/>
    </row>
    <row r="31" spans="1:13" hidden="1">
      <c r="A31" s="37"/>
      <c r="B31" s="393" t="s">
        <v>638</v>
      </c>
      <c r="C31" s="393"/>
      <c r="D31" s="37">
        <v>1</v>
      </c>
      <c r="E31" s="37">
        <v>0.6</v>
      </c>
      <c r="F31" s="37"/>
      <c r="G31" s="37">
        <v>0.85</v>
      </c>
      <c r="H31" s="37"/>
      <c r="I31" s="37">
        <v>1.8</v>
      </c>
      <c r="J31" s="37"/>
      <c r="K31" s="37">
        <f>E31*G31*I31</f>
        <v>0.91800000000000004</v>
      </c>
      <c r="L31" s="37">
        <f>D31*K31</f>
        <v>0.91800000000000004</v>
      </c>
      <c r="M31" s="37"/>
    </row>
    <row r="32" spans="1:13" hidden="1">
      <c r="A32" s="37"/>
      <c r="B32" s="393" t="s">
        <v>639</v>
      </c>
      <c r="C32" s="393"/>
      <c r="D32" s="37">
        <v>1</v>
      </c>
      <c r="E32" s="37">
        <v>0.9</v>
      </c>
      <c r="F32" s="37"/>
      <c r="G32" s="37">
        <v>1</v>
      </c>
      <c r="H32" s="37"/>
      <c r="I32" s="37">
        <v>1.8</v>
      </c>
      <c r="J32" s="37"/>
      <c r="K32" s="37">
        <f t="shared" ref="K32:K39" si="2">E32*G32*I32</f>
        <v>1.62</v>
      </c>
      <c r="L32" s="37">
        <f t="shared" ref="L32:L39" si="3">D32*K32</f>
        <v>1.62</v>
      </c>
      <c r="M32" s="37"/>
    </row>
    <row r="33" spans="1:13" hidden="1">
      <c r="A33" s="37"/>
      <c r="B33" s="393" t="s">
        <v>640</v>
      </c>
      <c r="C33" s="393"/>
      <c r="D33" s="37">
        <v>1</v>
      </c>
      <c r="E33" s="37">
        <v>1.2</v>
      </c>
      <c r="F33" s="37"/>
      <c r="G33" s="37">
        <v>0.9</v>
      </c>
      <c r="H33" s="37"/>
      <c r="I33" s="37">
        <v>1.8</v>
      </c>
      <c r="J33" s="37"/>
      <c r="K33" s="37">
        <f t="shared" si="2"/>
        <v>1.9440000000000002</v>
      </c>
      <c r="L33" s="37">
        <f t="shared" si="3"/>
        <v>1.9440000000000002</v>
      </c>
      <c r="M33" s="37"/>
    </row>
    <row r="34" spans="1:13" hidden="1">
      <c r="A34" s="37"/>
      <c r="B34" s="393" t="s">
        <v>641</v>
      </c>
      <c r="C34" s="393"/>
      <c r="D34" s="37">
        <v>1</v>
      </c>
      <c r="E34" s="37">
        <v>1.1499999999999999</v>
      </c>
      <c r="F34" s="37"/>
      <c r="G34" s="37">
        <v>1</v>
      </c>
      <c r="H34" s="37"/>
      <c r="I34" s="37">
        <v>1.8</v>
      </c>
      <c r="J34" s="37"/>
      <c r="K34" s="37">
        <f t="shared" si="2"/>
        <v>2.0699999999999998</v>
      </c>
      <c r="L34" s="37">
        <f t="shared" si="3"/>
        <v>2.0699999999999998</v>
      </c>
      <c r="M34" s="37"/>
    </row>
    <row r="35" spans="1:13" hidden="1">
      <c r="A35" s="37"/>
      <c r="B35" s="393" t="s">
        <v>642</v>
      </c>
      <c r="C35" s="393"/>
      <c r="D35" s="37">
        <v>1</v>
      </c>
      <c r="E35" s="37">
        <v>1.1000000000000001</v>
      </c>
      <c r="F35" s="37"/>
      <c r="G35" s="37">
        <v>1.25</v>
      </c>
      <c r="H35" s="37"/>
      <c r="I35" s="37">
        <v>1.8</v>
      </c>
      <c r="J35" s="37"/>
      <c r="K35" s="37">
        <f t="shared" si="2"/>
        <v>2.4750000000000001</v>
      </c>
      <c r="L35" s="37">
        <f t="shared" si="3"/>
        <v>2.4750000000000001</v>
      </c>
      <c r="M35" s="37"/>
    </row>
    <row r="36" spans="1:13" hidden="1">
      <c r="A36" s="37"/>
      <c r="B36" s="393" t="s">
        <v>643</v>
      </c>
      <c r="C36" s="393"/>
      <c r="D36" s="37">
        <v>1</v>
      </c>
      <c r="E36" s="37">
        <v>0.6</v>
      </c>
      <c r="F36" s="37"/>
      <c r="G36" s="37">
        <v>0.85</v>
      </c>
      <c r="H36" s="37"/>
      <c r="I36" s="37">
        <v>1.8</v>
      </c>
      <c r="J36" s="37"/>
      <c r="K36" s="37">
        <f t="shared" si="2"/>
        <v>0.91800000000000004</v>
      </c>
      <c r="L36" s="37">
        <f t="shared" si="3"/>
        <v>0.91800000000000004</v>
      </c>
      <c r="M36" s="37"/>
    </row>
    <row r="37" spans="1:13" hidden="1">
      <c r="A37" s="37"/>
      <c r="B37" s="393" t="s">
        <v>644</v>
      </c>
      <c r="C37" s="393"/>
      <c r="D37" s="37">
        <v>1</v>
      </c>
      <c r="E37" s="37">
        <v>1.5</v>
      </c>
      <c r="F37" s="37"/>
      <c r="G37" s="37">
        <v>1.3</v>
      </c>
      <c r="H37" s="37"/>
      <c r="I37" s="37">
        <v>1.8</v>
      </c>
      <c r="J37" s="37"/>
      <c r="K37" s="37">
        <f t="shared" si="2"/>
        <v>3.5100000000000002</v>
      </c>
      <c r="L37" s="37">
        <f t="shared" si="3"/>
        <v>3.5100000000000002</v>
      </c>
      <c r="M37" s="37"/>
    </row>
    <row r="38" spans="1:13" hidden="1">
      <c r="A38" s="37"/>
      <c r="B38" s="393" t="s">
        <v>645</v>
      </c>
      <c r="C38" s="393"/>
      <c r="D38" s="37">
        <v>1</v>
      </c>
      <c r="E38" s="37">
        <v>1.1499999999999999</v>
      </c>
      <c r="F38" s="37"/>
      <c r="G38" s="37">
        <v>1.35</v>
      </c>
      <c r="H38" s="37"/>
      <c r="I38" s="37">
        <v>1.8</v>
      </c>
      <c r="J38" s="37"/>
      <c r="K38" s="37">
        <f t="shared" si="2"/>
        <v>2.7945000000000002</v>
      </c>
      <c r="L38" s="37">
        <f t="shared" si="3"/>
        <v>2.7945000000000002</v>
      </c>
      <c r="M38" s="37"/>
    </row>
    <row r="39" spans="1:13" hidden="1">
      <c r="A39" s="37"/>
      <c r="B39" s="393" t="s">
        <v>646</v>
      </c>
      <c r="C39" s="393"/>
      <c r="D39" s="37">
        <v>1</v>
      </c>
      <c r="E39" s="37">
        <v>1.2</v>
      </c>
      <c r="F39" s="37"/>
      <c r="G39" s="37">
        <v>0.9</v>
      </c>
      <c r="H39" s="37"/>
      <c r="I39" s="37">
        <v>1.8</v>
      </c>
      <c r="J39" s="37"/>
      <c r="K39" s="37">
        <f t="shared" si="2"/>
        <v>1.9440000000000002</v>
      </c>
      <c r="L39" s="37">
        <f t="shared" si="3"/>
        <v>1.9440000000000002</v>
      </c>
      <c r="M39" s="37"/>
    </row>
    <row r="40" spans="1:13" hidden="1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</row>
    <row r="41" spans="1:13" ht="22.15" hidden="1" customHeight="1">
      <c r="A41" s="142" t="s">
        <v>16</v>
      </c>
      <c r="B41" s="394" t="str">
        <f>BM_15!B32</f>
        <v>LAJE PRÉ-MOLDADA UNIDIRECIONAL, BIAPOIADA, PARA FORRO, ENCHIMENTO EM CERÂMICA, VIGOTA CONVENCIONAL, ALTURA TOTAL DA LAJE (ENCHIMENTO+CAPA) = (8+3). AF_11/2020</v>
      </c>
      <c r="C41" s="394"/>
      <c r="D41" s="394"/>
      <c r="E41" s="394"/>
      <c r="F41" s="394"/>
      <c r="G41" s="394"/>
      <c r="H41" s="394"/>
      <c r="I41" s="394"/>
      <c r="J41" s="394"/>
      <c r="K41" s="394"/>
      <c r="L41" s="142">
        <f>SUM(L43)</f>
        <v>55.16</v>
      </c>
      <c r="M41" s="142" t="s">
        <v>495</v>
      </c>
    </row>
    <row r="42" spans="1:13" hidden="1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</row>
    <row r="43" spans="1:13" hidden="1">
      <c r="A43" s="37"/>
      <c r="B43" s="436" t="s">
        <v>605</v>
      </c>
      <c r="C43" s="436"/>
      <c r="D43" s="206">
        <v>1</v>
      </c>
      <c r="E43" s="146">
        <v>39.4</v>
      </c>
      <c r="F43" s="146"/>
      <c r="G43" s="146">
        <v>1.4</v>
      </c>
      <c r="H43" s="37"/>
      <c r="I43" s="37"/>
      <c r="J43" s="37"/>
      <c r="K43" s="206">
        <f>E43*G43</f>
        <v>55.16</v>
      </c>
      <c r="L43" s="37">
        <f>K43*D43</f>
        <v>55.16</v>
      </c>
      <c r="M43" s="37"/>
    </row>
    <row r="44" spans="1:13" hidden="1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</row>
    <row r="45" spans="1:13" ht="22.9" hidden="1" customHeight="1">
      <c r="A45" s="142" t="s">
        <v>17</v>
      </c>
      <c r="B45" s="394" t="str">
        <f>BM_15!B33</f>
        <v>LASTRO DE CONCRETO MAGRO, APLICADO EM BLOCOS DE COROAMENTO OU SAPATAS, ESPESSURA DE 5 CM. AF_08/2017</v>
      </c>
      <c r="C45" s="394"/>
      <c r="D45" s="394"/>
      <c r="E45" s="394"/>
      <c r="F45" s="394"/>
      <c r="G45" s="394"/>
      <c r="H45" s="394"/>
      <c r="I45" s="394"/>
      <c r="J45" s="394"/>
      <c r="K45" s="394"/>
      <c r="L45" s="142">
        <f>SUM(L48:L56)</f>
        <v>10.1075</v>
      </c>
      <c r="M45" s="142" t="s">
        <v>429</v>
      </c>
    </row>
    <row r="46" spans="1:13" hidden="1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</row>
    <row r="47" spans="1:13" hidden="1">
      <c r="A47" s="37"/>
      <c r="B47" s="393" t="s">
        <v>637</v>
      </c>
      <c r="C47" s="393"/>
      <c r="D47" s="37"/>
      <c r="E47" s="37"/>
      <c r="F47" s="37"/>
      <c r="G47" s="37"/>
      <c r="H47" s="37"/>
      <c r="I47" s="37"/>
      <c r="J47" s="37"/>
      <c r="K47" s="37"/>
      <c r="L47" s="37"/>
      <c r="M47" s="37"/>
    </row>
    <row r="48" spans="1:13" hidden="1">
      <c r="A48" s="37"/>
      <c r="B48" s="393" t="s">
        <v>638</v>
      </c>
      <c r="C48" s="393"/>
      <c r="D48" s="37">
        <v>1</v>
      </c>
      <c r="E48" s="37">
        <v>0.6</v>
      </c>
      <c r="F48" s="37"/>
      <c r="G48" s="37">
        <v>0.85</v>
      </c>
      <c r="H48" s="37"/>
      <c r="I48" s="37"/>
      <c r="J48" s="37"/>
      <c r="K48" s="37">
        <f>E48*G48</f>
        <v>0.51</v>
      </c>
      <c r="L48" s="37">
        <f>D48*K48</f>
        <v>0.51</v>
      </c>
      <c r="M48" s="37"/>
    </row>
    <row r="49" spans="1:13" hidden="1">
      <c r="A49" s="37"/>
      <c r="B49" s="393" t="s">
        <v>639</v>
      </c>
      <c r="C49" s="393"/>
      <c r="D49" s="37">
        <v>1</v>
      </c>
      <c r="E49" s="37">
        <v>0.9</v>
      </c>
      <c r="F49" s="37"/>
      <c r="G49" s="37">
        <v>1</v>
      </c>
      <c r="H49" s="37"/>
      <c r="I49" s="37"/>
      <c r="J49" s="37"/>
      <c r="K49" s="37">
        <f t="shared" ref="K49:K56" si="4">E49*G49</f>
        <v>0.9</v>
      </c>
      <c r="L49" s="37">
        <f t="shared" ref="L49:L56" si="5">D49*K49</f>
        <v>0.9</v>
      </c>
      <c r="M49" s="37"/>
    </row>
    <row r="50" spans="1:13" hidden="1">
      <c r="A50" s="37"/>
      <c r="B50" s="393" t="s">
        <v>640</v>
      </c>
      <c r="C50" s="393"/>
      <c r="D50" s="37">
        <v>1</v>
      </c>
      <c r="E50" s="37">
        <v>1.2</v>
      </c>
      <c r="F50" s="37"/>
      <c r="G50" s="37">
        <v>0.9</v>
      </c>
      <c r="H50" s="37"/>
      <c r="I50" s="37"/>
      <c r="J50" s="37"/>
      <c r="K50" s="37">
        <f t="shared" si="4"/>
        <v>1.08</v>
      </c>
      <c r="L50" s="37">
        <f t="shared" si="5"/>
        <v>1.08</v>
      </c>
      <c r="M50" s="37"/>
    </row>
    <row r="51" spans="1:13" hidden="1">
      <c r="A51" s="37"/>
      <c r="B51" s="393" t="s">
        <v>641</v>
      </c>
      <c r="C51" s="393"/>
      <c r="D51" s="37">
        <v>1</v>
      </c>
      <c r="E51" s="37">
        <v>1.1499999999999999</v>
      </c>
      <c r="F51" s="37"/>
      <c r="G51" s="37">
        <v>1</v>
      </c>
      <c r="H51" s="37"/>
      <c r="I51" s="37"/>
      <c r="J51" s="37"/>
      <c r="K51" s="37">
        <f t="shared" si="4"/>
        <v>1.1499999999999999</v>
      </c>
      <c r="L51" s="37">
        <f t="shared" si="5"/>
        <v>1.1499999999999999</v>
      </c>
      <c r="M51" s="37"/>
    </row>
    <row r="52" spans="1:13" hidden="1">
      <c r="A52" s="37"/>
      <c r="B52" s="393" t="s">
        <v>642</v>
      </c>
      <c r="C52" s="393"/>
      <c r="D52" s="37">
        <v>1</v>
      </c>
      <c r="E52" s="37">
        <v>1.1000000000000001</v>
      </c>
      <c r="F52" s="37"/>
      <c r="G52" s="37">
        <v>1.25</v>
      </c>
      <c r="H52" s="37"/>
      <c r="I52" s="37"/>
      <c r="J52" s="37"/>
      <c r="K52" s="37">
        <f t="shared" si="4"/>
        <v>1.375</v>
      </c>
      <c r="L52" s="37">
        <f t="shared" si="5"/>
        <v>1.375</v>
      </c>
      <c r="M52" s="37"/>
    </row>
    <row r="53" spans="1:13" hidden="1">
      <c r="A53" s="37"/>
      <c r="B53" s="393" t="s">
        <v>643</v>
      </c>
      <c r="C53" s="393"/>
      <c r="D53" s="37">
        <v>1</v>
      </c>
      <c r="E53" s="37">
        <v>0.6</v>
      </c>
      <c r="F53" s="37"/>
      <c r="G53" s="37">
        <v>0.85</v>
      </c>
      <c r="H53" s="37"/>
      <c r="I53" s="37"/>
      <c r="J53" s="37"/>
      <c r="K53" s="37">
        <f t="shared" si="4"/>
        <v>0.51</v>
      </c>
      <c r="L53" s="37">
        <f t="shared" si="5"/>
        <v>0.51</v>
      </c>
      <c r="M53" s="37"/>
    </row>
    <row r="54" spans="1:13" hidden="1">
      <c r="A54" s="37"/>
      <c r="B54" s="393" t="s">
        <v>644</v>
      </c>
      <c r="C54" s="393"/>
      <c r="D54" s="37">
        <v>1</v>
      </c>
      <c r="E54" s="37">
        <v>1.5</v>
      </c>
      <c r="F54" s="37"/>
      <c r="G54" s="37">
        <v>1.3</v>
      </c>
      <c r="H54" s="37"/>
      <c r="I54" s="37"/>
      <c r="J54" s="37"/>
      <c r="K54" s="37">
        <f t="shared" si="4"/>
        <v>1.9500000000000002</v>
      </c>
      <c r="L54" s="37">
        <f t="shared" si="5"/>
        <v>1.9500000000000002</v>
      </c>
      <c r="M54" s="37"/>
    </row>
    <row r="55" spans="1:13" hidden="1">
      <c r="A55" s="37"/>
      <c r="B55" s="393" t="s">
        <v>645</v>
      </c>
      <c r="C55" s="393"/>
      <c r="D55" s="37">
        <v>1</v>
      </c>
      <c r="E55" s="37">
        <v>1.1499999999999999</v>
      </c>
      <c r="F55" s="37"/>
      <c r="G55" s="37">
        <v>1.35</v>
      </c>
      <c r="H55" s="37"/>
      <c r="I55" s="37"/>
      <c r="J55" s="37"/>
      <c r="K55" s="37">
        <f t="shared" si="4"/>
        <v>1.5525</v>
      </c>
      <c r="L55" s="37">
        <f t="shared" si="5"/>
        <v>1.5525</v>
      </c>
      <c r="M55" s="37"/>
    </row>
    <row r="56" spans="1:13" hidden="1">
      <c r="A56" s="37"/>
      <c r="B56" s="393" t="s">
        <v>646</v>
      </c>
      <c r="C56" s="393"/>
      <c r="D56" s="37">
        <v>1</v>
      </c>
      <c r="E56" s="37">
        <v>1.2</v>
      </c>
      <c r="F56" s="37"/>
      <c r="G56" s="37">
        <v>0.9</v>
      </c>
      <c r="H56" s="37"/>
      <c r="I56" s="37"/>
      <c r="J56" s="37"/>
      <c r="K56" s="37">
        <f t="shared" si="4"/>
        <v>1.08</v>
      </c>
      <c r="L56" s="37">
        <f t="shared" si="5"/>
        <v>1.08</v>
      </c>
      <c r="M56" s="37"/>
    </row>
    <row r="57" spans="1:13" hidden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</row>
    <row r="58" spans="1:13" ht="19.899999999999999" hidden="1" customHeight="1">
      <c r="A58" s="142" t="s">
        <v>18</v>
      </c>
      <c r="B58" s="394" t="str">
        <f>BM_15!B34</f>
        <v>CONCRETO FCK = 25MPA, TRAÇO 1:2,3:2,7 (EM MASSA SECA DE CIMENTO/ AREIA MÉDIA/ BRITA 1) - PREPARO MECÂNICO COM BETONEIRA 600 L. AF_05/2021</v>
      </c>
      <c r="C58" s="394"/>
      <c r="D58" s="394"/>
      <c r="E58" s="394"/>
      <c r="F58" s="394"/>
      <c r="G58" s="394"/>
      <c r="H58" s="394"/>
      <c r="I58" s="394"/>
      <c r="J58" s="394"/>
      <c r="K58" s="394"/>
      <c r="L58" s="142">
        <f>SUM(L61:L69)</f>
        <v>2.526875</v>
      </c>
      <c r="M58" s="142" t="s">
        <v>495</v>
      </c>
    </row>
    <row r="59" spans="1:13" hidden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</row>
    <row r="60" spans="1:13" hidden="1">
      <c r="A60" s="37"/>
      <c r="B60" s="393" t="s">
        <v>637</v>
      </c>
      <c r="C60" s="393"/>
      <c r="D60" s="37"/>
      <c r="E60" s="37"/>
      <c r="F60" s="37"/>
      <c r="G60" s="37"/>
      <c r="H60" s="37"/>
      <c r="I60" s="37"/>
      <c r="J60" s="37"/>
      <c r="K60" s="37"/>
      <c r="L60" s="37"/>
      <c r="M60" s="37"/>
    </row>
    <row r="61" spans="1:13" hidden="1">
      <c r="A61" s="37"/>
      <c r="B61" s="393" t="s">
        <v>638</v>
      </c>
      <c r="C61" s="393"/>
      <c r="D61" s="37">
        <v>1</v>
      </c>
      <c r="E61" s="37">
        <v>0.6</v>
      </c>
      <c r="F61" s="37"/>
      <c r="G61" s="37">
        <v>0.85</v>
      </c>
      <c r="H61" s="37"/>
      <c r="I61" s="37">
        <v>0.25</v>
      </c>
      <c r="J61" s="37"/>
      <c r="K61" s="37">
        <f>E61*G61*I61</f>
        <v>0.1275</v>
      </c>
      <c r="L61" s="37">
        <f>K61*D61</f>
        <v>0.1275</v>
      </c>
      <c r="M61" s="37"/>
    </row>
    <row r="62" spans="1:13" hidden="1">
      <c r="A62" s="37"/>
      <c r="B62" s="393" t="s">
        <v>639</v>
      </c>
      <c r="C62" s="393"/>
      <c r="D62" s="37">
        <v>1</v>
      </c>
      <c r="E62" s="37">
        <v>0.9</v>
      </c>
      <c r="F62" s="37"/>
      <c r="G62" s="37">
        <v>1</v>
      </c>
      <c r="H62" s="37"/>
      <c r="I62" s="37">
        <v>0.25</v>
      </c>
      <c r="J62" s="37"/>
      <c r="K62" s="37">
        <f t="shared" ref="K62:K69" si="6">E62*G62*I62</f>
        <v>0.22500000000000001</v>
      </c>
      <c r="L62" s="37">
        <f t="shared" ref="L62:L69" si="7">K62*D62</f>
        <v>0.22500000000000001</v>
      </c>
      <c r="M62" s="37"/>
    </row>
    <row r="63" spans="1:13" hidden="1">
      <c r="A63" s="37"/>
      <c r="B63" s="393" t="s">
        <v>640</v>
      </c>
      <c r="C63" s="393"/>
      <c r="D63" s="37">
        <v>1</v>
      </c>
      <c r="E63" s="37">
        <v>1.2</v>
      </c>
      <c r="F63" s="37"/>
      <c r="G63" s="37">
        <v>0.9</v>
      </c>
      <c r="H63" s="37"/>
      <c r="I63" s="37">
        <v>0.25</v>
      </c>
      <c r="J63" s="37"/>
      <c r="K63" s="37">
        <f t="shared" si="6"/>
        <v>0.27</v>
      </c>
      <c r="L63" s="37">
        <f t="shared" si="7"/>
        <v>0.27</v>
      </c>
      <c r="M63" s="37"/>
    </row>
    <row r="64" spans="1:13" hidden="1">
      <c r="A64" s="37"/>
      <c r="B64" s="393" t="s">
        <v>641</v>
      </c>
      <c r="C64" s="393"/>
      <c r="D64" s="37">
        <v>1</v>
      </c>
      <c r="E64" s="37">
        <v>1.1499999999999999</v>
      </c>
      <c r="F64" s="37"/>
      <c r="G64" s="37">
        <v>1</v>
      </c>
      <c r="H64" s="37"/>
      <c r="I64" s="37">
        <v>0.25</v>
      </c>
      <c r="J64" s="37"/>
      <c r="K64" s="37">
        <f t="shared" si="6"/>
        <v>0.28749999999999998</v>
      </c>
      <c r="L64" s="37">
        <f t="shared" si="7"/>
        <v>0.28749999999999998</v>
      </c>
      <c r="M64" s="37"/>
    </row>
    <row r="65" spans="1:13" hidden="1">
      <c r="A65" s="37"/>
      <c r="B65" s="393" t="s">
        <v>642</v>
      </c>
      <c r="C65" s="393"/>
      <c r="D65" s="37">
        <v>1</v>
      </c>
      <c r="E65" s="37">
        <v>1.1000000000000001</v>
      </c>
      <c r="F65" s="37"/>
      <c r="G65" s="37">
        <v>1.25</v>
      </c>
      <c r="H65" s="37"/>
      <c r="I65" s="37">
        <v>0.25</v>
      </c>
      <c r="J65" s="37"/>
      <c r="K65" s="37">
        <f t="shared" si="6"/>
        <v>0.34375</v>
      </c>
      <c r="L65" s="37">
        <f t="shared" si="7"/>
        <v>0.34375</v>
      </c>
      <c r="M65" s="37"/>
    </row>
    <row r="66" spans="1:13" hidden="1">
      <c r="A66" s="37"/>
      <c r="B66" s="393" t="s">
        <v>643</v>
      </c>
      <c r="C66" s="393"/>
      <c r="D66" s="37">
        <v>1</v>
      </c>
      <c r="E66" s="37">
        <v>0.6</v>
      </c>
      <c r="F66" s="37"/>
      <c r="G66" s="37">
        <v>0.85</v>
      </c>
      <c r="H66" s="37"/>
      <c r="I66" s="37">
        <v>0.25</v>
      </c>
      <c r="J66" s="37"/>
      <c r="K66" s="37">
        <f t="shared" si="6"/>
        <v>0.1275</v>
      </c>
      <c r="L66" s="37">
        <f t="shared" si="7"/>
        <v>0.1275</v>
      </c>
      <c r="M66" s="37"/>
    </row>
    <row r="67" spans="1:13" hidden="1">
      <c r="A67" s="37"/>
      <c r="B67" s="393" t="s">
        <v>644</v>
      </c>
      <c r="C67" s="393"/>
      <c r="D67" s="37">
        <v>1</v>
      </c>
      <c r="E67" s="37">
        <v>1.5</v>
      </c>
      <c r="F67" s="37"/>
      <c r="G67" s="37">
        <v>1.3</v>
      </c>
      <c r="H67" s="37"/>
      <c r="I67" s="37">
        <v>0.25</v>
      </c>
      <c r="J67" s="37"/>
      <c r="K67" s="37">
        <f t="shared" si="6"/>
        <v>0.48750000000000004</v>
      </c>
      <c r="L67" s="37">
        <f t="shared" si="7"/>
        <v>0.48750000000000004</v>
      </c>
      <c r="M67" s="37"/>
    </row>
    <row r="68" spans="1:13" hidden="1">
      <c r="A68" s="37"/>
      <c r="B68" s="393" t="s">
        <v>645</v>
      </c>
      <c r="C68" s="393"/>
      <c r="D68" s="37">
        <v>1</v>
      </c>
      <c r="E68" s="37">
        <v>1.1499999999999999</v>
      </c>
      <c r="F68" s="37"/>
      <c r="G68" s="37">
        <v>1.35</v>
      </c>
      <c r="H68" s="37"/>
      <c r="I68" s="37">
        <v>0.25</v>
      </c>
      <c r="J68" s="37"/>
      <c r="K68" s="37">
        <f t="shared" si="6"/>
        <v>0.388125</v>
      </c>
      <c r="L68" s="37">
        <f t="shared" si="7"/>
        <v>0.388125</v>
      </c>
      <c r="M68" s="37"/>
    </row>
    <row r="69" spans="1:13" hidden="1">
      <c r="A69" s="37"/>
      <c r="B69" s="393" t="s">
        <v>646</v>
      </c>
      <c r="C69" s="393"/>
      <c r="D69" s="37">
        <v>1</v>
      </c>
      <c r="E69" s="37">
        <v>1.2</v>
      </c>
      <c r="F69" s="37"/>
      <c r="G69" s="37">
        <v>0.9</v>
      </c>
      <c r="H69" s="37"/>
      <c r="I69" s="37">
        <v>0.25</v>
      </c>
      <c r="J69" s="37"/>
      <c r="K69" s="37">
        <f t="shared" si="6"/>
        <v>0.27</v>
      </c>
      <c r="L69" s="37">
        <f t="shared" si="7"/>
        <v>0.27</v>
      </c>
      <c r="M69" s="37"/>
    </row>
    <row r="70" spans="1:13" hidden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</row>
    <row r="71" spans="1:13" ht="21" hidden="1" customHeight="1">
      <c r="A71" s="142" t="s">
        <v>19</v>
      </c>
      <c r="B71" s="394" t="str">
        <f>BM_15!B35</f>
        <v>CONCRETO FCK = 30MPA, TRAÇO 1:2,1:2,5 (EM MASSA SECA DE CIMENTO/ AREIA MÉDIA/ BRITA 1) - PREPARO MECÂNICO COM BETONEIRA 600 L. AF_05/2021</v>
      </c>
      <c r="C71" s="394"/>
      <c r="D71" s="394"/>
      <c r="E71" s="394"/>
      <c r="F71" s="394"/>
      <c r="G71" s="394"/>
      <c r="H71" s="394"/>
      <c r="I71" s="394"/>
      <c r="J71" s="394"/>
      <c r="K71" s="394"/>
      <c r="L71" s="142">
        <f>SUM(L74:L87)</f>
        <v>9.4600000000000009</v>
      </c>
      <c r="M71" s="142" t="s">
        <v>495</v>
      </c>
    </row>
    <row r="72" spans="1:13" hidden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</row>
    <row r="73" spans="1:13" hidden="1">
      <c r="A73" s="37"/>
      <c r="B73" s="393" t="s">
        <v>637</v>
      </c>
      <c r="C73" s="393"/>
      <c r="D73" s="37"/>
      <c r="E73" s="37" t="s">
        <v>647</v>
      </c>
      <c r="F73" s="37" t="s">
        <v>648</v>
      </c>
      <c r="G73" s="37"/>
      <c r="H73" s="37"/>
      <c r="I73" s="37"/>
      <c r="J73" s="37"/>
      <c r="K73" s="37"/>
      <c r="L73" s="37"/>
      <c r="M73" s="37"/>
    </row>
    <row r="74" spans="1:13" hidden="1">
      <c r="A74" s="37"/>
      <c r="B74" s="393" t="s">
        <v>625</v>
      </c>
      <c r="C74" s="393"/>
      <c r="D74" s="37">
        <v>1</v>
      </c>
      <c r="E74" s="37">
        <v>7.45</v>
      </c>
      <c r="F74" s="37">
        <v>1.5</v>
      </c>
      <c r="G74" s="37">
        <v>0.2</v>
      </c>
      <c r="H74" s="37"/>
      <c r="I74" s="37">
        <v>0.4</v>
      </c>
      <c r="J74" s="37"/>
      <c r="K74" s="152">
        <f>ROUND((E74+F74)*G74*I74,2)</f>
        <v>0.72</v>
      </c>
      <c r="L74" s="204">
        <f>K74*D74</f>
        <v>0.72</v>
      </c>
      <c r="M74" s="37"/>
    </row>
    <row r="75" spans="1:13" hidden="1">
      <c r="A75" s="37"/>
      <c r="B75" s="393" t="s">
        <v>626</v>
      </c>
      <c r="C75" s="393"/>
      <c r="D75" s="37">
        <v>1</v>
      </c>
      <c r="E75" s="37">
        <v>5.25</v>
      </c>
      <c r="F75" s="37">
        <v>1.5</v>
      </c>
      <c r="G75" s="37">
        <v>0.2</v>
      </c>
      <c r="H75" s="37"/>
      <c r="I75" s="37">
        <v>0.3</v>
      </c>
      <c r="J75" s="37"/>
      <c r="K75" s="152">
        <f t="shared" ref="K75:K85" si="8">ROUND((E75+F75)*G75*I75,2)</f>
        <v>0.41</v>
      </c>
      <c r="L75" s="204">
        <f t="shared" ref="L75:L85" si="9">K75*D75</f>
        <v>0.41</v>
      </c>
      <c r="M75" s="37"/>
    </row>
    <row r="76" spans="1:13" hidden="1">
      <c r="A76" s="37"/>
      <c r="B76" s="393" t="s">
        <v>627</v>
      </c>
      <c r="C76" s="393"/>
      <c r="D76" s="37">
        <v>1</v>
      </c>
      <c r="E76" s="37">
        <v>5.25</v>
      </c>
      <c r="F76" s="37">
        <v>1.5</v>
      </c>
      <c r="G76" s="37">
        <v>0.2</v>
      </c>
      <c r="H76" s="37"/>
      <c r="I76" s="37">
        <v>0.5</v>
      </c>
      <c r="J76" s="37"/>
      <c r="K76" s="152">
        <f t="shared" si="8"/>
        <v>0.68</v>
      </c>
      <c r="L76" s="204">
        <f t="shared" si="9"/>
        <v>0.68</v>
      </c>
      <c r="M76" s="37"/>
    </row>
    <row r="77" spans="1:13" hidden="1">
      <c r="A77" s="37"/>
      <c r="B77" s="393" t="s">
        <v>628</v>
      </c>
      <c r="C77" s="393"/>
      <c r="D77" s="37">
        <v>1</v>
      </c>
      <c r="E77" s="37">
        <v>5.25</v>
      </c>
      <c r="F77" s="37">
        <v>1.5</v>
      </c>
      <c r="G77" s="37">
        <v>0.25</v>
      </c>
      <c r="H77" s="37"/>
      <c r="I77" s="37">
        <v>0.4</v>
      </c>
      <c r="J77" s="37"/>
      <c r="K77" s="152">
        <f t="shared" si="8"/>
        <v>0.68</v>
      </c>
      <c r="L77" s="204">
        <f t="shared" si="9"/>
        <v>0.68</v>
      </c>
      <c r="M77" s="37"/>
    </row>
    <row r="78" spans="1:13" hidden="1">
      <c r="A78" s="37"/>
      <c r="B78" s="393" t="s">
        <v>629</v>
      </c>
      <c r="C78" s="393"/>
      <c r="D78" s="37">
        <v>1</v>
      </c>
      <c r="E78" s="37">
        <v>5.25</v>
      </c>
      <c r="F78" s="37">
        <v>1.5</v>
      </c>
      <c r="G78" s="37">
        <v>0.25</v>
      </c>
      <c r="H78" s="37"/>
      <c r="I78" s="37">
        <v>0.4</v>
      </c>
      <c r="J78" s="37"/>
      <c r="K78" s="152">
        <f t="shared" si="8"/>
        <v>0.68</v>
      </c>
      <c r="L78" s="204">
        <f t="shared" si="9"/>
        <v>0.68</v>
      </c>
      <c r="M78" s="37"/>
    </row>
    <row r="79" spans="1:13" hidden="1">
      <c r="A79" s="37"/>
      <c r="B79" s="393" t="s">
        <v>630</v>
      </c>
      <c r="C79" s="393"/>
      <c r="D79" s="37">
        <v>1</v>
      </c>
      <c r="E79" s="37">
        <v>7.45</v>
      </c>
      <c r="F79" s="37">
        <v>1.5</v>
      </c>
      <c r="G79" s="37">
        <v>0.2</v>
      </c>
      <c r="H79" s="37"/>
      <c r="I79" s="37">
        <v>0.45</v>
      </c>
      <c r="J79" s="37"/>
      <c r="K79" s="152">
        <f t="shared" si="8"/>
        <v>0.81</v>
      </c>
      <c r="L79" s="204">
        <f t="shared" si="9"/>
        <v>0.81</v>
      </c>
      <c r="M79" s="37"/>
    </row>
    <row r="80" spans="1:13" hidden="1">
      <c r="A80" s="37"/>
      <c r="B80" s="393" t="s">
        <v>631</v>
      </c>
      <c r="C80" s="393"/>
      <c r="D80" s="37">
        <v>1</v>
      </c>
      <c r="E80" s="37">
        <v>5.25</v>
      </c>
      <c r="F80" s="37">
        <v>1.5</v>
      </c>
      <c r="G80" s="37">
        <v>0.2</v>
      </c>
      <c r="H80" s="37"/>
      <c r="I80" s="37">
        <v>0.4</v>
      </c>
      <c r="J80" s="37"/>
      <c r="K80" s="152">
        <f t="shared" si="8"/>
        <v>0.54</v>
      </c>
      <c r="L80" s="204">
        <f t="shared" si="9"/>
        <v>0.54</v>
      </c>
      <c r="M80" s="37"/>
    </row>
    <row r="81" spans="1:13" hidden="1">
      <c r="A81" s="37"/>
      <c r="B81" s="393" t="s">
        <v>632</v>
      </c>
      <c r="C81" s="393"/>
      <c r="D81" s="37">
        <v>1</v>
      </c>
      <c r="E81" s="37">
        <v>5.25</v>
      </c>
      <c r="F81" s="37">
        <v>1.5</v>
      </c>
      <c r="G81" s="37">
        <v>0.2</v>
      </c>
      <c r="H81" s="37"/>
      <c r="I81" s="37">
        <v>0.4</v>
      </c>
      <c r="J81" s="37"/>
      <c r="K81" s="152">
        <f t="shared" si="8"/>
        <v>0.54</v>
      </c>
      <c r="L81" s="204">
        <f t="shared" si="9"/>
        <v>0.54</v>
      </c>
      <c r="M81" s="37"/>
    </row>
    <row r="82" spans="1:13" hidden="1">
      <c r="A82" s="37"/>
      <c r="B82" s="393" t="s">
        <v>633</v>
      </c>
      <c r="C82" s="393"/>
      <c r="D82" s="37">
        <v>1</v>
      </c>
      <c r="E82" s="37">
        <v>4.45</v>
      </c>
      <c r="F82" s="37"/>
      <c r="G82" s="37">
        <v>0.2</v>
      </c>
      <c r="H82" s="37"/>
      <c r="I82" s="37">
        <v>0.4</v>
      </c>
      <c r="J82" s="37"/>
      <c r="K82" s="152">
        <f t="shared" si="8"/>
        <v>0.36</v>
      </c>
      <c r="L82" s="204">
        <f t="shared" si="9"/>
        <v>0.36</v>
      </c>
      <c r="M82" s="37"/>
    </row>
    <row r="83" spans="1:13" hidden="1">
      <c r="A83" s="37"/>
      <c r="B83" s="393" t="s">
        <v>634</v>
      </c>
      <c r="C83" s="393"/>
      <c r="D83" s="37">
        <v>1</v>
      </c>
      <c r="E83" s="37">
        <v>4.45</v>
      </c>
      <c r="F83" s="37"/>
      <c r="G83" s="37">
        <v>0.2</v>
      </c>
      <c r="H83" s="37"/>
      <c r="I83" s="37">
        <v>0.4</v>
      </c>
      <c r="J83" s="37"/>
      <c r="K83" s="152">
        <f t="shared" si="8"/>
        <v>0.36</v>
      </c>
      <c r="L83" s="204">
        <f t="shared" si="9"/>
        <v>0.36</v>
      </c>
      <c r="M83" s="37"/>
    </row>
    <row r="84" spans="1:13" hidden="1">
      <c r="A84" s="37"/>
      <c r="B84" s="393" t="s">
        <v>635</v>
      </c>
      <c r="C84" s="393"/>
      <c r="D84" s="37">
        <v>1</v>
      </c>
      <c r="E84" s="37">
        <v>4.45</v>
      </c>
      <c r="F84" s="37"/>
      <c r="G84" s="37">
        <v>0.2</v>
      </c>
      <c r="H84" s="37"/>
      <c r="I84" s="37">
        <v>0.4</v>
      </c>
      <c r="J84" s="37"/>
      <c r="K84" s="152">
        <f t="shared" si="8"/>
        <v>0.36</v>
      </c>
      <c r="L84" s="204">
        <f t="shared" si="9"/>
        <v>0.36</v>
      </c>
      <c r="M84" s="37"/>
    </row>
    <row r="85" spans="1:13" hidden="1">
      <c r="A85" s="37"/>
      <c r="B85" s="393" t="s">
        <v>636</v>
      </c>
      <c r="C85" s="393"/>
      <c r="D85" s="37">
        <v>1</v>
      </c>
      <c r="E85" s="37">
        <v>7.45</v>
      </c>
      <c r="F85" s="37">
        <v>1.5</v>
      </c>
      <c r="G85" s="37">
        <v>0.2</v>
      </c>
      <c r="H85" s="37"/>
      <c r="I85" s="37">
        <v>0.45</v>
      </c>
      <c r="J85" s="37"/>
      <c r="K85" s="152">
        <f t="shared" si="8"/>
        <v>0.81</v>
      </c>
      <c r="L85" s="204">
        <f t="shared" si="9"/>
        <v>0.81</v>
      </c>
      <c r="M85" s="37"/>
    </row>
    <row r="86" spans="1:13" hidden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152"/>
      <c r="L86" s="204"/>
      <c r="M86" s="37"/>
    </row>
    <row r="87" spans="1:13" hidden="1">
      <c r="A87" s="37"/>
      <c r="B87" s="393" t="s">
        <v>650</v>
      </c>
      <c r="C87" s="393"/>
      <c r="D87" s="37">
        <v>1</v>
      </c>
      <c r="E87" s="37">
        <v>41.8</v>
      </c>
      <c r="F87" s="37"/>
      <c r="G87" s="37">
        <v>0.3</v>
      </c>
      <c r="H87" s="37"/>
      <c r="I87" s="37">
        <v>0.2</v>
      </c>
      <c r="J87" s="37"/>
      <c r="K87" s="152">
        <f t="shared" ref="K87" si="10">ROUND((E87+F87)*G87*I87,2)</f>
        <v>2.5099999999999998</v>
      </c>
      <c r="L87" s="204">
        <f t="shared" ref="L87" si="11">K87*D87</f>
        <v>2.5099999999999998</v>
      </c>
      <c r="M87" s="37"/>
    </row>
    <row r="88" spans="1:13" hidden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152"/>
      <c r="L88" s="204"/>
      <c r="M88" s="37"/>
    </row>
    <row r="89" spans="1:13" hidden="1">
      <c r="A89" s="142" t="s">
        <v>20</v>
      </c>
      <c r="B89" s="394" t="str">
        <f>BM_15!B36</f>
        <v>LANÇAMENTO COM USO DE BALDES, ADENSAMENTO E ACABAMENTO DE CONCRETO EM ESTRUTURAS. AF_12/2015</v>
      </c>
      <c r="C89" s="394"/>
      <c r="D89" s="394"/>
      <c r="E89" s="394"/>
      <c r="F89" s="394"/>
      <c r="G89" s="394"/>
      <c r="H89" s="394"/>
      <c r="I89" s="394"/>
      <c r="J89" s="394"/>
      <c r="K89" s="394"/>
      <c r="L89" s="142">
        <f>SUM(L92:L105)</f>
        <v>9.4600000000000009</v>
      </c>
      <c r="M89" s="142" t="s">
        <v>495</v>
      </c>
    </row>
    <row r="90" spans="1:13" hidden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</row>
    <row r="91" spans="1:13" hidden="1">
      <c r="A91" s="37"/>
      <c r="B91" s="393" t="s">
        <v>637</v>
      </c>
      <c r="C91" s="393"/>
      <c r="D91" s="37"/>
      <c r="E91" s="37" t="s">
        <v>647</v>
      </c>
      <c r="F91" s="37" t="s">
        <v>648</v>
      </c>
      <c r="G91" s="37"/>
      <c r="H91" s="37"/>
      <c r="I91" s="37"/>
      <c r="J91" s="37"/>
      <c r="K91" s="37"/>
      <c r="L91" s="37"/>
      <c r="M91" s="37"/>
    </row>
    <row r="92" spans="1:13" hidden="1">
      <c r="A92" s="37"/>
      <c r="B92" s="393" t="s">
        <v>625</v>
      </c>
      <c r="C92" s="393"/>
      <c r="D92" s="37">
        <v>1</v>
      </c>
      <c r="E92" s="37">
        <v>7.45</v>
      </c>
      <c r="F92" s="37">
        <v>1.5</v>
      </c>
      <c r="G92" s="37">
        <v>0.2</v>
      </c>
      <c r="H92" s="37"/>
      <c r="I92" s="37">
        <v>0.4</v>
      </c>
      <c r="J92" s="37"/>
      <c r="K92" s="152">
        <f>ROUND((E92+F92)*G92*I92,2)</f>
        <v>0.72</v>
      </c>
      <c r="L92" s="204">
        <f>K92*D92</f>
        <v>0.72</v>
      </c>
      <c r="M92" s="37"/>
    </row>
    <row r="93" spans="1:13" hidden="1">
      <c r="A93" s="37"/>
      <c r="B93" s="393" t="s">
        <v>626</v>
      </c>
      <c r="C93" s="393"/>
      <c r="D93" s="37">
        <v>1</v>
      </c>
      <c r="E93" s="37">
        <v>5.25</v>
      </c>
      <c r="F93" s="37">
        <v>1.5</v>
      </c>
      <c r="G93" s="37">
        <v>0.2</v>
      </c>
      <c r="H93" s="37"/>
      <c r="I93" s="37">
        <v>0.3</v>
      </c>
      <c r="J93" s="37"/>
      <c r="K93" s="152">
        <f t="shared" ref="K93:K103" si="12">ROUND((E93+F93)*G93*I93,2)</f>
        <v>0.41</v>
      </c>
      <c r="L93" s="204">
        <f t="shared" ref="L93:L103" si="13">K93*D93</f>
        <v>0.41</v>
      </c>
      <c r="M93" s="37"/>
    </row>
    <row r="94" spans="1:13" hidden="1">
      <c r="A94" s="37"/>
      <c r="B94" s="393" t="s">
        <v>627</v>
      </c>
      <c r="C94" s="393"/>
      <c r="D94" s="37">
        <v>1</v>
      </c>
      <c r="E94" s="37">
        <v>5.25</v>
      </c>
      <c r="F94" s="37">
        <v>1.5</v>
      </c>
      <c r="G94" s="37">
        <v>0.2</v>
      </c>
      <c r="H94" s="37"/>
      <c r="I94" s="37">
        <v>0.5</v>
      </c>
      <c r="J94" s="37"/>
      <c r="K94" s="152">
        <f t="shared" si="12"/>
        <v>0.68</v>
      </c>
      <c r="L94" s="204">
        <f t="shared" si="13"/>
        <v>0.68</v>
      </c>
      <c r="M94" s="37"/>
    </row>
    <row r="95" spans="1:13" hidden="1">
      <c r="A95" s="37"/>
      <c r="B95" s="393" t="s">
        <v>628</v>
      </c>
      <c r="C95" s="393"/>
      <c r="D95" s="37">
        <v>1</v>
      </c>
      <c r="E95" s="37">
        <v>5.25</v>
      </c>
      <c r="F95" s="37">
        <v>1.5</v>
      </c>
      <c r="G95" s="37">
        <v>0.25</v>
      </c>
      <c r="H95" s="37"/>
      <c r="I95" s="37">
        <v>0.4</v>
      </c>
      <c r="J95" s="37"/>
      <c r="K95" s="152">
        <f t="shared" si="12"/>
        <v>0.68</v>
      </c>
      <c r="L95" s="204">
        <f t="shared" si="13"/>
        <v>0.68</v>
      </c>
      <c r="M95" s="37"/>
    </row>
    <row r="96" spans="1:13" hidden="1">
      <c r="A96" s="37"/>
      <c r="B96" s="393" t="s">
        <v>629</v>
      </c>
      <c r="C96" s="393"/>
      <c r="D96" s="37">
        <v>1</v>
      </c>
      <c r="E96" s="37">
        <v>5.25</v>
      </c>
      <c r="F96" s="37">
        <v>1.5</v>
      </c>
      <c r="G96" s="37">
        <v>0.25</v>
      </c>
      <c r="H96" s="37"/>
      <c r="I96" s="37">
        <v>0.4</v>
      </c>
      <c r="J96" s="37"/>
      <c r="K96" s="152">
        <f t="shared" si="12"/>
        <v>0.68</v>
      </c>
      <c r="L96" s="204">
        <f t="shared" si="13"/>
        <v>0.68</v>
      </c>
      <c r="M96" s="37"/>
    </row>
    <row r="97" spans="1:13" hidden="1">
      <c r="A97" s="37"/>
      <c r="B97" s="393" t="s">
        <v>630</v>
      </c>
      <c r="C97" s="393"/>
      <c r="D97" s="37">
        <v>1</v>
      </c>
      <c r="E97" s="37">
        <v>7.45</v>
      </c>
      <c r="F97" s="37">
        <v>1.5</v>
      </c>
      <c r="G97" s="37">
        <v>0.2</v>
      </c>
      <c r="H97" s="37"/>
      <c r="I97" s="37">
        <v>0.45</v>
      </c>
      <c r="J97" s="37"/>
      <c r="K97" s="152">
        <f t="shared" si="12"/>
        <v>0.81</v>
      </c>
      <c r="L97" s="204">
        <f t="shared" si="13"/>
        <v>0.81</v>
      </c>
      <c r="M97" s="37"/>
    </row>
    <row r="98" spans="1:13" hidden="1">
      <c r="A98" s="37"/>
      <c r="B98" s="393" t="s">
        <v>631</v>
      </c>
      <c r="C98" s="393"/>
      <c r="D98" s="37">
        <v>1</v>
      </c>
      <c r="E98" s="37">
        <v>5.25</v>
      </c>
      <c r="F98" s="37">
        <v>1.5</v>
      </c>
      <c r="G98" s="37">
        <v>0.2</v>
      </c>
      <c r="H98" s="37"/>
      <c r="I98" s="37">
        <v>0.4</v>
      </c>
      <c r="J98" s="37"/>
      <c r="K98" s="152">
        <f t="shared" si="12"/>
        <v>0.54</v>
      </c>
      <c r="L98" s="204">
        <f t="shared" si="13"/>
        <v>0.54</v>
      </c>
      <c r="M98" s="37"/>
    </row>
    <row r="99" spans="1:13" hidden="1">
      <c r="A99" s="37"/>
      <c r="B99" s="393" t="s">
        <v>632</v>
      </c>
      <c r="C99" s="393"/>
      <c r="D99" s="37">
        <v>1</v>
      </c>
      <c r="E99" s="37">
        <v>5.25</v>
      </c>
      <c r="F99" s="37">
        <v>1.5</v>
      </c>
      <c r="G99" s="37">
        <v>0.2</v>
      </c>
      <c r="H99" s="37"/>
      <c r="I99" s="37">
        <v>0.4</v>
      </c>
      <c r="J99" s="37"/>
      <c r="K99" s="152">
        <f t="shared" si="12"/>
        <v>0.54</v>
      </c>
      <c r="L99" s="204">
        <f t="shared" si="13"/>
        <v>0.54</v>
      </c>
      <c r="M99" s="37"/>
    </row>
    <row r="100" spans="1:13" hidden="1">
      <c r="A100" s="37"/>
      <c r="B100" s="393" t="s">
        <v>633</v>
      </c>
      <c r="C100" s="393"/>
      <c r="D100" s="37">
        <v>1</v>
      </c>
      <c r="E100" s="37">
        <v>4.45</v>
      </c>
      <c r="F100" s="37"/>
      <c r="G100" s="37">
        <v>0.2</v>
      </c>
      <c r="H100" s="37"/>
      <c r="I100" s="37">
        <v>0.4</v>
      </c>
      <c r="J100" s="37"/>
      <c r="K100" s="152">
        <f t="shared" si="12"/>
        <v>0.36</v>
      </c>
      <c r="L100" s="204">
        <f t="shared" si="13"/>
        <v>0.36</v>
      </c>
      <c r="M100" s="37"/>
    </row>
    <row r="101" spans="1:13" hidden="1">
      <c r="A101" s="37"/>
      <c r="B101" s="393" t="s">
        <v>634</v>
      </c>
      <c r="C101" s="393"/>
      <c r="D101" s="37">
        <v>1</v>
      </c>
      <c r="E101" s="37">
        <v>4.45</v>
      </c>
      <c r="F101" s="37"/>
      <c r="G101" s="37">
        <v>0.2</v>
      </c>
      <c r="H101" s="37"/>
      <c r="I101" s="37">
        <v>0.4</v>
      </c>
      <c r="J101" s="37"/>
      <c r="K101" s="152">
        <f t="shared" si="12"/>
        <v>0.36</v>
      </c>
      <c r="L101" s="204">
        <f t="shared" si="13"/>
        <v>0.36</v>
      </c>
      <c r="M101" s="37"/>
    </row>
    <row r="102" spans="1:13" hidden="1">
      <c r="A102" s="37"/>
      <c r="B102" s="393" t="s">
        <v>635</v>
      </c>
      <c r="C102" s="393"/>
      <c r="D102" s="37">
        <v>1</v>
      </c>
      <c r="E102" s="37">
        <v>4.45</v>
      </c>
      <c r="F102" s="37"/>
      <c r="G102" s="37">
        <v>0.2</v>
      </c>
      <c r="H102" s="37"/>
      <c r="I102" s="37">
        <v>0.4</v>
      </c>
      <c r="J102" s="37"/>
      <c r="K102" s="152">
        <f t="shared" si="12"/>
        <v>0.36</v>
      </c>
      <c r="L102" s="204">
        <f t="shared" si="13"/>
        <v>0.36</v>
      </c>
      <c r="M102" s="37"/>
    </row>
    <row r="103" spans="1:13" hidden="1">
      <c r="A103" s="37"/>
      <c r="B103" s="393" t="s">
        <v>636</v>
      </c>
      <c r="C103" s="393"/>
      <c r="D103" s="37">
        <v>1</v>
      </c>
      <c r="E103" s="37">
        <v>7.45</v>
      </c>
      <c r="F103" s="37">
        <v>1.5</v>
      </c>
      <c r="G103" s="37">
        <v>0.2</v>
      </c>
      <c r="H103" s="37"/>
      <c r="I103" s="37">
        <v>0.45</v>
      </c>
      <c r="J103" s="37"/>
      <c r="K103" s="152">
        <f t="shared" si="12"/>
        <v>0.81</v>
      </c>
      <c r="L103" s="204">
        <f t="shared" si="13"/>
        <v>0.81</v>
      </c>
      <c r="M103" s="37"/>
    </row>
    <row r="104" spans="1:13" hidden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152"/>
      <c r="L104" s="204"/>
      <c r="M104" s="37"/>
    </row>
    <row r="105" spans="1:13" hidden="1">
      <c r="A105" s="37"/>
      <c r="B105" s="393" t="s">
        <v>650</v>
      </c>
      <c r="C105" s="393"/>
      <c r="D105" s="37">
        <v>1</v>
      </c>
      <c r="E105" s="37">
        <v>41.8</v>
      </c>
      <c r="F105" s="37"/>
      <c r="G105" s="37">
        <v>0.3</v>
      </c>
      <c r="H105" s="37"/>
      <c r="I105" s="37">
        <v>0.2</v>
      </c>
      <c r="J105" s="37"/>
      <c r="K105" s="152">
        <f t="shared" ref="K105" si="14">ROUND((E105+F105)*G105*I105,2)</f>
        <v>2.5099999999999998</v>
      </c>
      <c r="L105" s="204">
        <f t="shared" ref="L105" si="15">K105*D105</f>
        <v>2.5099999999999998</v>
      </c>
      <c r="M105" s="37"/>
    </row>
    <row r="106" spans="1:13" hidden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</row>
    <row r="107" spans="1:13" hidden="1">
      <c r="A107" s="142" t="s">
        <v>27</v>
      </c>
      <c r="B107" s="394" t="str">
        <f>BM_15!B37</f>
        <v>Forma plana para fundações, em tábua de pinho, 07 usos.</v>
      </c>
      <c r="C107" s="394"/>
      <c r="D107" s="394"/>
      <c r="E107" s="394"/>
      <c r="F107" s="394"/>
      <c r="G107" s="394"/>
      <c r="H107" s="394"/>
      <c r="I107" s="394"/>
      <c r="J107" s="394"/>
      <c r="K107" s="394"/>
      <c r="L107" s="142">
        <f>SUM(L109:L117)</f>
        <v>9.4</v>
      </c>
      <c r="M107" s="142" t="s">
        <v>429</v>
      </c>
    </row>
    <row r="108" spans="1:13" hidden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</row>
    <row r="109" spans="1:13" hidden="1">
      <c r="A109" s="37"/>
      <c r="B109" s="393" t="s">
        <v>638</v>
      </c>
      <c r="C109" s="393"/>
      <c r="D109" s="37">
        <v>1</v>
      </c>
      <c r="E109" s="37">
        <f>0.6+0.6+0.85+0.85</f>
        <v>2.9</v>
      </c>
      <c r="F109" s="37"/>
      <c r="G109" s="37">
        <v>0.25</v>
      </c>
      <c r="H109" s="37"/>
      <c r="I109" s="37"/>
      <c r="J109" s="37"/>
      <c r="K109" s="37">
        <f>E109*G109</f>
        <v>0.72499999999999998</v>
      </c>
      <c r="L109" s="37">
        <f>K109*D109</f>
        <v>0.72499999999999998</v>
      </c>
      <c r="M109" s="37"/>
    </row>
    <row r="110" spans="1:13" hidden="1">
      <c r="A110" s="37"/>
      <c r="B110" s="393" t="s">
        <v>639</v>
      </c>
      <c r="C110" s="393"/>
      <c r="D110" s="37">
        <v>1</v>
      </c>
      <c r="E110" s="37">
        <f>0.9+0.9+1+1</f>
        <v>3.8</v>
      </c>
      <c r="F110" s="37"/>
      <c r="G110" s="37">
        <v>0.25</v>
      </c>
      <c r="H110" s="37"/>
      <c r="I110" s="37"/>
      <c r="J110" s="37"/>
      <c r="K110" s="37">
        <f t="shared" ref="K110:K117" si="16">E110*G110</f>
        <v>0.95</v>
      </c>
      <c r="L110" s="37">
        <f t="shared" ref="L110:L117" si="17">K110*D110</f>
        <v>0.95</v>
      </c>
      <c r="M110" s="37"/>
    </row>
    <row r="111" spans="1:13" hidden="1">
      <c r="A111" s="37"/>
      <c r="B111" s="393" t="s">
        <v>640</v>
      </c>
      <c r="C111" s="393"/>
      <c r="D111" s="37">
        <v>1</v>
      </c>
      <c r="E111" s="37">
        <f>1.2+1.2+0.9+0.9</f>
        <v>4.2</v>
      </c>
      <c r="F111" s="37"/>
      <c r="G111" s="37">
        <v>0.25</v>
      </c>
      <c r="H111" s="37"/>
      <c r="I111" s="37"/>
      <c r="J111" s="37"/>
      <c r="K111" s="37">
        <f t="shared" si="16"/>
        <v>1.05</v>
      </c>
      <c r="L111" s="37">
        <f t="shared" si="17"/>
        <v>1.05</v>
      </c>
      <c r="M111" s="37"/>
    </row>
    <row r="112" spans="1:13" hidden="1">
      <c r="A112" s="37"/>
      <c r="B112" s="393" t="s">
        <v>641</v>
      </c>
      <c r="C112" s="393"/>
      <c r="D112" s="37">
        <v>1</v>
      </c>
      <c r="E112" s="37">
        <f>1.15+1.15+1+1</f>
        <v>4.3</v>
      </c>
      <c r="F112" s="37"/>
      <c r="G112" s="37">
        <v>0.25</v>
      </c>
      <c r="H112" s="37"/>
      <c r="I112" s="37"/>
      <c r="J112" s="37"/>
      <c r="K112" s="37">
        <f t="shared" si="16"/>
        <v>1.075</v>
      </c>
      <c r="L112" s="37">
        <f t="shared" si="17"/>
        <v>1.075</v>
      </c>
      <c r="M112" s="37"/>
    </row>
    <row r="113" spans="1:13" hidden="1">
      <c r="A113" s="37"/>
      <c r="B113" s="393" t="s">
        <v>642</v>
      </c>
      <c r="C113" s="393"/>
      <c r="D113" s="37">
        <v>1</v>
      </c>
      <c r="E113" s="37">
        <f>1.1+1.1+1.25+1.25</f>
        <v>4.7</v>
      </c>
      <c r="F113" s="37"/>
      <c r="G113" s="37">
        <v>0.25</v>
      </c>
      <c r="H113" s="37"/>
      <c r="I113" s="37"/>
      <c r="J113" s="37"/>
      <c r="K113" s="37">
        <f t="shared" si="16"/>
        <v>1.175</v>
      </c>
      <c r="L113" s="37">
        <f t="shared" si="17"/>
        <v>1.175</v>
      </c>
      <c r="M113" s="37"/>
    </row>
    <row r="114" spans="1:13" hidden="1">
      <c r="A114" s="37"/>
      <c r="B114" s="393" t="s">
        <v>643</v>
      </c>
      <c r="C114" s="393"/>
      <c r="D114" s="37">
        <v>1</v>
      </c>
      <c r="E114" s="37">
        <f>0.6+0.6+0.85+0.85</f>
        <v>2.9</v>
      </c>
      <c r="F114" s="37"/>
      <c r="G114" s="37">
        <v>0.25</v>
      </c>
      <c r="H114" s="37"/>
      <c r="I114" s="37"/>
      <c r="J114" s="37"/>
      <c r="K114" s="37">
        <f t="shared" si="16"/>
        <v>0.72499999999999998</v>
      </c>
      <c r="L114" s="37">
        <f t="shared" si="17"/>
        <v>0.72499999999999998</v>
      </c>
      <c r="M114" s="37"/>
    </row>
    <row r="115" spans="1:13" hidden="1">
      <c r="A115" s="37"/>
      <c r="B115" s="393" t="s">
        <v>644</v>
      </c>
      <c r="C115" s="393"/>
      <c r="D115" s="37">
        <v>1</v>
      </c>
      <c r="E115" s="37">
        <f>1.5+1.5+1.3+1.3</f>
        <v>5.6</v>
      </c>
      <c r="F115" s="37"/>
      <c r="G115" s="37">
        <v>0.25</v>
      </c>
      <c r="H115" s="37"/>
      <c r="I115" s="37"/>
      <c r="J115" s="37"/>
      <c r="K115" s="37">
        <f t="shared" si="16"/>
        <v>1.4</v>
      </c>
      <c r="L115" s="37">
        <f t="shared" si="17"/>
        <v>1.4</v>
      </c>
      <c r="M115" s="37"/>
    </row>
    <row r="116" spans="1:13" hidden="1">
      <c r="A116" s="37"/>
      <c r="B116" s="393" t="s">
        <v>645</v>
      </c>
      <c r="C116" s="393"/>
      <c r="D116" s="37">
        <v>1</v>
      </c>
      <c r="E116" s="37">
        <f>1.15+1.15+1.35+1.35</f>
        <v>5</v>
      </c>
      <c r="F116" s="37"/>
      <c r="G116" s="37">
        <v>0.25</v>
      </c>
      <c r="H116" s="37"/>
      <c r="I116" s="37"/>
      <c r="J116" s="37"/>
      <c r="K116" s="37">
        <f t="shared" si="16"/>
        <v>1.25</v>
      </c>
      <c r="L116" s="37">
        <f t="shared" si="17"/>
        <v>1.25</v>
      </c>
      <c r="M116" s="37"/>
    </row>
    <row r="117" spans="1:13" hidden="1">
      <c r="A117" s="37"/>
      <c r="B117" s="393" t="s">
        <v>646</v>
      </c>
      <c r="C117" s="393"/>
      <c r="D117" s="37">
        <v>1</v>
      </c>
      <c r="E117" s="37">
        <f>1.2+1.2+0.9+0.9</f>
        <v>4.2</v>
      </c>
      <c r="F117" s="37"/>
      <c r="G117" s="37">
        <v>0.25</v>
      </c>
      <c r="H117" s="37"/>
      <c r="I117" s="37"/>
      <c r="J117" s="37"/>
      <c r="K117" s="37">
        <f t="shared" si="16"/>
        <v>1.05</v>
      </c>
      <c r="L117" s="37">
        <f t="shared" si="17"/>
        <v>1.05</v>
      </c>
      <c r="M117" s="37"/>
    </row>
    <row r="118" spans="1:13" hidden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</row>
    <row r="119" spans="1:13" hidden="1">
      <c r="A119" s="142" t="s">
        <v>28</v>
      </c>
      <c r="B119" s="394" t="str">
        <f>BM_15!B38</f>
        <v>Forma plana para estruturas, em compensado plastificado de 12mm, 07 usos.</v>
      </c>
      <c r="C119" s="394"/>
      <c r="D119" s="394"/>
      <c r="E119" s="394"/>
      <c r="F119" s="394"/>
      <c r="G119" s="394"/>
      <c r="H119" s="394"/>
      <c r="I119" s="394"/>
      <c r="J119" s="394"/>
      <c r="K119" s="394"/>
      <c r="L119" s="142">
        <f>SUM(L122:L135)</f>
        <v>125.06</v>
      </c>
      <c r="M119" s="142" t="s">
        <v>513</v>
      </c>
    </row>
    <row r="120" spans="1:13" hidden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</row>
    <row r="121" spans="1:13" hidden="1">
      <c r="A121" s="37"/>
      <c r="B121" s="393" t="s">
        <v>637</v>
      </c>
      <c r="C121" s="393"/>
      <c r="D121" s="37"/>
      <c r="E121" s="37" t="s">
        <v>647</v>
      </c>
      <c r="F121" s="37" t="s">
        <v>648</v>
      </c>
      <c r="G121" s="37"/>
      <c r="H121" s="37"/>
      <c r="I121" s="37"/>
      <c r="J121" s="37"/>
      <c r="K121" s="37"/>
      <c r="L121" s="37"/>
      <c r="M121" s="37"/>
    </row>
    <row r="122" spans="1:13" hidden="1">
      <c r="A122" s="37"/>
      <c r="B122" s="393" t="s">
        <v>625</v>
      </c>
      <c r="C122" s="393"/>
      <c r="D122" s="37">
        <v>1</v>
      </c>
      <c r="E122" s="37">
        <v>7.45</v>
      </c>
      <c r="F122" s="37">
        <v>1.5</v>
      </c>
      <c r="G122" s="37">
        <f>0.2+0.2+0.4+0.4</f>
        <v>1.2000000000000002</v>
      </c>
      <c r="H122" s="37"/>
      <c r="I122" s="37"/>
      <c r="J122" s="37"/>
      <c r="K122" s="146">
        <f>(E122+F122)*G122</f>
        <v>10.74</v>
      </c>
      <c r="L122" s="146">
        <f>K122*D122</f>
        <v>10.74</v>
      </c>
      <c r="M122" s="37"/>
    </row>
    <row r="123" spans="1:13" hidden="1">
      <c r="A123" s="37"/>
      <c r="B123" s="393" t="s">
        <v>626</v>
      </c>
      <c r="C123" s="393"/>
      <c r="D123" s="37">
        <v>1</v>
      </c>
      <c r="E123" s="37">
        <v>5.25</v>
      </c>
      <c r="F123" s="37">
        <v>1.5</v>
      </c>
      <c r="G123" s="37">
        <f>0.2+0.2+0.3+0.3</f>
        <v>1</v>
      </c>
      <c r="H123" s="37"/>
      <c r="I123" s="37"/>
      <c r="J123" s="37"/>
      <c r="K123" s="146">
        <f t="shared" ref="K123:K133" si="18">(E123+F123)*G123</f>
        <v>6.75</v>
      </c>
      <c r="L123" s="146">
        <f t="shared" ref="L123:L133" si="19">K123*D123</f>
        <v>6.75</v>
      </c>
      <c r="M123" s="37"/>
    </row>
    <row r="124" spans="1:13" hidden="1">
      <c r="A124" s="37"/>
      <c r="B124" s="393" t="s">
        <v>627</v>
      </c>
      <c r="C124" s="393"/>
      <c r="D124" s="37">
        <v>1</v>
      </c>
      <c r="E124" s="37">
        <v>5.25</v>
      </c>
      <c r="F124" s="37">
        <v>1.5</v>
      </c>
      <c r="G124" s="37">
        <f>0.2+0.2+0.5+0.5</f>
        <v>1.4</v>
      </c>
      <c r="H124" s="37"/>
      <c r="I124" s="37"/>
      <c r="J124" s="37"/>
      <c r="K124" s="146">
        <f t="shared" si="18"/>
        <v>9.4499999999999993</v>
      </c>
      <c r="L124" s="146">
        <f t="shared" si="19"/>
        <v>9.4499999999999993</v>
      </c>
      <c r="M124" s="37"/>
    </row>
    <row r="125" spans="1:13" hidden="1">
      <c r="A125" s="37"/>
      <c r="B125" s="393" t="s">
        <v>628</v>
      </c>
      <c r="C125" s="393"/>
      <c r="D125" s="37">
        <v>1</v>
      </c>
      <c r="E125" s="37">
        <v>5.25</v>
      </c>
      <c r="F125" s="37">
        <v>1.5</v>
      </c>
      <c r="G125" s="37">
        <f>0.25+0.25+0.4+0.4</f>
        <v>1.3</v>
      </c>
      <c r="H125" s="37"/>
      <c r="I125" s="37"/>
      <c r="J125" s="37"/>
      <c r="K125" s="146">
        <f t="shared" si="18"/>
        <v>8.7750000000000004</v>
      </c>
      <c r="L125" s="146">
        <f t="shared" si="19"/>
        <v>8.7750000000000004</v>
      </c>
      <c r="M125" s="37"/>
    </row>
    <row r="126" spans="1:13" hidden="1">
      <c r="A126" s="37"/>
      <c r="B126" s="393" t="s">
        <v>629</v>
      </c>
      <c r="C126" s="393"/>
      <c r="D126" s="37">
        <v>1</v>
      </c>
      <c r="E126" s="37">
        <v>5.25</v>
      </c>
      <c r="F126" s="37">
        <v>1.5</v>
      </c>
      <c r="G126" s="37">
        <f>0.25+0.25+0.4+0.4</f>
        <v>1.3</v>
      </c>
      <c r="H126" s="37"/>
      <c r="I126" s="37"/>
      <c r="J126" s="37"/>
      <c r="K126" s="146">
        <f t="shared" si="18"/>
        <v>8.7750000000000004</v>
      </c>
      <c r="L126" s="146">
        <f t="shared" si="19"/>
        <v>8.7750000000000004</v>
      </c>
      <c r="M126" s="37"/>
    </row>
    <row r="127" spans="1:13" hidden="1">
      <c r="A127" s="37"/>
      <c r="B127" s="393" t="s">
        <v>630</v>
      </c>
      <c r="C127" s="393"/>
      <c r="D127" s="37">
        <v>1</v>
      </c>
      <c r="E127" s="37">
        <v>7.45</v>
      </c>
      <c r="F127" s="37">
        <v>1.5</v>
      </c>
      <c r="G127" s="37">
        <f>0.2+0.2+0.45+0.45</f>
        <v>1.3</v>
      </c>
      <c r="H127" s="37"/>
      <c r="I127" s="37"/>
      <c r="J127" s="37"/>
      <c r="K127" s="146">
        <f t="shared" si="18"/>
        <v>11.635</v>
      </c>
      <c r="L127" s="146">
        <f t="shared" si="19"/>
        <v>11.635</v>
      </c>
      <c r="M127" s="37"/>
    </row>
    <row r="128" spans="1:13" hidden="1">
      <c r="A128" s="37"/>
      <c r="B128" s="393" t="s">
        <v>631</v>
      </c>
      <c r="C128" s="393"/>
      <c r="D128" s="37">
        <v>1</v>
      </c>
      <c r="E128" s="37">
        <v>5.25</v>
      </c>
      <c r="F128" s="37">
        <v>1.5</v>
      </c>
      <c r="G128" s="37">
        <f>0.2+0.2+0.4+0.4</f>
        <v>1.2000000000000002</v>
      </c>
      <c r="H128" s="37"/>
      <c r="I128" s="37"/>
      <c r="J128" s="37"/>
      <c r="K128" s="146">
        <f t="shared" si="18"/>
        <v>8.1000000000000014</v>
      </c>
      <c r="L128" s="146">
        <f t="shared" si="19"/>
        <v>8.1000000000000014</v>
      </c>
      <c r="M128" s="37"/>
    </row>
    <row r="129" spans="1:13" hidden="1">
      <c r="A129" s="37"/>
      <c r="B129" s="393" t="s">
        <v>632</v>
      </c>
      <c r="C129" s="393"/>
      <c r="D129" s="37">
        <v>1</v>
      </c>
      <c r="E129" s="37">
        <v>5.25</v>
      </c>
      <c r="F129" s="37">
        <v>1.5</v>
      </c>
      <c r="G129" s="37">
        <f>0.2+0.2+0.4+0.4</f>
        <v>1.2000000000000002</v>
      </c>
      <c r="H129" s="37"/>
      <c r="I129" s="37"/>
      <c r="J129" s="37"/>
      <c r="K129" s="146">
        <f t="shared" si="18"/>
        <v>8.1000000000000014</v>
      </c>
      <c r="L129" s="146">
        <f t="shared" si="19"/>
        <v>8.1000000000000014</v>
      </c>
      <c r="M129" s="37"/>
    </row>
    <row r="130" spans="1:13" hidden="1">
      <c r="A130" s="37"/>
      <c r="B130" s="393" t="s">
        <v>633</v>
      </c>
      <c r="C130" s="393"/>
      <c r="D130" s="37">
        <v>1</v>
      </c>
      <c r="E130" s="37">
        <v>4.45</v>
      </c>
      <c r="F130" s="37"/>
      <c r="G130" s="37">
        <f>0.2+0.2+0.4+0.4</f>
        <v>1.2000000000000002</v>
      </c>
      <c r="H130" s="37"/>
      <c r="I130" s="37"/>
      <c r="J130" s="37"/>
      <c r="K130" s="146">
        <f t="shared" si="18"/>
        <v>5.3400000000000007</v>
      </c>
      <c r="L130" s="146">
        <f t="shared" si="19"/>
        <v>5.3400000000000007</v>
      </c>
      <c r="M130" s="37"/>
    </row>
    <row r="131" spans="1:13" hidden="1">
      <c r="A131" s="37"/>
      <c r="B131" s="393" t="s">
        <v>634</v>
      </c>
      <c r="C131" s="393"/>
      <c r="D131" s="37">
        <v>1</v>
      </c>
      <c r="E131" s="37">
        <v>4.45</v>
      </c>
      <c r="F131" s="37"/>
      <c r="G131" s="37">
        <f t="shared" ref="G131:G132" si="20">0.2+0.2+0.4+0.4</f>
        <v>1.2000000000000002</v>
      </c>
      <c r="H131" s="37"/>
      <c r="I131" s="37"/>
      <c r="J131" s="37"/>
      <c r="K131" s="146">
        <f t="shared" si="18"/>
        <v>5.3400000000000007</v>
      </c>
      <c r="L131" s="146">
        <f t="shared" si="19"/>
        <v>5.3400000000000007</v>
      </c>
      <c r="M131" s="37"/>
    </row>
    <row r="132" spans="1:13" hidden="1">
      <c r="A132" s="37"/>
      <c r="B132" s="393" t="s">
        <v>635</v>
      </c>
      <c r="C132" s="393"/>
      <c r="D132" s="37">
        <v>1</v>
      </c>
      <c r="E132" s="37">
        <v>4.45</v>
      </c>
      <c r="F132" s="37"/>
      <c r="G132" s="37">
        <f t="shared" si="20"/>
        <v>1.2000000000000002</v>
      </c>
      <c r="H132" s="37"/>
      <c r="I132" s="37"/>
      <c r="J132" s="37"/>
      <c r="K132" s="146">
        <f t="shared" si="18"/>
        <v>5.3400000000000007</v>
      </c>
      <c r="L132" s="146">
        <f t="shared" si="19"/>
        <v>5.3400000000000007</v>
      </c>
      <c r="M132" s="37"/>
    </row>
    <row r="133" spans="1:13" hidden="1">
      <c r="A133" s="37"/>
      <c r="B133" s="393" t="s">
        <v>636</v>
      </c>
      <c r="C133" s="393"/>
      <c r="D133" s="37">
        <v>1</v>
      </c>
      <c r="E133" s="37">
        <v>7.45</v>
      </c>
      <c r="F133" s="37">
        <v>1.5</v>
      </c>
      <c r="G133" s="37">
        <f>0.2+0.2+0.45+0.45</f>
        <v>1.3</v>
      </c>
      <c r="H133" s="37"/>
      <c r="I133" s="37"/>
      <c r="J133" s="37"/>
      <c r="K133" s="146">
        <f t="shared" si="18"/>
        <v>11.635</v>
      </c>
      <c r="L133" s="146">
        <f t="shared" si="19"/>
        <v>11.635</v>
      </c>
      <c r="M133" s="37"/>
    </row>
    <row r="134" spans="1:13" hidden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146"/>
      <c r="L134" s="146"/>
      <c r="M134" s="37"/>
    </row>
    <row r="135" spans="1:13" hidden="1">
      <c r="A135" s="37"/>
      <c r="B135" s="393" t="s">
        <v>650</v>
      </c>
      <c r="C135" s="393"/>
      <c r="D135" s="37">
        <v>1</v>
      </c>
      <c r="E135" s="37">
        <v>41.8</v>
      </c>
      <c r="F135" s="37"/>
      <c r="G135" s="37">
        <v>0.6</v>
      </c>
      <c r="H135" s="37"/>
      <c r="I135" s="37"/>
      <c r="J135" s="37"/>
      <c r="K135" s="146">
        <f t="shared" ref="K135" si="21">(E135+F135)*G135</f>
        <v>25.08</v>
      </c>
      <c r="L135" s="146">
        <f t="shared" ref="L135" si="22">K135*D135</f>
        <v>25.08</v>
      </c>
      <c r="M135" s="37"/>
    </row>
    <row r="136" spans="1:13" hidden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</row>
    <row r="137" spans="1:13" ht="22.15" hidden="1" customHeight="1">
      <c r="A137" s="142" t="str">
        <f>BM_15!A39</f>
        <v>2.9</v>
      </c>
      <c r="B137" s="394" t="str">
        <f>BM_15!B39</f>
        <v>ARMAÇÃO DE PILAR OU VIGA DE UMA ESTRUTURA CONVENCIONAL DE CONCRETO ARMADO EM UM EDIFÍCIO DE MÚLTIPLOS PAVIMENTOS UTILIZANDO AÇO CA-50 DE 12,5 MM - MONTAGEM. AF_12/2015</v>
      </c>
      <c r="C137" s="394"/>
      <c r="D137" s="394"/>
      <c r="E137" s="394"/>
      <c r="F137" s="394"/>
      <c r="G137" s="394"/>
      <c r="H137" s="394"/>
      <c r="I137" s="394"/>
      <c r="J137" s="394"/>
      <c r="K137" s="394"/>
      <c r="L137" s="142">
        <f>SUM(L140:L144)</f>
        <v>286.79999999999995</v>
      </c>
      <c r="M137" s="142" t="s">
        <v>601</v>
      </c>
    </row>
    <row r="138" spans="1:13" hidden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</row>
    <row r="139" spans="1:13" hidden="1">
      <c r="A139" s="37"/>
      <c r="B139" s="393" t="s">
        <v>637</v>
      </c>
      <c r="C139" s="393"/>
      <c r="D139" s="37"/>
      <c r="E139" s="37" t="s">
        <v>647</v>
      </c>
      <c r="F139" s="37" t="s">
        <v>648</v>
      </c>
      <c r="G139" s="37" t="s">
        <v>649</v>
      </c>
      <c r="H139" s="37"/>
      <c r="I139" s="37"/>
      <c r="J139" s="37"/>
      <c r="K139" s="37"/>
      <c r="L139" s="37"/>
      <c r="M139" s="37"/>
    </row>
    <row r="140" spans="1:13" hidden="1">
      <c r="A140" s="37"/>
      <c r="B140" s="393" t="s">
        <v>627</v>
      </c>
      <c r="C140" s="393"/>
      <c r="D140" s="37">
        <v>1</v>
      </c>
      <c r="E140" s="37">
        <v>5.25</v>
      </c>
      <c r="F140" s="37">
        <v>1.5</v>
      </c>
      <c r="G140" s="37">
        <v>8</v>
      </c>
      <c r="H140" s="37"/>
      <c r="I140" s="37"/>
      <c r="J140" s="37"/>
      <c r="K140" s="152">
        <f>ROUND((E140+F140)*G140,2)</f>
        <v>54</v>
      </c>
      <c r="L140" s="152">
        <f>ROUND(K140*1,2)</f>
        <v>54</v>
      </c>
      <c r="M140" s="37"/>
    </row>
    <row r="141" spans="1:13" hidden="1">
      <c r="A141" s="37"/>
      <c r="B141" s="393" t="s">
        <v>629</v>
      </c>
      <c r="C141" s="393"/>
      <c r="D141" s="37">
        <v>1</v>
      </c>
      <c r="E141" s="37">
        <v>5.25</v>
      </c>
      <c r="F141" s="37">
        <v>1.5</v>
      </c>
      <c r="G141" s="37">
        <v>8</v>
      </c>
      <c r="H141" s="37"/>
      <c r="I141" s="37"/>
      <c r="J141" s="37"/>
      <c r="K141" s="152">
        <f t="shared" ref="K141:K144" si="23">ROUND((E141+F141)*G141,2)</f>
        <v>54</v>
      </c>
      <c r="L141" s="152">
        <f t="shared" ref="L141:L144" si="24">ROUND(K141*1,2)</f>
        <v>54</v>
      </c>
      <c r="M141" s="37"/>
    </row>
    <row r="142" spans="1:13" hidden="1">
      <c r="A142" s="37"/>
      <c r="B142" s="393" t="s">
        <v>630</v>
      </c>
      <c r="C142" s="393"/>
      <c r="D142" s="37">
        <v>1</v>
      </c>
      <c r="E142" s="37">
        <v>7.45</v>
      </c>
      <c r="F142" s="37">
        <v>1.5</v>
      </c>
      <c r="G142" s="37">
        <v>8</v>
      </c>
      <c r="H142" s="37"/>
      <c r="I142" s="37"/>
      <c r="J142" s="37"/>
      <c r="K142" s="152">
        <f t="shared" si="23"/>
        <v>71.599999999999994</v>
      </c>
      <c r="L142" s="152">
        <f t="shared" si="24"/>
        <v>71.599999999999994</v>
      </c>
      <c r="M142" s="37"/>
    </row>
    <row r="143" spans="1:13" hidden="1">
      <c r="A143" s="37"/>
      <c r="B143" s="393" t="s">
        <v>635</v>
      </c>
      <c r="C143" s="393"/>
      <c r="D143" s="37">
        <v>1</v>
      </c>
      <c r="E143" s="37">
        <v>4.45</v>
      </c>
      <c r="F143" s="37"/>
      <c r="G143" s="37">
        <v>8</v>
      </c>
      <c r="H143" s="37"/>
      <c r="I143" s="37"/>
      <c r="J143" s="37"/>
      <c r="K143" s="152">
        <f t="shared" si="23"/>
        <v>35.6</v>
      </c>
      <c r="L143" s="152">
        <f t="shared" si="24"/>
        <v>35.6</v>
      </c>
      <c r="M143" s="37"/>
    </row>
    <row r="144" spans="1:13" hidden="1">
      <c r="A144" s="37"/>
      <c r="B144" s="393" t="s">
        <v>636</v>
      </c>
      <c r="C144" s="393"/>
      <c r="D144" s="37">
        <v>1</v>
      </c>
      <c r="E144" s="37">
        <v>7.45</v>
      </c>
      <c r="F144" s="37">
        <v>1.5</v>
      </c>
      <c r="G144" s="37">
        <v>8</v>
      </c>
      <c r="H144" s="37"/>
      <c r="I144" s="37"/>
      <c r="J144" s="37"/>
      <c r="K144" s="152">
        <f t="shared" si="23"/>
        <v>71.599999999999994</v>
      </c>
      <c r="L144" s="152">
        <f t="shared" si="24"/>
        <v>71.599999999999994</v>
      </c>
      <c r="M144" s="37"/>
    </row>
    <row r="145" spans="1:13" hidden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</row>
    <row r="146" spans="1:13" ht="21" hidden="1" customHeight="1">
      <c r="A146" s="142" t="s">
        <v>30</v>
      </c>
      <c r="B146" s="394" t="str">
        <f>BM_15!B40</f>
        <v>ARMAÇÃO DE PILAR OU VIGA DE UMA ESTRUTURA CONVENCIONAL DE CONCRETO ARMADO EM UM EDIFÍCIO DE MÚLTIPLOS PAVIMENTOS UTILIZANDO AÇO CA-50 DE 10,0 MM - MONTAGEM. AF_12/2015</v>
      </c>
      <c r="C146" s="394"/>
      <c r="D146" s="394"/>
      <c r="E146" s="394"/>
      <c r="F146" s="394"/>
      <c r="G146" s="394"/>
      <c r="H146" s="394"/>
      <c r="I146" s="394"/>
      <c r="J146" s="394"/>
      <c r="K146" s="394"/>
      <c r="L146" s="142">
        <f>SUM(L149:L157)</f>
        <v>269.19</v>
      </c>
      <c r="M146" s="142" t="s">
        <v>601</v>
      </c>
    </row>
    <row r="147" spans="1:13" hidden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</row>
    <row r="148" spans="1:13" hidden="1">
      <c r="A148" s="37"/>
      <c r="B148" s="393" t="s">
        <v>637</v>
      </c>
      <c r="C148" s="393"/>
      <c r="D148" s="37"/>
      <c r="E148" s="37" t="s">
        <v>647</v>
      </c>
      <c r="F148" s="37" t="s">
        <v>648</v>
      </c>
      <c r="G148" s="37" t="s">
        <v>649</v>
      </c>
      <c r="H148" s="37"/>
      <c r="I148" s="37"/>
      <c r="J148" s="37"/>
      <c r="K148" s="37"/>
      <c r="L148" s="37"/>
      <c r="M148" s="37"/>
    </row>
    <row r="149" spans="1:13" hidden="1">
      <c r="A149" s="37"/>
      <c r="B149" s="393" t="s">
        <v>625</v>
      </c>
      <c r="C149" s="393"/>
      <c r="D149" s="37">
        <v>1</v>
      </c>
      <c r="E149" s="37">
        <v>7.45</v>
      </c>
      <c r="F149" s="37">
        <v>1.5</v>
      </c>
      <c r="G149" s="37">
        <v>6</v>
      </c>
      <c r="H149" s="37"/>
      <c r="I149" s="37"/>
      <c r="J149" s="37"/>
      <c r="K149" s="152">
        <f>ROUND((E149+F149)*G149,2)</f>
        <v>53.7</v>
      </c>
      <c r="L149" s="152">
        <f>ROUND(K149*0.617,2)</f>
        <v>33.130000000000003</v>
      </c>
      <c r="M149" s="37"/>
    </row>
    <row r="150" spans="1:13" hidden="1">
      <c r="A150" s="37"/>
      <c r="B150" s="393" t="s">
        <v>626</v>
      </c>
      <c r="C150" s="393"/>
      <c r="D150" s="37">
        <v>1</v>
      </c>
      <c r="E150" s="37">
        <v>5.25</v>
      </c>
      <c r="F150" s="37">
        <v>1.5</v>
      </c>
      <c r="G150" s="37">
        <v>6</v>
      </c>
      <c r="H150" s="37"/>
      <c r="I150" s="37"/>
      <c r="J150" s="37"/>
      <c r="K150" s="152">
        <f t="shared" ref="K150:K155" si="25">ROUND((E150+F150)*G150,2)</f>
        <v>40.5</v>
      </c>
      <c r="L150" s="152">
        <f t="shared" ref="L150:L155" si="26">ROUND(K150*0.617,2)</f>
        <v>24.99</v>
      </c>
      <c r="M150" s="37"/>
    </row>
    <row r="151" spans="1:13" hidden="1">
      <c r="A151" s="37"/>
      <c r="B151" s="393" t="s">
        <v>628</v>
      </c>
      <c r="C151" s="393"/>
      <c r="D151" s="37">
        <v>1</v>
      </c>
      <c r="E151" s="37">
        <v>5.25</v>
      </c>
      <c r="F151" s="37">
        <v>1.5</v>
      </c>
      <c r="G151" s="37">
        <v>6</v>
      </c>
      <c r="H151" s="37"/>
      <c r="I151" s="37"/>
      <c r="J151" s="37"/>
      <c r="K151" s="152">
        <f t="shared" si="25"/>
        <v>40.5</v>
      </c>
      <c r="L151" s="152">
        <f t="shared" si="26"/>
        <v>24.99</v>
      </c>
      <c r="M151" s="37"/>
    </row>
    <row r="152" spans="1:13" hidden="1">
      <c r="A152" s="37"/>
      <c r="B152" s="393" t="s">
        <v>631</v>
      </c>
      <c r="C152" s="393"/>
      <c r="D152" s="37">
        <v>1</v>
      </c>
      <c r="E152" s="37">
        <v>5.25</v>
      </c>
      <c r="F152" s="37">
        <v>1.5</v>
      </c>
      <c r="G152" s="37">
        <v>6</v>
      </c>
      <c r="H152" s="37"/>
      <c r="I152" s="37"/>
      <c r="J152" s="37"/>
      <c r="K152" s="152">
        <f t="shared" si="25"/>
        <v>40.5</v>
      </c>
      <c r="L152" s="152">
        <f t="shared" si="26"/>
        <v>24.99</v>
      </c>
      <c r="M152" s="37"/>
    </row>
    <row r="153" spans="1:13" hidden="1">
      <c r="A153" s="37"/>
      <c r="B153" s="393" t="s">
        <v>632</v>
      </c>
      <c r="C153" s="393"/>
      <c r="D153" s="37">
        <v>1</v>
      </c>
      <c r="E153" s="37">
        <v>5.25</v>
      </c>
      <c r="F153" s="37">
        <v>1.5</v>
      </c>
      <c r="G153" s="37">
        <v>6</v>
      </c>
      <c r="H153" s="37"/>
      <c r="I153" s="37"/>
      <c r="J153" s="37"/>
      <c r="K153" s="152">
        <f t="shared" si="25"/>
        <v>40.5</v>
      </c>
      <c r="L153" s="152">
        <f t="shared" si="26"/>
        <v>24.99</v>
      </c>
      <c r="M153" s="37"/>
    </row>
    <row r="154" spans="1:13" hidden="1">
      <c r="A154" s="37"/>
      <c r="B154" s="393" t="s">
        <v>633</v>
      </c>
      <c r="C154" s="393"/>
      <c r="D154" s="37">
        <v>1</v>
      </c>
      <c r="E154" s="37">
        <v>4.45</v>
      </c>
      <c r="F154" s="37"/>
      <c r="G154" s="37">
        <v>6</v>
      </c>
      <c r="H154" s="37"/>
      <c r="I154" s="37"/>
      <c r="J154" s="37"/>
      <c r="K154" s="152">
        <f t="shared" si="25"/>
        <v>26.7</v>
      </c>
      <c r="L154" s="152">
        <f t="shared" si="26"/>
        <v>16.47</v>
      </c>
      <c r="M154" s="37"/>
    </row>
    <row r="155" spans="1:13" hidden="1">
      <c r="A155" s="37"/>
      <c r="B155" s="393" t="s">
        <v>634</v>
      </c>
      <c r="C155" s="393"/>
      <c r="D155" s="37">
        <v>1</v>
      </c>
      <c r="E155" s="37">
        <v>4.45</v>
      </c>
      <c r="F155" s="37"/>
      <c r="G155" s="37">
        <v>6</v>
      </c>
      <c r="H155" s="37"/>
      <c r="I155" s="37"/>
      <c r="J155" s="37"/>
      <c r="K155" s="152">
        <f t="shared" si="25"/>
        <v>26.7</v>
      </c>
      <c r="L155" s="152">
        <f t="shared" si="26"/>
        <v>16.47</v>
      </c>
      <c r="M155" s="37"/>
    </row>
    <row r="156" spans="1:13" hidden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152"/>
      <c r="L156" s="152"/>
      <c r="M156" s="37"/>
    </row>
    <row r="157" spans="1:13" hidden="1">
      <c r="A157" s="37"/>
      <c r="B157" s="393" t="s">
        <v>650</v>
      </c>
      <c r="C157" s="393"/>
      <c r="D157" s="37">
        <v>1</v>
      </c>
      <c r="E157" s="37">
        <v>41.8</v>
      </c>
      <c r="F157" s="37"/>
      <c r="G157" s="37">
        <v>4</v>
      </c>
      <c r="H157" s="37"/>
      <c r="I157" s="37"/>
      <c r="J157" s="37"/>
      <c r="K157" s="152">
        <f t="shared" ref="K157" si="27">ROUND((E157+F157)*G157,2)</f>
        <v>167.2</v>
      </c>
      <c r="L157" s="152">
        <f t="shared" ref="L157" si="28">ROUND(K157*0.617,2)</f>
        <v>103.16</v>
      </c>
      <c r="M157" s="37"/>
    </row>
    <row r="158" spans="1:13" hidden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</row>
    <row r="159" spans="1:13" hidden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</row>
    <row r="160" spans="1:13" ht="24" hidden="1" customHeight="1">
      <c r="A160" s="142" t="s">
        <v>32</v>
      </c>
      <c r="B160" s="394" t="str">
        <f>BM_15!B42</f>
        <v>ARMAÇÃO DE PILAR OU VIGA DE UMA ESTRUTURA CONVENCIONAL DE CONCRETO ARMADO EM UM EDIFÍCIO DE MÚLTIPLOS PAVIMENTOS UTILIZANDO AÇO CA-60 DE 5,0 MM - MONTAGEM. AF_12/2015</v>
      </c>
      <c r="C160" s="394"/>
      <c r="D160" s="394"/>
      <c r="E160" s="394"/>
      <c r="F160" s="394"/>
      <c r="G160" s="394"/>
      <c r="H160" s="394"/>
      <c r="I160" s="394"/>
      <c r="J160" s="394"/>
      <c r="K160" s="394"/>
      <c r="L160" s="142">
        <f>SUM(L163:L176)</f>
        <v>129.23000000000002</v>
      </c>
      <c r="M160" s="142" t="s">
        <v>601</v>
      </c>
    </row>
    <row r="161" spans="1:13" hidden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</row>
    <row r="162" spans="1:13" hidden="1">
      <c r="A162" s="37"/>
      <c r="B162" s="393" t="s">
        <v>637</v>
      </c>
      <c r="C162" s="393"/>
      <c r="D162" s="37"/>
      <c r="E162" s="37" t="s">
        <v>647</v>
      </c>
      <c r="F162" s="37" t="s">
        <v>648</v>
      </c>
      <c r="G162" s="37"/>
      <c r="H162" s="37"/>
      <c r="I162" s="37"/>
      <c r="J162" s="37"/>
      <c r="K162" s="37"/>
      <c r="L162" s="37"/>
      <c r="M162" s="37"/>
    </row>
    <row r="163" spans="1:13" hidden="1">
      <c r="A163" s="37"/>
      <c r="B163" s="393" t="s">
        <v>625</v>
      </c>
      <c r="C163" s="393"/>
      <c r="D163" s="37">
        <v>1</v>
      </c>
      <c r="E163" s="37">
        <v>7.45</v>
      </c>
      <c r="F163" s="37">
        <v>1.5</v>
      </c>
      <c r="G163" s="37">
        <v>1.07</v>
      </c>
      <c r="H163" s="37"/>
      <c r="I163" s="37"/>
      <c r="J163" s="37"/>
      <c r="K163" s="151">
        <f>ROUND((E163+F163)/0.15,2)*G163</f>
        <v>63.846900000000005</v>
      </c>
      <c r="L163" s="146">
        <f>ROUND(K163*0.154,2)</f>
        <v>9.83</v>
      </c>
      <c r="M163" s="37"/>
    </row>
    <row r="164" spans="1:13" hidden="1">
      <c r="A164" s="37"/>
      <c r="B164" s="393" t="s">
        <v>626</v>
      </c>
      <c r="C164" s="393"/>
      <c r="D164" s="37">
        <v>1</v>
      </c>
      <c r="E164" s="37">
        <v>5.25</v>
      </c>
      <c r="F164" s="37">
        <v>1.5</v>
      </c>
      <c r="G164" s="37">
        <v>0.87</v>
      </c>
      <c r="H164" s="37"/>
      <c r="I164" s="37"/>
      <c r="J164" s="37"/>
      <c r="K164" s="151">
        <f t="shared" ref="K164:K176" si="29">ROUND((E164+F164)/0.15,2)*G164</f>
        <v>39.15</v>
      </c>
      <c r="L164" s="146">
        <f t="shared" ref="L164:L176" si="30">ROUND(K164*0.154,2)</f>
        <v>6.03</v>
      </c>
      <c r="M164" s="37"/>
    </row>
    <row r="165" spans="1:13" hidden="1">
      <c r="A165" s="37"/>
      <c r="B165" s="393" t="s">
        <v>627</v>
      </c>
      <c r="C165" s="393"/>
      <c r="D165" s="37">
        <v>1</v>
      </c>
      <c r="E165" s="37">
        <v>5.25</v>
      </c>
      <c r="F165" s="37">
        <v>1.5</v>
      </c>
      <c r="G165" s="37">
        <v>1.27</v>
      </c>
      <c r="H165" s="37"/>
      <c r="I165" s="37"/>
      <c r="J165" s="37"/>
      <c r="K165" s="151">
        <f t="shared" si="29"/>
        <v>57.15</v>
      </c>
      <c r="L165" s="146">
        <f t="shared" si="30"/>
        <v>8.8000000000000007</v>
      </c>
      <c r="M165" s="37"/>
    </row>
    <row r="166" spans="1:13" hidden="1">
      <c r="A166" s="37"/>
      <c r="B166" s="393" t="s">
        <v>628</v>
      </c>
      <c r="C166" s="393"/>
      <c r="D166" s="37">
        <v>1</v>
      </c>
      <c r="E166" s="37">
        <v>5.25</v>
      </c>
      <c r="F166" s="37">
        <v>1.5</v>
      </c>
      <c r="G166" s="37">
        <v>1.17</v>
      </c>
      <c r="H166" s="37"/>
      <c r="I166" s="37"/>
      <c r="J166" s="37"/>
      <c r="K166" s="151">
        <f t="shared" si="29"/>
        <v>52.65</v>
      </c>
      <c r="L166" s="146">
        <f t="shared" si="30"/>
        <v>8.11</v>
      </c>
      <c r="M166" s="37"/>
    </row>
    <row r="167" spans="1:13" hidden="1">
      <c r="A167" s="37"/>
      <c r="B167" s="393" t="s">
        <v>629</v>
      </c>
      <c r="C167" s="393"/>
      <c r="D167" s="37">
        <v>1</v>
      </c>
      <c r="E167" s="37">
        <v>5.25</v>
      </c>
      <c r="F167" s="37">
        <v>1.5</v>
      </c>
      <c r="G167" s="37">
        <v>1.17</v>
      </c>
      <c r="H167" s="37"/>
      <c r="I167" s="37"/>
      <c r="J167" s="37"/>
      <c r="K167" s="151">
        <f t="shared" si="29"/>
        <v>52.65</v>
      </c>
      <c r="L167" s="146">
        <f t="shared" si="30"/>
        <v>8.11</v>
      </c>
      <c r="M167" s="37"/>
    </row>
    <row r="168" spans="1:13" hidden="1">
      <c r="A168" s="37"/>
      <c r="B168" s="393" t="s">
        <v>630</v>
      </c>
      <c r="C168" s="393"/>
      <c r="D168" s="37">
        <v>1</v>
      </c>
      <c r="E168" s="37">
        <v>7.45</v>
      </c>
      <c r="F168" s="37">
        <v>1.5</v>
      </c>
      <c r="G168" s="37">
        <v>1.17</v>
      </c>
      <c r="H168" s="37"/>
      <c r="I168" s="37"/>
      <c r="J168" s="37"/>
      <c r="K168" s="151">
        <f t="shared" si="29"/>
        <v>69.813900000000004</v>
      </c>
      <c r="L168" s="146">
        <f t="shared" si="30"/>
        <v>10.75</v>
      </c>
      <c r="M168" s="37"/>
    </row>
    <row r="169" spans="1:13" hidden="1">
      <c r="A169" s="37"/>
      <c r="B169" s="393" t="s">
        <v>631</v>
      </c>
      <c r="C169" s="393"/>
      <c r="D169" s="37">
        <v>1</v>
      </c>
      <c r="E169" s="37">
        <v>5.25</v>
      </c>
      <c r="F169" s="37">
        <v>1.5</v>
      </c>
      <c r="G169" s="37">
        <v>1.07</v>
      </c>
      <c r="H169" s="37"/>
      <c r="I169" s="37"/>
      <c r="J169" s="37"/>
      <c r="K169" s="151">
        <f t="shared" si="29"/>
        <v>48.150000000000006</v>
      </c>
      <c r="L169" s="146">
        <f t="shared" si="30"/>
        <v>7.42</v>
      </c>
      <c r="M169" s="37"/>
    </row>
    <row r="170" spans="1:13" hidden="1">
      <c r="A170" s="37"/>
      <c r="B170" s="393" t="s">
        <v>632</v>
      </c>
      <c r="C170" s="393"/>
      <c r="D170" s="37">
        <v>1</v>
      </c>
      <c r="E170" s="37">
        <v>5.25</v>
      </c>
      <c r="F170" s="37">
        <v>1.5</v>
      </c>
      <c r="G170" s="37">
        <v>1.07</v>
      </c>
      <c r="H170" s="37"/>
      <c r="I170" s="37"/>
      <c r="J170" s="37"/>
      <c r="K170" s="151">
        <f t="shared" si="29"/>
        <v>48.150000000000006</v>
      </c>
      <c r="L170" s="146">
        <f t="shared" si="30"/>
        <v>7.42</v>
      </c>
      <c r="M170" s="37"/>
    </row>
    <row r="171" spans="1:13" hidden="1">
      <c r="A171" s="37"/>
      <c r="B171" s="393" t="s">
        <v>633</v>
      </c>
      <c r="C171" s="393"/>
      <c r="D171" s="37">
        <v>1</v>
      </c>
      <c r="E171" s="37">
        <v>4.45</v>
      </c>
      <c r="F171" s="37"/>
      <c r="G171" s="37">
        <v>1.07</v>
      </c>
      <c r="H171" s="37"/>
      <c r="I171" s="37"/>
      <c r="J171" s="37"/>
      <c r="K171" s="151">
        <f t="shared" si="29"/>
        <v>31.746900000000004</v>
      </c>
      <c r="L171" s="146">
        <f t="shared" si="30"/>
        <v>4.8899999999999997</v>
      </c>
      <c r="M171" s="37"/>
    </row>
    <row r="172" spans="1:13" hidden="1">
      <c r="A172" s="37"/>
      <c r="B172" s="393" t="s">
        <v>634</v>
      </c>
      <c r="C172" s="393"/>
      <c r="D172" s="37">
        <v>1</v>
      </c>
      <c r="E172" s="37">
        <v>4.45</v>
      </c>
      <c r="F172" s="37"/>
      <c r="G172" s="37">
        <v>1.07</v>
      </c>
      <c r="H172" s="37"/>
      <c r="I172" s="37"/>
      <c r="J172" s="37"/>
      <c r="K172" s="151">
        <f t="shared" si="29"/>
        <v>31.746900000000004</v>
      </c>
      <c r="L172" s="146">
        <f t="shared" si="30"/>
        <v>4.8899999999999997</v>
      </c>
      <c r="M172" s="37"/>
    </row>
    <row r="173" spans="1:13" hidden="1">
      <c r="A173" s="37"/>
      <c r="B173" s="393" t="s">
        <v>635</v>
      </c>
      <c r="C173" s="393"/>
      <c r="D173" s="37">
        <v>1</v>
      </c>
      <c r="E173" s="37">
        <v>4.45</v>
      </c>
      <c r="F173" s="37"/>
      <c r="G173" s="37">
        <v>1.07</v>
      </c>
      <c r="H173" s="37"/>
      <c r="I173" s="37"/>
      <c r="J173" s="37"/>
      <c r="K173" s="151">
        <f t="shared" si="29"/>
        <v>31.746900000000004</v>
      </c>
      <c r="L173" s="146">
        <f t="shared" si="30"/>
        <v>4.8899999999999997</v>
      </c>
      <c r="M173" s="37"/>
    </row>
    <row r="174" spans="1:13" hidden="1">
      <c r="A174" s="37"/>
      <c r="B174" s="393" t="s">
        <v>636</v>
      </c>
      <c r="C174" s="393"/>
      <c r="D174" s="37">
        <v>1</v>
      </c>
      <c r="E174" s="37">
        <v>7.45</v>
      </c>
      <c r="F174" s="37">
        <v>1.5</v>
      </c>
      <c r="G174" s="37">
        <v>1.17</v>
      </c>
      <c r="H174" s="37"/>
      <c r="I174" s="37"/>
      <c r="J174" s="37"/>
      <c r="K174" s="151">
        <f t="shared" si="29"/>
        <v>69.813900000000004</v>
      </c>
      <c r="L174" s="146">
        <f t="shared" si="30"/>
        <v>10.75</v>
      </c>
      <c r="M174" s="37"/>
    </row>
    <row r="175" spans="1:13" hidden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151"/>
      <c r="L175" s="146"/>
      <c r="M175" s="37"/>
    </row>
    <row r="176" spans="1:13" hidden="1">
      <c r="A176" s="37"/>
      <c r="B176" s="393" t="s">
        <v>650</v>
      </c>
      <c r="C176" s="393"/>
      <c r="D176" s="37">
        <v>1</v>
      </c>
      <c r="E176" s="37">
        <v>41.8</v>
      </c>
      <c r="F176" s="37"/>
      <c r="G176" s="37">
        <v>0.87</v>
      </c>
      <c r="H176" s="37"/>
      <c r="I176" s="37"/>
      <c r="J176" s="37"/>
      <c r="K176" s="151">
        <f t="shared" si="29"/>
        <v>242.44290000000001</v>
      </c>
      <c r="L176" s="146">
        <f t="shared" si="30"/>
        <v>37.340000000000003</v>
      </c>
      <c r="M176" s="37"/>
    </row>
    <row r="177" spans="1:13" hidden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</row>
    <row r="178" spans="1:13" ht="20.45" hidden="1" customHeight="1">
      <c r="A178" s="142" t="s">
        <v>30</v>
      </c>
      <c r="B178" s="394" t="str">
        <f>BM_15!B39</f>
        <v>ARMAÇÃO DE PILAR OU VIGA DE UMA ESTRUTURA CONVENCIONAL DE CONCRETO ARMADO EM UM EDIFÍCIO DE MÚLTIPLOS PAVIMENTOS UTILIZANDO AÇO CA-50 DE 12,5 MM - MONTAGEM. AF_12/2015</v>
      </c>
      <c r="C178" s="394"/>
      <c r="D178" s="394"/>
      <c r="E178" s="394"/>
      <c r="F178" s="394"/>
      <c r="G178" s="394"/>
      <c r="H178" s="394"/>
      <c r="I178" s="394"/>
      <c r="J178" s="394"/>
      <c r="K178" s="394"/>
      <c r="L178" s="142">
        <f>SUM(L181:L189)</f>
        <v>269.19</v>
      </c>
      <c r="M178" s="142" t="s">
        <v>601</v>
      </c>
    </row>
    <row r="179" spans="1:13" hidden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</row>
    <row r="180" spans="1:13" hidden="1">
      <c r="A180" s="37"/>
      <c r="B180" s="393" t="s">
        <v>637</v>
      </c>
      <c r="C180" s="393"/>
      <c r="D180" s="37"/>
      <c r="E180" s="37" t="s">
        <v>647</v>
      </c>
      <c r="F180" s="37" t="s">
        <v>648</v>
      </c>
      <c r="G180" s="37" t="s">
        <v>649</v>
      </c>
      <c r="H180" s="37"/>
      <c r="I180" s="37"/>
      <c r="J180" s="37"/>
      <c r="K180" s="37"/>
      <c r="L180" s="37"/>
      <c r="M180" s="37"/>
    </row>
    <row r="181" spans="1:13" hidden="1">
      <c r="A181" s="37"/>
      <c r="B181" s="393" t="s">
        <v>625</v>
      </c>
      <c r="C181" s="393"/>
      <c r="D181" s="37">
        <v>1</v>
      </c>
      <c r="E181" s="37">
        <v>7.45</v>
      </c>
      <c r="F181" s="37">
        <v>1.5</v>
      </c>
      <c r="G181" s="37">
        <v>6</v>
      </c>
      <c r="H181" s="37"/>
      <c r="I181" s="37"/>
      <c r="J181" s="37"/>
      <c r="K181" s="152">
        <f>ROUND((E181+F181)*G181,2)</f>
        <v>53.7</v>
      </c>
      <c r="L181" s="152">
        <f>ROUND(K181*0.617,2)</f>
        <v>33.130000000000003</v>
      </c>
      <c r="M181" s="37"/>
    </row>
    <row r="182" spans="1:13" hidden="1">
      <c r="A182" s="37"/>
      <c r="B182" s="393" t="s">
        <v>626</v>
      </c>
      <c r="C182" s="393"/>
      <c r="D182" s="37">
        <v>1</v>
      </c>
      <c r="E182" s="37">
        <v>5.25</v>
      </c>
      <c r="F182" s="37">
        <v>1.5</v>
      </c>
      <c r="G182" s="37">
        <v>6</v>
      </c>
      <c r="H182" s="37"/>
      <c r="I182" s="37"/>
      <c r="J182" s="37"/>
      <c r="K182" s="152">
        <f t="shared" ref="K182:K189" si="31">ROUND((E182+F182)*G182,2)</f>
        <v>40.5</v>
      </c>
      <c r="L182" s="152">
        <f t="shared" ref="L182:L189" si="32">ROUND(K182*0.617,2)</f>
        <v>24.99</v>
      </c>
      <c r="M182" s="37"/>
    </row>
    <row r="183" spans="1:13" hidden="1">
      <c r="A183" s="37"/>
      <c r="B183" s="393" t="s">
        <v>628</v>
      </c>
      <c r="C183" s="393"/>
      <c r="D183" s="37">
        <v>1</v>
      </c>
      <c r="E183" s="37">
        <v>5.25</v>
      </c>
      <c r="F183" s="37">
        <v>1.5</v>
      </c>
      <c r="G183" s="37">
        <v>6</v>
      </c>
      <c r="H183" s="37"/>
      <c r="I183" s="37"/>
      <c r="J183" s="37"/>
      <c r="K183" s="152">
        <f t="shared" si="31"/>
        <v>40.5</v>
      </c>
      <c r="L183" s="152">
        <f t="shared" si="32"/>
        <v>24.99</v>
      </c>
      <c r="M183" s="37"/>
    </row>
    <row r="184" spans="1:13" hidden="1">
      <c r="A184" s="37"/>
      <c r="B184" s="393" t="s">
        <v>631</v>
      </c>
      <c r="C184" s="393"/>
      <c r="D184" s="37">
        <v>1</v>
      </c>
      <c r="E184" s="37">
        <v>5.25</v>
      </c>
      <c r="F184" s="37">
        <v>1.5</v>
      </c>
      <c r="G184" s="37">
        <v>6</v>
      </c>
      <c r="H184" s="37"/>
      <c r="I184" s="37"/>
      <c r="J184" s="37"/>
      <c r="K184" s="152">
        <f t="shared" si="31"/>
        <v>40.5</v>
      </c>
      <c r="L184" s="152">
        <f t="shared" si="32"/>
        <v>24.99</v>
      </c>
      <c r="M184" s="37"/>
    </row>
    <row r="185" spans="1:13" hidden="1">
      <c r="A185" s="37"/>
      <c r="B185" s="393" t="s">
        <v>632</v>
      </c>
      <c r="C185" s="393"/>
      <c r="D185" s="37">
        <v>1</v>
      </c>
      <c r="E185" s="37">
        <v>5.25</v>
      </c>
      <c r="F185" s="37">
        <v>1.5</v>
      </c>
      <c r="G185" s="37">
        <v>6</v>
      </c>
      <c r="H185" s="37"/>
      <c r="I185" s="37"/>
      <c r="J185" s="37"/>
      <c r="K185" s="152">
        <f t="shared" si="31"/>
        <v>40.5</v>
      </c>
      <c r="L185" s="152">
        <f t="shared" si="32"/>
        <v>24.99</v>
      </c>
      <c r="M185" s="37"/>
    </row>
    <row r="186" spans="1:13" hidden="1">
      <c r="A186" s="37"/>
      <c r="B186" s="393" t="s">
        <v>633</v>
      </c>
      <c r="C186" s="393"/>
      <c r="D186" s="37">
        <v>1</v>
      </c>
      <c r="E186" s="37">
        <v>4.45</v>
      </c>
      <c r="F186" s="37"/>
      <c r="G186" s="37">
        <v>6</v>
      </c>
      <c r="H186" s="37"/>
      <c r="I186" s="37"/>
      <c r="J186" s="37"/>
      <c r="K186" s="152">
        <f t="shared" si="31"/>
        <v>26.7</v>
      </c>
      <c r="L186" s="152">
        <f t="shared" si="32"/>
        <v>16.47</v>
      </c>
      <c r="M186" s="37"/>
    </row>
    <row r="187" spans="1:13" hidden="1">
      <c r="A187" s="37"/>
      <c r="B187" s="393" t="s">
        <v>634</v>
      </c>
      <c r="C187" s="393"/>
      <c r="D187" s="37">
        <v>1</v>
      </c>
      <c r="E187" s="37">
        <v>4.45</v>
      </c>
      <c r="F187" s="37"/>
      <c r="G187" s="37">
        <v>6</v>
      </c>
      <c r="H187" s="37"/>
      <c r="I187" s="37"/>
      <c r="J187" s="37"/>
      <c r="K187" s="152">
        <f t="shared" si="31"/>
        <v>26.7</v>
      </c>
      <c r="L187" s="152">
        <f t="shared" si="32"/>
        <v>16.47</v>
      </c>
      <c r="M187" s="37"/>
    </row>
    <row r="188" spans="1:13" hidden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152"/>
      <c r="L188" s="152"/>
      <c r="M188" s="37"/>
    </row>
    <row r="189" spans="1:13" hidden="1">
      <c r="A189" s="37"/>
      <c r="B189" s="393" t="s">
        <v>650</v>
      </c>
      <c r="C189" s="393"/>
      <c r="D189" s="37">
        <v>1</v>
      </c>
      <c r="E189" s="37">
        <v>41.8</v>
      </c>
      <c r="F189" s="37"/>
      <c r="G189" s="37">
        <v>4</v>
      </c>
      <c r="H189" s="37"/>
      <c r="I189" s="37"/>
      <c r="J189" s="37"/>
      <c r="K189" s="152">
        <f t="shared" si="31"/>
        <v>167.2</v>
      </c>
      <c r="L189" s="152">
        <f t="shared" si="32"/>
        <v>103.16</v>
      </c>
      <c r="M189" s="37"/>
    </row>
    <row r="190" spans="1:13" hidden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</row>
    <row r="191" spans="1:13" ht="22.15" hidden="1" customHeight="1">
      <c r="A191" s="142" t="str">
        <f>BM_15!A38</f>
        <v>2.8</v>
      </c>
      <c r="B191" s="394" t="str">
        <f>BM_15!B38</f>
        <v>Forma plana para estruturas, em compensado plastificado de 12mm, 07 usos.</v>
      </c>
      <c r="C191" s="394"/>
      <c r="D191" s="394"/>
      <c r="E191" s="394"/>
      <c r="F191" s="394"/>
      <c r="G191" s="394"/>
      <c r="H191" s="394"/>
      <c r="I191" s="394"/>
      <c r="J191" s="394"/>
      <c r="K191" s="394"/>
      <c r="L191" s="142">
        <f>SUM(L194:L198)</f>
        <v>286.79999999999995</v>
      </c>
      <c r="M191" s="142" t="s">
        <v>601</v>
      </c>
    </row>
    <row r="192" spans="1:13" hidden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</row>
    <row r="193" spans="1:13" hidden="1">
      <c r="A193" s="37"/>
      <c r="B193" s="393" t="s">
        <v>637</v>
      </c>
      <c r="C193" s="393"/>
      <c r="D193" s="37"/>
      <c r="E193" s="37" t="s">
        <v>647</v>
      </c>
      <c r="F193" s="37" t="s">
        <v>648</v>
      </c>
      <c r="G193" s="37" t="s">
        <v>649</v>
      </c>
      <c r="H193" s="37"/>
      <c r="I193" s="37"/>
      <c r="J193" s="37"/>
      <c r="K193" s="37"/>
      <c r="L193" s="37"/>
      <c r="M193" s="37"/>
    </row>
    <row r="194" spans="1:13" hidden="1">
      <c r="A194" s="37"/>
      <c r="B194" s="393" t="s">
        <v>627</v>
      </c>
      <c r="C194" s="393"/>
      <c r="D194" s="37">
        <v>1</v>
      </c>
      <c r="E194" s="37">
        <v>5.25</v>
      </c>
      <c r="F194" s="37">
        <v>1.5</v>
      </c>
      <c r="G194" s="37">
        <v>8</v>
      </c>
      <c r="H194" s="37"/>
      <c r="I194" s="37"/>
      <c r="J194" s="37"/>
      <c r="K194" s="152">
        <f>ROUND((E194+F194)*G194,2)</f>
        <v>54</v>
      </c>
      <c r="L194" s="152">
        <f>ROUND(K194*1,2)</f>
        <v>54</v>
      </c>
      <c r="M194" s="37"/>
    </row>
    <row r="195" spans="1:13" hidden="1">
      <c r="A195" s="37"/>
      <c r="B195" s="393" t="s">
        <v>629</v>
      </c>
      <c r="C195" s="393"/>
      <c r="D195" s="37">
        <v>1</v>
      </c>
      <c r="E195" s="37">
        <v>5.25</v>
      </c>
      <c r="F195" s="37">
        <v>1.5</v>
      </c>
      <c r="G195" s="37">
        <v>8</v>
      </c>
      <c r="H195" s="37"/>
      <c r="I195" s="37"/>
      <c r="J195" s="37"/>
      <c r="K195" s="152">
        <f t="shared" ref="K195:K198" si="33">ROUND((E195+F195)*G195,2)</f>
        <v>54</v>
      </c>
      <c r="L195" s="152">
        <f t="shared" ref="L195:L198" si="34">ROUND(K195*1,2)</f>
        <v>54</v>
      </c>
      <c r="M195" s="37"/>
    </row>
    <row r="196" spans="1:13" hidden="1">
      <c r="A196" s="37"/>
      <c r="B196" s="393" t="s">
        <v>630</v>
      </c>
      <c r="C196" s="393"/>
      <c r="D196" s="37">
        <v>1</v>
      </c>
      <c r="E196" s="37">
        <v>7.45</v>
      </c>
      <c r="F196" s="37">
        <v>1.5</v>
      </c>
      <c r="G196" s="37">
        <v>8</v>
      </c>
      <c r="H196" s="37"/>
      <c r="I196" s="37"/>
      <c r="J196" s="37"/>
      <c r="K196" s="152">
        <f t="shared" si="33"/>
        <v>71.599999999999994</v>
      </c>
      <c r="L196" s="152">
        <f t="shared" si="34"/>
        <v>71.599999999999994</v>
      </c>
      <c r="M196" s="37"/>
    </row>
    <row r="197" spans="1:13" hidden="1">
      <c r="A197" s="37"/>
      <c r="B197" s="393" t="s">
        <v>635</v>
      </c>
      <c r="C197" s="393"/>
      <c r="D197" s="37">
        <v>1</v>
      </c>
      <c r="E197" s="37">
        <v>4.45</v>
      </c>
      <c r="F197" s="37"/>
      <c r="G197" s="37">
        <v>8</v>
      </c>
      <c r="H197" s="37"/>
      <c r="I197" s="37"/>
      <c r="J197" s="37"/>
      <c r="K197" s="152">
        <f t="shared" si="33"/>
        <v>35.6</v>
      </c>
      <c r="L197" s="152">
        <f t="shared" si="34"/>
        <v>35.6</v>
      </c>
      <c r="M197" s="37"/>
    </row>
    <row r="198" spans="1:13" hidden="1">
      <c r="A198" s="37"/>
      <c r="B198" s="393" t="s">
        <v>636</v>
      </c>
      <c r="C198" s="393"/>
      <c r="D198" s="37">
        <v>1</v>
      </c>
      <c r="E198" s="37">
        <v>7.45</v>
      </c>
      <c r="F198" s="37">
        <v>1.5</v>
      </c>
      <c r="G198" s="37">
        <v>8</v>
      </c>
      <c r="H198" s="37"/>
      <c r="I198" s="37"/>
      <c r="J198" s="37"/>
      <c r="K198" s="152">
        <f t="shared" si="33"/>
        <v>71.599999999999994</v>
      </c>
      <c r="L198" s="152">
        <f t="shared" si="34"/>
        <v>71.599999999999994</v>
      </c>
      <c r="M198" s="37"/>
    </row>
    <row r="199" spans="1:13" hidden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</row>
    <row r="200" spans="1:13" hidden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</row>
    <row r="201" spans="1:13" hidden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</row>
    <row r="202" spans="1:13" hidden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</row>
    <row r="203" spans="1:13" ht="14.45" hidden="1" customHeight="1">
      <c r="A203" s="142" t="s">
        <v>604</v>
      </c>
      <c r="B203" s="394" t="str">
        <f>[2]ORÇAMENTO!B36</f>
        <v>ALVENARIA E VEDAÇÕES</v>
      </c>
      <c r="C203" s="394"/>
      <c r="D203" s="394"/>
      <c r="E203" s="394"/>
      <c r="F203" s="394"/>
      <c r="G203" s="394"/>
      <c r="H203" s="394"/>
      <c r="I203" s="394"/>
      <c r="J203" s="394"/>
      <c r="K203" s="394"/>
      <c r="L203" s="142"/>
      <c r="M203" s="142"/>
    </row>
    <row r="204" spans="1:13" hidden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</row>
    <row r="205" spans="1:13" ht="28.9" hidden="1" customHeight="1">
      <c r="A205" s="142" t="s">
        <v>48</v>
      </c>
      <c r="B205" s="394" t="str">
        <f>[2]REPROGRAMAÇÃO!C45</f>
        <v>ALVENARIA DE VEDAÇÃO DE BLOCOS CERÂMICOS FURADOS NA HORIZONTAL DE 9X19X19 CM (ESPESSURA 9 CM) E ARGAMASSA DE ASSENTAMENTO COM PREPARO EM BETONEIRA.</v>
      </c>
      <c r="C205" s="394"/>
      <c r="D205" s="394"/>
      <c r="E205" s="394"/>
      <c r="F205" s="394"/>
      <c r="G205" s="394"/>
      <c r="H205" s="394"/>
      <c r="I205" s="394"/>
      <c r="J205" s="394"/>
      <c r="K205" s="394"/>
      <c r="L205" s="142">
        <f>SUM(L207:L218)</f>
        <v>86.983999999999995</v>
      </c>
      <c r="M205" s="142" t="s">
        <v>429</v>
      </c>
    </row>
    <row r="206" spans="1:13" hidden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46"/>
      <c r="L206" s="68"/>
      <c r="M206" s="37"/>
    </row>
    <row r="207" spans="1:13" hidden="1">
      <c r="A207" s="37"/>
      <c r="B207" s="437" t="s">
        <v>608</v>
      </c>
      <c r="C207" s="437"/>
      <c r="D207" s="149">
        <v>1</v>
      </c>
      <c r="E207" s="146">
        <v>1.2</v>
      </c>
      <c r="F207" s="146"/>
      <c r="G207" s="146">
        <v>1.4</v>
      </c>
      <c r="H207" s="149"/>
      <c r="I207" s="149"/>
      <c r="J207" s="149"/>
      <c r="K207" s="149">
        <f>E207*G207</f>
        <v>1.68</v>
      </c>
      <c r="L207" s="149">
        <f>K207*D207</f>
        <v>1.68</v>
      </c>
      <c r="M207" s="37"/>
    </row>
    <row r="208" spans="1:13" hidden="1">
      <c r="A208" s="37"/>
      <c r="B208" s="437" t="s">
        <v>609</v>
      </c>
      <c r="C208" s="437"/>
      <c r="D208" s="149">
        <v>1</v>
      </c>
      <c r="E208" s="146">
        <v>3.8</v>
      </c>
      <c r="F208" s="146"/>
      <c r="G208" s="146">
        <v>0.7</v>
      </c>
      <c r="H208" s="149"/>
      <c r="I208" s="149"/>
      <c r="J208" s="149"/>
      <c r="K208" s="149">
        <f t="shared" ref="K208:K218" si="35">E208*G208</f>
        <v>2.6599999999999997</v>
      </c>
      <c r="L208" s="149">
        <f t="shared" ref="L208:L218" si="36">K208*D208</f>
        <v>2.6599999999999997</v>
      </c>
      <c r="M208" s="37"/>
    </row>
    <row r="209" spans="1:13" hidden="1">
      <c r="A209" s="37"/>
      <c r="B209" s="437" t="s">
        <v>610</v>
      </c>
      <c r="C209" s="437"/>
      <c r="D209" s="149">
        <v>1</v>
      </c>
      <c r="E209" s="146">
        <v>2.1</v>
      </c>
      <c r="F209" s="146"/>
      <c r="G209" s="146">
        <v>2.8</v>
      </c>
      <c r="H209" s="149"/>
      <c r="I209" s="149"/>
      <c r="J209" s="149"/>
      <c r="K209" s="149">
        <f t="shared" si="35"/>
        <v>5.88</v>
      </c>
      <c r="L209" s="149">
        <f t="shared" si="36"/>
        <v>5.88</v>
      </c>
      <c r="M209" s="37"/>
    </row>
    <row r="210" spans="1:13" hidden="1">
      <c r="A210" s="37"/>
      <c r="B210" s="437" t="s">
        <v>610</v>
      </c>
      <c r="C210" s="437"/>
      <c r="D210" s="149">
        <v>1</v>
      </c>
      <c r="E210" s="146">
        <v>2.8</v>
      </c>
      <c r="F210" s="146"/>
      <c r="G210" s="146">
        <v>1.5</v>
      </c>
      <c r="H210" s="149"/>
      <c r="I210" s="149"/>
      <c r="J210" s="149"/>
      <c r="K210" s="149">
        <f t="shared" si="35"/>
        <v>4.1999999999999993</v>
      </c>
      <c r="L210" s="149">
        <f t="shared" si="36"/>
        <v>4.1999999999999993</v>
      </c>
      <c r="M210" s="37"/>
    </row>
    <row r="211" spans="1:13" hidden="1">
      <c r="A211" s="37"/>
      <c r="B211" s="437" t="s">
        <v>611</v>
      </c>
      <c r="C211" s="437"/>
      <c r="D211" s="149">
        <v>1</v>
      </c>
      <c r="E211" s="146">
        <v>8</v>
      </c>
      <c r="F211" s="146"/>
      <c r="G211" s="146">
        <v>1.9</v>
      </c>
      <c r="H211" s="149"/>
      <c r="I211" s="149"/>
      <c r="J211" s="149"/>
      <c r="K211" s="149">
        <f t="shared" si="35"/>
        <v>15.2</v>
      </c>
      <c r="L211" s="149">
        <f t="shared" si="36"/>
        <v>15.2</v>
      </c>
      <c r="M211" s="37"/>
    </row>
    <row r="212" spans="1:13" hidden="1">
      <c r="A212" s="37"/>
      <c r="B212" s="437" t="s">
        <v>612</v>
      </c>
      <c r="C212" s="437"/>
      <c r="D212" s="149">
        <v>1</v>
      </c>
      <c r="E212" s="146">
        <v>4.9000000000000004</v>
      </c>
      <c r="F212" s="146"/>
      <c r="G212" s="146">
        <v>1.85</v>
      </c>
      <c r="H212" s="149"/>
      <c r="I212" s="149"/>
      <c r="J212" s="149"/>
      <c r="K212" s="149">
        <f t="shared" si="35"/>
        <v>9.0650000000000013</v>
      </c>
      <c r="L212" s="149">
        <f t="shared" si="36"/>
        <v>9.0650000000000013</v>
      </c>
      <c r="M212" s="37"/>
    </row>
    <row r="213" spans="1:13" hidden="1">
      <c r="A213" s="37"/>
      <c r="B213" s="437" t="s">
        <v>613</v>
      </c>
      <c r="C213" s="437"/>
      <c r="D213" s="149">
        <v>1</v>
      </c>
      <c r="E213" s="146">
        <v>5</v>
      </c>
      <c r="F213" s="146"/>
      <c r="G213" s="146">
        <v>1.65</v>
      </c>
      <c r="H213" s="149"/>
      <c r="I213" s="149"/>
      <c r="J213" s="149"/>
      <c r="K213" s="149">
        <f t="shared" si="35"/>
        <v>8.25</v>
      </c>
      <c r="L213" s="149">
        <f t="shared" si="36"/>
        <v>8.25</v>
      </c>
      <c r="M213" s="37"/>
    </row>
    <row r="214" spans="1:13" hidden="1">
      <c r="A214" s="37"/>
      <c r="B214" s="437" t="s">
        <v>614</v>
      </c>
      <c r="C214" s="437"/>
      <c r="D214" s="149">
        <v>1</v>
      </c>
      <c r="E214" s="146">
        <v>20.2</v>
      </c>
      <c r="F214" s="146"/>
      <c r="G214" s="146">
        <v>0.35</v>
      </c>
      <c r="H214" s="149"/>
      <c r="I214" s="149"/>
      <c r="J214" s="149"/>
      <c r="K214" s="149">
        <f t="shared" si="35"/>
        <v>7.0699999999999994</v>
      </c>
      <c r="L214" s="149">
        <f t="shared" si="36"/>
        <v>7.0699999999999994</v>
      </c>
      <c r="M214" s="37"/>
    </row>
    <row r="215" spans="1:13" hidden="1">
      <c r="A215" s="37"/>
      <c r="B215" s="437" t="s">
        <v>620</v>
      </c>
      <c r="C215" s="437"/>
      <c r="D215" s="149">
        <v>1</v>
      </c>
      <c r="E215" s="146">
        <v>5.9</v>
      </c>
      <c r="F215" s="146"/>
      <c r="G215" s="146">
        <v>2.35</v>
      </c>
      <c r="H215" s="149"/>
      <c r="I215" s="149"/>
      <c r="J215" s="149"/>
      <c r="K215" s="149">
        <f t="shared" si="35"/>
        <v>13.865000000000002</v>
      </c>
      <c r="L215" s="149">
        <f t="shared" si="36"/>
        <v>13.865000000000002</v>
      </c>
      <c r="M215" s="37"/>
    </row>
    <row r="216" spans="1:13" hidden="1">
      <c r="A216" s="37"/>
      <c r="B216" s="437" t="s">
        <v>621</v>
      </c>
      <c r="C216" s="437"/>
      <c r="D216" s="149">
        <v>1</v>
      </c>
      <c r="E216" s="146">
        <v>7.2</v>
      </c>
      <c r="F216" s="146"/>
      <c r="G216" s="146">
        <v>0.67</v>
      </c>
      <c r="H216" s="149"/>
      <c r="I216" s="149"/>
      <c r="J216" s="149"/>
      <c r="K216" s="149">
        <f t="shared" si="35"/>
        <v>4.8240000000000007</v>
      </c>
      <c r="L216" s="149">
        <f t="shared" si="36"/>
        <v>4.8240000000000007</v>
      </c>
      <c r="M216" s="37"/>
    </row>
    <row r="217" spans="1:13" hidden="1">
      <c r="A217" s="37"/>
      <c r="B217" s="437" t="s">
        <v>622</v>
      </c>
      <c r="C217" s="437"/>
      <c r="D217" s="149">
        <v>1</v>
      </c>
      <c r="E217" s="146">
        <v>0.6</v>
      </c>
      <c r="F217" s="146"/>
      <c r="G217" s="146">
        <v>8.6</v>
      </c>
      <c r="H217" s="149"/>
      <c r="I217" s="149"/>
      <c r="J217" s="149"/>
      <c r="K217" s="149">
        <f t="shared" si="35"/>
        <v>5.1599999999999993</v>
      </c>
      <c r="L217" s="149">
        <f t="shared" si="36"/>
        <v>5.1599999999999993</v>
      </c>
      <c r="M217" s="37"/>
    </row>
    <row r="218" spans="1:13" hidden="1">
      <c r="A218" s="37"/>
      <c r="B218" s="437" t="s">
        <v>623</v>
      </c>
      <c r="C218" s="437"/>
      <c r="D218" s="149">
        <v>1</v>
      </c>
      <c r="E218" s="146">
        <v>8.3000000000000007</v>
      </c>
      <c r="F218" s="146"/>
      <c r="G218" s="146">
        <v>1.1000000000000001</v>
      </c>
      <c r="H218" s="149"/>
      <c r="I218" s="149"/>
      <c r="J218" s="149"/>
      <c r="K218" s="149">
        <f t="shared" si="35"/>
        <v>9.1300000000000008</v>
      </c>
      <c r="L218" s="149">
        <f t="shared" si="36"/>
        <v>9.1300000000000008</v>
      </c>
      <c r="M218" s="37"/>
    </row>
    <row r="219" spans="1:13" hidden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1:13" hidden="1">
      <c r="A220" s="142" t="s">
        <v>527</v>
      </c>
      <c r="B220" s="394" t="str">
        <f>'[2]ITENS NOVOS'!D17</f>
        <v>ALVENARIA DE TIJOLO CERÂMICO FURADO (9x19x19)cm C/ARGAMASSA MISTA DE CAL HIDRATADA ESP=20 cm</v>
      </c>
      <c r="C220" s="394"/>
      <c r="D220" s="394"/>
      <c r="E220" s="394"/>
      <c r="F220" s="394"/>
      <c r="G220" s="394"/>
      <c r="H220" s="394"/>
      <c r="I220" s="394"/>
      <c r="J220" s="394"/>
      <c r="K220" s="394"/>
      <c r="L220" s="142">
        <f>SUM(L222:L231)</f>
        <v>82.929999999999993</v>
      </c>
      <c r="M220" s="142" t="s">
        <v>429</v>
      </c>
    </row>
    <row r="221" spans="1:13" hidden="1">
      <c r="A221" s="37"/>
      <c r="B221" s="37"/>
      <c r="C221" s="37"/>
      <c r="D221" s="37"/>
      <c r="E221" s="143" t="s">
        <v>606</v>
      </c>
      <c r="F221" s="37"/>
      <c r="G221" s="143" t="s">
        <v>584</v>
      </c>
      <c r="H221" s="37"/>
      <c r="I221" s="37"/>
      <c r="J221" s="37"/>
      <c r="K221" s="37"/>
      <c r="L221" s="37"/>
      <c r="M221" s="37"/>
    </row>
    <row r="222" spans="1:13" hidden="1">
      <c r="A222" s="37"/>
      <c r="B222" s="393"/>
      <c r="C222" s="393"/>
      <c r="D222" s="37"/>
      <c r="E222" s="37"/>
      <c r="F222" s="37"/>
      <c r="G222" s="37"/>
      <c r="H222" s="37"/>
      <c r="I222" s="37"/>
      <c r="J222" s="37"/>
      <c r="K222" s="37"/>
      <c r="L222" s="37"/>
      <c r="M222" s="37"/>
    </row>
    <row r="223" spans="1:13" hidden="1">
      <c r="A223" s="37"/>
      <c r="B223" s="437" t="s">
        <v>615</v>
      </c>
      <c r="C223" s="437"/>
      <c r="D223" s="146">
        <v>1</v>
      </c>
      <c r="E223" s="146">
        <v>1.4</v>
      </c>
      <c r="F223" s="146"/>
      <c r="G223" s="146">
        <v>0.23</v>
      </c>
      <c r="H223" s="37"/>
      <c r="I223" s="37"/>
      <c r="J223" s="37"/>
      <c r="K223" s="149">
        <f t="shared" ref="K223:K229" si="37">E223*G223</f>
        <v>0.32200000000000001</v>
      </c>
      <c r="L223" s="149">
        <f t="shared" ref="L223:L229" si="38">K223*D223</f>
        <v>0.32200000000000001</v>
      </c>
      <c r="M223" s="37"/>
    </row>
    <row r="224" spans="1:13" hidden="1">
      <c r="A224" s="37"/>
      <c r="B224" s="437" t="s">
        <v>615</v>
      </c>
      <c r="C224" s="437"/>
      <c r="D224" s="146">
        <v>1</v>
      </c>
      <c r="E224" s="146">
        <v>2.6</v>
      </c>
      <c r="F224" s="146"/>
      <c r="G224" s="146">
        <v>0.43</v>
      </c>
      <c r="H224" s="37"/>
      <c r="I224" s="37"/>
      <c r="J224" s="37"/>
      <c r="K224" s="149">
        <f t="shared" si="37"/>
        <v>1.1180000000000001</v>
      </c>
      <c r="L224" s="149">
        <f t="shared" si="38"/>
        <v>1.1180000000000001</v>
      </c>
      <c r="M224" s="37"/>
    </row>
    <row r="225" spans="1:13" hidden="1">
      <c r="A225" s="37"/>
      <c r="B225" s="437" t="s">
        <v>616</v>
      </c>
      <c r="C225" s="437"/>
      <c r="D225" s="146">
        <v>1</v>
      </c>
      <c r="E225" s="146">
        <v>1.8</v>
      </c>
      <c r="F225" s="146"/>
      <c r="G225" s="146">
        <v>1.2</v>
      </c>
      <c r="H225" s="37"/>
      <c r="I225" s="37"/>
      <c r="J225" s="37"/>
      <c r="K225" s="149">
        <f t="shared" si="37"/>
        <v>2.16</v>
      </c>
      <c r="L225" s="149">
        <f t="shared" si="38"/>
        <v>2.16</v>
      </c>
      <c r="M225" s="37"/>
    </row>
    <row r="226" spans="1:13" hidden="1">
      <c r="A226" s="37"/>
      <c r="B226" s="437" t="s">
        <v>617</v>
      </c>
      <c r="C226" s="437"/>
      <c r="D226" s="146">
        <v>1</v>
      </c>
      <c r="E226" s="146">
        <v>15.1</v>
      </c>
      <c r="F226" s="146"/>
      <c r="G226" s="146">
        <v>0.6</v>
      </c>
      <c r="H226" s="37"/>
      <c r="I226" s="37"/>
      <c r="J226" s="37"/>
      <c r="K226" s="149">
        <f t="shared" si="37"/>
        <v>9.0599999999999987</v>
      </c>
      <c r="L226" s="149">
        <f t="shared" si="38"/>
        <v>9.0599999999999987</v>
      </c>
      <c r="M226" s="37"/>
    </row>
    <row r="227" spans="1:13" hidden="1">
      <c r="A227" s="37"/>
      <c r="B227" s="437" t="s">
        <v>618</v>
      </c>
      <c r="C227" s="437"/>
      <c r="D227" s="146">
        <v>1</v>
      </c>
      <c r="E227" s="146">
        <v>1.2</v>
      </c>
      <c r="F227" s="146"/>
      <c r="G227" s="146">
        <v>1.4</v>
      </c>
      <c r="H227" s="37"/>
      <c r="I227" s="37"/>
      <c r="J227" s="37"/>
      <c r="K227" s="149">
        <f t="shared" si="37"/>
        <v>1.68</v>
      </c>
      <c r="L227" s="149">
        <f t="shared" si="38"/>
        <v>1.68</v>
      </c>
      <c r="M227" s="37"/>
    </row>
    <row r="228" spans="1:13" hidden="1">
      <c r="A228" s="37"/>
      <c r="B228" s="437" t="s">
        <v>619</v>
      </c>
      <c r="C228" s="437"/>
      <c r="D228" s="146">
        <v>1</v>
      </c>
      <c r="E228" s="146">
        <v>10.5</v>
      </c>
      <c r="F228" s="146"/>
      <c r="G228" s="146">
        <v>0.3</v>
      </c>
      <c r="H228" s="37"/>
      <c r="I228" s="37"/>
      <c r="J228" s="37"/>
      <c r="K228" s="149">
        <f t="shared" si="37"/>
        <v>3.15</v>
      </c>
      <c r="L228" s="149">
        <f t="shared" si="38"/>
        <v>3.15</v>
      </c>
      <c r="M228" s="37"/>
    </row>
    <row r="229" spans="1:13" hidden="1">
      <c r="A229" s="37"/>
      <c r="B229" s="437" t="s">
        <v>605</v>
      </c>
      <c r="C229" s="437"/>
      <c r="D229" s="146">
        <v>1</v>
      </c>
      <c r="E229" s="146">
        <v>41.8</v>
      </c>
      <c r="F229" s="146"/>
      <c r="G229" s="146">
        <v>1.3</v>
      </c>
      <c r="H229" s="37"/>
      <c r="I229" s="37"/>
      <c r="J229" s="37"/>
      <c r="K229" s="149">
        <f t="shared" si="37"/>
        <v>54.339999999999996</v>
      </c>
      <c r="L229" s="149">
        <f t="shared" si="38"/>
        <v>54.339999999999996</v>
      </c>
      <c r="M229" s="37"/>
    </row>
    <row r="230" spans="1:13" hidden="1">
      <c r="A230" s="37"/>
      <c r="B230" s="437" t="s">
        <v>624</v>
      </c>
      <c r="C230" s="437"/>
      <c r="D230" s="146">
        <v>1</v>
      </c>
      <c r="E230" s="146"/>
      <c r="F230" s="146"/>
      <c r="G230" s="146"/>
      <c r="H230" s="37"/>
      <c r="I230" s="37"/>
      <c r="J230" s="37"/>
      <c r="K230" s="149">
        <v>11.1</v>
      </c>
      <c r="L230" s="149">
        <v>11.1</v>
      </c>
      <c r="M230" s="37"/>
    </row>
    <row r="231" spans="1:13" ht="13.15" hidden="1" customHeight="1">
      <c r="A231" s="37"/>
      <c r="B231" s="437"/>
      <c r="C231" s="437"/>
      <c r="D231" s="146"/>
      <c r="E231" s="146"/>
      <c r="F231" s="37"/>
      <c r="G231" s="37"/>
      <c r="H231" s="37"/>
      <c r="I231" s="37"/>
      <c r="J231" s="37"/>
      <c r="K231" s="37"/>
      <c r="L231" s="37"/>
      <c r="M231" s="37"/>
    </row>
    <row r="232" spans="1:13">
      <c r="A232" s="37"/>
      <c r="B232" s="204"/>
      <c r="C232" s="204"/>
      <c r="D232" s="204"/>
      <c r="E232" s="204"/>
      <c r="F232" s="204"/>
      <c r="G232" s="204"/>
      <c r="H232" s="204"/>
      <c r="I232" s="204"/>
      <c r="J232" s="204"/>
      <c r="K232" s="37"/>
      <c r="L232" s="37"/>
      <c r="M232" s="37"/>
    </row>
    <row r="233" spans="1:13">
      <c r="A233" s="142" t="s">
        <v>607</v>
      </c>
      <c r="B233" s="394" t="str">
        <f>[2]ORÇAMENTO!B44</f>
        <v>COBERTURAS E PROTEÇÕES</v>
      </c>
      <c r="C233" s="394"/>
      <c r="D233" s="394"/>
      <c r="E233" s="394"/>
      <c r="F233" s="394"/>
      <c r="G233" s="394"/>
      <c r="H233" s="394"/>
      <c r="I233" s="394"/>
      <c r="J233" s="394"/>
      <c r="K233" s="394"/>
      <c r="L233" s="142"/>
      <c r="M233" s="142"/>
    </row>
    <row r="234" spans="1:13">
      <c r="A234" s="37"/>
      <c r="B234" s="204"/>
      <c r="C234" s="204"/>
      <c r="D234" s="204"/>
      <c r="E234" s="204"/>
      <c r="F234" s="204"/>
      <c r="G234" s="204"/>
      <c r="H234" s="204"/>
      <c r="I234" s="204"/>
      <c r="J234" s="204"/>
      <c r="K234" s="37"/>
      <c r="L234" s="37"/>
      <c r="M234" s="37"/>
    </row>
    <row r="235" spans="1:13" ht="28.9" hidden="1" customHeight="1">
      <c r="A235" s="142" t="s">
        <v>57</v>
      </c>
      <c r="B235" s="394" t="str">
        <f>BM_15!B58</f>
        <v>TRAMA DE MADEIRA COMPOSTA POR RIPAS, CAIBROS E TERÇAS PARA TELHADOS DE ATÉ 2 ÁGUAS PARA TELHA DE ENCAIXE DE CERÂMICA OU DE CONCRETO, INCLUSO TRANSPORTE VERTICAL. AF_07/2019</v>
      </c>
      <c r="C235" s="394"/>
      <c r="D235" s="394"/>
      <c r="E235" s="394"/>
      <c r="F235" s="394"/>
      <c r="G235" s="394"/>
      <c r="H235" s="394"/>
      <c r="I235" s="394"/>
      <c r="J235" s="394"/>
      <c r="K235" s="394"/>
      <c r="L235" s="142">
        <f>L237</f>
        <v>200.20000000000002</v>
      </c>
      <c r="M235" s="142" t="s">
        <v>429</v>
      </c>
    </row>
    <row r="236" spans="1:13" hidden="1">
      <c r="A236" s="37"/>
      <c r="B236" s="204"/>
      <c r="C236" s="204"/>
      <c r="D236" s="204"/>
      <c r="E236" s="204"/>
      <c r="F236" s="204"/>
      <c r="G236" s="204"/>
      <c r="H236" s="204"/>
      <c r="I236" s="204"/>
      <c r="J236" s="204"/>
      <c r="K236" s="37"/>
      <c r="L236" s="37"/>
      <c r="M236" s="37"/>
    </row>
    <row r="237" spans="1:13" hidden="1">
      <c r="A237" s="37"/>
      <c r="B237" s="441" t="s">
        <v>437</v>
      </c>
      <c r="C237" s="441"/>
      <c r="D237" s="204">
        <v>1</v>
      </c>
      <c r="E237" s="146">
        <v>28.6</v>
      </c>
      <c r="F237" s="146"/>
      <c r="G237" s="146">
        <v>7</v>
      </c>
      <c r="H237" s="204"/>
      <c r="I237" s="204"/>
      <c r="J237" s="204"/>
      <c r="K237" s="37">
        <f>E237*G237</f>
        <v>200.20000000000002</v>
      </c>
      <c r="L237" s="37">
        <f>K237*D237</f>
        <v>200.20000000000002</v>
      </c>
      <c r="M237" s="37"/>
    </row>
    <row r="238" spans="1:13" hidden="1">
      <c r="A238" s="37"/>
      <c r="B238" s="441"/>
      <c r="C238" s="441"/>
      <c r="D238" s="204"/>
      <c r="E238" s="204"/>
      <c r="F238" s="204"/>
      <c r="G238" s="204"/>
      <c r="H238" s="204"/>
      <c r="I238" s="204"/>
      <c r="J238" s="204"/>
      <c r="K238" s="37"/>
      <c r="L238" s="37"/>
      <c r="M238" s="37"/>
    </row>
    <row r="239" spans="1:13" hidden="1">
      <c r="A239" s="37"/>
      <c r="B239" s="204"/>
      <c r="C239" s="204"/>
      <c r="D239" s="204"/>
      <c r="E239" s="204"/>
      <c r="F239" s="204"/>
      <c r="G239" s="204"/>
      <c r="H239" s="204"/>
      <c r="I239" s="204"/>
      <c r="J239" s="204"/>
      <c r="K239" s="37"/>
      <c r="L239" s="37"/>
      <c r="M239" s="37"/>
    </row>
    <row r="240" spans="1:13" ht="20.45" hidden="1" customHeight="1">
      <c r="A240" s="142" t="s">
        <v>58</v>
      </c>
      <c r="B240" s="394" t="str">
        <f>BM_15!B59</f>
        <v>TELHAMENTO COM TELHA CERÂMICA CAPA-CANAL, TIPO COLONIAL, COM ATÉ 2 ÁGUAS, INCLUSO TRANSPORTE VERTICAL. AF_07/2019</v>
      </c>
      <c r="C240" s="394"/>
      <c r="D240" s="394"/>
      <c r="E240" s="394"/>
      <c r="F240" s="394"/>
      <c r="G240" s="394"/>
      <c r="H240" s="394"/>
      <c r="I240" s="394"/>
      <c r="J240" s="394"/>
      <c r="K240" s="394"/>
      <c r="L240" s="142">
        <f>SUM(L242:L242)</f>
        <v>200.20000000000002</v>
      </c>
      <c r="M240" s="142" t="s">
        <v>429</v>
      </c>
    </row>
    <row r="241" spans="1:13" hidden="1">
      <c r="A241" s="37"/>
      <c r="B241" s="204"/>
      <c r="C241" s="204"/>
      <c r="D241" s="204"/>
      <c r="E241" s="204"/>
      <c r="F241" s="204"/>
      <c r="G241" s="204"/>
      <c r="H241" s="204"/>
      <c r="I241" s="204"/>
      <c r="J241" s="204"/>
      <c r="K241" s="37"/>
      <c r="L241" s="37"/>
      <c r="M241" s="37"/>
    </row>
    <row r="242" spans="1:13" hidden="1">
      <c r="A242" s="37"/>
      <c r="B242" s="441" t="s">
        <v>437</v>
      </c>
      <c r="C242" s="441"/>
      <c r="D242" s="204">
        <v>1</v>
      </c>
      <c r="E242" s="146">
        <v>28.6</v>
      </c>
      <c r="F242" s="146"/>
      <c r="G242" s="146">
        <v>7</v>
      </c>
      <c r="H242" s="204"/>
      <c r="I242" s="204"/>
      <c r="J242" s="204"/>
      <c r="K242" s="37">
        <f>E242*G242</f>
        <v>200.20000000000002</v>
      </c>
      <c r="L242" s="37">
        <f>K242*D242</f>
        <v>200.20000000000002</v>
      </c>
      <c r="M242" s="37"/>
    </row>
    <row r="243" spans="1:13">
      <c r="A243" s="37"/>
      <c r="B243" s="204"/>
      <c r="C243" s="204"/>
      <c r="D243" s="204"/>
      <c r="E243" s="146"/>
      <c r="F243" s="146"/>
      <c r="G243" s="146"/>
      <c r="H243" s="204"/>
      <c r="I243" s="204"/>
      <c r="J243" s="204"/>
      <c r="K243" s="37"/>
      <c r="L243" s="37"/>
      <c r="M243" s="37"/>
    </row>
    <row r="244" spans="1:13">
      <c r="A244" s="142" t="s">
        <v>59</v>
      </c>
      <c r="B244" s="394" t="str">
        <f>BM_15!B60</f>
        <v>FORRO EM PLACAS DE GESSO, PARA AMBIENTES COMERCIAIS. AF_05/2017_P</v>
      </c>
      <c r="C244" s="394"/>
      <c r="D244" s="394"/>
      <c r="E244" s="394"/>
      <c r="F244" s="394"/>
      <c r="G244" s="394"/>
      <c r="H244" s="394"/>
      <c r="I244" s="394"/>
      <c r="J244" s="394"/>
      <c r="K244" s="394"/>
      <c r="L244" s="142">
        <f>SUM(L246:L265)</f>
        <v>253.4675</v>
      </c>
      <c r="M244" s="142" t="s">
        <v>429</v>
      </c>
    </row>
    <row r="245" spans="1:13">
      <c r="A245" s="37"/>
      <c r="B245" s="204"/>
      <c r="C245" s="204"/>
      <c r="D245" s="204"/>
      <c r="E245" s="204"/>
      <c r="F245" s="204"/>
      <c r="G245" s="204"/>
      <c r="H245" s="204"/>
      <c r="I245" s="204"/>
      <c r="J245" s="204"/>
      <c r="K245" s="37"/>
      <c r="L245" s="37"/>
      <c r="M245" s="37"/>
    </row>
    <row r="246" spans="1:13">
      <c r="A246" s="37"/>
      <c r="B246" s="458"/>
      <c r="C246" s="458"/>
      <c r="D246" s="204"/>
      <c r="E246" s="204"/>
      <c r="F246" s="204"/>
      <c r="G246" s="204"/>
      <c r="H246" s="204"/>
      <c r="I246" s="204"/>
      <c r="J246" s="204"/>
      <c r="K246" s="37"/>
      <c r="L246" s="37"/>
      <c r="M246" s="37"/>
    </row>
    <row r="247" spans="1:13">
      <c r="A247" s="37"/>
      <c r="B247" s="458" t="s">
        <v>731</v>
      </c>
      <c r="C247" s="458"/>
      <c r="D247" s="204">
        <v>1</v>
      </c>
      <c r="E247" s="204">
        <v>4.2</v>
      </c>
      <c r="F247" s="204"/>
      <c r="G247" s="204">
        <v>3.9</v>
      </c>
      <c r="H247" s="204"/>
      <c r="I247" s="204"/>
      <c r="J247" s="204"/>
      <c r="K247" s="37">
        <f>E247*G247</f>
        <v>16.38</v>
      </c>
      <c r="L247" s="37">
        <f>K247*D247</f>
        <v>16.38</v>
      </c>
      <c r="M247" s="37"/>
    </row>
    <row r="248" spans="1:13">
      <c r="A248" s="37"/>
      <c r="B248" s="458" t="s">
        <v>733</v>
      </c>
      <c r="C248" s="458"/>
      <c r="D248" s="204">
        <v>1</v>
      </c>
      <c r="E248" s="204">
        <v>4.2</v>
      </c>
      <c r="F248" s="204"/>
      <c r="G248" s="204">
        <v>1.6</v>
      </c>
      <c r="H248" s="204"/>
      <c r="I248" s="204"/>
      <c r="J248" s="204"/>
      <c r="K248" s="37">
        <f t="shared" ref="K248:K265" si="39">E248*G248</f>
        <v>6.7200000000000006</v>
      </c>
      <c r="L248" s="37">
        <f t="shared" ref="L248:L265" si="40">K248*D248</f>
        <v>6.7200000000000006</v>
      </c>
      <c r="M248" s="37"/>
    </row>
    <row r="249" spans="1:13">
      <c r="A249" s="37"/>
      <c r="B249" s="458" t="s">
        <v>731</v>
      </c>
      <c r="C249" s="458"/>
      <c r="D249" s="204">
        <v>1</v>
      </c>
      <c r="E249" s="204">
        <v>5.25</v>
      </c>
      <c r="F249" s="204"/>
      <c r="G249" s="204">
        <v>3.9</v>
      </c>
      <c r="H249" s="204"/>
      <c r="I249" s="204"/>
      <c r="J249" s="204"/>
      <c r="K249" s="37">
        <f t="shared" si="39"/>
        <v>20.474999999999998</v>
      </c>
      <c r="L249" s="37">
        <f t="shared" si="40"/>
        <v>20.474999999999998</v>
      </c>
      <c r="M249" s="37"/>
    </row>
    <row r="250" spans="1:13">
      <c r="A250" s="37"/>
      <c r="B250" s="458" t="s">
        <v>733</v>
      </c>
      <c r="C250" s="458"/>
      <c r="D250" s="204">
        <v>1</v>
      </c>
      <c r="E250" s="204">
        <v>5.25</v>
      </c>
      <c r="F250" s="204"/>
      <c r="G250" s="204">
        <v>1.55</v>
      </c>
      <c r="H250" s="204"/>
      <c r="I250" s="204"/>
      <c r="J250" s="204"/>
      <c r="K250" s="37">
        <f>E250*G250</f>
        <v>8.1375000000000011</v>
      </c>
      <c r="L250" s="37">
        <f t="shared" si="40"/>
        <v>8.1375000000000011</v>
      </c>
      <c r="M250" s="37"/>
    </row>
    <row r="251" spans="1:13">
      <c r="A251" s="37"/>
      <c r="B251" s="458" t="s">
        <v>735</v>
      </c>
      <c r="C251" s="458"/>
      <c r="D251" s="204">
        <v>1</v>
      </c>
      <c r="E251" s="204">
        <v>5.2</v>
      </c>
      <c r="F251" s="204"/>
      <c r="G251" s="204">
        <v>3.5</v>
      </c>
      <c r="H251" s="204"/>
      <c r="I251" s="204"/>
      <c r="J251" s="204"/>
      <c r="K251" s="37">
        <f t="shared" si="39"/>
        <v>18.2</v>
      </c>
      <c r="L251" s="37">
        <f t="shared" si="40"/>
        <v>18.2</v>
      </c>
      <c r="M251" s="37"/>
    </row>
    <row r="252" spans="1:13">
      <c r="A252" s="37"/>
      <c r="B252" s="458" t="s">
        <v>464</v>
      </c>
      <c r="C252" s="458"/>
      <c r="D252" s="204">
        <v>1</v>
      </c>
      <c r="E252" s="204">
        <v>5.7</v>
      </c>
      <c r="F252" s="204"/>
      <c r="G252" s="204">
        <v>7.4</v>
      </c>
      <c r="H252" s="204"/>
      <c r="I252" s="204"/>
      <c r="J252" s="204"/>
      <c r="K252" s="37">
        <f t="shared" si="39"/>
        <v>42.180000000000007</v>
      </c>
      <c r="L252" s="37">
        <f t="shared" si="40"/>
        <v>42.180000000000007</v>
      </c>
      <c r="M252" s="37"/>
    </row>
    <row r="253" spans="1:13">
      <c r="A253" s="37"/>
      <c r="B253" s="458" t="s">
        <v>673</v>
      </c>
      <c r="C253" s="458"/>
      <c r="D253" s="204">
        <v>1</v>
      </c>
      <c r="E253" s="204">
        <v>2</v>
      </c>
      <c r="F253" s="204"/>
      <c r="G253" s="204">
        <v>2.2999999999999998</v>
      </c>
      <c r="H253" s="204"/>
      <c r="I253" s="204"/>
      <c r="J253" s="204"/>
      <c r="K253" s="37">
        <f t="shared" si="39"/>
        <v>4.5999999999999996</v>
      </c>
      <c r="L253" s="37">
        <f t="shared" si="40"/>
        <v>4.5999999999999996</v>
      </c>
      <c r="M253" s="37"/>
    </row>
    <row r="254" spans="1:13">
      <c r="A254" s="37"/>
      <c r="B254" s="458" t="s">
        <v>674</v>
      </c>
      <c r="C254" s="458"/>
      <c r="D254" s="204">
        <v>1</v>
      </c>
      <c r="E254" s="204">
        <v>2</v>
      </c>
      <c r="F254" s="204"/>
      <c r="G254" s="204">
        <v>2.5499999999999998</v>
      </c>
      <c r="H254" s="204"/>
      <c r="I254" s="204"/>
      <c r="J254" s="204"/>
      <c r="K254" s="37">
        <f t="shared" si="39"/>
        <v>5.0999999999999996</v>
      </c>
      <c r="L254" s="37">
        <f t="shared" si="40"/>
        <v>5.0999999999999996</v>
      </c>
      <c r="M254" s="37"/>
    </row>
    <row r="255" spans="1:13">
      <c r="A255" s="37"/>
      <c r="B255" s="458" t="s">
        <v>739</v>
      </c>
      <c r="C255" s="458"/>
      <c r="D255" s="204">
        <v>1</v>
      </c>
      <c r="E255" s="204">
        <v>4.5</v>
      </c>
      <c r="F255" s="204"/>
      <c r="G255" s="204">
        <v>5.2</v>
      </c>
      <c r="H255" s="204"/>
      <c r="I255" s="204"/>
      <c r="J255" s="204"/>
      <c r="K255" s="37">
        <f t="shared" si="39"/>
        <v>23.400000000000002</v>
      </c>
      <c r="L255" s="37">
        <f t="shared" si="40"/>
        <v>23.400000000000002</v>
      </c>
      <c r="M255" s="37"/>
    </row>
    <row r="256" spans="1:13">
      <c r="A256" s="37"/>
      <c r="B256" s="458" t="s">
        <v>740</v>
      </c>
      <c r="C256" s="458"/>
      <c r="D256" s="204">
        <v>1</v>
      </c>
      <c r="E256" s="204">
        <v>1.9</v>
      </c>
      <c r="F256" s="204"/>
      <c r="G256" s="204">
        <v>1</v>
      </c>
      <c r="H256" s="204"/>
      <c r="I256" s="204"/>
      <c r="J256" s="204"/>
      <c r="K256" s="37">
        <f t="shared" si="39"/>
        <v>1.9</v>
      </c>
      <c r="L256" s="37">
        <f t="shared" si="40"/>
        <v>1.9</v>
      </c>
      <c r="M256" s="37"/>
    </row>
    <row r="257" spans="1:13">
      <c r="A257" s="37"/>
      <c r="B257" s="458" t="s">
        <v>741</v>
      </c>
      <c r="C257" s="458"/>
      <c r="D257" s="204">
        <v>1</v>
      </c>
      <c r="E257" s="204">
        <v>4.4000000000000004</v>
      </c>
      <c r="F257" s="204"/>
      <c r="G257" s="204">
        <v>1.5</v>
      </c>
      <c r="H257" s="204"/>
      <c r="I257" s="204"/>
      <c r="J257" s="204"/>
      <c r="K257" s="37">
        <f t="shared" si="39"/>
        <v>6.6000000000000005</v>
      </c>
      <c r="L257" s="37">
        <f t="shared" si="40"/>
        <v>6.6000000000000005</v>
      </c>
      <c r="M257" s="37"/>
    </row>
    <row r="258" spans="1:13" ht="43.15" customHeight="1">
      <c r="A258" s="37"/>
      <c r="B258" s="461" t="s">
        <v>743</v>
      </c>
      <c r="C258" s="461"/>
      <c r="D258" s="204">
        <v>1</v>
      </c>
      <c r="E258" s="204">
        <v>17</v>
      </c>
      <c r="F258" s="204"/>
      <c r="G258" s="204">
        <v>2.1</v>
      </c>
      <c r="H258" s="204"/>
      <c r="I258" s="204"/>
      <c r="J258" s="204"/>
      <c r="K258" s="37">
        <f t="shared" si="39"/>
        <v>35.700000000000003</v>
      </c>
      <c r="L258" s="37">
        <f t="shared" si="40"/>
        <v>35.700000000000003</v>
      </c>
      <c r="M258" s="37"/>
    </row>
    <row r="259" spans="1:13">
      <c r="A259" s="37"/>
      <c r="B259" s="458" t="s">
        <v>744</v>
      </c>
      <c r="C259" s="458"/>
      <c r="D259" s="204">
        <v>1</v>
      </c>
      <c r="E259" s="204">
        <v>4.5999999999999996</v>
      </c>
      <c r="F259" s="204"/>
      <c r="G259" s="204">
        <v>2.9</v>
      </c>
      <c r="H259" s="204"/>
      <c r="I259" s="204"/>
      <c r="J259" s="204"/>
      <c r="K259" s="37">
        <f t="shared" si="39"/>
        <v>13.339999999999998</v>
      </c>
      <c r="L259" s="37">
        <f t="shared" si="40"/>
        <v>13.339999999999998</v>
      </c>
      <c r="M259" s="37"/>
    </row>
    <row r="260" spans="1:13">
      <c r="A260" s="37"/>
      <c r="B260" s="458" t="s">
        <v>745</v>
      </c>
      <c r="C260" s="458"/>
      <c r="D260" s="204">
        <v>1</v>
      </c>
      <c r="E260" s="204">
        <v>3.3</v>
      </c>
      <c r="F260" s="204"/>
      <c r="G260" s="204">
        <v>1.8</v>
      </c>
      <c r="H260" s="204"/>
      <c r="I260" s="204"/>
      <c r="J260" s="204"/>
      <c r="K260" s="37">
        <f t="shared" si="39"/>
        <v>5.9399999999999995</v>
      </c>
      <c r="L260" s="37">
        <f t="shared" si="40"/>
        <v>5.9399999999999995</v>
      </c>
      <c r="M260" s="37"/>
    </row>
    <row r="261" spans="1:13">
      <c r="A261" s="37"/>
      <c r="B261" s="458" t="s">
        <v>712</v>
      </c>
      <c r="C261" s="458"/>
      <c r="D261" s="204">
        <v>1</v>
      </c>
      <c r="E261" s="204">
        <v>1.45</v>
      </c>
      <c r="F261" s="204"/>
      <c r="G261" s="204">
        <v>2.1</v>
      </c>
      <c r="H261" s="204"/>
      <c r="I261" s="204"/>
      <c r="J261" s="204"/>
      <c r="K261" s="37">
        <f t="shared" si="39"/>
        <v>3.0449999999999999</v>
      </c>
      <c r="L261" s="37">
        <f t="shared" si="40"/>
        <v>3.0449999999999999</v>
      </c>
      <c r="M261" s="37"/>
    </row>
    <row r="262" spans="1:13">
      <c r="A262" s="37"/>
      <c r="B262" s="458" t="s">
        <v>673</v>
      </c>
      <c r="C262" s="458"/>
      <c r="D262" s="204">
        <v>1</v>
      </c>
      <c r="E262" s="204">
        <v>1.8</v>
      </c>
      <c r="F262" s="204"/>
      <c r="G262" s="204">
        <v>1.45</v>
      </c>
      <c r="H262" s="204"/>
      <c r="I262" s="204"/>
      <c r="J262" s="204"/>
      <c r="K262" s="37">
        <f t="shared" si="39"/>
        <v>2.61</v>
      </c>
      <c r="L262" s="37">
        <f t="shared" si="40"/>
        <v>2.61</v>
      </c>
      <c r="M262" s="37"/>
    </row>
    <row r="263" spans="1:13">
      <c r="A263" s="37"/>
      <c r="B263" s="458" t="s">
        <v>674</v>
      </c>
      <c r="C263" s="458"/>
      <c r="D263" s="204">
        <v>1</v>
      </c>
      <c r="E263" s="204">
        <v>1</v>
      </c>
      <c r="F263" s="204"/>
      <c r="G263" s="204">
        <v>1.96</v>
      </c>
      <c r="H263" s="204"/>
      <c r="I263" s="204"/>
      <c r="J263" s="204"/>
      <c r="K263" s="37">
        <f t="shared" si="39"/>
        <v>1.96</v>
      </c>
      <c r="L263" s="37">
        <f t="shared" si="40"/>
        <v>1.96</v>
      </c>
      <c r="M263" s="37"/>
    </row>
    <row r="264" spans="1:13" ht="28.9" customHeight="1">
      <c r="A264" s="37"/>
      <c r="B264" s="461" t="s">
        <v>746</v>
      </c>
      <c r="C264" s="461"/>
      <c r="D264" s="204">
        <v>1</v>
      </c>
      <c r="E264" s="204">
        <v>4.4000000000000004</v>
      </c>
      <c r="F264" s="204"/>
      <c r="G264" s="204">
        <v>3.2</v>
      </c>
      <c r="H264" s="204"/>
      <c r="I264" s="204"/>
      <c r="J264" s="204"/>
      <c r="K264" s="37">
        <f t="shared" si="39"/>
        <v>14.080000000000002</v>
      </c>
      <c r="L264" s="37">
        <f t="shared" si="40"/>
        <v>14.080000000000002</v>
      </c>
      <c r="M264" s="37"/>
    </row>
    <row r="265" spans="1:13">
      <c r="A265" s="37"/>
      <c r="B265" s="458" t="s">
        <v>747</v>
      </c>
      <c r="C265" s="458"/>
      <c r="D265" s="204">
        <v>1</v>
      </c>
      <c r="E265" s="204">
        <v>7</v>
      </c>
      <c r="F265" s="204"/>
      <c r="G265" s="204">
        <v>3.3</v>
      </c>
      <c r="H265" s="204"/>
      <c r="I265" s="204"/>
      <c r="J265" s="204"/>
      <c r="K265" s="37">
        <f t="shared" si="39"/>
        <v>23.099999999999998</v>
      </c>
      <c r="L265" s="37">
        <f t="shared" si="40"/>
        <v>23.099999999999998</v>
      </c>
      <c r="M265" s="37"/>
    </row>
    <row r="266" spans="1:13">
      <c r="A266" s="37"/>
      <c r="B266" s="46"/>
      <c r="C266" s="46"/>
      <c r="D266" s="204"/>
      <c r="E266" s="146"/>
      <c r="F266" s="146"/>
      <c r="G266" s="146"/>
      <c r="H266" s="204"/>
      <c r="I266" s="204"/>
      <c r="J266" s="204"/>
      <c r="K266" s="37"/>
      <c r="L266" s="37"/>
      <c r="M266" s="37"/>
    </row>
    <row r="267" spans="1:13">
      <c r="A267" s="142">
        <v>6</v>
      </c>
      <c r="B267" s="394" t="str">
        <f>BM_15!B67</f>
        <v>ESQUADRIAS</v>
      </c>
      <c r="C267" s="394"/>
      <c r="D267" s="394"/>
      <c r="E267" s="394"/>
      <c r="F267" s="394"/>
      <c r="G267" s="394"/>
      <c r="H267" s="394"/>
      <c r="I267" s="394"/>
      <c r="J267" s="394"/>
      <c r="K267" s="394"/>
      <c r="L267" s="142"/>
      <c r="M267" s="142"/>
    </row>
    <row r="268" spans="1:13">
      <c r="A268" s="37"/>
      <c r="B268" s="204"/>
      <c r="C268" s="204"/>
      <c r="D268" s="204"/>
      <c r="E268" s="204"/>
      <c r="F268" s="204"/>
      <c r="G268" s="204"/>
      <c r="H268" s="204"/>
      <c r="I268" s="204"/>
      <c r="J268" s="204"/>
      <c r="K268" s="37"/>
      <c r="L268" s="37"/>
      <c r="M268" s="37"/>
    </row>
    <row r="269" spans="1:13" ht="32.450000000000003" customHeight="1">
      <c r="A269" s="142" t="str">
        <f>BM_15!A70</f>
        <v>6.1.2</v>
      </c>
      <c r="B269" s="394" t="str">
        <f>BM_15!B70</f>
        <v>JANELA DE ALUMÍNIO TIPO MAXIM-AR, COM VIDROS, BATENTE E FERRAGENS. EXCLUSIVE ALIZAR, ACABAMENTO E CONTRAMARCO. FORNECIMENTO E INSTALAÇÃO. AF_12/2019</v>
      </c>
      <c r="C269" s="394"/>
      <c r="D269" s="394"/>
      <c r="E269" s="394"/>
      <c r="F269" s="394"/>
      <c r="G269" s="394"/>
      <c r="H269" s="394"/>
      <c r="I269" s="394"/>
      <c r="J269" s="394"/>
      <c r="K269" s="394"/>
      <c r="L269" s="142">
        <f>L271</f>
        <v>4</v>
      </c>
      <c r="M269" s="142" t="s">
        <v>429</v>
      </c>
    </row>
    <row r="270" spans="1:13">
      <c r="A270" s="37"/>
      <c r="B270" s="204"/>
      <c r="C270" s="204"/>
      <c r="D270" s="204"/>
      <c r="E270" s="204"/>
      <c r="F270" s="204"/>
      <c r="G270" s="204"/>
      <c r="H270" s="204"/>
      <c r="I270" s="204"/>
      <c r="J270" s="204"/>
      <c r="K270" s="37"/>
      <c r="L270" s="37"/>
      <c r="M270" s="37"/>
    </row>
    <row r="271" spans="1:13">
      <c r="A271" s="37"/>
      <c r="B271" s="441"/>
      <c r="C271" s="441"/>
      <c r="D271" s="204">
        <v>16</v>
      </c>
      <c r="E271" s="146">
        <v>0.5</v>
      </c>
      <c r="F271" s="146"/>
      <c r="G271" s="146">
        <v>0.5</v>
      </c>
      <c r="H271" s="204"/>
      <c r="I271" s="204"/>
      <c r="J271" s="204"/>
      <c r="K271" s="37">
        <f>E271*G271</f>
        <v>0.25</v>
      </c>
      <c r="L271" s="37">
        <f>K271*D271</f>
        <v>4</v>
      </c>
      <c r="M271" s="37"/>
    </row>
    <row r="272" spans="1:13">
      <c r="A272" s="37"/>
      <c r="B272" s="441"/>
      <c r="C272" s="441"/>
      <c r="D272" s="204"/>
      <c r="E272" s="204"/>
      <c r="F272" s="204"/>
      <c r="G272" s="204"/>
      <c r="H272" s="204"/>
      <c r="I272" s="204"/>
      <c r="J272" s="204"/>
      <c r="K272" s="37"/>
      <c r="L272" s="37"/>
      <c r="M272" s="37"/>
    </row>
    <row r="273" spans="1:13">
      <c r="A273" s="37"/>
      <c r="B273" s="204"/>
      <c r="C273" s="204"/>
      <c r="D273" s="204"/>
      <c r="E273" s="204"/>
      <c r="F273" s="204"/>
      <c r="G273" s="204"/>
      <c r="H273" s="204"/>
      <c r="I273" s="204"/>
      <c r="J273" s="204"/>
      <c r="K273" s="37"/>
      <c r="L273" s="37"/>
      <c r="M273" s="37"/>
    </row>
    <row r="274" spans="1:13" ht="28.9" customHeight="1">
      <c r="A274" s="142" t="str">
        <f>BM_15!A79</f>
        <v>6.1.11</v>
      </c>
      <c r="B274" s="394" t="str">
        <f>BM_15!B79</f>
        <v>JANELA FIXA DE ALUMÍNIO PARA VIDRO, COM VIDRO, BATENTE E FERRAGENS. EXCLUSIVE ACABAMENTO, ALIZAR E CONTRAMARCO. FORNECIMENTO E INSTALAÇÃO. AF_12/2019</v>
      </c>
      <c r="C274" s="394"/>
      <c r="D274" s="394"/>
      <c r="E274" s="394"/>
      <c r="F274" s="394"/>
      <c r="G274" s="394"/>
      <c r="H274" s="394"/>
      <c r="I274" s="394"/>
      <c r="J274" s="394"/>
      <c r="K274" s="394"/>
      <c r="L274" s="142">
        <f>SUM(L276:L278)</f>
        <v>19.75</v>
      </c>
      <c r="M274" s="142" t="s">
        <v>429</v>
      </c>
    </row>
    <row r="275" spans="1:13">
      <c r="A275" s="37"/>
      <c r="B275" s="204"/>
      <c r="C275" s="204"/>
      <c r="D275" s="204"/>
      <c r="E275" s="204"/>
      <c r="F275" s="204"/>
      <c r="G275" s="204"/>
      <c r="H275" s="204"/>
      <c r="I275" s="204"/>
      <c r="J275" s="204"/>
      <c r="K275" s="37"/>
      <c r="L275" s="37"/>
      <c r="M275" s="37"/>
    </row>
    <row r="276" spans="1:13">
      <c r="A276" s="37"/>
      <c r="B276" s="459" t="s">
        <v>726</v>
      </c>
      <c r="C276" s="460"/>
      <c r="D276" s="204"/>
      <c r="E276" s="146"/>
      <c r="F276" s="146"/>
      <c r="G276" s="146"/>
      <c r="H276" s="204"/>
      <c r="I276" s="204"/>
      <c r="J276" s="204"/>
      <c r="K276" s="37"/>
      <c r="L276" s="146">
        <v>5.75</v>
      </c>
      <c r="M276" s="37"/>
    </row>
    <row r="277" spans="1:13">
      <c r="A277" s="37"/>
      <c r="B277" s="462" t="s">
        <v>728</v>
      </c>
      <c r="C277" s="463"/>
      <c r="D277" s="204"/>
      <c r="E277" s="146"/>
      <c r="F277" s="146"/>
      <c r="G277" s="146"/>
      <c r="H277" s="204"/>
      <c r="I277" s="204"/>
      <c r="J277" s="204"/>
      <c r="K277" s="37"/>
      <c r="L277" s="146">
        <v>6.78</v>
      </c>
      <c r="M277" s="37"/>
    </row>
    <row r="278" spans="1:13">
      <c r="A278" s="37"/>
      <c r="B278" s="464" t="s">
        <v>729</v>
      </c>
      <c r="C278" s="465"/>
      <c r="D278" s="204"/>
      <c r="E278" s="146"/>
      <c r="F278" s="146"/>
      <c r="G278" s="146"/>
      <c r="H278" s="204"/>
      <c r="I278" s="204"/>
      <c r="J278" s="204"/>
      <c r="K278" s="37"/>
      <c r="L278" s="146">
        <v>7.22</v>
      </c>
      <c r="M278" s="37"/>
    </row>
    <row r="279" spans="1:13">
      <c r="A279" s="37"/>
      <c r="B279" s="204"/>
      <c r="C279" s="204"/>
      <c r="D279" s="204"/>
      <c r="E279" s="146"/>
      <c r="F279" s="146"/>
      <c r="G279" s="146"/>
      <c r="H279" s="204"/>
      <c r="I279" s="204"/>
      <c r="J279" s="204"/>
      <c r="K279" s="37"/>
      <c r="L279" s="37"/>
      <c r="M279" s="37"/>
    </row>
    <row r="280" spans="1:13">
      <c r="A280" s="148">
        <v>7</v>
      </c>
      <c r="B280" s="394" t="str">
        <f>[2]REPROGRAMAÇÃO!C94</f>
        <v>REVESTIMENTO</v>
      </c>
      <c r="C280" s="394"/>
      <c r="D280" s="394"/>
      <c r="E280" s="394"/>
      <c r="F280" s="394"/>
      <c r="G280" s="394"/>
      <c r="H280" s="394"/>
      <c r="I280" s="394"/>
      <c r="J280" s="394"/>
      <c r="K280" s="394"/>
      <c r="L280" s="142"/>
      <c r="M280" s="142"/>
    </row>
    <row r="281" spans="1:13">
      <c r="A281" s="37"/>
      <c r="B281" s="204"/>
      <c r="C281" s="204"/>
      <c r="D281" s="204"/>
      <c r="E281" s="204"/>
      <c r="F281" s="204"/>
      <c r="G281" s="204"/>
      <c r="H281" s="204"/>
      <c r="I281" s="204"/>
      <c r="J281" s="204"/>
      <c r="K281" s="37"/>
      <c r="L281" s="37"/>
      <c r="M281" s="37"/>
    </row>
    <row r="282" spans="1:13" ht="22.15" customHeight="1">
      <c r="A282" s="142" t="str">
        <f>BM_15!A104</f>
        <v>7.6</v>
      </c>
      <c r="B282" s="394" t="str">
        <f>BM_15!B104</f>
        <v>Revestimento cerâmico para piso ou parede, 45 x 45 cm, c/ piso porcelanato marmore bianco, PORTOBELLO ou similar, PEI 5, aplicado com argamassa industrializada ac-iii, rejuntado, exclusive regularização de base ou emboço</v>
      </c>
      <c r="C282" s="394"/>
      <c r="D282" s="394"/>
      <c r="E282" s="394"/>
      <c r="F282" s="394"/>
      <c r="G282" s="394"/>
      <c r="H282" s="394"/>
      <c r="I282" s="394"/>
      <c r="J282" s="394"/>
      <c r="K282" s="394"/>
      <c r="L282" s="142">
        <f>SUM(L284:L290)</f>
        <v>112.021</v>
      </c>
      <c r="M282" s="142" t="s">
        <v>516</v>
      </c>
    </row>
    <row r="283" spans="1:13">
      <c r="A283" s="37"/>
      <c r="B283" s="204"/>
      <c r="C283" s="204"/>
      <c r="D283" s="204"/>
      <c r="E283" s="204"/>
      <c r="F283" s="204"/>
      <c r="G283" s="204"/>
      <c r="H283" s="204"/>
      <c r="I283" s="204"/>
      <c r="J283" s="204"/>
      <c r="K283" s="37"/>
      <c r="L283" s="37"/>
      <c r="M283" s="37"/>
    </row>
    <row r="284" spans="1:13">
      <c r="A284" s="37"/>
      <c r="B284" s="459" t="s">
        <v>750</v>
      </c>
      <c r="C284" s="460"/>
      <c r="D284" s="204">
        <v>1</v>
      </c>
      <c r="E284" s="43">
        <v>5</v>
      </c>
      <c r="F284" s="204"/>
      <c r="G284" s="43">
        <v>10.5</v>
      </c>
      <c r="H284" s="204"/>
      <c r="I284" s="204"/>
      <c r="J284" s="204"/>
      <c r="K284" s="37">
        <f>E284*G284</f>
        <v>52.5</v>
      </c>
      <c r="L284" s="37">
        <f>K284*D284</f>
        <v>52.5</v>
      </c>
      <c r="M284" s="37"/>
    </row>
    <row r="285" spans="1:13">
      <c r="A285" s="37"/>
      <c r="B285" s="459" t="s">
        <v>750</v>
      </c>
      <c r="C285" s="460"/>
      <c r="D285" s="204">
        <v>1</v>
      </c>
      <c r="E285" s="43">
        <v>4.2</v>
      </c>
      <c r="F285" s="204"/>
      <c r="G285" s="43">
        <v>0.81</v>
      </c>
      <c r="H285" s="204"/>
      <c r="I285" s="204"/>
      <c r="J285" s="204"/>
      <c r="K285" s="37">
        <f t="shared" ref="K285:K290" si="41">E285*G285</f>
        <v>3.4020000000000006</v>
      </c>
      <c r="L285" s="37">
        <f t="shared" ref="L285:L290" si="42">K285*D285</f>
        <v>3.4020000000000006</v>
      </c>
      <c r="M285" s="37"/>
    </row>
    <row r="286" spans="1:13">
      <c r="A286" s="37"/>
      <c r="B286" s="459" t="s">
        <v>750</v>
      </c>
      <c r="C286" s="460"/>
      <c r="D286" s="204">
        <v>1</v>
      </c>
      <c r="E286" s="43">
        <v>4.2</v>
      </c>
      <c r="F286" s="204"/>
      <c r="G286" s="43">
        <v>2.42</v>
      </c>
      <c r="H286" s="204"/>
      <c r="I286" s="204"/>
      <c r="J286" s="204"/>
      <c r="K286" s="37">
        <f t="shared" si="41"/>
        <v>10.164</v>
      </c>
      <c r="L286" s="37">
        <f t="shared" si="42"/>
        <v>10.164</v>
      </c>
      <c r="M286" s="37"/>
    </row>
    <row r="287" spans="1:13">
      <c r="A287" s="37"/>
      <c r="B287" s="459" t="s">
        <v>750</v>
      </c>
      <c r="C287" s="460"/>
      <c r="D287" s="204">
        <v>1</v>
      </c>
      <c r="E287" s="43">
        <v>1.7</v>
      </c>
      <c r="F287" s="204"/>
      <c r="G287" s="43">
        <v>2.72</v>
      </c>
      <c r="H287" s="204"/>
      <c r="I287" s="204"/>
      <c r="J287" s="204"/>
      <c r="K287" s="37">
        <f t="shared" si="41"/>
        <v>4.6240000000000006</v>
      </c>
      <c r="L287" s="37">
        <f t="shared" si="42"/>
        <v>4.6240000000000006</v>
      </c>
      <c r="M287" s="37"/>
    </row>
    <row r="288" spans="1:13">
      <c r="A288" s="37"/>
      <c r="B288" s="459" t="s">
        <v>750</v>
      </c>
      <c r="C288" s="460"/>
      <c r="D288" s="204">
        <v>1</v>
      </c>
      <c r="E288" s="43">
        <v>1.5</v>
      </c>
      <c r="F288" s="204"/>
      <c r="G288" s="43">
        <v>5.85</v>
      </c>
      <c r="H288" s="204"/>
      <c r="I288" s="204"/>
      <c r="J288" s="204"/>
      <c r="K288" s="37">
        <f t="shared" si="41"/>
        <v>8.7749999999999986</v>
      </c>
      <c r="L288" s="37">
        <f t="shared" si="42"/>
        <v>8.7749999999999986</v>
      </c>
      <c r="M288" s="37"/>
    </row>
    <row r="289" spans="1:13">
      <c r="A289" s="37"/>
      <c r="B289" s="459" t="s">
        <v>750</v>
      </c>
      <c r="C289" s="460"/>
      <c r="D289" s="204">
        <v>1</v>
      </c>
      <c r="E289" s="43">
        <v>4.2</v>
      </c>
      <c r="F289" s="204"/>
      <c r="G289" s="43">
        <v>2.78</v>
      </c>
      <c r="H289" s="204"/>
      <c r="I289" s="204"/>
      <c r="J289" s="204"/>
      <c r="K289" s="37">
        <f t="shared" si="41"/>
        <v>11.676</v>
      </c>
      <c r="L289" s="37">
        <f t="shared" si="42"/>
        <v>11.676</v>
      </c>
      <c r="M289" s="37"/>
    </row>
    <row r="290" spans="1:13">
      <c r="A290" s="37"/>
      <c r="B290" s="459" t="s">
        <v>750</v>
      </c>
      <c r="C290" s="460"/>
      <c r="D290" s="204">
        <v>1</v>
      </c>
      <c r="E290" s="43">
        <v>3.48</v>
      </c>
      <c r="F290" s="204"/>
      <c r="G290" s="43">
        <v>6</v>
      </c>
      <c r="H290" s="204"/>
      <c r="I290" s="204"/>
      <c r="J290" s="204"/>
      <c r="K290" s="37">
        <f t="shared" si="41"/>
        <v>20.88</v>
      </c>
      <c r="L290" s="37">
        <f t="shared" si="42"/>
        <v>20.88</v>
      </c>
      <c r="M290" s="37"/>
    </row>
    <row r="291" spans="1:13">
      <c r="A291" s="204"/>
      <c r="B291" s="205"/>
      <c r="C291" s="205"/>
      <c r="D291" s="204"/>
      <c r="E291" s="146"/>
      <c r="F291" s="146"/>
      <c r="G291" s="146"/>
      <c r="H291" s="69"/>
      <c r="I291" s="69"/>
      <c r="J291" s="69"/>
      <c r="K291" s="39"/>
      <c r="L291" s="204"/>
      <c r="M291" s="204"/>
    </row>
    <row r="292" spans="1:13">
      <c r="A292" s="148">
        <v>11</v>
      </c>
      <c r="B292" s="394" t="str">
        <f>BM_15!B215</f>
        <v>PINTURA</v>
      </c>
      <c r="C292" s="394"/>
      <c r="D292" s="394"/>
      <c r="E292" s="394"/>
      <c r="F292" s="394"/>
      <c r="G292" s="394"/>
      <c r="H292" s="394"/>
      <c r="I292" s="394"/>
      <c r="J292" s="394"/>
      <c r="K292" s="394"/>
      <c r="L292" s="142"/>
      <c r="M292" s="142"/>
    </row>
    <row r="293" spans="1:13">
      <c r="A293" s="37"/>
      <c r="B293" s="204"/>
      <c r="C293" s="204"/>
      <c r="D293" s="204"/>
      <c r="E293" s="204"/>
      <c r="F293" s="204"/>
      <c r="G293" s="204"/>
      <c r="H293" s="204"/>
      <c r="I293" s="204"/>
      <c r="J293" s="204"/>
      <c r="K293" s="37"/>
      <c r="L293" s="37"/>
      <c r="M293" s="37"/>
    </row>
    <row r="294" spans="1:13" ht="24" customHeight="1">
      <c r="A294" s="142" t="str">
        <f>BM_15!A216</f>
        <v>11.1</v>
      </c>
      <c r="B294" s="394" t="str">
        <f>BM_15!B216</f>
        <v>APLICAÇÃO MANUAL DE PINTURA COM TINTA LÁTEX ACRÍLICA EM PAREDES, DUAS DEMÃOS. AF_06/2014</v>
      </c>
      <c r="C294" s="394"/>
      <c r="D294" s="394"/>
      <c r="E294" s="394"/>
      <c r="F294" s="394"/>
      <c r="G294" s="394"/>
      <c r="H294" s="394"/>
      <c r="I294" s="394"/>
      <c r="J294" s="394"/>
      <c r="K294" s="394"/>
      <c r="L294" s="142">
        <f>SUM(L296:L316)</f>
        <v>503.45799999999991</v>
      </c>
      <c r="M294" s="142" t="s">
        <v>429</v>
      </c>
    </row>
    <row r="295" spans="1:13">
      <c r="A295" s="204"/>
      <c r="B295" s="205"/>
      <c r="C295" s="205"/>
      <c r="D295" s="204"/>
      <c r="E295" s="146"/>
      <c r="F295" s="146"/>
      <c r="G295" s="146"/>
      <c r="H295" s="69"/>
      <c r="I295" s="69"/>
      <c r="J295" s="69"/>
      <c r="K295" s="39"/>
      <c r="L295" s="204"/>
      <c r="M295" s="204"/>
    </row>
    <row r="296" spans="1:13">
      <c r="A296" s="204"/>
      <c r="B296" s="458" t="s">
        <v>725</v>
      </c>
      <c r="C296" s="458"/>
      <c r="D296" s="204">
        <v>1</v>
      </c>
      <c r="E296" s="204">
        <v>19.899999999999999</v>
      </c>
      <c r="F296" s="204"/>
      <c r="G296" s="204">
        <v>4.3</v>
      </c>
      <c r="H296" s="69"/>
      <c r="I296" s="69"/>
      <c r="J296" s="69"/>
      <c r="K296" s="37">
        <f>E296*G296</f>
        <v>85.57</v>
      </c>
      <c r="L296" s="37">
        <f>K296*D296</f>
        <v>85.57</v>
      </c>
      <c r="M296" s="204"/>
    </row>
    <row r="297" spans="1:13">
      <c r="A297" s="204"/>
      <c r="B297" s="458" t="s">
        <v>727</v>
      </c>
      <c r="C297" s="458"/>
      <c r="D297" s="204">
        <v>1</v>
      </c>
      <c r="E297" s="204">
        <v>12.2</v>
      </c>
      <c r="F297" s="204"/>
      <c r="G297" s="204">
        <v>2</v>
      </c>
      <c r="H297" s="69"/>
      <c r="I297" s="69"/>
      <c r="J297" s="69"/>
      <c r="K297" s="37">
        <f t="shared" ref="K297:K316" si="43">E297*G297</f>
        <v>24.4</v>
      </c>
      <c r="L297" s="37">
        <f t="shared" ref="L297:L316" si="44">K297*D297</f>
        <v>24.4</v>
      </c>
      <c r="M297" s="204"/>
    </row>
    <row r="298" spans="1:13">
      <c r="A298" s="204"/>
      <c r="B298" s="458" t="s">
        <v>727</v>
      </c>
      <c r="C298" s="458"/>
      <c r="D298" s="204">
        <v>1</v>
      </c>
      <c r="E298" s="204">
        <v>7.6</v>
      </c>
      <c r="F298" s="204"/>
      <c r="G298" s="204">
        <v>1.7</v>
      </c>
      <c r="H298" s="69"/>
      <c r="I298" s="69"/>
      <c r="J298" s="69"/>
      <c r="K298" s="37">
        <f t="shared" si="43"/>
        <v>12.92</v>
      </c>
      <c r="L298" s="37">
        <f t="shared" si="44"/>
        <v>12.92</v>
      </c>
      <c r="M298" s="204"/>
    </row>
    <row r="299" spans="1:13">
      <c r="A299" s="204"/>
      <c r="B299" s="458" t="s">
        <v>727</v>
      </c>
      <c r="C299" s="458"/>
      <c r="D299" s="204">
        <v>1</v>
      </c>
      <c r="E299" s="204">
        <v>9.6</v>
      </c>
      <c r="F299" s="204"/>
      <c r="G299" s="204">
        <v>2</v>
      </c>
      <c r="H299" s="69"/>
      <c r="I299" s="69"/>
      <c r="J299" s="69"/>
      <c r="K299" s="37">
        <f t="shared" si="43"/>
        <v>19.2</v>
      </c>
      <c r="L299" s="37">
        <f t="shared" si="44"/>
        <v>19.2</v>
      </c>
      <c r="M299" s="204"/>
    </row>
    <row r="300" spans="1:13">
      <c r="A300" s="204"/>
      <c r="B300" s="458" t="s">
        <v>730</v>
      </c>
      <c r="C300" s="458"/>
      <c r="D300" s="204">
        <v>1</v>
      </c>
      <c r="E300" s="204">
        <v>15</v>
      </c>
      <c r="F300" s="204"/>
      <c r="G300" s="204">
        <v>4.0999999999999996</v>
      </c>
      <c r="H300" s="69"/>
      <c r="I300" s="69"/>
      <c r="J300" s="69"/>
      <c r="K300" s="37">
        <f t="shared" si="43"/>
        <v>61.499999999999993</v>
      </c>
      <c r="L300" s="37">
        <f t="shared" si="44"/>
        <v>61.499999999999993</v>
      </c>
      <c r="M300" s="204"/>
    </row>
    <row r="301" spans="1:13">
      <c r="A301" s="204"/>
      <c r="B301" s="458" t="s">
        <v>730</v>
      </c>
      <c r="C301" s="458"/>
      <c r="D301" s="204">
        <v>1</v>
      </c>
      <c r="E301" s="204">
        <v>1.6</v>
      </c>
      <c r="F301" s="204"/>
      <c r="G301" s="204">
        <v>2.8</v>
      </c>
      <c r="H301" s="69"/>
      <c r="I301" s="69"/>
      <c r="J301" s="69"/>
      <c r="K301" s="37">
        <f t="shared" si="43"/>
        <v>4.4799999999999995</v>
      </c>
      <c r="L301" s="37">
        <f t="shared" si="44"/>
        <v>4.4799999999999995</v>
      </c>
      <c r="M301" s="204"/>
    </row>
    <row r="302" spans="1:13">
      <c r="A302" s="204"/>
      <c r="B302" s="458" t="s">
        <v>730</v>
      </c>
      <c r="C302" s="458"/>
      <c r="D302" s="204">
        <v>1</v>
      </c>
      <c r="E302" s="204">
        <v>5.0999999999999996</v>
      </c>
      <c r="F302" s="204"/>
      <c r="G302" s="204">
        <v>2.8</v>
      </c>
      <c r="H302" s="69"/>
      <c r="I302" s="69"/>
      <c r="J302" s="69"/>
      <c r="K302" s="37">
        <f t="shared" si="43"/>
        <v>14.279999999999998</v>
      </c>
      <c r="L302" s="37">
        <f t="shared" si="44"/>
        <v>14.279999999999998</v>
      </c>
      <c r="M302" s="204"/>
    </row>
    <row r="303" spans="1:13" ht="28.9" customHeight="1">
      <c r="A303" s="204"/>
      <c r="B303" s="461" t="s">
        <v>732</v>
      </c>
      <c r="C303" s="461"/>
      <c r="D303" s="204">
        <v>1</v>
      </c>
      <c r="E303" s="204">
        <v>16</v>
      </c>
      <c r="F303" s="204"/>
      <c r="G303" s="204">
        <v>3.4</v>
      </c>
      <c r="H303" s="69"/>
      <c r="I303" s="69"/>
      <c r="J303" s="69"/>
      <c r="K303" s="37">
        <f t="shared" si="43"/>
        <v>54.4</v>
      </c>
      <c r="L303" s="37">
        <f t="shared" si="44"/>
        <v>54.4</v>
      </c>
      <c r="M303" s="204"/>
    </row>
    <row r="304" spans="1:13" ht="28.9" customHeight="1">
      <c r="A304" s="204"/>
      <c r="B304" s="461" t="s">
        <v>732</v>
      </c>
      <c r="C304" s="461"/>
      <c r="D304" s="204">
        <v>1</v>
      </c>
      <c r="E304" s="204">
        <v>11.8</v>
      </c>
      <c r="F304" s="204"/>
      <c r="G304" s="204">
        <v>5.8</v>
      </c>
      <c r="H304" s="69"/>
      <c r="I304" s="69"/>
      <c r="J304" s="69"/>
      <c r="K304" s="37">
        <f t="shared" si="43"/>
        <v>68.44</v>
      </c>
      <c r="L304" s="37">
        <f t="shared" si="44"/>
        <v>68.44</v>
      </c>
      <c r="M304" s="204"/>
    </row>
    <row r="305" spans="1:13">
      <c r="A305" s="204"/>
      <c r="B305" s="458" t="s">
        <v>734</v>
      </c>
      <c r="C305" s="458"/>
      <c r="D305" s="204">
        <v>1</v>
      </c>
      <c r="E305" s="204">
        <v>8</v>
      </c>
      <c r="F305" s="204"/>
      <c r="G305" s="204">
        <v>4.8</v>
      </c>
      <c r="H305" s="69"/>
      <c r="I305" s="69"/>
      <c r="J305" s="69"/>
      <c r="K305" s="37">
        <f t="shared" si="43"/>
        <v>38.4</v>
      </c>
      <c r="L305" s="37">
        <f t="shared" si="44"/>
        <v>38.4</v>
      </c>
      <c r="M305" s="204"/>
    </row>
    <row r="306" spans="1:13">
      <c r="A306" s="204"/>
      <c r="B306" s="458" t="s">
        <v>734</v>
      </c>
      <c r="C306" s="458"/>
      <c r="D306" s="204">
        <v>1</v>
      </c>
      <c r="E306" s="204">
        <v>15.1</v>
      </c>
      <c r="F306" s="204"/>
      <c r="G306" s="204">
        <v>4.8</v>
      </c>
      <c r="H306" s="69"/>
      <c r="I306" s="69"/>
      <c r="J306" s="69"/>
      <c r="K306" s="37">
        <f t="shared" si="43"/>
        <v>72.47999999999999</v>
      </c>
      <c r="L306" s="37">
        <f t="shared" si="44"/>
        <v>72.47999999999999</v>
      </c>
      <c r="M306" s="204"/>
    </row>
    <row r="307" spans="1:13">
      <c r="A307" s="204"/>
      <c r="B307" s="458" t="s">
        <v>736</v>
      </c>
      <c r="C307" s="458"/>
      <c r="D307" s="204">
        <v>1</v>
      </c>
      <c r="E307" s="204">
        <v>10.5</v>
      </c>
      <c r="F307" s="204"/>
      <c r="G307" s="204">
        <v>0.5</v>
      </c>
      <c r="H307" s="69"/>
      <c r="I307" s="69"/>
      <c r="J307" s="69"/>
      <c r="K307" s="37">
        <f t="shared" si="43"/>
        <v>5.25</v>
      </c>
      <c r="L307" s="37">
        <f t="shared" si="44"/>
        <v>5.25</v>
      </c>
      <c r="M307" s="204"/>
    </row>
    <row r="308" spans="1:13">
      <c r="A308" s="204"/>
      <c r="B308" s="458" t="s">
        <v>737</v>
      </c>
      <c r="C308" s="458"/>
      <c r="D308" s="204">
        <v>1</v>
      </c>
      <c r="E308" s="204">
        <v>4.5</v>
      </c>
      <c r="F308" s="204"/>
      <c r="G308" s="204">
        <v>0.6</v>
      </c>
      <c r="H308" s="69"/>
      <c r="I308" s="69"/>
      <c r="J308" s="69"/>
      <c r="K308" s="37">
        <f t="shared" si="43"/>
        <v>2.6999999999999997</v>
      </c>
      <c r="L308" s="37">
        <f t="shared" si="44"/>
        <v>2.6999999999999997</v>
      </c>
      <c r="M308" s="204"/>
    </row>
    <row r="309" spans="1:13">
      <c r="A309" s="204"/>
      <c r="B309" s="458" t="s">
        <v>738</v>
      </c>
      <c r="C309" s="458"/>
      <c r="D309" s="204">
        <v>1</v>
      </c>
      <c r="E309" s="204">
        <v>4.5</v>
      </c>
      <c r="F309" s="204"/>
      <c r="G309" s="204">
        <v>0.6</v>
      </c>
      <c r="H309" s="69"/>
      <c r="I309" s="69"/>
      <c r="J309" s="69"/>
      <c r="K309" s="37">
        <f t="shared" si="43"/>
        <v>2.6999999999999997</v>
      </c>
      <c r="L309" s="37">
        <f t="shared" si="44"/>
        <v>2.6999999999999997</v>
      </c>
      <c r="M309" s="204"/>
    </row>
    <row r="310" spans="1:13">
      <c r="A310" s="204"/>
      <c r="B310" s="458" t="s">
        <v>623</v>
      </c>
      <c r="C310" s="458"/>
      <c r="D310" s="204">
        <v>1</v>
      </c>
      <c r="E310" s="204">
        <v>8</v>
      </c>
      <c r="F310" s="204"/>
      <c r="G310" s="204">
        <v>0.6</v>
      </c>
      <c r="H310" s="69"/>
      <c r="I310" s="69"/>
      <c r="J310" s="69"/>
      <c r="K310" s="37">
        <f t="shared" si="43"/>
        <v>4.8</v>
      </c>
      <c r="L310" s="37">
        <f t="shared" si="44"/>
        <v>4.8</v>
      </c>
      <c r="M310" s="204"/>
    </row>
    <row r="311" spans="1:13">
      <c r="A311" s="204"/>
      <c r="B311" s="458" t="s">
        <v>623</v>
      </c>
      <c r="C311" s="458"/>
      <c r="D311" s="204">
        <v>1</v>
      </c>
      <c r="E311" s="204">
        <v>8</v>
      </c>
      <c r="F311" s="204"/>
      <c r="G311" s="204">
        <v>0.8</v>
      </c>
      <c r="H311" s="69"/>
      <c r="I311" s="69"/>
      <c r="J311" s="69"/>
      <c r="K311" s="37">
        <f t="shared" si="43"/>
        <v>6.4</v>
      </c>
      <c r="L311" s="37">
        <f t="shared" si="44"/>
        <v>6.4</v>
      </c>
      <c r="M311" s="204"/>
    </row>
    <row r="312" spans="1:13">
      <c r="A312" s="204"/>
      <c r="B312" s="458" t="s">
        <v>623</v>
      </c>
      <c r="C312" s="458"/>
      <c r="D312" s="204">
        <v>1</v>
      </c>
      <c r="E312" s="204">
        <v>3</v>
      </c>
      <c r="F312" s="204"/>
      <c r="G312" s="204">
        <v>0.2</v>
      </c>
      <c r="H312" s="69"/>
      <c r="I312" s="69"/>
      <c r="J312" s="69"/>
      <c r="K312" s="37">
        <f t="shared" si="43"/>
        <v>0.60000000000000009</v>
      </c>
      <c r="L312" s="37">
        <f t="shared" si="44"/>
        <v>0.60000000000000009</v>
      </c>
      <c r="M312" s="204"/>
    </row>
    <row r="313" spans="1:13">
      <c r="A313" s="204"/>
      <c r="B313" s="458" t="s">
        <v>742</v>
      </c>
      <c r="C313" s="458"/>
      <c r="D313" s="204">
        <v>1</v>
      </c>
      <c r="E313" s="204">
        <v>0.85</v>
      </c>
      <c r="F313" s="204"/>
      <c r="G313" s="204">
        <v>5.8</v>
      </c>
      <c r="H313" s="69"/>
      <c r="I313" s="69"/>
      <c r="J313" s="69"/>
      <c r="K313" s="37">
        <f t="shared" si="43"/>
        <v>4.93</v>
      </c>
      <c r="L313" s="37">
        <f t="shared" si="44"/>
        <v>4.93</v>
      </c>
      <c r="M313" s="204"/>
    </row>
    <row r="314" spans="1:13">
      <c r="A314" s="204"/>
      <c r="B314" s="458" t="s">
        <v>622</v>
      </c>
      <c r="C314" s="458"/>
      <c r="D314" s="204">
        <v>1</v>
      </c>
      <c r="E314" s="204">
        <v>10.4</v>
      </c>
      <c r="F314" s="204"/>
      <c r="G314" s="204">
        <v>0.72</v>
      </c>
      <c r="H314" s="69"/>
      <c r="I314" s="69"/>
      <c r="J314" s="69"/>
      <c r="K314" s="37">
        <f t="shared" si="43"/>
        <v>7.4879999999999995</v>
      </c>
      <c r="L314" s="37">
        <f t="shared" si="44"/>
        <v>7.4879999999999995</v>
      </c>
      <c r="M314" s="204"/>
    </row>
    <row r="315" spans="1:13">
      <c r="A315" s="204"/>
      <c r="B315" s="458" t="s">
        <v>622</v>
      </c>
      <c r="C315" s="458"/>
      <c r="D315" s="204">
        <v>1</v>
      </c>
      <c r="E315" s="204">
        <v>10.4</v>
      </c>
      <c r="F315" s="204"/>
      <c r="G315" s="204">
        <v>0.8</v>
      </c>
      <c r="H315" s="69"/>
      <c r="I315" s="69"/>
      <c r="J315" s="69"/>
      <c r="K315" s="37">
        <f t="shared" si="43"/>
        <v>8.32</v>
      </c>
      <c r="L315" s="37">
        <f t="shared" si="44"/>
        <v>8.32</v>
      </c>
      <c r="M315" s="204"/>
    </row>
    <row r="316" spans="1:13">
      <c r="A316" s="204"/>
      <c r="B316" s="458" t="s">
        <v>622</v>
      </c>
      <c r="C316" s="458"/>
      <c r="D316" s="204">
        <v>1</v>
      </c>
      <c r="E316" s="204">
        <v>7</v>
      </c>
      <c r="F316" s="204"/>
      <c r="G316" s="204">
        <v>0.6</v>
      </c>
      <c r="H316" s="69"/>
      <c r="I316" s="69"/>
      <c r="J316" s="69"/>
      <c r="K316" s="37">
        <f t="shared" si="43"/>
        <v>4.2</v>
      </c>
      <c r="L316" s="37">
        <f t="shared" si="44"/>
        <v>4.2</v>
      </c>
      <c r="M316" s="204"/>
    </row>
    <row r="317" spans="1:13">
      <c r="A317" s="204"/>
      <c r="B317" s="69"/>
      <c r="C317" s="69"/>
      <c r="D317" s="204"/>
      <c r="E317" s="204"/>
      <c r="F317" s="204"/>
      <c r="G317" s="204"/>
      <c r="H317" s="69"/>
      <c r="I317" s="69"/>
      <c r="J317" s="69"/>
      <c r="K317" s="37"/>
      <c r="L317" s="37"/>
      <c r="M317" s="204"/>
    </row>
    <row r="318" spans="1:13">
      <c r="A318" s="142" t="str">
        <f>BM_15!A217</f>
        <v>11.2</v>
      </c>
      <c r="B318" s="394" t="str">
        <f>BM_15!B217</f>
        <v>APLICAÇÃO MANUAL DE MASSA ACRÍLICA EM PAREDES EXTERNAS DE CASAS, DUAS DEMÃOS. AF_05/2017</v>
      </c>
      <c r="C318" s="394"/>
      <c r="D318" s="394"/>
      <c r="E318" s="394"/>
      <c r="F318" s="394"/>
      <c r="G318" s="394"/>
      <c r="H318" s="394"/>
      <c r="I318" s="394"/>
      <c r="J318" s="394"/>
      <c r="K318" s="394"/>
      <c r="L318" s="142">
        <f>SUM(L320:L340)</f>
        <v>503.45799999999991</v>
      </c>
      <c r="M318" s="142" t="s">
        <v>429</v>
      </c>
    </row>
    <row r="319" spans="1:13">
      <c r="A319" s="204"/>
      <c r="B319" s="69"/>
      <c r="C319" s="69"/>
      <c r="D319" s="204"/>
      <c r="E319" s="204"/>
      <c r="F319" s="204"/>
      <c r="G319" s="204"/>
      <c r="H319" s="69"/>
      <c r="I319" s="69"/>
      <c r="J319" s="69"/>
      <c r="K319" s="39"/>
      <c r="L319" s="204"/>
      <c r="M319" s="204"/>
    </row>
    <row r="320" spans="1:13">
      <c r="A320" s="204"/>
      <c r="B320" s="458" t="s">
        <v>725</v>
      </c>
      <c r="C320" s="458"/>
      <c r="D320" s="204">
        <v>1</v>
      </c>
      <c r="E320" s="204">
        <v>19.899999999999999</v>
      </c>
      <c r="F320" s="204"/>
      <c r="G320" s="204">
        <v>4.3</v>
      </c>
      <c r="H320" s="69"/>
      <c r="I320" s="69"/>
      <c r="J320" s="69"/>
      <c r="K320" s="37">
        <f>E320*G320</f>
        <v>85.57</v>
      </c>
      <c r="L320" s="37">
        <f>K320*D320</f>
        <v>85.57</v>
      </c>
      <c r="M320" s="204"/>
    </row>
    <row r="321" spans="1:13">
      <c r="A321" s="204"/>
      <c r="B321" s="458" t="s">
        <v>727</v>
      </c>
      <c r="C321" s="458"/>
      <c r="D321" s="204">
        <v>1</v>
      </c>
      <c r="E321" s="204">
        <v>12.2</v>
      </c>
      <c r="F321" s="204"/>
      <c r="G321" s="204">
        <v>2</v>
      </c>
      <c r="H321" s="69"/>
      <c r="I321" s="69"/>
      <c r="J321" s="69"/>
      <c r="K321" s="37">
        <f t="shared" ref="K321:K340" si="45">E321*G321</f>
        <v>24.4</v>
      </c>
      <c r="L321" s="37">
        <f t="shared" ref="L321:L340" si="46">K321*D321</f>
        <v>24.4</v>
      </c>
      <c r="M321" s="204"/>
    </row>
    <row r="322" spans="1:13">
      <c r="A322" s="204"/>
      <c r="B322" s="458" t="s">
        <v>727</v>
      </c>
      <c r="C322" s="458"/>
      <c r="D322" s="204">
        <v>1</v>
      </c>
      <c r="E322" s="204">
        <v>7.6</v>
      </c>
      <c r="F322" s="204"/>
      <c r="G322" s="204">
        <v>1.7</v>
      </c>
      <c r="H322" s="69"/>
      <c r="I322" s="69"/>
      <c r="J322" s="69"/>
      <c r="K322" s="37">
        <f t="shared" si="45"/>
        <v>12.92</v>
      </c>
      <c r="L322" s="37">
        <f t="shared" si="46"/>
        <v>12.92</v>
      </c>
      <c r="M322" s="204"/>
    </row>
    <row r="323" spans="1:13">
      <c r="A323" s="204"/>
      <c r="B323" s="458" t="s">
        <v>727</v>
      </c>
      <c r="C323" s="458"/>
      <c r="D323" s="204">
        <v>1</v>
      </c>
      <c r="E323" s="204">
        <v>9.6</v>
      </c>
      <c r="F323" s="204"/>
      <c r="G323" s="204">
        <v>2</v>
      </c>
      <c r="H323" s="69"/>
      <c r="I323" s="69"/>
      <c r="J323" s="69"/>
      <c r="K323" s="37">
        <f t="shared" si="45"/>
        <v>19.2</v>
      </c>
      <c r="L323" s="37">
        <f t="shared" si="46"/>
        <v>19.2</v>
      </c>
      <c r="M323" s="204"/>
    </row>
    <row r="324" spans="1:13">
      <c r="A324" s="204"/>
      <c r="B324" s="458" t="s">
        <v>730</v>
      </c>
      <c r="C324" s="458"/>
      <c r="D324" s="204">
        <v>1</v>
      </c>
      <c r="E324" s="204">
        <v>15</v>
      </c>
      <c r="F324" s="204"/>
      <c r="G324" s="204">
        <v>4.0999999999999996</v>
      </c>
      <c r="H324" s="69"/>
      <c r="I324" s="69"/>
      <c r="J324" s="69"/>
      <c r="K324" s="37">
        <f t="shared" si="45"/>
        <v>61.499999999999993</v>
      </c>
      <c r="L324" s="37">
        <f t="shared" si="46"/>
        <v>61.499999999999993</v>
      </c>
      <c r="M324" s="204"/>
    </row>
    <row r="325" spans="1:13">
      <c r="A325" s="204"/>
      <c r="B325" s="458" t="s">
        <v>730</v>
      </c>
      <c r="C325" s="458"/>
      <c r="D325" s="204">
        <v>1</v>
      </c>
      <c r="E325" s="204">
        <v>1.6</v>
      </c>
      <c r="F325" s="204"/>
      <c r="G325" s="204">
        <v>2.8</v>
      </c>
      <c r="H325" s="69"/>
      <c r="I325" s="69"/>
      <c r="J325" s="69"/>
      <c r="K325" s="37">
        <f t="shared" si="45"/>
        <v>4.4799999999999995</v>
      </c>
      <c r="L325" s="37">
        <f t="shared" si="46"/>
        <v>4.4799999999999995</v>
      </c>
      <c r="M325" s="204"/>
    </row>
    <row r="326" spans="1:13">
      <c r="A326" s="204"/>
      <c r="B326" s="458" t="s">
        <v>730</v>
      </c>
      <c r="C326" s="458"/>
      <c r="D326" s="204">
        <v>1</v>
      </c>
      <c r="E326" s="204">
        <v>5.0999999999999996</v>
      </c>
      <c r="F326" s="204"/>
      <c r="G326" s="204">
        <v>2.8</v>
      </c>
      <c r="H326" s="69"/>
      <c r="I326" s="69"/>
      <c r="J326" s="69"/>
      <c r="K326" s="37">
        <f t="shared" si="45"/>
        <v>14.279999999999998</v>
      </c>
      <c r="L326" s="37">
        <f t="shared" si="46"/>
        <v>14.279999999999998</v>
      </c>
      <c r="M326" s="204"/>
    </row>
    <row r="327" spans="1:13">
      <c r="A327" s="204"/>
      <c r="B327" s="461" t="s">
        <v>732</v>
      </c>
      <c r="C327" s="461"/>
      <c r="D327" s="204">
        <v>1</v>
      </c>
      <c r="E327" s="204">
        <v>16</v>
      </c>
      <c r="F327" s="204"/>
      <c r="G327" s="204">
        <v>3.4</v>
      </c>
      <c r="H327" s="69"/>
      <c r="I327" s="69"/>
      <c r="J327" s="69"/>
      <c r="K327" s="37">
        <f t="shared" si="45"/>
        <v>54.4</v>
      </c>
      <c r="L327" s="37">
        <f t="shared" si="46"/>
        <v>54.4</v>
      </c>
      <c r="M327" s="204"/>
    </row>
    <row r="328" spans="1:13">
      <c r="A328" s="204"/>
      <c r="B328" s="461" t="s">
        <v>732</v>
      </c>
      <c r="C328" s="461"/>
      <c r="D328" s="204">
        <v>1</v>
      </c>
      <c r="E328" s="204">
        <v>11.8</v>
      </c>
      <c r="F328" s="204"/>
      <c r="G328" s="204">
        <v>5.8</v>
      </c>
      <c r="H328" s="69"/>
      <c r="I328" s="69"/>
      <c r="J328" s="69"/>
      <c r="K328" s="37">
        <f t="shared" si="45"/>
        <v>68.44</v>
      </c>
      <c r="L328" s="37">
        <f t="shared" si="46"/>
        <v>68.44</v>
      </c>
      <c r="M328" s="204"/>
    </row>
    <row r="329" spans="1:13">
      <c r="A329" s="204"/>
      <c r="B329" s="458" t="s">
        <v>734</v>
      </c>
      <c r="C329" s="458"/>
      <c r="D329" s="204">
        <v>1</v>
      </c>
      <c r="E329" s="204">
        <v>8</v>
      </c>
      <c r="F329" s="204"/>
      <c r="G329" s="204">
        <v>4.8</v>
      </c>
      <c r="H329" s="69"/>
      <c r="I329" s="69"/>
      <c r="J329" s="69"/>
      <c r="K329" s="37">
        <f t="shared" si="45"/>
        <v>38.4</v>
      </c>
      <c r="L329" s="37">
        <f t="shared" si="46"/>
        <v>38.4</v>
      </c>
      <c r="M329" s="204"/>
    </row>
    <row r="330" spans="1:13">
      <c r="A330" s="204"/>
      <c r="B330" s="458" t="s">
        <v>734</v>
      </c>
      <c r="C330" s="458"/>
      <c r="D330" s="204">
        <v>1</v>
      </c>
      <c r="E330" s="204">
        <v>15.1</v>
      </c>
      <c r="F330" s="204"/>
      <c r="G330" s="204">
        <v>4.8</v>
      </c>
      <c r="H330" s="69"/>
      <c r="I330" s="69"/>
      <c r="J330" s="69"/>
      <c r="K330" s="37">
        <f t="shared" si="45"/>
        <v>72.47999999999999</v>
      </c>
      <c r="L330" s="37">
        <f t="shared" si="46"/>
        <v>72.47999999999999</v>
      </c>
      <c r="M330" s="204"/>
    </row>
    <row r="331" spans="1:13">
      <c r="A331" s="204"/>
      <c r="B331" s="458" t="s">
        <v>736</v>
      </c>
      <c r="C331" s="458"/>
      <c r="D331" s="204">
        <v>1</v>
      </c>
      <c r="E331" s="204">
        <v>10.5</v>
      </c>
      <c r="F331" s="204"/>
      <c r="G331" s="204">
        <v>0.5</v>
      </c>
      <c r="H331" s="69"/>
      <c r="I331" s="69"/>
      <c r="J331" s="69"/>
      <c r="K331" s="37">
        <f t="shared" si="45"/>
        <v>5.25</v>
      </c>
      <c r="L331" s="37">
        <f t="shared" si="46"/>
        <v>5.25</v>
      </c>
      <c r="M331" s="204"/>
    </row>
    <row r="332" spans="1:13">
      <c r="A332" s="204"/>
      <c r="B332" s="458" t="s">
        <v>737</v>
      </c>
      <c r="C332" s="458"/>
      <c r="D332" s="204">
        <v>1</v>
      </c>
      <c r="E332" s="204">
        <v>4.5</v>
      </c>
      <c r="F332" s="204"/>
      <c r="G332" s="204">
        <v>0.6</v>
      </c>
      <c r="H332" s="69"/>
      <c r="I332" s="69"/>
      <c r="J332" s="69"/>
      <c r="K332" s="37">
        <f t="shared" si="45"/>
        <v>2.6999999999999997</v>
      </c>
      <c r="L332" s="37">
        <f t="shared" si="46"/>
        <v>2.6999999999999997</v>
      </c>
      <c r="M332" s="204"/>
    </row>
    <row r="333" spans="1:13">
      <c r="A333" s="204"/>
      <c r="B333" s="458" t="s">
        <v>738</v>
      </c>
      <c r="C333" s="458"/>
      <c r="D333" s="204">
        <v>1</v>
      </c>
      <c r="E333" s="204">
        <v>4.5</v>
      </c>
      <c r="F333" s="204"/>
      <c r="G333" s="204">
        <v>0.6</v>
      </c>
      <c r="H333" s="69"/>
      <c r="I333" s="69"/>
      <c r="J333" s="69"/>
      <c r="K333" s="37">
        <f t="shared" si="45"/>
        <v>2.6999999999999997</v>
      </c>
      <c r="L333" s="37">
        <f t="shared" si="46"/>
        <v>2.6999999999999997</v>
      </c>
      <c r="M333" s="204"/>
    </row>
    <row r="334" spans="1:13">
      <c r="A334" s="204"/>
      <c r="B334" s="458" t="s">
        <v>623</v>
      </c>
      <c r="C334" s="458"/>
      <c r="D334" s="204">
        <v>1</v>
      </c>
      <c r="E334" s="204">
        <v>8</v>
      </c>
      <c r="F334" s="204"/>
      <c r="G334" s="204">
        <v>0.6</v>
      </c>
      <c r="H334" s="69"/>
      <c r="I334" s="69"/>
      <c r="J334" s="69"/>
      <c r="K334" s="37">
        <f t="shared" si="45"/>
        <v>4.8</v>
      </c>
      <c r="L334" s="37">
        <f t="shared" si="46"/>
        <v>4.8</v>
      </c>
      <c r="M334" s="204"/>
    </row>
    <row r="335" spans="1:13">
      <c r="A335" s="204"/>
      <c r="B335" s="458" t="s">
        <v>623</v>
      </c>
      <c r="C335" s="458"/>
      <c r="D335" s="204">
        <v>1</v>
      </c>
      <c r="E335" s="204">
        <v>8</v>
      </c>
      <c r="F335" s="204"/>
      <c r="G335" s="204">
        <v>0.8</v>
      </c>
      <c r="H335" s="69"/>
      <c r="I335" s="69"/>
      <c r="J335" s="69"/>
      <c r="K335" s="37">
        <f t="shared" si="45"/>
        <v>6.4</v>
      </c>
      <c r="L335" s="37">
        <f t="shared" si="46"/>
        <v>6.4</v>
      </c>
      <c r="M335" s="204"/>
    </row>
    <row r="336" spans="1:13">
      <c r="A336" s="204"/>
      <c r="B336" s="458" t="s">
        <v>623</v>
      </c>
      <c r="C336" s="458"/>
      <c r="D336" s="204">
        <v>1</v>
      </c>
      <c r="E336" s="204">
        <v>3</v>
      </c>
      <c r="F336" s="204"/>
      <c r="G336" s="204">
        <v>0.2</v>
      </c>
      <c r="H336" s="69"/>
      <c r="I336" s="69"/>
      <c r="J336" s="69"/>
      <c r="K336" s="37">
        <f t="shared" si="45"/>
        <v>0.60000000000000009</v>
      </c>
      <c r="L336" s="37">
        <f t="shared" si="46"/>
        <v>0.60000000000000009</v>
      </c>
      <c r="M336" s="204"/>
    </row>
    <row r="337" spans="1:13">
      <c r="A337" s="204"/>
      <c r="B337" s="458" t="s">
        <v>742</v>
      </c>
      <c r="C337" s="458"/>
      <c r="D337" s="204">
        <v>1</v>
      </c>
      <c r="E337" s="204">
        <v>0.85</v>
      </c>
      <c r="F337" s="204"/>
      <c r="G337" s="204">
        <v>5.8</v>
      </c>
      <c r="H337" s="69"/>
      <c r="I337" s="69"/>
      <c r="J337" s="69"/>
      <c r="K337" s="37">
        <f t="shared" si="45"/>
        <v>4.93</v>
      </c>
      <c r="L337" s="37">
        <f t="shared" si="46"/>
        <v>4.93</v>
      </c>
      <c r="M337" s="204"/>
    </row>
    <row r="338" spans="1:13">
      <c r="A338" s="204"/>
      <c r="B338" s="458" t="s">
        <v>622</v>
      </c>
      <c r="C338" s="458"/>
      <c r="D338" s="204">
        <v>1</v>
      </c>
      <c r="E338" s="204">
        <v>10.4</v>
      </c>
      <c r="F338" s="204"/>
      <c r="G338" s="204">
        <v>0.72</v>
      </c>
      <c r="H338" s="69"/>
      <c r="I338" s="69"/>
      <c r="J338" s="69"/>
      <c r="K338" s="37">
        <f t="shared" si="45"/>
        <v>7.4879999999999995</v>
      </c>
      <c r="L338" s="37">
        <f t="shared" si="46"/>
        <v>7.4879999999999995</v>
      </c>
      <c r="M338" s="204"/>
    </row>
    <row r="339" spans="1:13">
      <c r="A339" s="204"/>
      <c r="B339" s="458" t="s">
        <v>622</v>
      </c>
      <c r="C339" s="458"/>
      <c r="D339" s="204">
        <v>1</v>
      </c>
      <c r="E339" s="204">
        <v>10.4</v>
      </c>
      <c r="F339" s="204"/>
      <c r="G339" s="204">
        <v>0.8</v>
      </c>
      <c r="H339" s="69"/>
      <c r="I339" s="69"/>
      <c r="J339" s="69"/>
      <c r="K339" s="37">
        <f t="shared" si="45"/>
        <v>8.32</v>
      </c>
      <c r="L339" s="37">
        <f t="shared" si="46"/>
        <v>8.32</v>
      </c>
      <c r="M339" s="204"/>
    </row>
    <row r="340" spans="1:13">
      <c r="A340" s="204"/>
      <c r="B340" s="458" t="s">
        <v>622</v>
      </c>
      <c r="C340" s="458"/>
      <c r="D340" s="204">
        <v>1</v>
      </c>
      <c r="E340" s="204">
        <v>7</v>
      </c>
      <c r="F340" s="204"/>
      <c r="G340" s="204">
        <v>0.6</v>
      </c>
      <c r="H340" s="69"/>
      <c r="I340" s="69"/>
      <c r="J340" s="69"/>
      <c r="K340" s="37">
        <f t="shared" si="45"/>
        <v>4.2</v>
      </c>
      <c r="L340" s="37">
        <f t="shared" si="46"/>
        <v>4.2</v>
      </c>
      <c r="M340" s="204"/>
    </row>
    <row r="341" spans="1:13">
      <c r="A341" s="204"/>
      <c r="B341" s="69"/>
      <c r="C341" s="69"/>
      <c r="D341" s="204"/>
      <c r="E341" s="204"/>
      <c r="F341" s="204"/>
      <c r="G341" s="204"/>
      <c r="H341" s="69"/>
      <c r="I341" s="69"/>
      <c r="J341" s="69"/>
      <c r="K341" s="37"/>
      <c r="L341" s="37"/>
      <c r="M341" s="204"/>
    </row>
    <row r="342" spans="1:13">
      <c r="A342" s="37"/>
      <c r="B342" s="204"/>
      <c r="C342" s="204"/>
      <c r="D342" s="204"/>
      <c r="E342" s="204"/>
      <c r="F342" s="204"/>
      <c r="G342" s="204"/>
      <c r="H342" s="204"/>
      <c r="I342" s="204"/>
      <c r="J342" s="204"/>
      <c r="K342" s="37"/>
      <c r="L342" s="37"/>
      <c r="M342" s="37"/>
    </row>
    <row r="343" spans="1:13" ht="21" customHeight="1">
      <c r="A343" s="147" t="str">
        <f>BM_15!A219</f>
        <v>11.4</v>
      </c>
      <c r="B343" s="394" t="str">
        <f>BM_15!B219</f>
        <v>APLICAÇÃO E LIXAMENTO DE MASSA LÁTEX EM PAREDES, DUAS DEMÃOS. AF_06/2014</v>
      </c>
      <c r="C343" s="394"/>
      <c r="D343" s="394"/>
      <c r="E343" s="394"/>
      <c r="F343" s="394"/>
      <c r="G343" s="394"/>
      <c r="H343" s="394"/>
      <c r="I343" s="394"/>
      <c r="J343" s="394"/>
      <c r="K343" s="394"/>
      <c r="L343" s="142">
        <f>SUM(L345:L372)</f>
        <v>1384.3550000000005</v>
      </c>
      <c r="M343" s="142" t="s">
        <v>513</v>
      </c>
    </row>
    <row r="344" spans="1:13">
      <c r="A344" s="37"/>
      <c r="B344" s="204"/>
      <c r="C344" s="204"/>
      <c r="D344" s="204"/>
      <c r="E344" s="204"/>
      <c r="F344" s="204"/>
      <c r="G344" s="204"/>
      <c r="H344" s="204"/>
      <c r="I344" s="204"/>
      <c r="J344" s="204"/>
      <c r="K344" s="37"/>
      <c r="L344" s="37"/>
      <c r="M344" s="37"/>
    </row>
    <row r="345" spans="1:13">
      <c r="A345" s="37"/>
      <c r="B345" s="458" t="s">
        <v>669</v>
      </c>
      <c r="C345" s="458"/>
      <c r="D345" s="204">
        <v>1</v>
      </c>
      <c r="E345" s="204">
        <v>46</v>
      </c>
      <c r="F345" s="204"/>
      <c r="G345" s="204">
        <v>2.7</v>
      </c>
      <c r="H345" s="204"/>
      <c r="I345" s="204"/>
      <c r="J345" s="204"/>
      <c r="K345" s="37">
        <f t="shared" ref="K345:K372" si="47">E345*G345</f>
        <v>124.2</v>
      </c>
      <c r="L345" s="37">
        <f t="shared" ref="L345:L372" si="48">K345*D345</f>
        <v>124.2</v>
      </c>
      <c r="M345" s="37"/>
    </row>
    <row r="346" spans="1:13">
      <c r="A346" s="37"/>
      <c r="B346" s="458" t="s">
        <v>669</v>
      </c>
      <c r="C346" s="458"/>
      <c r="D346" s="204">
        <v>1</v>
      </c>
      <c r="E346" s="204">
        <v>10</v>
      </c>
      <c r="F346" s="204"/>
      <c r="G346" s="204">
        <v>1</v>
      </c>
      <c r="H346" s="204"/>
      <c r="I346" s="204"/>
      <c r="J346" s="204"/>
      <c r="K346" s="37">
        <f t="shared" si="47"/>
        <v>10</v>
      </c>
      <c r="L346" s="37">
        <f t="shared" si="48"/>
        <v>10</v>
      </c>
      <c r="M346" s="37"/>
    </row>
    <row r="347" spans="1:13">
      <c r="A347" s="37"/>
      <c r="B347" s="458" t="s">
        <v>725</v>
      </c>
      <c r="C347" s="458"/>
      <c r="D347" s="204">
        <v>1</v>
      </c>
      <c r="E347" s="204">
        <v>3.7</v>
      </c>
      <c r="F347" s="204"/>
      <c r="G347" s="204">
        <v>1</v>
      </c>
      <c r="H347" s="204"/>
      <c r="I347" s="204"/>
      <c r="J347" s="204"/>
      <c r="K347" s="37">
        <f t="shared" si="47"/>
        <v>3.7</v>
      </c>
      <c r="L347" s="37">
        <f t="shared" si="48"/>
        <v>3.7</v>
      </c>
      <c r="M347" s="37"/>
    </row>
    <row r="348" spans="1:13" ht="19.899999999999999" customHeight="1">
      <c r="A348" s="69"/>
      <c r="B348" s="461" t="s">
        <v>751</v>
      </c>
      <c r="C348" s="461"/>
      <c r="D348" s="204">
        <v>1</v>
      </c>
      <c r="E348" s="204">
        <v>12.9</v>
      </c>
      <c r="F348" s="69"/>
      <c r="G348" s="204">
        <v>2.7</v>
      </c>
      <c r="H348" s="69"/>
      <c r="I348" s="69"/>
      <c r="J348" s="69"/>
      <c r="K348" s="37">
        <f t="shared" si="47"/>
        <v>34.830000000000005</v>
      </c>
      <c r="L348" s="37">
        <f t="shared" si="48"/>
        <v>34.830000000000005</v>
      </c>
      <c r="M348" s="69"/>
    </row>
    <row r="349" spans="1:13">
      <c r="A349" s="69"/>
      <c r="B349" s="458" t="s">
        <v>675</v>
      </c>
      <c r="C349" s="458"/>
      <c r="D349" s="204">
        <v>1</v>
      </c>
      <c r="E349" s="204">
        <v>11.75</v>
      </c>
      <c r="F349" s="69"/>
      <c r="G349" s="204">
        <v>2.7</v>
      </c>
      <c r="H349" s="69"/>
      <c r="I349" s="69"/>
      <c r="J349" s="69"/>
      <c r="K349" s="37">
        <f t="shared" si="47"/>
        <v>31.725000000000001</v>
      </c>
      <c r="L349" s="37">
        <f t="shared" si="48"/>
        <v>31.725000000000001</v>
      </c>
      <c r="M349" s="69"/>
    </row>
    <row r="350" spans="1:13">
      <c r="A350" s="69"/>
      <c r="B350" s="458" t="s">
        <v>752</v>
      </c>
      <c r="C350" s="458"/>
      <c r="D350" s="204">
        <v>1</v>
      </c>
      <c r="E350" s="204">
        <v>26.4</v>
      </c>
      <c r="F350" s="69"/>
      <c r="G350" s="204">
        <v>2.7</v>
      </c>
      <c r="H350" s="69"/>
      <c r="I350" s="69"/>
      <c r="J350" s="69"/>
      <c r="K350" s="37">
        <f t="shared" si="47"/>
        <v>71.28</v>
      </c>
      <c r="L350" s="37">
        <f t="shared" si="48"/>
        <v>71.28</v>
      </c>
      <c r="M350" s="69"/>
    </row>
    <row r="351" spans="1:13">
      <c r="A351" s="69"/>
      <c r="B351" s="458" t="s">
        <v>753</v>
      </c>
      <c r="C351" s="458"/>
      <c r="D351" s="204">
        <v>1</v>
      </c>
      <c r="E351" s="204">
        <v>26.8</v>
      </c>
      <c r="F351" s="69"/>
      <c r="G351" s="204">
        <v>2.7</v>
      </c>
      <c r="H351" s="69"/>
      <c r="I351" s="69"/>
      <c r="J351" s="69"/>
      <c r="K351" s="37">
        <f t="shared" si="47"/>
        <v>72.360000000000014</v>
      </c>
      <c r="L351" s="37">
        <f t="shared" si="48"/>
        <v>72.360000000000014</v>
      </c>
      <c r="M351" s="69"/>
    </row>
    <row r="352" spans="1:13">
      <c r="A352" s="69"/>
      <c r="B352" s="458" t="s">
        <v>754</v>
      </c>
      <c r="C352" s="458"/>
      <c r="D352" s="204">
        <v>1</v>
      </c>
      <c r="E352" s="204">
        <v>10.9</v>
      </c>
      <c r="F352" s="69"/>
      <c r="G352" s="204">
        <v>2.7</v>
      </c>
      <c r="H352" s="69"/>
      <c r="I352" s="69"/>
      <c r="J352" s="69"/>
      <c r="K352" s="37">
        <f t="shared" si="47"/>
        <v>29.430000000000003</v>
      </c>
      <c r="L352" s="37">
        <f t="shared" si="48"/>
        <v>29.430000000000003</v>
      </c>
      <c r="M352" s="69"/>
    </row>
    <row r="353" spans="1:13">
      <c r="A353" s="69"/>
      <c r="B353" s="458" t="s">
        <v>755</v>
      </c>
      <c r="C353" s="458"/>
      <c r="D353" s="204">
        <v>1</v>
      </c>
      <c r="E353" s="204">
        <v>24.7</v>
      </c>
      <c r="F353" s="69"/>
      <c r="G353" s="204">
        <v>2.7</v>
      </c>
      <c r="H353" s="69"/>
      <c r="I353" s="69"/>
      <c r="J353" s="69"/>
      <c r="K353" s="37">
        <f t="shared" si="47"/>
        <v>66.69</v>
      </c>
      <c r="L353" s="37">
        <f t="shared" si="48"/>
        <v>66.69</v>
      </c>
      <c r="M353" s="69"/>
    </row>
    <row r="354" spans="1:13" ht="16.149999999999999" customHeight="1">
      <c r="A354" s="69"/>
      <c r="B354" s="461" t="s">
        <v>756</v>
      </c>
      <c r="C354" s="461"/>
      <c r="D354" s="204">
        <v>1</v>
      </c>
      <c r="E354" s="204">
        <v>31</v>
      </c>
      <c r="F354" s="69"/>
      <c r="G354" s="204">
        <v>2.7</v>
      </c>
      <c r="H354" s="69"/>
      <c r="I354" s="69"/>
      <c r="J354" s="69"/>
      <c r="K354" s="37">
        <f t="shared" si="47"/>
        <v>83.7</v>
      </c>
      <c r="L354" s="37">
        <f t="shared" si="48"/>
        <v>83.7</v>
      </c>
      <c r="M354" s="69"/>
    </row>
    <row r="355" spans="1:13">
      <c r="A355" s="69"/>
      <c r="B355" s="458" t="s">
        <v>735</v>
      </c>
      <c r="C355" s="458"/>
      <c r="D355" s="204">
        <v>1</v>
      </c>
      <c r="E355" s="204">
        <v>16.100000000000001</v>
      </c>
      <c r="F355" s="69"/>
      <c r="G355" s="204">
        <v>2.7</v>
      </c>
      <c r="H355" s="69"/>
      <c r="I355" s="69"/>
      <c r="J355" s="69"/>
      <c r="K355" s="37">
        <f t="shared" si="47"/>
        <v>43.470000000000006</v>
      </c>
      <c r="L355" s="37">
        <f t="shared" si="48"/>
        <v>43.470000000000006</v>
      </c>
      <c r="M355" s="69"/>
    </row>
    <row r="356" spans="1:13">
      <c r="A356" s="69"/>
      <c r="B356" s="458" t="s">
        <v>731</v>
      </c>
      <c r="C356" s="458"/>
      <c r="D356" s="204">
        <v>1</v>
      </c>
      <c r="E356" s="204">
        <v>16.600000000000001</v>
      </c>
      <c r="F356" s="69"/>
      <c r="G356" s="204">
        <v>2.7</v>
      </c>
      <c r="H356" s="69"/>
      <c r="I356" s="69"/>
      <c r="J356" s="69"/>
      <c r="K356" s="37">
        <f t="shared" si="47"/>
        <v>44.820000000000007</v>
      </c>
      <c r="L356" s="37">
        <f t="shared" si="48"/>
        <v>44.820000000000007</v>
      </c>
      <c r="M356" s="69"/>
    </row>
    <row r="357" spans="1:13">
      <c r="A357" s="69"/>
      <c r="B357" s="458" t="s">
        <v>731</v>
      </c>
      <c r="C357" s="458"/>
      <c r="D357" s="204">
        <v>1</v>
      </c>
      <c r="E357" s="204">
        <v>11.7</v>
      </c>
      <c r="F357" s="69"/>
      <c r="G357" s="204">
        <v>2.7</v>
      </c>
      <c r="H357" s="69"/>
      <c r="I357" s="69"/>
      <c r="J357" s="69"/>
      <c r="K357" s="37">
        <f t="shared" si="47"/>
        <v>31.59</v>
      </c>
      <c r="L357" s="37">
        <f t="shared" si="48"/>
        <v>31.59</v>
      </c>
      <c r="M357" s="69"/>
    </row>
    <row r="358" spans="1:13">
      <c r="A358" s="69"/>
      <c r="B358" s="458" t="s">
        <v>744</v>
      </c>
      <c r="C358" s="458"/>
      <c r="D358" s="204">
        <v>1</v>
      </c>
      <c r="E358" s="204">
        <v>10.199999999999999</v>
      </c>
      <c r="F358" s="69"/>
      <c r="G358" s="204">
        <v>2.7</v>
      </c>
      <c r="H358" s="69"/>
      <c r="I358" s="69"/>
      <c r="J358" s="69"/>
      <c r="K358" s="37">
        <f t="shared" si="47"/>
        <v>27.54</v>
      </c>
      <c r="L358" s="37">
        <f t="shared" si="48"/>
        <v>27.54</v>
      </c>
      <c r="M358" s="69"/>
    </row>
    <row r="359" spans="1:13">
      <c r="A359" s="69"/>
      <c r="B359" s="458" t="s">
        <v>757</v>
      </c>
      <c r="C359" s="458"/>
      <c r="D359" s="204">
        <v>1</v>
      </c>
      <c r="E359" s="204">
        <v>29.3</v>
      </c>
      <c r="F359" s="69"/>
      <c r="G359" s="204">
        <v>2.7</v>
      </c>
      <c r="H359" s="69"/>
      <c r="I359" s="69"/>
      <c r="J359" s="69"/>
      <c r="K359" s="37">
        <f t="shared" si="47"/>
        <v>79.110000000000014</v>
      </c>
      <c r="L359" s="37">
        <f t="shared" si="48"/>
        <v>79.110000000000014</v>
      </c>
      <c r="M359" s="69"/>
    </row>
    <row r="360" spans="1:13">
      <c r="A360" s="69"/>
      <c r="B360" s="458" t="s">
        <v>581</v>
      </c>
      <c r="C360" s="458"/>
      <c r="D360" s="204">
        <v>1</v>
      </c>
      <c r="E360" s="204">
        <v>29.1</v>
      </c>
      <c r="F360" s="69"/>
      <c r="G360" s="204">
        <v>2.7</v>
      </c>
      <c r="H360" s="69"/>
      <c r="I360" s="69"/>
      <c r="J360" s="69"/>
      <c r="K360" s="37">
        <f t="shared" si="47"/>
        <v>78.570000000000007</v>
      </c>
      <c r="L360" s="37">
        <f t="shared" si="48"/>
        <v>78.570000000000007</v>
      </c>
      <c r="M360" s="69"/>
    </row>
    <row r="361" spans="1:13">
      <c r="A361" s="69"/>
      <c r="B361" s="458" t="s">
        <v>758</v>
      </c>
      <c r="C361" s="458"/>
      <c r="D361" s="204">
        <v>1</v>
      </c>
      <c r="E361" s="204">
        <v>17.600000000000001</v>
      </c>
      <c r="F361" s="69"/>
      <c r="G361" s="204">
        <v>2.7</v>
      </c>
      <c r="H361" s="69"/>
      <c r="I361" s="69"/>
      <c r="J361" s="69"/>
      <c r="K361" s="37">
        <f t="shared" si="47"/>
        <v>47.52000000000001</v>
      </c>
      <c r="L361" s="37">
        <f t="shared" si="48"/>
        <v>47.52000000000001</v>
      </c>
      <c r="M361" s="69"/>
    </row>
    <row r="362" spans="1:13">
      <c r="A362" s="69"/>
      <c r="B362" s="458" t="s">
        <v>471</v>
      </c>
      <c r="C362" s="458"/>
      <c r="D362" s="204">
        <v>1</v>
      </c>
      <c r="E362" s="204">
        <v>18.5</v>
      </c>
      <c r="F362" s="69"/>
      <c r="G362" s="204">
        <v>2.7</v>
      </c>
      <c r="H362" s="69"/>
      <c r="I362" s="69"/>
      <c r="J362" s="69"/>
      <c r="K362" s="37">
        <f t="shared" si="47"/>
        <v>49.95</v>
      </c>
      <c r="L362" s="37">
        <f t="shared" si="48"/>
        <v>49.95</v>
      </c>
      <c r="M362" s="69"/>
    </row>
    <row r="363" spans="1:13">
      <c r="A363" s="69"/>
      <c r="B363" s="458" t="s">
        <v>759</v>
      </c>
      <c r="C363" s="458"/>
      <c r="D363" s="204">
        <v>1</v>
      </c>
      <c r="E363" s="204">
        <v>18.7</v>
      </c>
      <c r="F363" s="69"/>
      <c r="G363" s="204">
        <v>2.7</v>
      </c>
      <c r="H363" s="69"/>
      <c r="I363" s="69"/>
      <c r="J363" s="69"/>
      <c r="K363" s="37">
        <f t="shared" si="47"/>
        <v>50.49</v>
      </c>
      <c r="L363" s="37">
        <f t="shared" si="48"/>
        <v>50.49</v>
      </c>
      <c r="M363" s="69"/>
    </row>
    <row r="364" spans="1:13">
      <c r="A364" s="69"/>
      <c r="B364" s="458" t="s">
        <v>760</v>
      </c>
      <c r="C364" s="458"/>
      <c r="D364" s="204">
        <v>1</v>
      </c>
      <c r="E364" s="204">
        <v>13</v>
      </c>
      <c r="F364" s="69"/>
      <c r="G364" s="204">
        <v>2.7</v>
      </c>
      <c r="H364" s="69"/>
      <c r="I364" s="69"/>
      <c r="J364" s="69"/>
      <c r="K364" s="37">
        <f t="shared" si="47"/>
        <v>35.1</v>
      </c>
      <c r="L364" s="37">
        <f t="shared" si="48"/>
        <v>35.1</v>
      </c>
      <c r="M364" s="69"/>
    </row>
    <row r="365" spans="1:13">
      <c r="A365" s="69"/>
      <c r="B365" s="458" t="s">
        <v>761</v>
      </c>
      <c r="C365" s="458"/>
      <c r="D365" s="204">
        <v>1</v>
      </c>
      <c r="E365" s="204">
        <v>35.700000000000003</v>
      </c>
      <c r="F365" s="69"/>
      <c r="G365" s="204">
        <v>2.7</v>
      </c>
      <c r="H365" s="69"/>
      <c r="I365" s="69"/>
      <c r="J365" s="69"/>
      <c r="K365" s="37">
        <f t="shared" si="47"/>
        <v>96.390000000000015</v>
      </c>
      <c r="L365" s="37">
        <f t="shared" si="48"/>
        <v>96.390000000000015</v>
      </c>
      <c r="M365" s="69"/>
    </row>
    <row r="366" spans="1:13">
      <c r="A366" s="69"/>
      <c r="B366" s="458" t="s">
        <v>449</v>
      </c>
      <c r="C366" s="458"/>
      <c r="D366" s="204">
        <v>1</v>
      </c>
      <c r="E366" s="204">
        <v>13.8</v>
      </c>
      <c r="F366" s="69"/>
      <c r="G366" s="204">
        <v>2.7</v>
      </c>
      <c r="H366" s="69"/>
      <c r="I366" s="69"/>
      <c r="J366" s="69"/>
      <c r="K366" s="37">
        <f t="shared" si="47"/>
        <v>37.260000000000005</v>
      </c>
      <c r="L366" s="37">
        <f t="shared" si="48"/>
        <v>37.260000000000005</v>
      </c>
      <c r="M366" s="69"/>
    </row>
    <row r="367" spans="1:13">
      <c r="A367" s="69"/>
      <c r="B367" s="458" t="s">
        <v>762</v>
      </c>
      <c r="C367" s="458"/>
      <c r="D367" s="204">
        <v>1</v>
      </c>
      <c r="E367" s="204">
        <v>33.700000000000003</v>
      </c>
      <c r="F367" s="69"/>
      <c r="G367" s="204">
        <v>2.7</v>
      </c>
      <c r="H367" s="69"/>
      <c r="I367" s="69"/>
      <c r="J367" s="69"/>
      <c r="K367" s="37">
        <f t="shared" si="47"/>
        <v>90.990000000000009</v>
      </c>
      <c r="L367" s="37">
        <f t="shared" si="48"/>
        <v>90.990000000000009</v>
      </c>
      <c r="M367" s="69"/>
    </row>
    <row r="368" spans="1:13">
      <c r="A368" s="69"/>
      <c r="B368" s="458" t="s">
        <v>763</v>
      </c>
      <c r="C368" s="458"/>
      <c r="D368" s="204">
        <v>1</v>
      </c>
      <c r="E368" s="204">
        <v>4.8</v>
      </c>
      <c r="F368" s="69"/>
      <c r="G368" s="204">
        <v>2.7</v>
      </c>
      <c r="H368" s="69"/>
      <c r="I368" s="69"/>
      <c r="J368" s="69"/>
      <c r="K368" s="37">
        <f t="shared" si="47"/>
        <v>12.96</v>
      </c>
      <c r="L368" s="37">
        <f t="shared" si="48"/>
        <v>12.96</v>
      </c>
      <c r="M368" s="69"/>
    </row>
    <row r="369" spans="1:13">
      <c r="A369" s="69"/>
      <c r="B369" s="458" t="s">
        <v>473</v>
      </c>
      <c r="C369" s="458"/>
      <c r="D369" s="204">
        <v>1</v>
      </c>
      <c r="E369" s="204">
        <v>11.6</v>
      </c>
      <c r="F369" s="69"/>
      <c r="G369" s="204">
        <v>2.7</v>
      </c>
      <c r="H369" s="69"/>
      <c r="I369" s="69"/>
      <c r="J369" s="69"/>
      <c r="K369" s="37">
        <f t="shared" si="47"/>
        <v>31.32</v>
      </c>
      <c r="L369" s="37">
        <f t="shared" si="48"/>
        <v>31.32</v>
      </c>
      <c r="M369" s="69"/>
    </row>
    <row r="370" spans="1:13">
      <c r="A370" s="69"/>
      <c r="B370" s="458" t="s">
        <v>764</v>
      </c>
      <c r="C370" s="458"/>
      <c r="D370" s="204">
        <v>1</v>
      </c>
      <c r="E370" s="204">
        <v>12.2</v>
      </c>
      <c r="F370" s="69"/>
      <c r="G370" s="204">
        <v>2.7</v>
      </c>
      <c r="H370" s="69"/>
      <c r="I370" s="69"/>
      <c r="J370" s="69"/>
      <c r="K370" s="37">
        <f t="shared" si="47"/>
        <v>32.94</v>
      </c>
      <c r="L370" s="37">
        <f t="shared" si="48"/>
        <v>32.94</v>
      </c>
      <c r="M370" s="69"/>
    </row>
    <row r="371" spans="1:13">
      <c r="A371" s="69"/>
      <c r="B371" s="458" t="s">
        <v>765</v>
      </c>
      <c r="C371" s="458"/>
      <c r="D371" s="204">
        <v>1</v>
      </c>
      <c r="E371" s="204">
        <v>12.3</v>
      </c>
      <c r="F371" s="69"/>
      <c r="G371" s="204">
        <v>2.7</v>
      </c>
      <c r="H371" s="69"/>
      <c r="I371" s="69"/>
      <c r="J371" s="69"/>
      <c r="K371" s="37">
        <f t="shared" si="47"/>
        <v>33.21</v>
      </c>
      <c r="L371" s="37">
        <f t="shared" si="48"/>
        <v>33.21</v>
      </c>
      <c r="M371" s="69"/>
    </row>
    <row r="372" spans="1:13">
      <c r="A372" s="69"/>
      <c r="B372" s="458" t="s">
        <v>766</v>
      </c>
      <c r="C372" s="458"/>
      <c r="D372" s="204">
        <v>1</v>
      </c>
      <c r="E372" s="204">
        <v>12.3</v>
      </c>
      <c r="F372" s="69"/>
      <c r="G372" s="204">
        <v>2.7</v>
      </c>
      <c r="H372" s="69"/>
      <c r="I372" s="69"/>
      <c r="J372" s="69"/>
      <c r="K372" s="37">
        <f t="shared" si="47"/>
        <v>33.21</v>
      </c>
      <c r="L372" s="37">
        <f t="shared" si="48"/>
        <v>33.21</v>
      </c>
      <c r="M372" s="69"/>
    </row>
  </sheetData>
  <protectedRanges>
    <protectedRange sqref="L7" name="Intervalo1_1"/>
    <protectedRange sqref="L158:L159 L25:L27 L10:L11 L219:L222 L42:L44 L161:L162 L192:L193 L179:L180 L120:L121 L72:L73 L46:L57 L59:L70 L177 L190 L199:L205 L90:L91 L29:L40 L106 L108:L118 L136 L145 L138:L139 L147:L148 L292:L294 L296:L318 L320:L372 L231:L290" name="Intervalo1_1_2"/>
    <protectedRange sqref="L41 L45 L58 L160 L178 L191 L107 L119 L71 L89 L28 L137 L146" name="Intervalo1_1_1_3"/>
    <protectedRange sqref="L13 L206" name="Intervalo1_1_2_7"/>
    <protectedRange sqref="L12" name="Intervalo1_1_1_3_1"/>
    <protectedRange sqref="L14:L24" name="Intervalo1_1_2_1_1"/>
  </protectedRanges>
  <mergeCells count="312">
    <mergeCell ref="B368:C368"/>
    <mergeCell ref="B369:C369"/>
    <mergeCell ref="B370:C370"/>
    <mergeCell ref="B371:C371"/>
    <mergeCell ref="B372:C372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51:C351"/>
    <mergeCell ref="B343:K343"/>
    <mergeCell ref="B352:C352"/>
    <mergeCell ref="B353:C353"/>
    <mergeCell ref="B354:C354"/>
    <mergeCell ref="B355:C355"/>
    <mergeCell ref="B356:C356"/>
    <mergeCell ref="B366:C366"/>
    <mergeCell ref="B367:C367"/>
    <mergeCell ref="B338:C338"/>
    <mergeCell ref="B339:C339"/>
    <mergeCell ref="B340:C340"/>
    <mergeCell ref="B345:C345"/>
    <mergeCell ref="B346:C346"/>
    <mergeCell ref="B347:C347"/>
    <mergeCell ref="B348:C348"/>
    <mergeCell ref="B349:C349"/>
    <mergeCell ref="B350:C350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276:C276"/>
    <mergeCell ref="B277:C277"/>
    <mergeCell ref="B278:C278"/>
    <mergeCell ref="B259:C259"/>
    <mergeCell ref="B260:C260"/>
    <mergeCell ref="B261:C261"/>
    <mergeCell ref="B262:C262"/>
    <mergeCell ref="B263:C263"/>
    <mergeCell ref="B264:C264"/>
    <mergeCell ref="B265:C265"/>
    <mergeCell ref="B166:C166"/>
    <mergeCell ref="B167:C167"/>
    <mergeCell ref="B168:C168"/>
    <mergeCell ref="B169:C169"/>
    <mergeCell ref="B170:C170"/>
    <mergeCell ref="B191:K191"/>
    <mergeCell ref="B194:C194"/>
    <mergeCell ref="B176:C176"/>
    <mergeCell ref="B189:C189"/>
    <mergeCell ref="B183:C183"/>
    <mergeCell ref="B184:C184"/>
    <mergeCell ref="B185:C185"/>
    <mergeCell ref="B186:C186"/>
    <mergeCell ref="B187:C187"/>
    <mergeCell ref="B178:K178"/>
    <mergeCell ref="B180:C180"/>
    <mergeCell ref="B181:C181"/>
    <mergeCell ref="B182:C182"/>
    <mergeCell ref="B116:C116"/>
    <mergeCell ref="B117:C117"/>
    <mergeCell ref="B162:C162"/>
    <mergeCell ref="B163:C163"/>
    <mergeCell ref="B164:C164"/>
    <mergeCell ref="B119:K119"/>
    <mergeCell ref="B121:C121"/>
    <mergeCell ref="B122:C122"/>
    <mergeCell ref="B123:C123"/>
    <mergeCell ref="B124:C124"/>
    <mergeCell ref="B137:K137"/>
    <mergeCell ref="B125:C125"/>
    <mergeCell ref="B126:C126"/>
    <mergeCell ref="B151:C151"/>
    <mergeCell ref="B127:C127"/>
    <mergeCell ref="B128:C128"/>
    <mergeCell ref="B129:C129"/>
    <mergeCell ref="B130:C130"/>
    <mergeCell ref="B131:C131"/>
    <mergeCell ref="B132:C132"/>
    <mergeCell ref="B133:C133"/>
    <mergeCell ref="B135:C135"/>
    <mergeCell ref="B94:C94"/>
    <mergeCell ref="B95:C95"/>
    <mergeCell ref="B96:C96"/>
    <mergeCell ref="B97:C97"/>
    <mergeCell ref="B98:C98"/>
    <mergeCell ref="B99:C99"/>
    <mergeCell ref="B113:C113"/>
    <mergeCell ref="B114:C114"/>
    <mergeCell ref="B115:C115"/>
    <mergeCell ref="B38:C38"/>
    <mergeCell ref="B39:C39"/>
    <mergeCell ref="B30:C30"/>
    <mergeCell ref="B31:C31"/>
    <mergeCell ref="B32:C32"/>
    <mergeCell ref="B33:C33"/>
    <mergeCell ref="B34:C34"/>
    <mergeCell ref="B35:C35"/>
    <mergeCell ref="B36:C36"/>
    <mergeCell ref="B37:C37"/>
    <mergeCell ref="B12:K12"/>
    <mergeCell ref="B14:C14"/>
    <mergeCell ref="B15:C15"/>
    <mergeCell ref="B16:C16"/>
    <mergeCell ref="B17:C17"/>
    <mergeCell ref="B18:C18"/>
    <mergeCell ref="B19:C19"/>
    <mergeCell ref="B21:C21"/>
    <mergeCell ref="B22:C22"/>
    <mergeCell ref="B28:K28"/>
    <mergeCell ref="B208:C208"/>
    <mergeCell ref="B85:C85"/>
    <mergeCell ref="B87:C87"/>
    <mergeCell ref="B174:C174"/>
    <mergeCell ref="B171:C171"/>
    <mergeCell ref="B172:C172"/>
    <mergeCell ref="B173:C173"/>
    <mergeCell ref="B100:C100"/>
    <mergeCell ref="B101:C101"/>
    <mergeCell ref="B102:C102"/>
    <mergeCell ref="B103:C103"/>
    <mergeCell ref="B105:C105"/>
    <mergeCell ref="B107:K107"/>
    <mergeCell ref="B109:C109"/>
    <mergeCell ref="B110:C110"/>
    <mergeCell ref="B111:C111"/>
    <mergeCell ref="B67:C67"/>
    <mergeCell ref="B68:C68"/>
    <mergeCell ref="B69:C69"/>
    <mergeCell ref="B160:K160"/>
    <mergeCell ref="B71:K71"/>
    <mergeCell ref="B73:C73"/>
    <mergeCell ref="B74:C74"/>
    <mergeCell ref="B41:K41"/>
    <mergeCell ref="B66:C66"/>
    <mergeCell ref="B294:K294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0:K10"/>
    <mergeCell ref="B11:K11"/>
    <mergeCell ref="B26:K26"/>
    <mergeCell ref="A7:A8"/>
    <mergeCell ref="B7:C8"/>
    <mergeCell ref="D7:D8"/>
    <mergeCell ref="B23:C23"/>
    <mergeCell ref="B24:C24"/>
    <mergeCell ref="B43:C43"/>
    <mergeCell ref="B207:C207"/>
    <mergeCell ref="B203:K203"/>
    <mergeCell ref="E7:J7"/>
    <mergeCell ref="K7:L7"/>
    <mergeCell ref="M7:M8"/>
    <mergeCell ref="B223:C223"/>
    <mergeCell ref="B224:C224"/>
    <mergeCell ref="B225:C225"/>
    <mergeCell ref="B233:K233"/>
    <mergeCell ref="B227:C227"/>
    <mergeCell ref="B228:C228"/>
    <mergeCell ref="B45:K45"/>
    <mergeCell ref="B48:C48"/>
    <mergeCell ref="B49:C49"/>
    <mergeCell ref="B50:C50"/>
    <mergeCell ref="B51:C51"/>
    <mergeCell ref="B52:C52"/>
    <mergeCell ref="B53:C53"/>
    <mergeCell ref="B54:C54"/>
    <mergeCell ref="B55:C55"/>
    <mergeCell ref="B82:C82"/>
    <mergeCell ref="B83:C83"/>
    <mergeCell ref="B84:C84"/>
    <mergeCell ref="B211:C211"/>
    <mergeCell ref="B212:C212"/>
    <mergeCell ref="B56:C56"/>
    <mergeCell ref="B47:C47"/>
    <mergeCell ref="B58:K58"/>
    <mergeCell ref="B60:C60"/>
    <mergeCell ref="B62:C62"/>
    <mergeCell ref="B63:C63"/>
    <mergeCell ref="B64:C64"/>
    <mergeCell ref="B65:C65"/>
    <mergeCell ref="B215:C215"/>
    <mergeCell ref="B213:C213"/>
    <mergeCell ref="B214:C214"/>
    <mergeCell ref="B205:K205"/>
    <mergeCell ref="B61:C61"/>
    <mergeCell ref="B75:C75"/>
    <mergeCell ref="B76:C76"/>
    <mergeCell ref="B77:C77"/>
    <mergeCell ref="B78:C78"/>
    <mergeCell ref="B79:C79"/>
    <mergeCell ref="B80:C80"/>
    <mergeCell ref="B81:C81"/>
    <mergeCell ref="B89:K89"/>
    <mergeCell ref="B91:C91"/>
    <mergeCell ref="B92:C92"/>
    <mergeCell ref="B93:C93"/>
    <mergeCell ref="B112:C112"/>
    <mergeCell ref="B165:C165"/>
    <mergeCell ref="B139:C139"/>
    <mergeCell ref="B140:C140"/>
    <mergeCell ref="B152:C152"/>
    <mergeCell ref="B153:C153"/>
    <mergeCell ref="B154:C154"/>
    <mergeCell ref="B155:C155"/>
    <mergeCell ref="B157:C157"/>
    <mergeCell ref="B141:C141"/>
    <mergeCell ref="B142:C142"/>
    <mergeCell ref="B143:C143"/>
    <mergeCell ref="B144:C144"/>
    <mergeCell ref="B146:K146"/>
    <mergeCell ref="B148:C148"/>
    <mergeCell ref="B149:C149"/>
    <mergeCell ref="B150:C150"/>
    <mergeCell ref="B244:K244"/>
    <mergeCell ref="B246:C246"/>
    <mergeCell ref="B282:K282"/>
    <mergeCell ref="B196:C196"/>
    <mergeCell ref="B197:C197"/>
    <mergeCell ref="B198:C198"/>
    <mergeCell ref="B193:C193"/>
    <mergeCell ref="B216:C216"/>
    <mergeCell ref="B217:C217"/>
    <mergeCell ref="B218:C218"/>
    <mergeCell ref="B230:C230"/>
    <mergeCell ref="B226:C226"/>
    <mergeCell ref="B220:K220"/>
    <mergeCell ref="B222:C222"/>
    <mergeCell ref="B235:K235"/>
    <mergeCell ref="B237:C237"/>
    <mergeCell ref="B238:C238"/>
    <mergeCell ref="B240:K240"/>
    <mergeCell ref="B210:C210"/>
    <mergeCell ref="B258:C258"/>
    <mergeCell ref="B271:C271"/>
    <mergeCell ref="B267:K267"/>
    <mergeCell ref="B269:K269"/>
    <mergeCell ref="B274:K274"/>
    <mergeCell ref="B318:K318"/>
    <mergeCell ref="B284:C284"/>
    <mergeCell ref="B285:C285"/>
    <mergeCell ref="B286:C286"/>
    <mergeCell ref="B287:C287"/>
    <mergeCell ref="B288:C288"/>
    <mergeCell ref="B289:C289"/>
    <mergeCell ref="B290:C290"/>
    <mergeCell ref="B296:C296"/>
    <mergeCell ref="B297:C297"/>
    <mergeCell ref="B299:C299"/>
    <mergeCell ref="B300:C300"/>
    <mergeCell ref="B301:C301"/>
    <mergeCell ref="B302:C302"/>
    <mergeCell ref="B303:C303"/>
    <mergeCell ref="B304:C304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05:C305"/>
    <mergeCell ref="B306:C306"/>
    <mergeCell ref="B307:C307"/>
    <mergeCell ref="B308:C308"/>
    <mergeCell ref="B247:C247"/>
    <mergeCell ref="B248:C248"/>
    <mergeCell ref="B249:C249"/>
    <mergeCell ref="B195:C195"/>
    <mergeCell ref="B229:C229"/>
    <mergeCell ref="B298:C298"/>
    <mergeCell ref="B272:C272"/>
    <mergeCell ref="B292:K292"/>
    <mergeCell ref="B280:K280"/>
    <mergeCell ref="B209:C20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31:C231"/>
    <mergeCell ref="B242:C242"/>
  </mergeCells>
  <pageMargins left="0.511811024" right="0.511811024" top="0.78740157499999996" bottom="0.78740157499999996" header="0.31496062000000002" footer="0.31496062000000002"/>
  <pageSetup paperSize="9" scale="58" fitToHeight="0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0"/>
  <sheetViews>
    <sheetView zoomScaleNormal="100" workbookViewId="0">
      <selection activeCell="A26" sqref="A26"/>
    </sheetView>
  </sheetViews>
  <sheetFormatPr defaultRowHeight="15"/>
  <cols>
    <col min="1" max="1" width="23.140625" customWidth="1"/>
    <col min="7" max="7" width="25.140625" customWidth="1"/>
    <col min="10" max="10" width="10.5703125" customWidth="1"/>
  </cols>
  <sheetData>
    <row r="1" spans="1:10" ht="29.25" thickBot="1">
      <c r="A1" s="466" t="s">
        <v>721</v>
      </c>
      <c r="B1" s="467"/>
      <c r="C1" s="467"/>
      <c r="D1" s="467"/>
      <c r="E1" s="467"/>
      <c r="F1" s="467"/>
      <c r="G1" s="467"/>
      <c r="H1" s="467"/>
      <c r="I1" s="467"/>
      <c r="J1" s="468"/>
    </row>
    <row r="3" spans="1:10">
      <c r="A3" s="210" t="s">
        <v>722</v>
      </c>
      <c r="G3" s="210" t="s">
        <v>723</v>
      </c>
    </row>
    <row r="5" spans="1:10">
      <c r="A5" t="s">
        <v>724</v>
      </c>
      <c r="B5" s="43">
        <v>0.5</v>
      </c>
      <c r="C5" s="43">
        <v>0.5</v>
      </c>
      <c r="D5" s="43">
        <v>16</v>
      </c>
      <c r="E5" s="43">
        <f>B5*C5*D5</f>
        <v>4</v>
      </c>
      <c r="G5" t="s">
        <v>725</v>
      </c>
      <c r="H5" s="43">
        <v>19.899999999999999</v>
      </c>
      <c r="I5" s="43">
        <v>4.3</v>
      </c>
      <c r="J5" s="43">
        <f>I5*H5</f>
        <v>85.57</v>
      </c>
    </row>
    <row r="6" spans="1:10">
      <c r="A6" t="s">
        <v>726</v>
      </c>
      <c r="B6" s="43">
        <v>5.75</v>
      </c>
      <c r="C6" s="43"/>
      <c r="D6" s="43"/>
      <c r="E6" s="43">
        <f>B6</f>
        <v>5.75</v>
      </c>
      <c r="G6" t="s">
        <v>727</v>
      </c>
      <c r="H6" s="43">
        <v>12.2</v>
      </c>
      <c r="I6" s="43">
        <v>2</v>
      </c>
      <c r="J6" s="43">
        <f t="shared" ref="J6:J25" si="0">I6*H6</f>
        <v>24.4</v>
      </c>
    </row>
    <row r="7" spans="1:10">
      <c r="A7" t="s">
        <v>728</v>
      </c>
      <c r="B7" s="43">
        <v>6.78</v>
      </c>
      <c r="C7" s="43"/>
      <c r="D7" s="43"/>
      <c r="E7" s="43">
        <f t="shared" ref="E7:E8" si="1">B7</f>
        <v>6.78</v>
      </c>
      <c r="G7" t="s">
        <v>727</v>
      </c>
      <c r="H7" s="43">
        <v>7.6</v>
      </c>
      <c r="I7" s="43">
        <v>1.7</v>
      </c>
      <c r="J7" s="43">
        <f t="shared" si="0"/>
        <v>12.92</v>
      </c>
    </row>
    <row r="8" spans="1:10">
      <c r="A8" t="s">
        <v>729</v>
      </c>
      <c r="B8" s="43">
        <v>7.22</v>
      </c>
      <c r="C8" s="43"/>
      <c r="D8" s="43"/>
      <c r="E8" s="43">
        <f t="shared" si="1"/>
        <v>7.22</v>
      </c>
      <c r="G8" t="s">
        <v>727</v>
      </c>
      <c r="H8" s="43">
        <v>9.6</v>
      </c>
      <c r="I8" s="43">
        <v>2</v>
      </c>
      <c r="J8" s="43">
        <f t="shared" si="0"/>
        <v>19.2</v>
      </c>
    </row>
    <row r="9" spans="1:10">
      <c r="G9" t="s">
        <v>730</v>
      </c>
      <c r="H9" s="43">
        <v>15</v>
      </c>
      <c r="I9" s="43">
        <v>4.0999999999999996</v>
      </c>
      <c r="J9" s="43">
        <f t="shared" si="0"/>
        <v>61.499999999999993</v>
      </c>
    </row>
    <row r="10" spans="1:10">
      <c r="A10" s="210" t="s">
        <v>716</v>
      </c>
      <c r="G10" t="s">
        <v>730</v>
      </c>
      <c r="H10" s="43">
        <v>1.6</v>
      </c>
      <c r="I10" s="43">
        <v>2.8</v>
      </c>
      <c r="J10" s="43">
        <f t="shared" si="0"/>
        <v>4.4799999999999995</v>
      </c>
    </row>
    <row r="11" spans="1:10">
      <c r="G11" t="s">
        <v>730</v>
      </c>
      <c r="H11" s="43">
        <v>5.0999999999999996</v>
      </c>
      <c r="I11" s="43">
        <v>2.8</v>
      </c>
      <c r="J11" s="43">
        <f t="shared" si="0"/>
        <v>14.279999999999998</v>
      </c>
    </row>
    <row r="12" spans="1:10" ht="30">
      <c r="A12" t="s">
        <v>731</v>
      </c>
      <c r="B12" s="43">
        <v>4.2</v>
      </c>
      <c r="C12" s="43">
        <v>3.9</v>
      </c>
      <c r="D12" s="43"/>
      <c r="E12" s="43">
        <f>B12*C12</f>
        <v>16.38</v>
      </c>
      <c r="G12" s="220" t="s">
        <v>732</v>
      </c>
      <c r="H12" s="43">
        <v>16</v>
      </c>
      <c r="I12" s="43">
        <v>3.4</v>
      </c>
      <c r="J12" s="43">
        <f t="shared" si="0"/>
        <v>54.4</v>
      </c>
    </row>
    <row r="13" spans="1:10" ht="30">
      <c r="A13" t="s">
        <v>733</v>
      </c>
      <c r="B13" s="43">
        <v>4.2</v>
      </c>
      <c r="C13" s="43">
        <v>1.6</v>
      </c>
      <c r="D13" s="43"/>
      <c r="E13" s="43">
        <f>C13*B13</f>
        <v>6.7200000000000006</v>
      </c>
      <c r="G13" s="220" t="s">
        <v>732</v>
      </c>
      <c r="H13" s="43">
        <v>11.8</v>
      </c>
      <c r="I13" s="43">
        <v>5.8</v>
      </c>
      <c r="J13" s="43">
        <f t="shared" si="0"/>
        <v>68.44</v>
      </c>
    </row>
    <row r="14" spans="1:10">
      <c r="A14" t="s">
        <v>731</v>
      </c>
      <c r="B14" s="43">
        <v>5.25</v>
      </c>
      <c r="C14" s="43">
        <v>3.9</v>
      </c>
      <c r="D14" s="43"/>
      <c r="E14" s="43">
        <f t="shared" ref="E14:E30" si="2">C14*B14</f>
        <v>20.474999999999998</v>
      </c>
      <c r="G14" t="s">
        <v>734</v>
      </c>
      <c r="H14" s="43">
        <v>8</v>
      </c>
      <c r="I14" s="43">
        <v>4.8</v>
      </c>
      <c r="J14" s="43">
        <f t="shared" si="0"/>
        <v>38.4</v>
      </c>
    </row>
    <row r="15" spans="1:10">
      <c r="A15" t="s">
        <v>733</v>
      </c>
      <c r="B15" s="43">
        <v>5.25</v>
      </c>
      <c r="C15" s="43">
        <v>1.55</v>
      </c>
      <c r="D15" s="43"/>
      <c r="E15" s="43">
        <f t="shared" si="2"/>
        <v>8.1375000000000011</v>
      </c>
      <c r="G15" t="s">
        <v>734</v>
      </c>
      <c r="H15" s="43">
        <v>15.1</v>
      </c>
      <c r="I15" s="43">
        <v>4.8</v>
      </c>
      <c r="J15" s="43">
        <f t="shared" si="0"/>
        <v>72.47999999999999</v>
      </c>
    </row>
    <row r="16" spans="1:10">
      <c r="A16" t="s">
        <v>735</v>
      </c>
      <c r="B16" s="43">
        <v>5.2</v>
      </c>
      <c r="C16" s="43">
        <v>3.5</v>
      </c>
      <c r="D16" s="43"/>
      <c r="E16" s="43">
        <f t="shared" si="2"/>
        <v>18.2</v>
      </c>
      <c r="G16" t="s">
        <v>736</v>
      </c>
      <c r="H16" s="43">
        <v>10.5</v>
      </c>
      <c r="I16" s="43">
        <v>0.5</v>
      </c>
      <c r="J16" s="43">
        <f t="shared" si="0"/>
        <v>5.25</v>
      </c>
    </row>
    <row r="17" spans="1:10">
      <c r="A17" t="s">
        <v>464</v>
      </c>
      <c r="B17" s="43">
        <v>5.7</v>
      </c>
      <c r="C17" s="43">
        <v>7.4</v>
      </c>
      <c r="D17" s="43"/>
      <c r="E17" s="43">
        <f t="shared" si="2"/>
        <v>42.180000000000007</v>
      </c>
      <c r="G17" t="s">
        <v>737</v>
      </c>
      <c r="H17" s="43">
        <v>4.5</v>
      </c>
      <c r="I17" s="43">
        <v>0.6</v>
      </c>
      <c r="J17" s="43">
        <f t="shared" si="0"/>
        <v>2.6999999999999997</v>
      </c>
    </row>
    <row r="18" spans="1:10">
      <c r="A18" t="s">
        <v>673</v>
      </c>
      <c r="B18" s="43">
        <v>2</v>
      </c>
      <c r="C18" s="43">
        <v>2.2999999999999998</v>
      </c>
      <c r="D18" s="43"/>
      <c r="E18" s="43">
        <f t="shared" si="2"/>
        <v>4.5999999999999996</v>
      </c>
      <c r="G18" t="s">
        <v>738</v>
      </c>
      <c r="H18" s="43">
        <v>4.5</v>
      </c>
      <c r="I18" s="43">
        <v>0.6</v>
      </c>
      <c r="J18" s="43">
        <f t="shared" si="0"/>
        <v>2.6999999999999997</v>
      </c>
    </row>
    <row r="19" spans="1:10">
      <c r="A19" t="s">
        <v>674</v>
      </c>
      <c r="B19" s="43">
        <v>2</v>
      </c>
      <c r="C19" s="43">
        <v>2.5499999999999998</v>
      </c>
      <c r="D19" s="43"/>
      <c r="E19" s="43">
        <f t="shared" si="2"/>
        <v>5.0999999999999996</v>
      </c>
      <c r="G19" t="s">
        <v>623</v>
      </c>
      <c r="H19" s="43">
        <v>8</v>
      </c>
      <c r="I19" s="43">
        <v>0.6</v>
      </c>
      <c r="J19" s="43">
        <f t="shared" si="0"/>
        <v>4.8</v>
      </c>
    </row>
    <row r="20" spans="1:10">
      <c r="A20" t="s">
        <v>739</v>
      </c>
      <c r="B20" s="43">
        <v>4.5</v>
      </c>
      <c r="C20" s="43">
        <v>5.2</v>
      </c>
      <c r="D20" s="43"/>
      <c r="E20" s="43">
        <f t="shared" si="2"/>
        <v>23.400000000000002</v>
      </c>
      <c r="G20" t="s">
        <v>623</v>
      </c>
      <c r="H20" s="43">
        <v>8</v>
      </c>
      <c r="I20" s="43">
        <v>0.8</v>
      </c>
      <c r="J20" s="43">
        <f t="shared" si="0"/>
        <v>6.4</v>
      </c>
    </row>
    <row r="21" spans="1:10">
      <c r="A21" t="s">
        <v>740</v>
      </c>
      <c r="B21" s="43">
        <v>1.9</v>
      </c>
      <c r="C21" s="43">
        <v>1</v>
      </c>
      <c r="D21" s="43"/>
      <c r="E21" s="43">
        <f t="shared" si="2"/>
        <v>1.9</v>
      </c>
      <c r="G21" t="s">
        <v>623</v>
      </c>
      <c r="H21" s="43">
        <v>3</v>
      </c>
      <c r="I21" s="43">
        <v>0.2</v>
      </c>
      <c r="J21" s="43">
        <f t="shared" si="0"/>
        <v>0.60000000000000009</v>
      </c>
    </row>
    <row r="22" spans="1:10">
      <c r="A22" t="s">
        <v>741</v>
      </c>
      <c r="B22" s="43">
        <v>4.4000000000000004</v>
      </c>
      <c r="C22" s="43">
        <v>1.5</v>
      </c>
      <c r="D22" s="43"/>
      <c r="E22" s="43">
        <f t="shared" si="2"/>
        <v>6.6000000000000005</v>
      </c>
      <c r="G22" t="s">
        <v>742</v>
      </c>
      <c r="H22" s="43">
        <v>0.85</v>
      </c>
      <c r="I22" s="43">
        <v>5.8</v>
      </c>
      <c r="J22" s="43">
        <f t="shared" si="0"/>
        <v>4.93</v>
      </c>
    </row>
    <row r="23" spans="1:10" ht="30">
      <c r="A23" s="220" t="s">
        <v>743</v>
      </c>
      <c r="B23" s="43">
        <v>17</v>
      </c>
      <c r="C23" s="43">
        <v>2.1</v>
      </c>
      <c r="D23" s="43"/>
      <c r="E23" s="43">
        <f t="shared" si="2"/>
        <v>35.700000000000003</v>
      </c>
      <c r="G23" t="s">
        <v>622</v>
      </c>
      <c r="H23" s="43">
        <v>10.4</v>
      </c>
      <c r="I23" s="43">
        <v>0.72</v>
      </c>
      <c r="J23" s="43">
        <f t="shared" si="0"/>
        <v>7.4879999999999995</v>
      </c>
    </row>
    <row r="24" spans="1:10">
      <c r="A24" t="s">
        <v>744</v>
      </c>
      <c r="B24" s="43">
        <v>4.5999999999999996</v>
      </c>
      <c r="C24" s="43">
        <v>2.9</v>
      </c>
      <c r="D24" s="43"/>
      <c r="E24" s="43">
        <f t="shared" si="2"/>
        <v>13.339999999999998</v>
      </c>
      <c r="G24" t="s">
        <v>622</v>
      </c>
      <c r="H24" s="43">
        <v>10.4</v>
      </c>
      <c r="I24" s="43">
        <v>0.8</v>
      </c>
      <c r="J24" s="43">
        <f t="shared" si="0"/>
        <v>8.32</v>
      </c>
    </row>
    <row r="25" spans="1:10">
      <c r="A25" t="s">
        <v>745</v>
      </c>
      <c r="B25" s="43">
        <v>3.3</v>
      </c>
      <c r="C25" s="43">
        <v>1.8</v>
      </c>
      <c r="D25" s="43"/>
      <c r="E25" s="43">
        <f t="shared" si="2"/>
        <v>5.9399999999999995</v>
      </c>
      <c r="G25" t="s">
        <v>622</v>
      </c>
      <c r="H25" s="43">
        <v>7</v>
      </c>
      <c r="I25" s="43">
        <v>0.6</v>
      </c>
      <c r="J25" s="43">
        <f t="shared" si="0"/>
        <v>4.2</v>
      </c>
    </row>
    <row r="26" spans="1:10">
      <c r="A26" t="s">
        <v>712</v>
      </c>
      <c r="B26" s="43">
        <v>1.45</v>
      </c>
      <c r="C26" s="43">
        <v>2.1</v>
      </c>
      <c r="D26" s="43"/>
      <c r="E26" s="43">
        <f t="shared" si="2"/>
        <v>3.0449999999999999</v>
      </c>
      <c r="J26" s="214">
        <f>SUM(J5:J25)</f>
        <v>503.45799999999991</v>
      </c>
    </row>
    <row r="27" spans="1:10">
      <c r="A27" t="s">
        <v>673</v>
      </c>
      <c r="B27" s="43">
        <v>1.8</v>
      </c>
      <c r="C27" s="43">
        <v>1.45</v>
      </c>
      <c r="D27" s="43"/>
      <c r="E27" s="43">
        <f t="shared" si="2"/>
        <v>2.61</v>
      </c>
    </row>
    <row r="28" spans="1:10">
      <c r="A28" t="s">
        <v>674</v>
      </c>
      <c r="B28" s="43">
        <v>1</v>
      </c>
      <c r="C28" s="43">
        <v>1.96</v>
      </c>
      <c r="D28" s="43"/>
      <c r="E28" s="43">
        <f t="shared" si="2"/>
        <v>1.96</v>
      </c>
    </row>
    <row r="29" spans="1:10" ht="30">
      <c r="A29" s="220" t="s">
        <v>746</v>
      </c>
      <c r="B29" s="43">
        <v>4.4000000000000004</v>
      </c>
      <c r="C29" s="43">
        <v>3.2</v>
      </c>
      <c r="D29" s="43"/>
      <c r="E29" s="43">
        <f t="shared" si="2"/>
        <v>14.080000000000002</v>
      </c>
    </row>
    <row r="30" spans="1:10">
      <c r="A30" t="s">
        <v>747</v>
      </c>
      <c r="B30" s="43">
        <v>7</v>
      </c>
      <c r="C30" s="43">
        <v>3.3</v>
      </c>
      <c r="D30" s="43"/>
      <c r="E30" s="43">
        <f t="shared" si="2"/>
        <v>23.099999999999998</v>
      </c>
      <c r="G30" s="210" t="s">
        <v>748</v>
      </c>
    </row>
    <row r="31" spans="1:10">
      <c r="E31" s="214">
        <f>SUM(E12:E30)</f>
        <v>253.4675</v>
      </c>
    </row>
    <row r="32" spans="1:10">
      <c r="G32" t="s">
        <v>669</v>
      </c>
      <c r="H32" s="43">
        <v>46</v>
      </c>
      <c r="I32" s="43">
        <v>2.7</v>
      </c>
      <c r="J32" s="43">
        <f>I32*H32</f>
        <v>124.2</v>
      </c>
    </row>
    <row r="33" spans="1:10">
      <c r="A33" s="210" t="s">
        <v>749</v>
      </c>
      <c r="G33" t="s">
        <v>669</v>
      </c>
      <c r="H33" s="43">
        <v>10</v>
      </c>
      <c r="I33" s="43">
        <v>1</v>
      </c>
      <c r="J33" s="43">
        <f t="shared" ref="J33:J59" si="3">I33*H33</f>
        <v>10</v>
      </c>
    </row>
    <row r="34" spans="1:10">
      <c r="G34" t="s">
        <v>725</v>
      </c>
      <c r="H34" s="43">
        <v>3.7</v>
      </c>
      <c r="I34" s="43">
        <v>1</v>
      </c>
      <c r="J34" s="43">
        <f t="shared" si="3"/>
        <v>3.7</v>
      </c>
    </row>
    <row r="35" spans="1:10" ht="30">
      <c r="A35" t="s">
        <v>750</v>
      </c>
      <c r="B35" s="43">
        <v>5</v>
      </c>
      <c r="C35" s="43">
        <v>10.5</v>
      </c>
      <c r="D35" s="43">
        <f>C35*B35</f>
        <v>52.5</v>
      </c>
      <c r="G35" s="220" t="s">
        <v>751</v>
      </c>
      <c r="H35" s="43">
        <v>12.9</v>
      </c>
      <c r="I35" s="43">
        <v>2.7</v>
      </c>
      <c r="J35" s="43">
        <f t="shared" si="3"/>
        <v>34.830000000000005</v>
      </c>
    </row>
    <row r="36" spans="1:10">
      <c r="A36" t="s">
        <v>750</v>
      </c>
      <c r="B36" s="43">
        <v>4.2</v>
      </c>
      <c r="C36" s="43">
        <v>0.81</v>
      </c>
      <c r="D36" s="43">
        <f t="shared" ref="D36:D41" si="4">C36*B36</f>
        <v>3.4020000000000006</v>
      </c>
      <c r="G36" t="s">
        <v>675</v>
      </c>
      <c r="H36" s="43">
        <v>11.75</v>
      </c>
      <c r="I36" s="43">
        <v>2.7</v>
      </c>
      <c r="J36" s="43">
        <f t="shared" si="3"/>
        <v>31.725000000000001</v>
      </c>
    </row>
    <row r="37" spans="1:10">
      <c r="A37" t="s">
        <v>750</v>
      </c>
      <c r="B37" s="43">
        <v>4.2</v>
      </c>
      <c r="C37" s="43">
        <v>2.42</v>
      </c>
      <c r="D37" s="43">
        <f t="shared" si="4"/>
        <v>10.164</v>
      </c>
      <c r="G37" t="s">
        <v>752</v>
      </c>
      <c r="H37" s="43">
        <v>26.4</v>
      </c>
      <c r="I37" s="43">
        <v>2.7</v>
      </c>
      <c r="J37" s="43">
        <f t="shared" si="3"/>
        <v>71.28</v>
      </c>
    </row>
    <row r="38" spans="1:10">
      <c r="A38" t="s">
        <v>750</v>
      </c>
      <c r="B38" s="43">
        <v>1.7</v>
      </c>
      <c r="C38" s="43">
        <v>2.72</v>
      </c>
      <c r="D38" s="43">
        <f t="shared" si="4"/>
        <v>4.6240000000000006</v>
      </c>
      <c r="G38" t="s">
        <v>753</v>
      </c>
      <c r="H38" s="43">
        <v>26.8</v>
      </c>
      <c r="I38" s="43">
        <v>2.7</v>
      </c>
      <c r="J38" s="43">
        <f t="shared" si="3"/>
        <v>72.360000000000014</v>
      </c>
    </row>
    <row r="39" spans="1:10">
      <c r="A39" t="s">
        <v>750</v>
      </c>
      <c r="B39" s="43">
        <v>1.5</v>
      </c>
      <c r="C39" s="43">
        <v>5.85</v>
      </c>
      <c r="D39" s="43">
        <f t="shared" si="4"/>
        <v>8.7749999999999986</v>
      </c>
      <c r="G39" t="s">
        <v>754</v>
      </c>
      <c r="H39" s="43">
        <v>10.9</v>
      </c>
      <c r="I39" s="43">
        <v>2.7</v>
      </c>
      <c r="J39" s="43">
        <f t="shared" si="3"/>
        <v>29.430000000000003</v>
      </c>
    </row>
    <row r="40" spans="1:10">
      <c r="A40" t="s">
        <v>750</v>
      </c>
      <c r="B40" s="43">
        <v>4.2</v>
      </c>
      <c r="C40" s="43">
        <v>2.78</v>
      </c>
      <c r="D40" s="43">
        <f t="shared" si="4"/>
        <v>11.676</v>
      </c>
      <c r="G40" t="s">
        <v>755</v>
      </c>
      <c r="H40" s="43">
        <v>24.7</v>
      </c>
      <c r="I40" s="43">
        <v>2.7</v>
      </c>
      <c r="J40" s="43">
        <f t="shared" si="3"/>
        <v>66.69</v>
      </c>
    </row>
    <row r="41" spans="1:10" ht="30">
      <c r="A41" t="s">
        <v>750</v>
      </c>
      <c r="B41" s="43">
        <v>3.48</v>
      </c>
      <c r="C41" s="43">
        <v>6</v>
      </c>
      <c r="D41" s="43">
        <f t="shared" si="4"/>
        <v>20.88</v>
      </c>
      <c r="G41" s="220" t="s">
        <v>756</v>
      </c>
      <c r="H41" s="43">
        <v>31</v>
      </c>
      <c r="I41" s="43">
        <v>2.7</v>
      </c>
      <c r="J41" s="43">
        <f t="shared" si="3"/>
        <v>83.7</v>
      </c>
    </row>
    <row r="42" spans="1:10">
      <c r="B42" s="43"/>
      <c r="C42" s="43"/>
      <c r="D42" s="218">
        <f>SUM(D35:D41)</f>
        <v>112.021</v>
      </c>
      <c r="G42" t="s">
        <v>735</v>
      </c>
      <c r="H42" s="43">
        <v>16.100000000000001</v>
      </c>
      <c r="I42" s="43">
        <v>2.7</v>
      </c>
      <c r="J42" s="43">
        <f t="shared" si="3"/>
        <v>43.470000000000006</v>
      </c>
    </row>
    <row r="43" spans="1:10">
      <c r="B43" s="43"/>
      <c r="C43" s="43"/>
      <c r="D43" s="43"/>
      <c r="G43" t="s">
        <v>731</v>
      </c>
      <c r="H43" s="43">
        <v>16.600000000000001</v>
      </c>
      <c r="I43" s="43">
        <v>2.7</v>
      </c>
      <c r="J43" s="43">
        <f t="shared" si="3"/>
        <v>44.820000000000007</v>
      </c>
    </row>
    <row r="44" spans="1:10">
      <c r="B44" s="43"/>
      <c r="C44" s="43"/>
      <c r="D44" s="43"/>
      <c r="G44" t="s">
        <v>731</v>
      </c>
      <c r="H44" s="43">
        <v>11.7</v>
      </c>
      <c r="I44" s="43">
        <v>2.7</v>
      </c>
      <c r="J44" s="43">
        <f t="shared" si="3"/>
        <v>31.59</v>
      </c>
    </row>
    <row r="45" spans="1:10">
      <c r="B45" s="43"/>
      <c r="C45" s="43"/>
      <c r="D45" s="43"/>
      <c r="G45" t="s">
        <v>744</v>
      </c>
      <c r="H45" s="43">
        <v>10.199999999999999</v>
      </c>
      <c r="I45" s="43">
        <v>2.7</v>
      </c>
      <c r="J45" s="43">
        <f t="shared" si="3"/>
        <v>27.54</v>
      </c>
    </row>
    <row r="46" spans="1:10">
      <c r="B46" s="43"/>
      <c r="C46" s="43"/>
      <c r="D46" s="43"/>
      <c r="G46" t="s">
        <v>757</v>
      </c>
      <c r="H46" s="43">
        <v>29.3</v>
      </c>
      <c r="I46" s="43">
        <v>2.7</v>
      </c>
      <c r="J46" s="43">
        <f t="shared" si="3"/>
        <v>79.110000000000014</v>
      </c>
    </row>
    <row r="47" spans="1:10">
      <c r="B47" s="43"/>
      <c r="C47" s="43"/>
      <c r="D47" s="43"/>
      <c r="G47" t="s">
        <v>581</v>
      </c>
      <c r="H47" s="43">
        <v>29.1</v>
      </c>
      <c r="I47" s="43">
        <v>2.7</v>
      </c>
      <c r="J47" s="43">
        <f t="shared" si="3"/>
        <v>78.570000000000007</v>
      </c>
    </row>
    <row r="48" spans="1:10">
      <c r="B48" s="43"/>
      <c r="C48" s="43"/>
      <c r="D48" s="43"/>
      <c r="G48" t="s">
        <v>758</v>
      </c>
      <c r="H48" s="43">
        <v>17.600000000000001</v>
      </c>
      <c r="I48" s="43">
        <v>2.7</v>
      </c>
      <c r="J48" s="43">
        <f t="shared" si="3"/>
        <v>47.52000000000001</v>
      </c>
    </row>
    <row r="49" spans="2:10">
      <c r="B49" s="43"/>
      <c r="C49" s="43"/>
      <c r="D49" s="43"/>
      <c r="G49" t="s">
        <v>471</v>
      </c>
      <c r="H49" s="43">
        <v>18.5</v>
      </c>
      <c r="I49" s="43">
        <v>2.7</v>
      </c>
      <c r="J49" s="43">
        <f t="shared" si="3"/>
        <v>49.95</v>
      </c>
    </row>
    <row r="50" spans="2:10">
      <c r="B50" s="43"/>
      <c r="C50" s="43"/>
      <c r="D50" s="43"/>
      <c r="G50" t="s">
        <v>759</v>
      </c>
      <c r="H50" s="43">
        <v>18.7</v>
      </c>
      <c r="I50" s="43">
        <v>2.7</v>
      </c>
      <c r="J50" s="43">
        <f t="shared" si="3"/>
        <v>50.49</v>
      </c>
    </row>
    <row r="51" spans="2:10">
      <c r="B51" s="43"/>
      <c r="C51" s="43"/>
      <c r="D51" s="218"/>
      <c r="G51" t="s">
        <v>760</v>
      </c>
      <c r="H51" s="43">
        <v>13</v>
      </c>
      <c r="I51" s="43">
        <v>2.7</v>
      </c>
      <c r="J51" s="43">
        <f t="shared" si="3"/>
        <v>35.1</v>
      </c>
    </row>
    <row r="52" spans="2:10">
      <c r="G52" t="s">
        <v>761</v>
      </c>
      <c r="H52" s="43">
        <v>35.700000000000003</v>
      </c>
      <c r="I52" s="43">
        <v>2.7</v>
      </c>
      <c r="J52" s="43">
        <f t="shared" si="3"/>
        <v>96.390000000000015</v>
      </c>
    </row>
    <row r="53" spans="2:10">
      <c r="G53" t="s">
        <v>449</v>
      </c>
      <c r="H53" s="43">
        <v>13.8</v>
      </c>
      <c r="I53" s="43">
        <v>2.7</v>
      </c>
      <c r="J53" s="43">
        <f t="shared" si="3"/>
        <v>37.260000000000005</v>
      </c>
    </row>
    <row r="54" spans="2:10">
      <c r="G54" t="s">
        <v>762</v>
      </c>
      <c r="H54" s="43">
        <v>33.700000000000003</v>
      </c>
      <c r="I54" s="43">
        <v>2.7</v>
      </c>
      <c r="J54" s="43">
        <f t="shared" si="3"/>
        <v>90.990000000000009</v>
      </c>
    </row>
    <row r="55" spans="2:10">
      <c r="G55" t="s">
        <v>763</v>
      </c>
      <c r="H55" s="43">
        <v>4.8</v>
      </c>
      <c r="I55" s="43">
        <v>2.7</v>
      </c>
      <c r="J55" s="43">
        <f t="shared" si="3"/>
        <v>12.96</v>
      </c>
    </row>
    <row r="56" spans="2:10">
      <c r="G56" t="s">
        <v>473</v>
      </c>
      <c r="H56" s="43">
        <v>11.6</v>
      </c>
      <c r="I56" s="43">
        <v>2.7</v>
      </c>
      <c r="J56" s="43">
        <f t="shared" si="3"/>
        <v>31.32</v>
      </c>
    </row>
    <row r="57" spans="2:10">
      <c r="G57" t="s">
        <v>764</v>
      </c>
      <c r="H57" s="43">
        <v>12.2</v>
      </c>
      <c r="I57" s="43">
        <v>2.7</v>
      </c>
      <c r="J57" s="43">
        <f t="shared" si="3"/>
        <v>32.94</v>
      </c>
    </row>
    <row r="58" spans="2:10">
      <c r="G58" t="s">
        <v>765</v>
      </c>
      <c r="H58" s="43">
        <v>12.3</v>
      </c>
      <c r="I58" s="43">
        <v>2.7</v>
      </c>
      <c r="J58" s="43">
        <f t="shared" si="3"/>
        <v>33.21</v>
      </c>
    </row>
    <row r="59" spans="2:10">
      <c r="G59" t="s">
        <v>766</v>
      </c>
      <c r="H59" s="43">
        <v>12.3</v>
      </c>
      <c r="I59" s="43">
        <v>2.7</v>
      </c>
      <c r="J59" s="43">
        <f t="shared" si="3"/>
        <v>33.21</v>
      </c>
    </row>
    <row r="60" spans="2:10">
      <c r="J60" s="214">
        <f>SUM(J32:J59)</f>
        <v>1384.3550000000005</v>
      </c>
    </row>
  </sheetData>
  <mergeCells count="1">
    <mergeCell ref="A1:J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79"/>
  <sheetViews>
    <sheetView topLeftCell="A22" workbookViewId="0">
      <selection activeCell="L31" sqref="L31"/>
    </sheetView>
  </sheetViews>
  <sheetFormatPr defaultRowHeight="15"/>
  <cols>
    <col min="4" max="4" width="18.140625" customWidth="1"/>
    <col min="13" max="13" width="9.42578125" customWidth="1"/>
    <col min="14" max="14" width="12.140625" customWidth="1"/>
  </cols>
  <sheetData>
    <row r="1" spans="1:14" ht="21.75" thickBot="1">
      <c r="A1" s="469" t="s">
        <v>680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1"/>
    </row>
    <row r="2" spans="1:14">
      <c r="A2" s="209"/>
      <c r="C2" s="208"/>
      <c r="I2" s="210" t="s">
        <v>681</v>
      </c>
      <c r="L2" t="s">
        <v>682</v>
      </c>
      <c r="N2" s="211"/>
    </row>
    <row r="3" spans="1:14">
      <c r="A3" s="209"/>
      <c r="C3" s="208">
        <v>17.399999999999999</v>
      </c>
      <c r="D3" t="s">
        <v>683</v>
      </c>
      <c r="F3" t="s">
        <v>682</v>
      </c>
      <c r="I3" s="208">
        <v>23</v>
      </c>
      <c r="J3" s="208">
        <v>7.5</v>
      </c>
      <c r="K3" s="208">
        <f>J3*I3</f>
        <v>172.5</v>
      </c>
      <c r="L3" t="s">
        <v>678</v>
      </c>
      <c r="N3" s="211"/>
    </row>
    <row r="4" spans="1:14">
      <c r="A4" s="209"/>
      <c r="C4" s="208">
        <v>21.9</v>
      </c>
      <c r="D4" t="s">
        <v>684</v>
      </c>
      <c r="I4" s="208">
        <v>8.9</v>
      </c>
      <c r="J4" s="208">
        <v>2.4</v>
      </c>
      <c r="K4" s="208">
        <f t="shared" ref="K4:K5" si="0">J4*I4</f>
        <v>21.36</v>
      </c>
      <c r="L4" t="s">
        <v>679</v>
      </c>
      <c r="N4" s="211"/>
    </row>
    <row r="5" spans="1:14">
      <c r="A5" s="209"/>
      <c r="C5" s="212">
        <f>SUM(C3:C4)</f>
        <v>39.299999999999997</v>
      </c>
      <c r="I5" s="208">
        <v>1.3</v>
      </c>
      <c r="J5" s="208">
        <v>2.5</v>
      </c>
      <c r="K5" s="208">
        <f t="shared" si="0"/>
        <v>3.25</v>
      </c>
      <c r="L5" t="s">
        <v>679</v>
      </c>
      <c r="N5" s="211"/>
    </row>
    <row r="6" spans="1:14">
      <c r="A6" s="209"/>
      <c r="C6" s="208"/>
      <c r="I6" s="208"/>
      <c r="J6" s="208"/>
      <c r="K6" s="212">
        <f>SUM(K3:K5)</f>
        <v>197.11</v>
      </c>
      <c r="N6" s="211"/>
    </row>
    <row r="7" spans="1:14">
      <c r="A7" s="209"/>
      <c r="C7" s="208"/>
      <c r="N7" s="211"/>
    </row>
    <row r="8" spans="1:14">
      <c r="A8" s="209"/>
      <c r="C8" s="208">
        <v>4.9000000000000004</v>
      </c>
      <c r="D8" t="s">
        <v>685</v>
      </c>
      <c r="E8" t="s">
        <v>682</v>
      </c>
      <c r="I8" s="210" t="s">
        <v>686</v>
      </c>
      <c r="M8" t="s">
        <v>682</v>
      </c>
      <c r="N8" s="211"/>
    </row>
    <row r="9" spans="1:14">
      <c r="A9" s="209"/>
      <c r="C9" s="208">
        <v>9.6</v>
      </c>
      <c r="D9" t="s">
        <v>687</v>
      </c>
      <c r="E9" t="s">
        <v>688</v>
      </c>
      <c r="N9" s="211"/>
    </row>
    <row r="10" spans="1:14">
      <c r="A10" s="209"/>
      <c r="C10" s="208">
        <v>4.5999999999999996</v>
      </c>
      <c r="D10" t="s">
        <v>687</v>
      </c>
      <c r="E10" t="s">
        <v>689</v>
      </c>
      <c r="I10" s="208">
        <v>23</v>
      </c>
      <c r="J10" s="208">
        <v>7.5</v>
      </c>
      <c r="K10" s="208">
        <f>J10*I10</f>
        <v>172.5</v>
      </c>
      <c r="L10" t="s">
        <v>678</v>
      </c>
      <c r="N10" s="211"/>
    </row>
    <row r="11" spans="1:14">
      <c r="A11" s="209"/>
      <c r="C11" s="208">
        <v>28.8</v>
      </c>
      <c r="D11" t="s">
        <v>690</v>
      </c>
      <c r="I11" s="208">
        <v>8.9</v>
      </c>
      <c r="J11" s="208">
        <v>2.4</v>
      </c>
      <c r="K11" s="208">
        <f t="shared" ref="K11:K12" si="1">J11*I11</f>
        <v>21.36</v>
      </c>
      <c r="L11" t="s">
        <v>679</v>
      </c>
      <c r="N11" s="211"/>
    </row>
    <row r="12" spans="1:14">
      <c r="A12" s="209"/>
      <c r="C12" s="208">
        <v>8.9</v>
      </c>
      <c r="D12" t="s">
        <v>691</v>
      </c>
      <c r="I12" s="208">
        <v>1.3</v>
      </c>
      <c r="J12" s="208">
        <v>2.5</v>
      </c>
      <c r="K12" s="208">
        <f t="shared" si="1"/>
        <v>3.25</v>
      </c>
      <c r="L12" t="s">
        <v>679</v>
      </c>
      <c r="N12" s="211"/>
    </row>
    <row r="13" spans="1:14">
      <c r="A13" s="209"/>
      <c r="C13" s="208">
        <v>5</v>
      </c>
      <c r="D13" t="s">
        <v>692</v>
      </c>
      <c r="I13" s="208"/>
      <c r="J13" s="208"/>
      <c r="K13" s="212">
        <f>SUM(K10:K12)</f>
        <v>197.11</v>
      </c>
      <c r="N13" s="211"/>
    </row>
    <row r="14" spans="1:14">
      <c r="A14" s="209"/>
      <c r="C14" s="208">
        <v>2.5</v>
      </c>
      <c r="D14" t="s">
        <v>693</v>
      </c>
      <c r="N14" s="211"/>
    </row>
    <row r="15" spans="1:14">
      <c r="A15" s="209"/>
      <c r="C15" s="212">
        <f>SUM(C8:C14)</f>
        <v>64.300000000000011</v>
      </c>
      <c r="I15" s="210" t="s">
        <v>694</v>
      </c>
      <c r="N15" s="211"/>
    </row>
    <row r="16" spans="1:14">
      <c r="A16" s="209"/>
      <c r="C16" s="208"/>
      <c r="N16" s="211"/>
    </row>
    <row r="17" spans="1:14">
      <c r="A17" s="209"/>
      <c r="C17" s="208"/>
      <c r="I17" s="208">
        <v>28.8</v>
      </c>
      <c r="J17" s="208">
        <v>7</v>
      </c>
      <c r="K17" s="212">
        <f>J17*I17</f>
        <v>201.6</v>
      </c>
      <c r="L17" t="s">
        <v>695</v>
      </c>
      <c r="N17" s="211"/>
    </row>
    <row r="18" spans="1:14">
      <c r="A18" s="209"/>
      <c r="B18" s="210" t="s">
        <v>88</v>
      </c>
      <c r="C18" s="208"/>
      <c r="D18" t="s">
        <v>682</v>
      </c>
      <c r="I18" s="208"/>
      <c r="J18" s="208"/>
      <c r="K18" s="208"/>
      <c r="N18" s="211"/>
    </row>
    <row r="19" spans="1:14">
      <c r="A19" s="209"/>
      <c r="C19" s="208"/>
      <c r="I19" s="212" t="s">
        <v>696</v>
      </c>
      <c r="J19" s="208"/>
      <c r="K19" s="208"/>
      <c r="N19" s="211"/>
    </row>
    <row r="20" spans="1:14">
      <c r="A20" s="207">
        <v>2.7</v>
      </c>
      <c r="B20" s="208">
        <f>SUM(5.6,0.8)</f>
        <v>6.3999999999999995</v>
      </c>
      <c r="C20" s="208">
        <f>B20*A20</f>
        <v>17.28</v>
      </c>
      <c r="D20" t="s">
        <v>697</v>
      </c>
      <c r="N20" s="211"/>
    </row>
    <row r="21" spans="1:14">
      <c r="A21" s="207">
        <v>2.7</v>
      </c>
      <c r="B21" s="208">
        <f>7.42+0.8</f>
        <v>8.2200000000000006</v>
      </c>
      <c r="C21" s="208">
        <f t="shared" ref="C21:C36" si="2">B21*A21</f>
        <v>22.194000000000003</v>
      </c>
      <c r="D21" t="s">
        <v>475</v>
      </c>
      <c r="I21" s="208">
        <v>28.8</v>
      </c>
      <c r="J21" s="208">
        <v>7</v>
      </c>
      <c r="K21" s="212">
        <f>J21*I21</f>
        <v>201.6</v>
      </c>
      <c r="L21" t="s">
        <v>695</v>
      </c>
      <c r="N21" s="211"/>
    </row>
    <row r="22" spans="1:14">
      <c r="A22" s="207">
        <v>2.7</v>
      </c>
      <c r="B22" s="208">
        <f>8.1+0.8</f>
        <v>8.9</v>
      </c>
      <c r="C22" s="208">
        <f t="shared" si="2"/>
        <v>24.03</v>
      </c>
      <c r="D22" t="s">
        <v>673</v>
      </c>
      <c r="N22" s="211"/>
    </row>
    <row r="23" spans="1:14">
      <c r="A23" s="207">
        <v>2.7</v>
      </c>
      <c r="B23" s="208">
        <v>8.8000000000000007</v>
      </c>
      <c r="C23" s="208">
        <f t="shared" si="2"/>
        <v>23.760000000000005</v>
      </c>
      <c r="D23" t="s">
        <v>674</v>
      </c>
      <c r="I23" s="210" t="s">
        <v>698</v>
      </c>
      <c r="J23" s="210"/>
      <c r="N23" s="211"/>
    </row>
    <row r="24" spans="1:14">
      <c r="A24" s="207">
        <v>2.7</v>
      </c>
      <c r="B24" s="208">
        <v>6.6</v>
      </c>
      <c r="C24" s="208">
        <f t="shared" si="2"/>
        <v>17.82</v>
      </c>
      <c r="D24" t="s">
        <v>699</v>
      </c>
      <c r="N24" s="211"/>
    </row>
    <row r="25" spans="1:14">
      <c r="A25" s="207">
        <v>2.7</v>
      </c>
      <c r="B25" s="208">
        <v>5.9</v>
      </c>
      <c r="C25" s="208">
        <f t="shared" si="2"/>
        <v>15.930000000000001</v>
      </c>
      <c r="D25" t="s">
        <v>700</v>
      </c>
      <c r="J25" s="208">
        <v>13.63</v>
      </c>
      <c r="K25" s="208">
        <v>5.5</v>
      </c>
      <c r="L25" s="213">
        <f>K25*J25</f>
        <v>74.965000000000003</v>
      </c>
      <c r="M25" t="s">
        <v>701</v>
      </c>
      <c r="N25" s="211"/>
    </row>
    <row r="26" spans="1:14">
      <c r="A26" s="207">
        <v>2.7</v>
      </c>
      <c r="B26" s="208">
        <f>8.55+0.8</f>
        <v>9.3500000000000014</v>
      </c>
      <c r="C26" s="208">
        <f t="shared" si="2"/>
        <v>25.245000000000005</v>
      </c>
      <c r="D26" t="s">
        <v>702</v>
      </c>
      <c r="I26" s="208">
        <v>0.3</v>
      </c>
      <c r="J26" s="208">
        <v>6</v>
      </c>
      <c r="K26" s="208">
        <v>6</v>
      </c>
      <c r="L26" s="213">
        <f>K26*J26*I26</f>
        <v>10.799999999999999</v>
      </c>
      <c r="M26" t="s">
        <v>703</v>
      </c>
      <c r="N26" s="211"/>
    </row>
    <row r="27" spans="1:14">
      <c r="A27" s="207">
        <v>2.7</v>
      </c>
      <c r="B27" s="208">
        <f>8.35+0.8</f>
        <v>9.15</v>
      </c>
      <c r="C27" s="208">
        <f t="shared" si="2"/>
        <v>24.705000000000002</v>
      </c>
      <c r="D27" t="s">
        <v>704</v>
      </c>
      <c r="L27" s="214">
        <f>SUM(L25:L26)</f>
        <v>85.765000000000001</v>
      </c>
      <c r="N27" s="211"/>
    </row>
    <row r="28" spans="1:14">
      <c r="A28" s="207">
        <v>2.7</v>
      </c>
      <c r="B28" s="208">
        <v>8.92</v>
      </c>
      <c r="C28" s="208">
        <f t="shared" si="2"/>
        <v>24.084</v>
      </c>
      <c r="D28" t="s">
        <v>705</v>
      </c>
      <c r="N28" s="211"/>
    </row>
    <row r="29" spans="1:14">
      <c r="A29" s="207">
        <v>2.7</v>
      </c>
      <c r="B29" s="208">
        <v>8.8000000000000007</v>
      </c>
      <c r="C29" s="208">
        <f t="shared" si="2"/>
        <v>23.760000000000005</v>
      </c>
      <c r="D29" t="s">
        <v>706</v>
      </c>
      <c r="I29" s="210" t="s">
        <v>707</v>
      </c>
      <c r="J29" s="210"/>
      <c r="N29" s="211"/>
    </row>
    <row r="30" spans="1:14">
      <c r="A30" s="207">
        <v>2.7</v>
      </c>
      <c r="B30" s="208">
        <f>7.52+0.8</f>
        <v>8.32</v>
      </c>
      <c r="C30" s="208">
        <f t="shared" si="2"/>
        <v>22.464000000000002</v>
      </c>
      <c r="D30" t="s">
        <v>708</v>
      </c>
      <c r="N30" s="211"/>
    </row>
    <row r="31" spans="1:14">
      <c r="A31" s="207">
        <v>2.7</v>
      </c>
      <c r="B31" s="208">
        <f>7.52+0.8</f>
        <v>8.32</v>
      </c>
      <c r="C31" s="208">
        <f t="shared" si="2"/>
        <v>22.464000000000002</v>
      </c>
      <c r="D31" t="s">
        <v>709</v>
      </c>
      <c r="I31" s="208">
        <v>12.63</v>
      </c>
      <c r="J31" s="208">
        <v>5</v>
      </c>
      <c r="K31" s="212">
        <f>J31*I31</f>
        <v>63.150000000000006</v>
      </c>
      <c r="L31" t="s">
        <v>710</v>
      </c>
      <c r="N31" s="211"/>
    </row>
    <row r="32" spans="1:14">
      <c r="A32" s="207">
        <v>2.7</v>
      </c>
      <c r="B32" s="208">
        <f>12.55+0.8</f>
        <v>13.350000000000001</v>
      </c>
      <c r="C32" s="81">
        <f t="shared" si="2"/>
        <v>36.045000000000009</v>
      </c>
      <c r="D32" t="s">
        <v>711</v>
      </c>
      <c r="N32" s="211"/>
    </row>
    <row r="33" spans="1:14">
      <c r="A33" s="207">
        <v>2.7</v>
      </c>
      <c r="B33" s="208">
        <f>12.53+0.8</f>
        <v>13.33</v>
      </c>
      <c r="C33" s="81">
        <f t="shared" si="2"/>
        <v>35.991</v>
      </c>
      <c r="D33" t="s">
        <v>711</v>
      </c>
      <c r="N33" s="211"/>
    </row>
    <row r="34" spans="1:14">
      <c r="A34" s="207">
        <v>2.7</v>
      </c>
      <c r="B34" s="208">
        <f>6.25+0.8</f>
        <v>7.05</v>
      </c>
      <c r="C34" s="81">
        <f t="shared" si="2"/>
        <v>19.035</v>
      </c>
      <c r="D34" t="s">
        <v>712</v>
      </c>
      <c r="I34" s="210" t="s">
        <v>713</v>
      </c>
      <c r="J34" s="210"/>
      <c r="N34" s="211"/>
    </row>
    <row r="35" spans="1:14">
      <c r="A35" s="207">
        <v>2.7</v>
      </c>
      <c r="B35" s="208">
        <f>6.04+0.8</f>
        <v>6.84</v>
      </c>
      <c r="C35" s="81">
        <f t="shared" si="2"/>
        <v>18.468</v>
      </c>
      <c r="D35" t="s">
        <v>673</v>
      </c>
      <c r="N35" s="211"/>
    </row>
    <row r="36" spans="1:14">
      <c r="A36" s="207">
        <v>2.7</v>
      </c>
      <c r="B36" s="208">
        <f>5.15+0.8</f>
        <v>5.95</v>
      </c>
      <c r="C36" s="81">
        <f t="shared" si="2"/>
        <v>16.065000000000001</v>
      </c>
      <c r="D36" t="s">
        <v>674</v>
      </c>
      <c r="I36" s="208">
        <v>0.5</v>
      </c>
      <c r="J36" s="208">
        <v>5</v>
      </c>
      <c r="K36" s="208">
        <f>J36*I36</f>
        <v>2.5</v>
      </c>
      <c r="L36" t="s">
        <v>714</v>
      </c>
      <c r="N36" s="211"/>
    </row>
    <row r="37" spans="1:14">
      <c r="A37" s="209"/>
      <c r="C37" s="214">
        <f>SUM(C20:C36)</f>
        <v>389.34000000000009</v>
      </c>
      <c r="I37" s="208">
        <v>0.5</v>
      </c>
      <c r="J37" s="208">
        <v>5</v>
      </c>
      <c r="K37" s="208">
        <f t="shared" ref="K37:K45" si="3">J37*I37</f>
        <v>2.5</v>
      </c>
      <c r="L37" t="s">
        <v>714</v>
      </c>
      <c r="N37" s="211"/>
    </row>
    <row r="38" spans="1:14">
      <c r="A38" s="209"/>
      <c r="I38" s="208">
        <v>12.63</v>
      </c>
      <c r="J38" s="208">
        <v>0.5</v>
      </c>
      <c r="K38" s="208">
        <f t="shared" si="3"/>
        <v>6.3150000000000004</v>
      </c>
      <c r="L38" t="s">
        <v>715</v>
      </c>
      <c r="N38" s="211"/>
    </row>
    <row r="39" spans="1:14">
      <c r="A39" s="209"/>
      <c r="B39" s="210" t="s">
        <v>716</v>
      </c>
      <c r="C39" t="s">
        <v>682</v>
      </c>
      <c r="I39" s="208">
        <v>12.63</v>
      </c>
      <c r="J39" s="208">
        <v>5</v>
      </c>
      <c r="K39" s="208">
        <f t="shared" si="3"/>
        <v>63.150000000000006</v>
      </c>
      <c r="L39" t="s">
        <v>717</v>
      </c>
      <c r="N39" s="211"/>
    </row>
    <row r="40" spans="1:14">
      <c r="A40" s="209"/>
      <c r="I40" s="208">
        <v>1.22</v>
      </c>
      <c r="J40" s="208">
        <v>6</v>
      </c>
      <c r="K40" s="208">
        <f t="shared" si="3"/>
        <v>7.32</v>
      </c>
      <c r="L40" t="s">
        <v>703</v>
      </c>
      <c r="N40" s="211"/>
    </row>
    <row r="41" spans="1:14">
      <c r="A41" s="207">
        <v>4.47</v>
      </c>
      <c r="B41" s="208">
        <v>4.0999999999999996</v>
      </c>
      <c r="C41" s="208">
        <f>B41*A41</f>
        <v>18.326999999999998</v>
      </c>
      <c r="D41" t="s">
        <v>669</v>
      </c>
      <c r="I41" s="208">
        <v>1.22</v>
      </c>
      <c r="J41" s="208">
        <v>6</v>
      </c>
      <c r="K41" s="208">
        <f t="shared" si="3"/>
        <v>7.32</v>
      </c>
      <c r="L41" t="s">
        <v>703</v>
      </c>
      <c r="N41" s="211"/>
    </row>
    <row r="42" spans="1:14">
      <c r="A42" s="207">
        <v>2.5</v>
      </c>
      <c r="B42" s="208">
        <v>2</v>
      </c>
      <c r="C42" s="208">
        <f t="shared" ref="C42:C58" si="4">B42*A42</f>
        <v>5</v>
      </c>
      <c r="D42" t="s">
        <v>669</v>
      </c>
      <c r="I42" s="208">
        <v>1.22</v>
      </c>
      <c r="J42" s="208">
        <v>6</v>
      </c>
      <c r="K42" s="208">
        <f t="shared" si="3"/>
        <v>7.32</v>
      </c>
      <c r="L42" t="s">
        <v>703</v>
      </c>
      <c r="N42" s="211"/>
    </row>
    <row r="43" spans="1:14">
      <c r="A43" s="207">
        <v>8.9</v>
      </c>
      <c r="B43" s="208">
        <v>6.5</v>
      </c>
      <c r="C43" s="208">
        <f t="shared" si="4"/>
        <v>57.85</v>
      </c>
      <c r="D43" t="s">
        <v>669</v>
      </c>
      <c r="I43" s="208">
        <v>1.22</v>
      </c>
      <c r="J43" s="208">
        <v>6</v>
      </c>
      <c r="K43" s="208">
        <f t="shared" si="3"/>
        <v>7.32</v>
      </c>
      <c r="L43" t="s">
        <v>703</v>
      </c>
      <c r="N43" s="211"/>
    </row>
    <row r="44" spans="1:14">
      <c r="A44" s="207">
        <v>3.6</v>
      </c>
      <c r="B44" s="208">
        <v>0.94</v>
      </c>
      <c r="C44" s="208">
        <f t="shared" si="4"/>
        <v>3.3839999999999999</v>
      </c>
      <c r="D44" t="s">
        <v>669</v>
      </c>
      <c r="I44" s="208">
        <v>1.22</v>
      </c>
      <c r="J44" s="208">
        <v>6</v>
      </c>
      <c r="K44" s="208">
        <f t="shared" si="3"/>
        <v>7.32</v>
      </c>
      <c r="L44" t="s">
        <v>703</v>
      </c>
      <c r="N44" s="211"/>
    </row>
    <row r="45" spans="1:14">
      <c r="A45" s="207">
        <v>3.6</v>
      </c>
      <c r="B45" s="208">
        <v>1.5</v>
      </c>
      <c r="C45" s="208">
        <f t="shared" si="4"/>
        <v>5.4</v>
      </c>
      <c r="D45" t="s">
        <v>669</v>
      </c>
      <c r="I45" s="208">
        <v>1.22</v>
      </c>
      <c r="J45" s="208">
        <v>6</v>
      </c>
      <c r="K45" s="208">
        <f t="shared" si="3"/>
        <v>7.32</v>
      </c>
      <c r="L45" t="s">
        <v>703</v>
      </c>
      <c r="N45" s="211"/>
    </row>
    <row r="46" spans="1:14">
      <c r="A46" s="207">
        <v>5.8</v>
      </c>
      <c r="B46" s="208">
        <v>4.2</v>
      </c>
      <c r="C46" s="208">
        <f t="shared" si="4"/>
        <v>24.36</v>
      </c>
      <c r="D46" t="s">
        <v>669</v>
      </c>
      <c r="K46" s="214">
        <f>SUM(K36:K45)</f>
        <v>118.38499999999996</v>
      </c>
      <c r="N46" s="211"/>
    </row>
    <row r="47" spans="1:14">
      <c r="A47" s="207">
        <v>1.4</v>
      </c>
      <c r="B47" s="208">
        <v>1.6</v>
      </c>
      <c r="C47" s="208">
        <f t="shared" si="4"/>
        <v>2.2399999999999998</v>
      </c>
      <c r="D47" t="s">
        <v>669</v>
      </c>
      <c r="N47" s="211"/>
    </row>
    <row r="48" spans="1:14">
      <c r="A48" s="207">
        <v>3.3</v>
      </c>
      <c r="B48" s="208">
        <v>3.05</v>
      </c>
      <c r="C48" s="208">
        <f t="shared" si="4"/>
        <v>10.065</v>
      </c>
      <c r="D48" t="s">
        <v>669</v>
      </c>
      <c r="I48" s="210" t="s">
        <v>718</v>
      </c>
      <c r="N48" s="211" t="s">
        <v>682</v>
      </c>
    </row>
    <row r="49" spans="1:14">
      <c r="A49" s="207">
        <v>2.1</v>
      </c>
      <c r="B49" s="208">
        <v>1.1000000000000001</v>
      </c>
      <c r="C49" s="208">
        <f t="shared" si="4"/>
        <v>2.3100000000000005</v>
      </c>
      <c r="D49" t="s">
        <v>670</v>
      </c>
      <c r="N49" s="211"/>
    </row>
    <row r="50" spans="1:14">
      <c r="A50" s="207">
        <v>3.9</v>
      </c>
      <c r="B50" s="208">
        <v>3.1</v>
      </c>
      <c r="C50" s="208">
        <f t="shared" si="4"/>
        <v>12.09</v>
      </c>
      <c r="D50" t="s">
        <v>671</v>
      </c>
      <c r="I50" s="208">
        <v>10.7</v>
      </c>
      <c r="J50" s="208">
        <v>8</v>
      </c>
      <c r="K50" s="208">
        <f>J50*I50</f>
        <v>85.6</v>
      </c>
      <c r="L50" t="s">
        <v>719</v>
      </c>
      <c r="N50" s="211"/>
    </row>
    <row r="51" spans="1:14">
      <c r="A51" s="207">
        <v>1.4</v>
      </c>
      <c r="B51" s="208">
        <v>3.8</v>
      </c>
      <c r="C51" s="208">
        <f t="shared" si="4"/>
        <v>5.3199999999999994</v>
      </c>
      <c r="D51" t="s">
        <v>672</v>
      </c>
      <c r="I51" s="208">
        <v>30.7</v>
      </c>
      <c r="J51" s="208">
        <v>2.2000000000000002</v>
      </c>
      <c r="K51" s="208">
        <f>J51*I51</f>
        <v>67.540000000000006</v>
      </c>
      <c r="L51" t="s">
        <v>719</v>
      </c>
      <c r="N51" s="211"/>
    </row>
    <row r="52" spans="1:14">
      <c r="A52" s="207">
        <v>2.57</v>
      </c>
      <c r="B52" s="208">
        <v>1.6</v>
      </c>
      <c r="C52" s="208">
        <f t="shared" si="4"/>
        <v>4.1120000000000001</v>
      </c>
      <c r="D52" t="s">
        <v>475</v>
      </c>
      <c r="I52" s="208"/>
      <c r="J52" s="208"/>
      <c r="K52" s="212">
        <f>SUM(K50:K51)</f>
        <v>153.13999999999999</v>
      </c>
      <c r="N52" s="211"/>
    </row>
    <row r="53" spans="1:14">
      <c r="A53" s="207">
        <v>2.58</v>
      </c>
      <c r="B53" s="208">
        <v>1.91</v>
      </c>
      <c r="C53" s="208">
        <f t="shared" si="4"/>
        <v>4.9277999999999995</v>
      </c>
      <c r="D53" t="s">
        <v>673</v>
      </c>
      <c r="N53" s="211"/>
    </row>
    <row r="54" spans="1:14">
      <c r="A54" s="207">
        <v>2.6</v>
      </c>
      <c r="B54" s="208">
        <v>1.9</v>
      </c>
      <c r="C54" s="208">
        <f t="shared" si="4"/>
        <v>4.9399999999999995</v>
      </c>
      <c r="D54" t="s">
        <v>674</v>
      </c>
      <c r="N54" s="211"/>
    </row>
    <row r="55" spans="1:14">
      <c r="A55" s="207">
        <v>3.22</v>
      </c>
      <c r="B55" s="208">
        <v>3.03</v>
      </c>
      <c r="C55" s="208">
        <f t="shared" si="4"/>
        <v>9.7566000000000006</v>
      </c>
      <c r="D55" t="s">
        <v>675</v>
      </c>
      <c r="N55" s="211"/>
    </row>
    <row r="56" spans="1:14">
      <c r="A56" s="207">
        <v>2.13</v>
      </c>
      <c r="B56" s="208">
        <v>1.06</v>
      </c>
      <c r="C56" s="208">
        <f t="shared" si="4"/>
        <v>2.2578</v>
      </c>
      <c r="D56" t="s">
        <v>676</v>
      </c>
      <c r="N56" s="211"/>
    </row>
    <row r="57" spans="1:14">
      <c r="A57" s="207">
        <v>6.1</v>
      </c>
      <c r="B57" s="208">
        <v>3.9</v>
      </c>
      <c r="C57" s="208">
        <f t="shared" si="4"/>
        <v>23.79</v>
      </c>
      <c r="D57" t="s">
        <v>677</v>
      </c>
      <c r="N57" s="211"/>
    </row>
    <row r="58" spans="1:14">
      <c r="A58" s="207">
        <v>4.5</v>
      </c>
      <c r="B58" s="208">
        <v>5.2</v>
      </c>
      <c r="C58" s="208">
        <f t="shared" si="4"/>
        <v>23.400000000000002</v>
      </c>
      <c r="D58" t="s">
        <v>571</v>
      </c>
      <c r="N58" s="211"/>
    </row>
    <row r="59" spans="1:14">
      <c r="A59" s="209"/>
      <c r="C59" s="214">
        <f>SUM(C41:C58)</f>
        <v>219.53019999999995</v>
      </c>
      <c r="N59" s="211"/>
    </row>
    <row r="60" spans="1:14" ht="15.75" thickBot="1">
      <c r="A60" s="215"/>
      <c r="B60" s="216"/>
      <c r="C60" s="216"/>
      <c r="D60" s="216"/>
      <c r="E60" s="216"/>
      <c r="F60" s="216"/>
      <c r="G60" s="216"/>
      <c r="H60" s="216"/>
      <c r="I60" s="216"/>
      <c r="J60" s="216"/>
      <c r="K60" s="216"/>
      <c r="L60" s="216"/>
      <c r="M60" s="216"/>
      <c r="N60" s="217"/>
    </row>
    <row r="77" spans="1:3">
      <c r="B77" s="210"/>
    </row>
    <row r="79" spans="1:3">
      <c r="A79" s="43"/>
      <c r="B79" s="43"/>
      <c r="C79" s="218"/>
    </row>
  </sheetData>
  <mergeCells count="1">
    <mergeCell ref="A1:N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K240"/>
  <sheetViews>
    <sheetView view="pageBreakPreview" topLeftCell="A4" zoomScale="84" zoomScaleNormal="84" zoomScaleSheetLayoutView="84" workbookViewId="0">
      <selection activeCell="H237" sqref="H237"/>
    </sheetView>
  </sheetViews>
  <sheetFormatPr defaultRowHeight="15"/>
  <cols>
    <col min="2" max="2" width="24.28515625" customWidth="1"/>
    <col min="3" max="3" width="68.85546875" customWidth="1"/>
    <col min="4" max="4" width="12.28515625" customWidth="1"/>
    <col min="6" max="6" width="12.85546875" customWidth="1"/>
    <col min="7" max="7" width="29.28515625" customWidth="1"/>
    <col min="8" max="8" width="26.7109375" customWidth="1"/>
    <col min="9" max="9" width="22" bestFit="1" customWidth="1"/>
    <col min="10" max="10" width="18.140625" customWidth="1"/>
  </cols>
  <sheetData>
    <row r="1" spans="1:10" ht="18.75">
      <c r="A1" s="476" t="s">
        <v>383</v>
      </c>
      <c r="B1" s="477"/>
      <c r="C1" s="477"/>
      <c r="D1" s="477"/>
      <c r="E1" s="477"/>
      <c r="F1" s="477"/>
      <c r="G1" s="477"/>
      <c r="H1" s="477"/>
      <c r="I1" s="477"/>
    </row>
    <row r="2" spans="1:10" ht="18.75">
      <c r="A2" s="478" t="s">
        <v>343</v>
      </c>
      <c r="B2" s="479"/>
      <c r="C2" s="479"/>
      <c r="D2" s="479"/>
      <c r="E2" s="479"/>
      <c r="F2" s="479"/>
      <c r="G2" s="479"/>
      <c r="H2" s="479"/>
      <c r="I2" s="479"/>
    </row>
    <row r="3" spans="1:10" ht="18.75">
      <c r="A3" s="478" t="s">
        <v>496</v>
      </c>
      <c r="B3" s="479"/>
      <c r="C3" s="479"/>
      <c r="D3" s="479"/>
      <c r="E3" s="479"/>
      <c r="F3" s="479"/>
      <c r="G3" s="479"/>
      <c r="H3" s="479"/>
      <c r="I3" s="479"/>
    </row>
    <row r="4" spans="1:10" ht="18.75">
      <c r="A4" s="478" t="s">
        <v>377</v>
      </c>
      <c r="B4" s="479"/>
      <c r="C4" s="479"/>
      <c r="D4" s="479"/>
      <c r="E4" s="479"/>
      <c r="F4" s="479"/>
      <c r="G4" s="479"/>
      <c r="H4" s="479"/>
      <c r="I4" s="479"/>
    </row>
    <row r="5" spans="1:10" ht="21">
      <c r="A5" s="92"/>
      <c r="B5" s="93"/>
      <c r="C5" s="153"/>
      <c r="D5" s="153"/>
      <c r="E5" s="93"/>
      <c r="F5" s="93"/>
      <c r="G5" s="93"/>
      <c r="H5" s="93"/>
      <c r="I5" s="93"/>
    </row>
    <row r="6" spans="1:10" ht="23.25">
      <c r="A6" s="346" t="s">
        <v>652</v>
      </c>
      <c r="B6" s="347"/>
      <c r="C6" s="347"/>
      <c r="D6" s="347"/>
      <c r="E6" s="347"/>
      <c r="F6" s="347"/>
      <c r="G6" s="347"/>
      <c r="H6" s="347"/>
      <c r="I6" s="347"/>
    </row>
    <row r="7" spans="1:10" s="154" customFormat="1" ht="30" customHeight="1">
      <c r="A7" s="480" t="s">
        <v>653</v>
      </c>
      <c r="B7" s="472" t="s">
        <v>499</v>
      </c>
      <c r="C7" s="480" t="s">
        <v>654</v>
      </c>
      <c r="D7" s="472" t="s">
        <v>501</v>
      </c>
      <c r="E7" s="472" t="s">
        <v>502</v>
      </c>
      <c r="F7" s="472" t="s">
        <v>503</v>
      </c>
      <c r="G7" s="472" t="s">
        <v>504</v>
      </c>
      <c r="H7" s="474" t="s">
        <v>505</v>
      </c>
      <c r="I7" s="475"/>
    </row>
    <row r="8" spans="1:10" s="154" customFormat="1">
      <c r="A8" s="481"/>
      <c r="B8" s="473"/>
      <c r="C8" s="481"/>
      <c r="D8" s="473"/>
      <c r="E8" s="473"/>
      <c r="F8" s="473"/>
      <c r="G8" s="473"/>
      <c r="H8" s="155"/>
      <c r="I8" s="155" t="s">
        <v>655</v>
      </c>
    </row>
    <row r="9" spans="1:10">
      <c r="A9" s="96"/>
      <c r="B9" s="96"/>
      <c r="C9" s="97" t="str">
        <f>[5]ORÇAMENTO!B11</f>
        <v>SERVIÇOS PRELIMINARES</v>
      </c>
      <c r="D9" s="96"/>
      <c r="E9" s="96"/>
      <c r="F9" s="96"/>
      <c r="G9" s="96"/>
      <c r="H9" s="96"/>
      <c r="I9" s="96"/>
    </row>
    <row r="10" spans="1:10">
      <c r="A10" s="69" t="str">
        <f>[5]ORÇAMENTO!A12</f>
        <v>1.1</v>
      </c>
      <c r="B10" s="69">
        <f>[5]ORÇAMENTO!C12</f>
        <v>51</v>
      </c>
      <c r="C10" s="49" t="str">
        <f>[5]ORÇAMENTO!D12</f>
        <v>Placa de Obra em chapa de aço galvanizado, instalada - Rev 02 01/2022</v>
      </c>
      <c r="D10" s="69" t="str">
        <f>[5]ORÇAMENTO!B12</f>
        <v>ORSE</v>
      </c>
      <c r="E10" s="69" t="str">
        <f>[5]ORÇAMENTO!E12</f>
        <v>m²</v>
      </c>
      <c r="F10" s="22">
        <v>4.5</v>
      </c>
      <c r="G10" s="91">
        <v>423.12148199999996</v>
      </c>
      <c r="H10" s="91">
        <f>F10*G10</f>
        <v>1904.0466689999998</v>
      </c>
      <c r="I10" s="156">
        <f>H10/$H$237</f>
        <v>1.6327935788493298E-3</v>
      </c>
      <c r="J10" s="1"/>
    </row>
    <row r="11" spans="1:10" ht="30">
      <c r="A11" s="69" t="str">
        <f>[5]ORÇAMENTO!A13</f>
        <v>1.2</v>
      </c>
      <c r="B11" s="69">
        <f>[5]ORÇAMENTO!C13</f>
        <v>97622</v>
      </c>
      <c r="C11" s="49" t="str">
        <f>[5]ORÇAMENTO!D13</f>
        <v>DEMOLIÇÃO DE ALVENARIA DE BLOCOFURADO, DE FORMA MANUAL, SEM REAPROVEITAMENTO</v>
      </c>
      <c r="D11" s="69" t="str">
        <f>[5]ORÇAMENTO!B13</f>
        <v>SINAPI</v>
      </c>
      <c r="E11" s="69" t="str">
        <f>[5]ORÇAMENTO!E13</f>
        <v>m³</v>
      </c>
      <c r="F11" s="22">
        <v>63.41</v>
      </c>
      <c r="G11" s="91">
        <v>46.473210000000002</v>
      </c>
      <c r="H11" s="91">
        <f t="shared" ref="H11:H74" si="0">F11*G11</f>
        <v>2946.8662460999999</v>
      </c>
      <c r="I11" s="156">
        <f t="shared" ref="I11:I74" si="1">H11/$H$237</f>
        <v>2.5270516540894248E-3</v>
      </c>
      <c r="J11" s="1"/>
    </row>
    <row r="12" spans="1:10">
      <c r="A12" s="69" t="str">
        <f>[5]ORÇAMENTO!A14</f>
        <v>1.3</v>
      </c>
      <c r="B12" s="69">
        <f>[5]ORÇAMENTO!C14</f>
        <v>3240</v>
      </c>
      <c r="C12" s="49" t="str">
        <f>[5]ORÇAMENTO!D14</f>
        <v>Demolição de piso de alta resistência</v>
      </c>
      <c r="D12" s="69" t="str">
        <f>[5]ORÇAMENTO!B14</f>
        <v>ORSE</v>
      </c>
      <c r="E12" s="69" t="str">
        <f>[5]ORÇAMENTO!E14</f>
        <v>m²</v>
      </c>
      <c r="F12" s="22">
        <v>774.83</v>
      </c>
      <c r="G12" s="91">
        <v>20.817972000000001</v>
      </c>
      <c r="H12" s="91">
        <f t="shared" si="0"/>
        <v>16130.389244760001</v>
      </c>
      <c r="I12" s="156">
        <f t="shared" si="1"/>
        <v>1.3832431952425228E-2</v>
      </c>
      <c r="J12" s="1"/>
    </row>
    <row r="13" spans="1:10" ht="30">
      <c r="A13" s="69" t="str">
        <f>[5]ORÇAMENTO!A15</f>
        <v>1.4</v>
      </c>
      <c r="B13" s="69">
        <f>[5]ORÇAMENTO!C15</f>
        <v>97650</v>
      </c>
      <c r="C13" s="49" t="str">
        <f>[5]ORÇAMENTO!D15</f>
        <v>REMOÇÃO DE TRAMA DE MADEIRA PARA COBERTURA, DE FORMA MANUAL, SEM REAPROVEITAMENTO. AF 12/2017</v>
      </c>
      <c r="D13" s="69" t="str">
        <f>[5]ORÇAMENTO!B15</f>
        <v>SINAPI</v>
      </c>
      <c r="E13" s="69" t="str">
        <f>[5]ORÇAMENTO!E15</f>
        <v>m²</v>
      </c>
      <c r="F13" s="22">
        <v>309.93</v>
      </c>
      <c r="G13" s="91">
        <v>6.0149249999999999</v>
      </c>
      <c r="H13" s="91">
        <f t="shared" si="0"/>
        <v>1864.2057052499999</v>
      </c>
      <c r="I13" s="156">
        <f t="shared" si="1"/>
        <v>1.5986284132337549E-3</v>
      </c>
      <c r="J13" s="1"/>
    </row>
    <row r="14" spans="1:10" ht="45">
      <c r="A14" s="69" t="str">
        <f>[5]ORÇAMENTO!A16</f>
        <v>1.5</v>
      </c>
      <c r="B14" s="69">
        <f>[5]ORÇAMENTO!C16</f>
        <v>100981</v>
      </c>
      <c r="C14" s="49" t="str">
        <f>[5]ORÇAMENTO!D16</f>
        <v>CARGA, MANOBRA E DESCARGA DE ENTULHO EM CAMINHÃO BASCULANTE 6 M³ - CARGA COM ESCAVADEIRA HIDRÁULICA (CAÇAMBA DE 0,80 M³/111 HP) E DESCARGA LIVRE (UNIDADE: M³). AF 07/2020</v>
      </c>
      <c r="D14" s="69" t="str">
        <f>[5]ORÇAMENTO!B16</f>
        <v>SINAPI</v>
      </c>
      <c r="E14" s="69" t="str">
        <f>[5]ORÇAMENTO!E16</f>
        <v>m³</v>
      </c>
      <c r="F14" s="22">
        <v>102.15</v>
      </c>
      <c r="G14" s="91">
        <v>9.1173599999999997</v>
      </c>
      <c r="H14" s="91">
        <f t="shared" si="0"/>
        <v>931.33832400000006</v>
      </c>
      <c r="I14" s="156">
        <f t="shared" si="1"/>
        <v>7.9865859378444517E-4</v>
      </c>
      <c r="J14" s="1"/>
    </row>
    <row r="15" spans="1:10">
      <c r="A15" s="64" t="s">
        <v>488</v>
      </c>
      <c r="B15" s="108">
        <v>3141</v>
      </c>
      <c r="C15" s="109" t="s">
        <v>483</v>
      </c>
      <c r="D15" s="110" t="s">
        <v>1</v>
      </c>
      <c r="E15" s="108" t="s">
        <v>494</v>
      </c>
      <c r="F15" s="65">
        <v>34</v>
      </c>
      <c r="G15" s="171">
        <f>'[5]ITENS NOVOS'!I9</f>
        <v>8.09</v>
      </c>
      <c r="H15" s="91">
        <f t="shared" si="0"/>
        <v>275.06</v>
      </c>
      <c r="I15" s="156">
        <f t="shared" si="1"/>
        <v>2.3587457655865719E-4</v>
      </c>
      <c r="J15" s="1"/>
    </row>
    <row r="16" spans="1:10" ht="30">
      <c r="A16" s="64" t="s">
        <v>489</v>
      </c>
      <c r="B16" s="172" t="s">
        <v>517</v>
      </c>
      <c r="C16" s="173" t="s">
        <v>484</v>
      </c>
      <c r="D16" s="110" t="s">
        <v>7</v>
      </c>
      <c r="E16" s="172" t="s">
        <v>429</v>
      </c>
      <c r="F16" s="65">
        <v>14</v>
      </c>
      <c r="G16" s="171">
        <f>'[5]ITENS NOVOS'!I10</f>
        <v>29.919999999999998</v>
      </c>
      <c r="H16" s="91">
        <f t="shared" si="0"/>
        <v>418.88</v>
      </c>
      <c r="I16" s="156">
        <f t="shared" si="1"/>
        <v>3.5920578284334443E-4</v>
      </c>
      <c r="J16" s="1"/>
    </row>
    <row r="17" spans="1:10" ht="30">
      <c r="A17" s="64" t="s">
        <v>490</v>
      </c>
      <c r="B17" s="172" t="s">
        <v>518</v>
      </c>
      <c r="C17" s="173" t="s">
        <v>485</v>
      </c>
      <c r="D17" s="110" t="s">
        <v>7</v>
      </c>
      <c r="E17" s="172" t="s">
        <v>429</v>
      </c>
      <c r="F17" s="65">
        <v>263.82</v>
      </c>
      <c r="G17" s="171">
        <f>'[5]ITENS NOVOS'!I11</f>
        <v>4.0599999999999996</v>
      </c>
      <c r="H17" s="91">
        <f t="shared" si="0"/>
        <v>1071.1091999999999</v>
      </c>
      <c r="I17" s="156">
        <f t="shared" si="1"/>
        <v>9.1851751980688578E-4</v>
      </c>
      <c r="J17" s="1"/>
    </row>
    <row r="18" spans="1:10" ht="30">
      <c r="A18" s="64" t="s">
        <v>491</v>
      </c>
      <c r="B18" s="172" t="s">
        <v>519</v>
      </c>
      <c r="C18" s="173" t="s">
        <v>486</v>
      </c>
      <c r="D18" s="110" t="s">
        <v>7</v>
      </c>
      <c r="E18" s="172" t="s">
        <v>495</v>
      </c>
      <c r="F18" s="65">
        <v>35.363999999999997</v>
      </c>
      <c r="G18" s="171">
        <f>'[5]ITENS NOVOS'!I12</f>
        <v>229.97000000000003</v>
      </c>
      <c r="H18" s="91">
        <f t="shared" si="0"/>
        <v>8132.6590800000004</v>
      </c>
      <c r="I18" s="156">
        <f t="shared" si="1"/>
        <v>6.9740693550167914E-3</v>
      </c>
      <c r="J18" s="1"/>
    </row>
    <row r="19" spans="1:10" ht="30">
      <c r="A19" s="64" t="s">
        <v>492</v>
      </c>
      <c r="B19" s="172" t="s">
        <v>521</v>
      </c>
      <c r="C19" s="173" t="s">
        <v>487</v>
      </c>
      <c r="D19" s="110" t="s">
        <v>7</v>
      </c>
      <c r="E19" s="172" t="s">
        <v>429</v>
      </c>
      <c r="F19" s="65">
        <v>636.83999999999992</v>
      </c>
      <c r="G19" s="171">
        <f>'[5]ITENS NOVOS'!I15</f>
        <v>2.7899999999999996</v>
      </c>
      <c r="H19" s="91">
        <f t="shared" si="0"/>
        <v>1776.7835999999995</v>
      </c>
      <c r="I19" s="156">
        <f t="shared" si="1"/>
        <v>1.5236605805510302E-3</v>
      </c>
      <c r="J19" s="1"/>
    </row>
    <row r="20" spans="1:10">
      <c r="A20" s="64"/>
      <c r="B20" s="69"/>
      <c r="C20" s="49"/>
      <c r="D20" s="69"/>
      <c r="E20" s="69"/>
      <c r="F20" s="22">
        <v>0</v>
      </c>
      <c r="G20" s="91"/>
      <c r="H20" s="91">
        <f t="shared" si="0"/>
        <v>0</v>
      </c>
      <c r="I20" s="156">
        <f t="shared" si="1"/>
        <v>0</v>
      </c>
      <c r="J20" s="1"/>
    </row>
    <row r="21" spans="1:10">
      <c r="A21" s="101">
        <f>[5]ORÇAMENTO!A18</f>
        <v>2</v>
      </c>
      <c r="B21" s="101"/>
      <c r="C21" s="102" t="str">
        <f>[5]ORÇAMENTO!B18</f>
        <v>INFRA ESTRUTURA E SUPERESTRUTURA</v>
      </c>
      <c r="D21" s="101"/>
      <c r="E21" s="101"/>
      <c r="F21" s="103">
        <v>0</v>
      </c>
      <c r="G21" s="104"/>
      <c r="H21" s="91">
        <f t="shared" si="0"/>
        <v>0</v>
      </c>
      <c r="I21" s="156">
        <f t="shared" si="1"/>
        <v>0</v>
      </c>
      <c r="J21" s="1"/>
    </row>
    <row r="22" spans="1:10" ht="30">
      <c r="A22" s="64" t="str">
        <f>[5]ORÇAMENTO!A19</f>
        <v>2.1</v>
      </c>
      <c r="B22" s="69">
        <f>[5]ORÇAMENTO!C19</f>
        <v>96523</v>
      </c>
      <c r="C22" s="49" t="str">
        <f>[5]ORÇAMENTO!D19</f>
        <v>ESCAVAÇÃO MANUAL PARA BLOCO DE COROAMENTO OU SAPATA (INCLUINDO ESCAVAÇÃO PARA COLOCAÇÃO DE FÔRMAS). AF_06/2017</v>
      </c>
      <c r="D22" s="69" t="str">
        <f>[5]ORÇAMENTO!B19</f>
        <v>SINAPI</v>
      </c>
      <c r="E22" s="69" t="str">
        <f>[5]ORÇAMENTO!E19</f>
        <v>m³</v>
      </c>
      <c r="F22" s="22">
        <v>28.86</v>
      </c>
      <c r="G22" s="91">
        <v>80.865917999999994</v>
      </c>
      <c r="H22" s="91">
        <f t="shared" si="0"/>
        <v>2333.7903934799997</v>
      </c>
      <c r="I22" s="156">
        <f t="shared" si="1"/>
        <v>2.0013154251390854E-3</v>
      </c>
      <c r="J22" s="1"/>
    </row>
    <row r="23" spans="1:10" ht="45">
      <c r="A23" s="64" t="str">
        <f>[5]ORÇAMENTO!A20</f>
        <v>2.2</v>
      </c>
      <c r="B23" s="69">
        <f>[5]ORÇAMENTO!C20</f>
        <v>101964</v>
      </c>
      <c r="C23" s="49" t="str">
        <f>[5]ORÇAMENTO!D20</f>
        <v>LAJE PRÉ-MOLDADA UNIDIRECIONAL, BIAPOIADA, PARA FORRO, ENCHIMENTO EM CERÂMICA, VIGOTA CONVENCIONAL, ALTURA TOTAL DA LAJE (ENCHIMENTO+CAPA) = (8+3). AF_11/2020</v>
      </c>
      <c r="D23" s="69" t="str">
        <f>[5]ORÇAMENTO!B20</f>
        <v>SINAPI</v>
      </c>
      <c r="E23" s="69" t="str">
        <f>[5]ORÇAMENTO!E20</f>
        <v>m²</v>
      </c>
      <c r="F23" s="22">
        <v>57.88</v>
      </c>
      <c r="G23" s="91">
        <v>179.38405799999998</v>
      </c>
      <c r="H23" s="91">
        <f t="shared" si="0"/>
        <v>10382.749277039999</v>
      </c>
      <c r="I23" s="156">
        <f t="shared" si="1"/>
        <v>8.9036086280684709E-3</v>
      </c>
      <c r="J23" s="1"/>
    </row>
    <row r="24" spans="1:10" ht="30">
      <c r="A24" s="64" t="str">
        <f>[5]ORÇAMENTO!A21</f>
        <v>2.3</v>
      </c>
      <c r="B24" s="69">
        <f>[5]ORÇAMENTO!C21</f>
        <v>96619</v>
      </c>
      <c r="C24" s="49" t="str">
        <f>[5]ORÇAMENTO!D21</f>
        <v>LASTRO DE CONCRETO MAGRO, APLICADO EM BLOCOS DE COROAMENTO OU SAPATAS, ESPESSURA DE 5 CM. AF_08/2017</v>
      </c>
      <c r="D24" s="69" t="str">
        <f>[5]ORÇAMENTO!B21</f>
        <v>SINAPI</v>
      </c>
      <c r="E24" s="69" t="str">
        <f>[5]ORÇAMENTO!E21</f>
        <v>m²</v>
      </c>
      <c r="F24" s="22">
        <v>19.239999999999998</v>
      </c>
      <c r="G24" s="91">
        <v>28.808325</v>
      </c>
      <c r="H24" s="91">
        <f t="shared" si="0"/>
        <v>554.27217299999995</v>
      </c>
      <c r="I24" s="156">
        <f t="shared" si="1"/>
        <v>4.753098018782148E-4</v>
      </c>
      <c r="J24" s="1"/>
    </row>
    <row r="25" spans="1:10" ht="45">
      <c r="A25" s="64" t="str">
        <f>[5]ORÇAMENTO!A22</f>
        <v>2.4</v>
      </c>
      <c r="B25" s="69">
        <f>[5]ORÇAMENTO!C22</f>
        <v>94971</v>
      </c>
      <c r="C25" s="49" t="str">
        <f>[5]ORÇAMENTO!D22</f>
        <v>CONCRETO FCK = 25MPA, TRAÇO 1:2,3:2,7 (EM MASSA SECA DE CIMENTO/ AREIA MÉDIA/ BRITA 1) - PREPARO MECÂNICO COM BETONEIRA 600 L. AF_05/2021</v>
      </c>
      <c r="D25" s="69" t="str">
        <f>[5]ORÇAMENTO!B22</f>
        <v>SINAPI</v>
      </c>
      <c r="E25" s="69" t="str">
        <f>[5]ORÇAMENTO!E22</f>
        <v>m³</v>
      </c>
      <c r="F25" s="22">
        <v>5.8</v>
      </c>
      <c r="G25" s="91">
        <v>447.371127</v>
      </c>
      <c r="H25" s="91">
        <f t="shared" si="0"/>
        <v>2594.7525366</v>
      </c>
      <c r="I25" s="156">
        <f t="shared" si="1"/>
        <v>2.2251005447721465E-3</v>
      </c>
      <c r="J25" s="1"/>
    </row>
    <row r="26" spans="1:10" ht="45">
      <c r="A26" s="64" t="str">
        <f>[5]ORÇAMENTO!A23</f>
        <v>2.5</v>
      </c>
      <c r="B26" s="69">
        <f>[5]ORÇAMENTO!C23</f>
        <v>94972</v>
      </c>
      <c r="C26" s="49" t="str">
        <f>[5]ORÇAMENTO!D23</f>
        <v>CONCRETO FCK = 30MPA, TRAÇO 1:2,1:2,5 (EM MASSA SECA DE CIMENTO/ AREIA MÉDIA/ BRITA 1) - PREPARO MECÂNICO COM BETONEIRA 600 L. AF_05/2021</v>
      </c>
      <c r="D26" s="69" t="str">
        <f>[5]ORÇAMENTO!B23</f>
        <v>SINAPI</v>
      </c>
      <c r="E26" s="69" t="str">
        <f>[5]ORÇAMENTO!E23</f>
        <v>m³</v>
      </c>
      <c r="F26" s="22">
        <v>42.395800000000008</v>
      </c>
      <c r="G26" s="91">
        <v>461.95890299999996</v>
      </c>
      <c r="H26" s="91">
        <f t="shared" si="0"/>
        <v>19585.117259807401</v>
      </c>
      <c r="I26" s="156">
        <f t="shared" si="1"/>
        <v>1.6794994693916668E-2</v>
      </c>
      <c r="J26" s="1"/>
    </row>
    <row r="27" spans="1:10" ht="30">
      <c r="A27" s="64" t="str">
        <f>[5]ORÇAMENTO!A24</f>
        <v>2.6</v>
      </c>
      <c r="B27" s="69">
        <f>[5]ORÇAMENTO!C24</f>
        <v>92873</v>
      </c>
      <c r="C27" s="49" t="str">
        <f>[5]ORÇAMENTO!D24</f>
        <v>LANÇAMENTO COM USO DE BALDES, ADENSAMENTO E ACABAMENTO DE CONCRETO EM ESTRUTURAS. AF_12/2015</v>
      </c>
      <c r="D27" s="69" t="str">
        <f>[5]ORÇAMENTO!B24</f>
        <v>SINAPI</v>
      </c>
      <c r="E27" s="69" t="str">
        <f>[5]ORÇAMENTO!E24</f>
        <v>m³</v>
      </c>
      <c r="F27" s="22">
        <v>35.9</v>
      </c>
      <c r="G27" s="91">
        <v>242.28117900000001</v>
      </c>
      <c r="H27" s="91">
        <f t="shared" si="0"/>
        <v>8697.8943261000004</v>
      </c>
      <c r="I27" s="156">
        <f t="shared" si="1"/>
        <v>7.4587804156212622E-3</v>
      </c>
      <c r="J27" s="1"/>
    </row>
    <row r="28" spans="1:10">
      <c r="A28" s="64" t="str">
        <f>[5]ORÇAMENTO!A25</f>
        <v>2.7</v>
      </c>
      <c r="B28" s="69">
        <f>[5]ORÇAMENTO!C25</f>
        <v>90</v>
      </c>
      <c r="C28" s="49" t="str">
        <f>[5]ORÇAMENTO!D25</f>
        <v>Forma plana para fundações, em tábua de pinho, 07 usos.</v>
      </c>
      <c r="D28" s="69" t="str">
        <f>[5]ORÇAMENTO!B25</f>
        <v>ORSE</v>
      </c>
      <c r="E28" s="69" t="str">
        <f>[5]ORÇAMENTO!E25</f>
        <v>m²</v>
      </c>
      <c r="F28" s="22">
        <v>19.3</v>
      </c>
      <c r="G28" s="91">
        <v>82.765367999999995</v>
      </c>
      <c r="H28" s="91">
        <f t="shared" si="0"/>
        <v>1597.3716024</v>
      </c>
      <c r="I28" s="156">
        <f t="shared" si="1"/>
        <v>1.369807861277262E-3</v>
      </c>
      <c r="J28" s="1"/>
    </row>
    <row r="29" spans="1:10" ht="30">
      <c r="A29" s="64" t="str">
        <f>[5]ORÇAMENTO!A26</f>
        <v>2.8</v>
      </c>
      <c r="B29" s="69">
        <f>[5]ORÇAMENTO!C26</f>
        <v>3366</v>
      </c>
      <c r="C29" s="49" t="str">
        <f>[5]ORÇAMENTO!D26</f>
        <v>Forma plana para estruturas, em compensado plastificado de 12mm, 07 usos.</v>
      </c>
      <c r="D29" s="69" t="str">
        <f>[5]ORÇAMENTO!B26</f>
        <v>ORSE</v>
      </c>
      <c r="E29" s="69" t="str">
        <f>[5]ORÇAMENTO!E26</f>
        <v>m²</v>
      </c>
      <c r="F29" s="22">
        <v>421.3</v>
      </c>
      <c r="G29" s="91">
        <v>69.874433999999994</v>
      </c>
      <c r="H29" s="91">
        <f t="shared" si="0"/>
        <v>29438.099044199997</v>
      </c>
      <c r="I29" s="156">
        <f t="shared" si="1"/>
        <v>2.5244307230213352E-2</v>
      </c>
      <c r="J29" s="1"/>
    </row>
    <row r="30" spans="1:10" ht="45">
      <c r="A30" s="64" t="str">
        <f>[5]ORÇAMENTO!A27</f>
        <v>2.9</v>
      </c>
      <c r="B30" s="69">
        <f>[5]ORÇAMENTO!C27</f>
        <v>92763</v>
      </c>
      <c r="C30" s="49" t="str">
        <f>[5]ORÇAMENTO!D27</f>
        <v>ARMAÇÃO DE PILAR OU VIGA DE UMA ESTRUTURA CONVENCIONAL DE CONCRETO ARMADO EM UM EDIFÍCIO DE MÚLTIPLOS PAVIMENTOS UTILIZANDO AÇO CA-50 DE 12,5 MM - MONTAGEM. AF_12/2015</v>
      </c>
      <c r="D30" s="69" t="str">
        <f>[5]ORÇAMENTO!B27</f>
        <v>SINAPI</v>
      </c>
      <c r="E30" s="69" t="str">
        <f>[5]ORÇAMENTO!E27</f>
        <v>kg</v>
      </c>
      <c r="F30" s="22">
        <v>579.35</v>
      </c>
      <c r="G30" s="91">
        <v>13.068216</v>
      </c>
      <c r="H30" s="91">
        <f t="shared" si="0"/>
        <v>7571.0709396000002</v>
      </c>
      <c r="I30" s="156">
        <f t="shared" si="1"/>
        <v>6.4924858284509009E-3</v>
      </c>
      <c r="J30" s="1"/>
    </row>
    <row r="31" spans="1:10" ht="45">
      <c r="A31" s="64" t="str">
        <f>[5]ORÇAMENTO!A28</f>
        <v>2.10</v>
      </c>
      <c r="B31" s="69">
        <f>[5]ORÇAMENTO!C28</f>
        <v>92762</v>
      </c>
      <c r="C31" s="49" t="str">
        <f>[5]ORÇAMENTO!D28</f>
        <v>ARMAÇÃO DE PILAR OU VIGA DE UMA ESTRUTURA CONVENCIONAL DE CONCRETO ARMADO EM UM EDIFÍCIO DE MÚLTIPLOS PAVIMENTOS UTILIZANDO AÇO CA-50 DE 10,0 MM - MONTAGEM. AF_12/2015</v>
      </c>
      <c r="D31" s="69" t="str">
        <f>[5]ORÇAMENTO!B28</f>
        <v>SINAPI</v>
      </c>
      <c r="E31" s="69" t="str">
        <f>[5]ORÇAMENTO!E28</f>
        <v>kg</v>
      </c>
      <c r="F31" s="22">
        <v>2054.7722600000002</v>
      </c>
      <c r="G31" s="91">
        <v>15.309566999999999</v>
      </c>
      <c r="H31" s="91">
        <f t="shared" si="0"/>
        <v>31457.673584211421</v>
      </c>
      <c r="I31" s="156">
        <f t="shared" si="1"/>
        <v>2.6976170421712808E-2</v>
      </c>
      <c r="J31" s="1"/>
    </row>
    <row r="32" spans="1:10" ht="45">
      <c r="A32" s="64" t="str">
        <f>[5]ORÇAMENTO!A29</f>
        <v>2.11</v>
      </c>
      <c r="B32" s="69">
        <f>[5]ORÇAMENTO!C29</f>
        <v>92764</v>
      </c>
      <c r="C32" s="49" t="str">
        <f>[5]ORÇAMENTO!D29</f>
        <v>ARMAÇÃO DE PILAR OU VIGA DE UMA ESTRUTURA CONVENCIONAL DE CONCRETO ARMADO EM UM EDIFÍCIO DE MÚLTIPLOS PAVIMENTOS UTILIZANDO AÇO CA-50 DE 16,0 MM - MONTAGEM. AF_12/2015</v>
      </c>
      <c r="D32" s="69" t="str">
        <f>[5]ORÇAMENTO!B29</f>
        <v>SINAPI</v>
      </c>
      <c r="E32" s="69" t="str">
        <f>[5]ORÇAMENTO!E29</f>
        <v>kg</v>
      </c>
      <c r="F32" s="22">
        <v>63.1</v>
      </c>
      <c r="G32" s="91">
        <v>12.625011000000001</v>
      </c>
      <c r="H32" s="91">
        <f t="shared" si="0"/>
        <v>796.63819410000008</v>
      </c>
      <c r="I32" s="156">
        <f t="shared" si="1"/>
        <v>6.8314802844394269E-4</v>
      </c>
      <c r="J32" s="1"/>
    </row>
    <row r="33" spans="1:10" ht="45">
      <c r="A33" s="64" t="str">
        <f>[5]ORÇAMENTO!A30</f>
        <v>2.12</v>
      </c>
      <c r="B33" s="69">
        <f>[5]ORÇAMENTO!C30</f>
        <v>92759</v>
      </c>
      <c r="C33" s="49" t="str">
        <f>[5]ORÇAMENTO!D30</f>
        <v>ARMAÇÃO DE PILAR OU VIGA DE UMA ESTRUTURA CONVENCIONAL DE CONCRETO ARMADO EM UM EDIFÍCIO DE MÚLTIPLOS PAVIMENTOS UTILIZANDO AÇO CA-60 DE 5,0 MM - MONTAGEM. AF_12/2015</v>
      </c>
      <c r="D33" s="69" t="str">
        <f>[5]ORÇAMENTO!B30</f>
        <v>SINAPI</v>
      </c>
      <c r="E33" s="69" t="str">
        <f>[5]ORÇAMENTO!E30</f>
        <v>kg</v>
      </c>
      <c r="F33" s="22">
        <v>651.9</v>
      </c>
      <c r="G33" s="91">
        <v>17.715537000000001</v>
      </c>
      <c r="H33" s="91">
        <f t="shared" si="0"/>
        <v>11548.7585703</v>
      </c>
      <c r="I33" s="156">
        <f t="shared" si="1"/>
        <v>9.9035066441782726E-3</v>
      </c>
      <c r="J33" s="1"/>
    </row>
    <row r="34" spans="1:10">
      <c r="A34" s="64" t="str">
        <f>[5]ORÇAMENTO!A31</f>
        <v>2.13</v>
      </c>
      <c r="B34" s="69">
        <f>[5]ORÇAMENTO!C31</f>
        <v>96995</v>
      </c>
      <c r="C34" s="49" t="str">
        <f>[5]ORÇAMENTO!D31</f>
        <v>REATERRO MANUAL APILOADO COM SOQUETE. AF_10/2017</v>
      </c>
      <c r="D34" s="69" t="str">
        <f>[5]ORÇAMENTO!B31</f>
        <v>SINAPI</v>
      </c>
      <c r="E34" s="69" t="str">
        <f>[5]ORÇAMENTO!E31</f>
        <v>m³</v>
      </c>
      <c r="F34" s="22">
        <v>24.3</v>
      </c>
      <c r="G34" s="91">
        <v>42.775614000000004</v>
      </c>
      <c r="H34" s="91">
        <f t="shared" si="0"/>
        <v>1039.4474202000001</v>
      </c>
      <c r="I34" s="156">
        <f t="shared" si="1"/>
        <v>8.9136632041977621E-4</v>
      </c>
      <c r="J34" s="1"/>
    </row>
    <row r="35" spans="1:10">
      <c r="A35" s="64" t="str">
        <f>[5]ORÇAMENTO!A32</f>
        <v>2.14</v>
      </c>
      <c r="B35" s="69">
        <f>[5]ORÇAMENTO!C32</f>
        <v>93184</v>
      </c>
      <c r="C35" s="49" t="str">
        <f>[5]ORÇAMENTO!D32</f>
        <v>VERGA PRÉ-MOLDADA PARA PORTAS COM ATÉ 1,5 M DE VÃO. AF_03/2016</v>
      </c>
      <c r="D35" s="69" t="str">
        <f>[5]ORÇAMENTO!B32</f>
        <v>SINAPI</v>
      </c>
      <c r="E35" s="69" t="str">
        <f>[5]ORÇAMENTO!E32</f>
        <v>m</v>
      </c>
      <c r="F35" s="22">
        <v>58.14</v>
      </c>
      <c r="G35" s="91">
        <v>37.786391999999999</v>
      </c>
      <c r="H35" s="91">
        <f t="shared" si="0"/>
        <v>2196.9008308799998</v>
      </c>
      <c r="I35" s="156">
        <f t="shared" si="1"/>
        <v>1.8839273366726608E-3</v>
      </c>
      <c r="J35" s="1"/>
    </row>
    <row r="36" spans="1:10">
      <c r="A36" s="64" t="str">
        <f>[5]ORÇAMENTO!A33</f>
        <v>2.15</v>
      </c>
      <c r="B36" s="69">
        <f>[5]ORÇAMENTO!C33</f>
        <v>93182</v>
      </c>
      <c r="C36" s="49" t="str">
        <f>[5]ORÇAMENTO!D33</f>
        <v>VERGA PRÉ-MOLDADA PARA JANELAS COM ATÉ 1,5 M DE VÃO. AF_03/2016</v>
      </c>
      <c r="D36" s="69" t="str">
        <f>[5]ORÇAMENTO!B33</f>
        <v>SINAPI</v>
      </c>
      <c r="E36" s="69" t="str">
        <f>[5]ORÇAMENTO!E33</f>
        <v>m</v>
      </c>
      <c r="F36" s="22">
        <v>16.899999999999999</v>
      </c>
      <c r="G36" s="91">
        <v>52.184223000000003</v>
      </c>
      <c r="H36" s="91">
        <f t="shared" si="0"/>
        <v>881.91336869999998</v>
      </c>
      <c r="I36" s="156">
        <f t="shared" si="1"/>
        <v>7.5627478515062673E-4</v>
      </c>
      <c r="J36" s="1"/>
    </row>
    <row r="37" spans="1:10" ht="30">
      <c r="A37" s="64" t="str">
        <f>[5]ORÇAMENTO!A34</f>
        <v>2.16</v>
      </c>
      <c r="B37" s="69">
        <f>[5]ORÇAMENTO!C34</f>
        <v>93194</v>
      </c>
      <c r="C37" s="49" t="str">
        <f>[5]ORÇAMENTO!D34</f>
        <v>CONTRAVERGA PRÉ-MOLDADA PARA VÃOS DE ATÉ 1,5 M DE COMPRIMENTO. AF_03/2016</v>
      </c>
      <c r="D37" s="69" t="str">
        <f>[5]ORÇAMENTO!B34</f>
        <v>SINAPI</v>
      </c>
      <c r="E37" s="69" t="str">
        <f>[5]ORÇAMENTO!E34</f>
        <v>m</v>
      </c>
      <c r="F37" s="22">
        <v>16.899999999999999</v>
      </c>
      <c r="G37" s="91">
        <v>50.322762000000004</v>
      </c>
      <c r="H37" s="91">
        <f t="shared" si="0"/>
        <v>850.45467780000001</v>
      </c>
      <c r="I37" s="156">
        <f t="shared" si="1"/>
        <v>7.292977423413227E-4</v>
      </c>
      <c r="J37" s="1"/>
    </row>
    <row r="38" spans="1:10">
      <c r="A38" s="69"/>
      <c r="B38" s="69"/>
      <c r="C38" s="49"/>
      <c r="D38" s="69"/>
      <c r="E38" s="69"/>
      <c r="F38" s="22">
        <v>0</v>
      </c>
      <c r="G38" s="157"/>
      <c r="H38" s="91">
        <f t="shared" si="0"/>
        <v>0</v>
      </c>
      <c r="I38" s="156">
        <f t="shared" si="1"/>
        <v>0</v>
      </c>
      <c r="J38" s="1"/>
    </row>
    <row r="39" spans="1:10">
      <c r="A39" s="101">
        <f>[5]ORÇAMENTO!A36</f>
        <v>3</v>
      </c>
      <c r="B39" s="101"/>
      <c r="C39" s="102" t="str">
        <f>[5]ORÇAMENTO!B36</f>
        <v>ALVENARIA E VEDAÇÕES</v>
      </c>
      <c r="D39" s="101"/>
      <c r="E39" s="101"/>
      <c r="F39" s="103">
        <v>0</v>
      </c>
      <c r="G39" s="104"/>
      <c r="H39" s="91">
        <f t="shared" si="0"/>
        <v>0</v>
      </c>
      <c r="I39" s="156">
        <f t="shared" si="1"/>
        <v>0</v>
      </c>
      <c r="J39" s="1"/>
    </row>
    <row r="40" spans="1:10" ht="45">
      <c r="A40" s="64" t="str">
        <f>[5]ORÇAMENTO!A37</f>
        <v>3.1</v>
      </c>
      <c r="B40" s="69">
        <f>[5]ORÇAMENTO!C37</f>
        <v>103326</v>
      </c>
      <c r="C40" s="63" t="str">
        <f>[3]ORÇAMENTO!$AD$36</f>
        <v>ALVENARIA DE VEDAÇÃO DE BLOCOS CERÂMICOS FURADOS NA HORIZONTAL DE 9X19X19 CM (ESPESSURA 9 CM) E ARGAMASSA DE ASSENTAMENTO COM PREPARO EM BETONEIRA.</v>
      </c>
      <c r="D40" s="69" t="str">
        <f>[5]ORÇAMENTO!B37</f>
        <v>SINAPI</v>
      </c>
      <c r="E40" s="69" t="str">
        <f>[5]ORÇAMENTO!E37</f>
        <v>m²</v>
      </c>
      <c r="F40" s="22">
        <v>448.75</v>
      </c>
      <c r="G40" s="91">
        <v>78.459947999999997</v>
      </c>
      <c r="H40" s="91">
        <f t="shared" si="0"/>
        <v>35208.901664999998</v>
      </c>
      <c r="I40" s="156">
        <f t="shared" si="1"/>
        <v>3.0192993424442937E-2</v>
      </c>
      <c r="J40" s="1"/>
    </row>
    <row r="41" spans="1:10" ht="30">
      <c r="A41" s="69" t="str">
        <f>[5]ORÇAMENTO!A38</f>
        <v>3.2</v>
      </c>
      <c r="B41" s="69">
        <f>[5]ORÇAMENTO!C38</f>
        <v>191</v>
      </c>
      <c r="C41" s="49" t="str">
        <f>[5]ORÇAMENTO!D38</f>
        <v>Divisória em granito cinza andorinha polido, e=2cm, inclusive com montagem em ferragem - Rev 02.</v>
      </c>
      <c r="D41" s="69" t="str">
        <f>[5]ORÇAMENTO!B38</f>
        <v>ORSE</v>
      </c>
      <c r="E41" s="69" t="str">
        <f>[5]ORÇAMENTO!E38</f>
        <v>m²</v>
      </c>
      <c r="F41" s="22">
        <v>6.6599999999999966</v>
      </c>
      <c r="G41" s="91">
        <v>712.59766200000001</v>
      </c>
      <c r="H41" s="91">
        <f t="shared" si="0"/>
        <v>4745.9004289199975</v>
      </c>
      <c r="I41" s="156">
        <f t="shared" si="1"/>
        <v>4.0697929690287713E-3</v>
      </c>
      <c r="J41" s="1"/>
    </row>
    <row r="42" spans="1:10" ht="30">
      <c r="A42" s="64" t="s">
        <v>527</v>
      </c>
      <c r="B42" s="108" t="s">
        <v>528</v>
      </c>
      <c r="C42" s="109" t="s">
        <v>529</v>
      </c>
      <c r="D42" s="110" t="s">
        <v>530</v>
      </c>
      <c r="E42" s="172" t="s">
        <v>429</v>
      </c>
      <c r="F42" s="65">
        <v>81.843000000000018</v>
      </c>
      <c r="G42" s="171">
        <f>'[5]ITENS NOVOS'!I17</f>
        <v>128.24</v>
      </c>
      <c r="H42" s="91">
        <f t="shared" si="0"/>
        <v>10495.546320000003</v>
      </c>
      <c r="I42" s="156">
        <f t="shared" si="1"/>
        <v>9.0003364501627763E-3</v>
      </c>
      <c r="J42" s="1"/>
    </row>
    <row r="43" spans="1:10">
      <c r="A43" s="69"/>
      <c r="B43" s="69"/>
      <c r="C43" s="49"/>
      <c r="D43" s="69"/>
      <c r="E43" s="69"/>
      <c r="F43" s="22">
        <v>0</v>
      </c>
      <c r="G43" s="91"/>
      <c r="H43" s="91">
        <f t="shared" si="0"/>
        <v>0</v>
      </c>
      <c r="I43" s="156">
        <f t="shared" si="1"/>
        <v>0</v>
      </c>
      <c r="J43" s="1"/>
    </row>
    <row r="44" spans="1:10">
      <c r="A44" s="111">
        <f>[5]ORÇAMENTO!A40</f>
        <v>4</v>
      </c>
      <c r="B44" s="111"/>
      <c r="C44" s="112" t="str">
        <f>[5]ORÇAMENTO!B40</f>
        <v>IMPERMEABILIZAÇÕES</v>
      </c>
      <c r="D44" s="111"/>
      <c r="E44" s="111"/>
      <c r="F44" s="113">
        <v>0</v>
      </c>
      <c r="G44" s="114"/>
      <c r="H44" s="91">
        <f t="shared" si="0"/>
        <v>0</v>
      </c>
      <c r="I44" s="156">
        <f t="shared" si="1"/>
        <v>0</v>
      </c>
      <c r="J44" s="1"/>
    </row>
    <row r="45" spans="1:10" ht="30">
      <c r="A45" s="69" t="str">
        <f>[5]ORÇAMENTO!A41</f>
        <v>4.1</v>
      </c>
      <c r="B45" s="69">
        <f>[5]ORÇAMENTO!C41</f>
        <v>98557</v>
      </c>
      <c r="C45" s="49" t="str">
        <f>[5]ORÇAMENTO!D41</f>
        <v>IMPERMEABILIZAÇÃO DE SUPERFÍCIE COM EMULSÃO ASFÁLTICA, 2 DEMÃOS AF_06/2018</v>
      </c>
      <c r="D45" s="69" t="str">
        <f>[5]ORÇAMENTO!B41</f>
        <v>SINAPI</v>
      </c>
      <c r="E45" s="69" t="str">
        <f>[5]ORÇAMENTO!E41</f>
        <v>m²</v>
      </c>
      <c r="F45" s="22">
        <v>25.12</v>
      </c>
      <c r="G45" s="91">
        <v>48.777876000000006</v>
      </c>
      <c r="H45" s="91">
        <f t="shared" si="0"/>
        <v>1225.3002451200002</v>
      </c>
      <c r="I45" s="156">
        <f t="shared" si="1"/>
        <v>1.0507422979528062E-3</v>
      </c>
      <c r="J45" s="1"/>
    </row>
    <row r="46" spans="1:10" ht="45">
      <c r="A46" s="69" t="str">
        <f>[5]ORÇAMENTO!A42</f>
        <v>4.2</v>
      </c>
      <c r="B46" s="69">
        <f>[5]ORÇAMENTO!C42</f>
        <v>98546</v>
      </c>
      <c r="C46" s="49" t="str">
        <f>[5]ORÇAMENTO!D42</f>
        <v>IMPERMEABILIZAÇÃO DE SUPERFÍCIE COM MANTA ASFÁLTICA, UMA CAMADA, INCLUSIVE APLICAÇÃO DE PRIMER ASFÁLTICO, E=3MM. AF_06/2018</v>
      </c>
      <c r="D46" s="69" t="str">
        <f>[5]ORÇAMENTO!B42</f>
        <v>SINAPI</v>
      </c>
      <c r="E46" s="69" t="str">
        <f>[5]ORÇAMENTO!E42</f>
        <v>m²</v>
      </c>
      <c r="F46" s="22">
        <v>57.88</v>
      </c>
      <c r="G46" s="91">
        <v>121.108932</v>
      </c>
      <c r="H46" s="91">
        <f t="shared" si="0"/>
        <v>7009.78498416</v>
      </c>
      <c r="I46" s="156">
        <f t="shared" si="1"/>
        <v>6.0111614371627046E-3</v>
      </c>
      <c r="J46" s="1"/>
    </row>
    <row r="47" spans="1:10">
      <c r="A47" s="69"/>
      <c r="B47" s="69"/>
      <c r="C47" s="49"/>
      <c r="D47" s="69"/>
      <c r="E47" s="69"/>
      <c r="F47" s="22">
        <v>0</v>
      </c>
      <c r="G47" s="91"/>
      <c r="H47" s="91">
        <f t="shared" si="0"/>
        <v>0</v>
      </c>
      <c r="I47" s="156">
        <f t="shared" si="1"/>
        <v>0</v>
      </c>
      <c r="J47" s="1"/>
    </row>
    <row r="48" spans="1:10">
      <c r="A48" s="101">
        <f>[5]ORÇAMENTO!A44</f>
        <v>5</v>
      </c>
      <c r="B48" s="101"/>
      <c r="C48" s="102" t="str">
        <f>[5]ORÇAMENTO!B44</f>
        <v>COBERTURAS E PROTEÇÕES</v>
      </c>
      <c r="D48" s="101"/>
      <c r="E48" s="101"/>
      <c r="F48" s="103">
        <v>0</v>
      </c>
      <c r="G48" s="104"/>
      <c r="H48" s="91">
        <f t="shared" si="0"/>
        <v>0</v>
      </c>
      <c r="I48" s="156">
        <f t="shared" si="1"/>
        <v>0</v>
      </c>
      <c r="J48" s="1"/>
    </row>
    <row r="49" spans="1:10" ht="78" customHeight="1">
      <c r="A49" s="69" t="str">
        <f>[5]ORÇAMENTO!A45</f>
        <v>5.1</v>
      </c>
      <c r="B49" s="69">
        <f>[5]ORÇAMENTO!C45</f>
        <v>92539</v>
      </c>
      <c r="C49" s="49" t="str">
        <f>[5]ORÇAMENTO!D45</f>
        <v>TRAMA DE MADEIRA COMPOSTA POR RIPAS, CAIBROS E TERÇAS PARA TELHADOS DE ATÉ 2 ÁGUAS PARA TELHA DE ENCAIXE DE CERÂMICA OU DE CONCRETO, INCLUSO TRANSPORTE VERTICAL. AF_07/2019</v>
      </c>
      <c r="D49" s="69" t="str">
        <f>[5]ORÇAMENTO!B45</f>
        <v>SINAPI</v>
      </c>
      <c r="E49" s="69" t="str">
        <f>[5]ORÇAMENTO!E45</f>
        <v>m²</v>
      </c>
      <c r="F49" s="22">
        <v>415.93</v>
      </c>
      <c r="G49" s="91">
        <v>76.573160999999999</v>
      </c>
      <c r="H49" s="91">
        <f t="shared" si="0"/>
        <v>31849.074854729999</v>
      </c>
      <c r="I49" s="156">
        <f t="shared" si="1"/>
        <v>2.7311812132423525E-2</v>
      </c>
      <c r="J49" s="1"/>
    </row>
    <row r="50" spans="1:10" ht="30">
      <c r="A50" s="69" t="str">
        <f>[5]ORÇAMENTO!A46</f>
        <v>5.2</v>
      </c>
      <c r="B50" s="69">
        <f>[5]ORÇAMENTO!C46</f>
        <v>94201</v>
      </c>
      <c r="C50" s="49" t="str">
        <f>[5]ORÇAMENTO!D46</f>
        <v>TELHAMENTO COM TELHA CERÂMICA CAPA-CANAL, TIPO COLONIAL, COM ATÉ 2 ÁGUAS, INCLUSO TRANSPORTE VERTICAL. AF_07/2019</v>
      </c>
      <c r="D50" s="69" t="str">
        <f>[5]ORÇAMENTO!B46</f>
        <v>SINAPI</v>
      </c>
      <c r="E50" s="69" t="str">
        <f>[5]ORÇAMENTO!E46</f>
        <v>m²</v>
      </c>
      <c r="F50" s="22">
        <v>309.93</v>
      </c>
      <c r="G50" s="91">
        <v>37.495142999999999</v>
      </c>
      <c r="H50" s="91">
        <f t="shared" si="0"/>
        <v>11620.869669989999</v>
      </c>
      <c r="I50" s="156">
        <f t="shared" si="1"/>
        <v>9.9653446980739954E-3</v>
      </c>
      <c r="J50" s="1"/>
    </row>
    <row r="51" spans="1:10" ht="30">
      <c r="A51" s="69" t="str">
        <f>[5]ORÇAMENTO!A47</f>
        <v>5.3</v>
      </c>
      <c r="B51" s="69">
        <f>[5]ORÇAMENTO!C47</f>
        <v>96113</v>
      </c>
      <c r="C51" s="49" t="str">
        <f>[5]ORÇAMENTO!D47</f>
        <v>FORRO EM PLACAS DE GESSO, PARA AMBIENTES COMERCIAIS. AF_05/2017_P</v>
      </c>
      <c r="D51" s="69" t="str">
        <f>[5]ORÇAMENTO!B47</f>
        <v>SINAPI</v>
      </c>
      <c r="E51" s="69" t="str">
        <f>[5]ORÇAMENTO!E47</f>
        <v>m²</v>
      </c>
      <c r="F51" s="22">
        <v>774.83</v>
      </c>
      <c r="G51" s="91">
        <v>38.153618999999999</v>
      </c>
      <c r="H51" s="91">
        <f t="shared" si="0"/>
        <v>29562.568609770002</v>
      </c>
      <c r="I51" s="156">
        <f t="shared" si="1"/>
        <v>2.5351044691397331E-2</v>
      </c>
      <c r="J51" s="1"/>
    </row>
    <row r="52" spans="1:10" ht="30">
      <c r="A52" s="64" t="s">
        <v>531</v>
      </c>
      <c r="B52" s="108">
        <v>12625</v>
      </c>
      <c r="C52" s="109" t="s">
        <v>532</v>
      </c>
      <c r="D52" s="108" t="s">
        <v>1</v>
      </c>
      <c r="E52" s="64" t="s">
        <v>9</v>
      </c>
      <c r="F52" s="65">
        <v>250</v>
      </c>
      <c r="G52" s="171">
        <f>'[5]ITENS NOVOS'!I16</f>
        <v>11.57</v>
      </c>
      <c r="H52" s="91">
        <f t="shared" si="0"/>
        <v>2892.5</v>
      </c>
      <c r="I52" s="156">
        <f t="shared" si="1"/>
        <v>2.4804304976947427E-3</v>
      </c>
      <c r="J52" s="1"/>
    </row>
    <row r="53" spans="1:10" ht="65.25" customHeight="1">
      <c r="A53" s="64" t="s">
        <v>533</v>
      </c>
      <c r="B53" s="174" t="s">
        <v>534</v>
      </c>
      <c r="C53" s="175" t="s">
        <v>535</v>
      </c>
      <c r="D53" s="110" t="s">
        <v>7</v>
      </c>
      <c r="E53" s="174" t="s">
        <v>429</v>
      </c>
      <c r="F53" s="65">
        <v>211.57</v>
      </c>
      <c r="G53" s="117">
        <f>'[5]ITENS NOVOS'!I31</f>
        <v>23.29</v>
      </c>
      <c r="H53" s="91">
        <f t="shared" si="0"/>
        <v>4927.4652999999998</v>
      </c>
      <c r="I53" s="156">
        <f t="shared" si="1"/>
        <v>4.2254918604849E-3</v>
      </c>
      <c r="J53" s="1"/>
    </row>
    <row r="54" spans="1:10" ht="60">
      <c r="A54" s="64" t="s">
        <v>536</v>
      </c>
      <c r="B54" s="174" t="s">
        <v>537</v>
      </c>
      <c r="C54" s="175" t="s">
        <v>538</v>
      </c>
      <c r="D54" s="110" t="s">
        <v>7</v>
      </c>
      <c r="E54" s="174" t="s">
        <v>429</v>
      </c>
      <c r="F54" s="65">
        <v>211.57</v>
      </c>
      <c r="G54" s="117">
        <f>'[5]ITENS NOVOS'!I32</f>
        <v>72.739999999999995</v>
      </c>
      <c r="H54" s="91">
        <f t="shared" si="0"/>
        <v>15389.601799999999</v>
      </c>
      <c r="I54" s="156">
        <f t="shared" si="1"/>
        <v>1.3197178099255974E-2</v>
      </c>
      <c r="J54" s="1"/>
    </row>
    <row r="55" spans="1:10" ht="30">
      <c r="A55" s="64" t="s">
        <v>539</v>
      </c>
      <c r="B55" s="108">
        <v>94228</v>
      </c>
      <c r="C55" s="109" t="s">
        <v>540</v>
      </c>
      <c r="D55" s="64" t="s">
        <v>7</v>
      </c>
      <c r="E55" s="108" t="s">
        <v>38</v>
      </c>
      <c r="F55" s="65">
        <v>118.97</v>
      </c>
      <c r="G55" s="117">
        <f>82.9*1.2663*0.965</f>
        <v>101.30210054999999</v>
      </c>
      <c r="H55" s="91">
        <f t="shared" si="0"/>
        <v>12051.910902433499</v>
      </c>
      <c r="I55" s="156">
        <f t="shared" si="1"/>
        <v>1.033497920756986E-2</v>
      </c>
      <c r="J55" s="1"/>
    </row>
    <row r="56" spans="1:10" ht="45">
      <c r="A56" s="64" t="s">
        <v>541</v>
      </c>
      <c r="B56" s="174" t="s">
        <v>542</v>
      </c>
      <c r="C56" s="175" t="s">
        <v>543</v>
      </c>
      <c r="D56" s="110" t="s">
        <v>7</v>
      </c>
      <c r="E56" s="174" t="s">
        <v>516</v>
      </c>
      <c r="F56" s="65">
        <v>25.08</v>
      </c>
      <c r="G56" s="117">
        <f>'[5]ITENS NOVOS'!I34</f>
        <v>25.88</v>
      </c>
      <c r="H56" s="91">
        <f t="shared" si="0"/>
        <v>649.07039999999995</v>
      </c>
      <c r="I56" s="156">
        <f t="shared" si="1"/>
        <v>5.5660294392771844E-4</v>
      </c>
      <c r="J56" s="1"/>
    </row>
    <row r="57" spans="1:10">
      <c r="A57" s="69"/>
      <c r="B57" s="69"/>
      <c r="C57" s="49"/>
      <c r="D57" s="69"/>
      <c r="E57" s="69"/>
      <c r="F57" s="22">
        <v>0</v>
      </c>
      <c r="G57" s="91"/>
      <c r="H57" s="91">
        <f t="shared" si="0"/>
        <v>0</v>
      </c>
      <c r="I57" s="156">
        <f t="shared" si="1"/>
        <v>0</v>
      </c>
      <c r="J57" s="1"/>
    </row>
    <row r="58" spans="1:10">
      <c r="A58" s="101">
        <f>[5]ORÇAMENTO!A49</f>
        <v>6</v>
      </c>
      <c r="B58" s="101"/>
      <c r="C58" s="102" t="str">
        <f>[5]ORÇAMENTO!B49</f>
        <v>ESQUADRIAS</v>
      </c>
      <c r="D58" s="101"/>
      <c r="E58" s="101"/>
      <c r="F58" s="103">
        <v>0</v>
      </c>
      <c r="G58" s="104"/>
      <c r="H58" s="91">
        <f t="shared" si="0"/>
        <v>0</v>
      </c>
      <c r="I58" s="156">
        <f t="shared" si="1"/>
        <v>0</v>
      </c>
      <c r="J58" s="1"/>
    </row>
    <row r="59" spans="1:10">
      <c r="A59" s="118" t="str">
        <f>[5]ORÇAMENTO!A50</f>
        <v>6.1</v>
      </c>
      <c r="B59" s="118"/>
      <c r="C59" s="119" t="str">
        <f>[5]ORÇAMENTO!B50</f>
        <v>METÁLICA, ALUMÍNIO C/ VIDRO E MADEIRA</v>
      </c>
      <c r="D59" s="118"/>
      <c r="E59" s="118"/>
      <c r="F59" s="120">
        <v>0</v>
      </c>
      <c r="G59" s="121"/>
      <c r="H59" s="91">
        <f t="shared" si="0"/>
        <v>0</v>
      </c>
      <c r="I59" s="156">
        <f t="shared" si="1"/>
        <v>0</v>
      </c>
      <c r="J59" s="1"/>
    </row>
    <row r="60" spans="1:10" ht="60">
      <c r="A60" s="69" t="str">
        <f>[5]ORÇAMENTO!A51</f>
        <v>6.1.1</v>
      </c>
      <c r="B60" s="69">
        <f>[5]ORÇAMENTO!C51</f>
        <v>94570</v>
      </c>
      <c r="C60" s="49" t="str">
        <f>[5]ORÇAMENTO!D51</f>
        <v>JANELA DE ALUMÍNIO DE CORRER COM 2 FOLHAS PARA VIDROS, COM VIDROS, BATENTE, ACABAMENTO COM ACETATO OU BRILHANTE E FERRAGENS. EXCLUSIVE ALIZAR E CONTRAMARCO. FORNECIMENTO E INSTALAÇÃO. AF_12/2019</v>
      </c>
      <c r="D60" s="69" t="str">
        <f>[5]ORÇAMENTO!B51</f>
        <v>SINAPI</v>
      </c>
      <c r="E60" s="69" t="str">
        <f>[5]ORÇAMENTO!E51</f>
        <v>m²</v>
      </c>
      <c r="F60" s="22">
        <v>22.56</v>
      </c>
      <c r="G60" s="91">
        <v>771.53126399999996</v>
      </c>
      <c r="H60" s="91">
        <f t="shared" si="0"/>
        <v>17405.745315839999</v>
      </c>
      <c r="I60" s="156">
        <f t="shared" si="1"/>
        <v>1.4926099054975607E-2</v>
      </c>
      <c r="J60" s="1"/>
    </row>
    <row r="61" spans="1:10" ht="45">
      <c r="A61" s="69" t="str">
        <f>[5]ORÇAMENTO!A52</f>
        <v>6.1.2</v>
      </c>
      <c r="B61" s="69">
        <f>[5]ORÇAMENTO!C52</f>
        <v>94569</v>
      </c>
      <c r="C61" s="49" t="str">
        <f>[5]ORÇAMENTO!D52</f>
        <v>JANELA DE ALUMÍNIO TIPO MAXIM-AR, COM VIDROS, BATENTE E FERRAGENS. EXCLUSIVE ALIZAR, ACABAMENTO E CONTRAMARCO. FORNECIMENTO E INSTALAÇÃO. AF_12/2019</v>
      </c>
      <c r="D61" s="69" t="str">
        <f>[5]ORÇAMENTO!B52</f>
        <v>SINAPI</v>
      </c>
      <c r="E61" s="69" t="str">
        <f>[5]ORÇAMENTO!E52</f>
        <v>m²</v>
      </c>
      <c r="F61" s="22">
        <v>10.5</v>
      </c>
      <c r="G61" s="91">
        <v>1448.938449</v>
      </c>
      <c r="H61" s="91">
        <f t="shared" si="0"/>
        <v>15213.853714499999</v>
      </c>
      <c r="I61" s="156">
        <f t="shared" si="1"/>
        <v>1.3046467326158079E-2</v>
      </c>
      <c r="J61" s="1"/>
    </row>
    <row r="62" spans="1:10" ht="30">
      <c r="A62" s="69" t="str">
        <f>[5]ORÇAMENTO!A53</f>
        <v>6.1.3</v>
      </c>
      <c r="B62" s="69">
        <f>[5]ORÇAMENTO!C53</f>
        <v>91341</v>
      </c>
      <c r="C62" s="49" t="str">
        <f>[5]ORÇAMENTO!D53</f>
        <v>PORTA EM ALUMÍNIO DE ABRIR TIPO VENEZIANA COM GUARNIÇÃO, FIXAÇÃO COM PARAFUSOS - FORNECIMENTO E INSTALAÇÃO. AF_12/2019</v>
      </c>
      <c r="D62" s="69" t="str">
        <f>[5]ORÇAMENTO!B53</f>
        <v>SINAPI</v>
      </c>
      <c r="E62" s="69" t="str">
        <f>[5]ORÇAMENTO!E53</f>
        <v>m²</v>
      </c>
      <c r="F62" s="22">
        <v>7.92</v>
      </c>
      <c r="G62" s="91">
        <v>969.51726899999994</v>
      </c>
      <c r="H62" s="91">
        <f t="shared" si="0"/>
        <v>7678.5767704799991</v>
      </c>
      <c r="I62" s="156">
        <f t="shared" si="1"/>
        <v>6.5846762317680182E-3</v>
      </c>
      <c r="J62" s="1"/>
    </row>
    <row r="63" spans="1:10" ht="30">
      <c r="A63" s="69" t="str">
        <f>[5]ORÇAMENTO!A54</f>
        <v>6.1.4</v>
      </c>
      <c r="B63" s="69">
        <f>[5]ORÇAMENTO!C54</f>
        <v>100701</v>
      </c>
      <c r="C63" s="49" t="str">
        <f>[5]ORÇAMENTO!D54</f>
        <v>PORTA DE FERRO, DE ABRIR, TIPO GRADE COM CHAPA, COM GUARNIÇÕES. AF_12/2019</v>
      </c>
      <c r="D63" s="69" t="str">
        <f>[5]ORÇAMENTO!B54</f>
        <v>SINAPI</v>
      </c>
      <c r="E63" s="69" t="str">
        <f>[5]ORÇAMENTO!E54</f>
        <v>m²</v>
      </c>
      <c r="F63" s="22">
        <v>5.31</v>
      </c>
      <c r="G63" s="91">
        <v>724.120992</v>
      </c>
      <c r="H63" s="91">
        <f t="shared" si="0"/>
        <v>3845.0824675199997</v>
      </c>
      <c r="I63" s="156">
        <f t="shared" si="1"/>
        <v>3.2973067652853801E-3</v>
      </c>
      <c r="J63" s="1"/>
    </row>
    <row r="64" spans="1:10" ht="30">
      <c r="A64" s="69" t="str">
        <f>[5]ORÇAMENTO!A55</f>
        <v>6.1.5</v>
      </c>
      <c r="B64" s="69">
        <f>[5]ORÇAMENTO!C55</f>
        <v>12036</v>
      </c>
      <c r="C64" s="49" t="str">
        <f>[5]ORÇAMENTO!D55</f>
        <v>Portão em ferro, em tubo de aço galvanizado 2" e tela ondulada, malha 3/8".</v>
      </c>
      <c r="D64" s="69" t="str">
        <f>[5]ORÇAMENTO!B55</f>
        <v>ORSE</v>
      </c>
      <c r="E64" s="69" t="str">
        <f>[5]ORÇAMENTO!E55</f>
        <v>m²</v>
      </c>
      <c r="F64" s="22">
        <v>6.62</v>
      </c>
      <c r="G64" s="91">
        <v>940.87356299999999</v>
      </c>
      <c r="H64" s="91">
        <f t="shared" si="0"/>
        <v>6228.5829870600001</v>
      </c>
      <c r="I64" s="156">
        <f t="shared" si="1"/>
        <v>5.3412505440021581E-3</v>
      </c>
      <c r="J64" s="1"/>
    </row>
    <row r="65" spans="1:10" ht="60">
      <c r="A65" s="69" t="str">
        <f>[5]ORÇAMENTO!A56</f>
        <v>6.1.6</v>
      </c>
      <c r="B65" s="69">
        <f>[5]ORÇAMENTO!C56</f>
        <v>90841</v>
      </c>
      <c r="C65" s="49" t="str">
        <f>[5]ORÇAMENTO!D56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5" s="69" t="str">
        <f>[5]ORÇAMENTO!B56</f>
        <v>SINAPI</v>
      </c>
      <c r="E65" s="69" t="str">
        <f>[5]ORÇAMENTO!E56</f>
        <v>unid</v>
      </c>
      <c r="F65" s="22">
        <v>0</v>
      </c>
      <c r="G65" s="91">
        <v>1013.951736</v>
      </c>
      <c r="H65" s="91">
        <f t="shared" si="0"/>
        <v>0</v>
      </c>
      <c r="I65" s="156">
        <f t="shared" si="1"/>
        <v>0</v>
      </c>
      <c r="J65" s="1"/>
    </row>
    <row r="66" spans="1:10" ht="60">
      <c r="A66" s="69" t="str">
        <f>[5]ORÇAMENTO!A57</f>
        <v>6.1.7</v>
      </c>
      <c r="B66" s="69">
        <f>[5]ORÇAMENTO!C57</f>
        <v>90842</v>
      </c>
      <c r="C66" s="49" t="str">
        <f>[5]ORÇAMENTO!D57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66" s="69" t="str">
        <f>[5]ORÇAMENTO!B57</f>
        <v>SINAPI</v>
      </c>
      <c r="E66" s="69" t="str">
        <f>[5]ORÇAMENTO!E57</f>
        <v>unid</v>
      </c>
      <c r="F66" s="22">
        <v>0</v>
      </c>
      <c r="G66" s="91">
        <v>1022.170023</v>
      </c>
      <c r="H66" s="91">
        <f t="shared" si="0"/>
        <v>0</v>
      </c>
      <c r="I66" s="156">
        <f t="shared" si="1"/>
        <v>0</v>
      </c>
      <c r="J66" s="1"/>
    </row>
    <row r="67" spans="1:10" ht="60">
      <c r="A67" s="69" t="str">
        <f>[5]ORÇAMENTO!A58</f>
        <v>6.1.8</v>
      </c>
      <c r="B67" s="69">
        <f>[5]ORÇAMENTO!C58</f>
        <v>90843</v>
      </c>
      <c r="C67" s="49" t="str">
        <f>[5]ORÇAMENTO!D58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67" s="69" t="str">
        <f>[5]ORÇAMENTO!B58</f>
        <v>SINAPI</v>
      </c>
      <c r="E67" s="69" t="str">
        <f>[5]ORÇAMENTO!E58</f>
        <v>unid</v>
      </c>
      <c r="F67" s="22">
        <v>8</v>
      </c>
      <c r="G67" s="91">
        <v>1068.073398</v>
      </c>
      <c r="H67" s="91">
        <f t="shared" si="0"/>
        <v>8544.587184</v>
      </c>
      <c r="I67" s="156">
        <f t="shared" si="1"/>
        <v>7.3273136184633493E-3</v>
      </c>
      <c r="J67" s="1"/>
    </row>
    <row r="68" spans="1:10" ht="60">
      <c r="A68" s="69" t="str">
        <f>[5]ORÇAMENTO!A59</f>
        <v>6.1.9</v>
      </c>
      <c r="B68" s="69">
        <f>[5]ORÇAMENTO!C59</f>
        <v>90844</v>
      </c>
      <c r="C68" s="49" t="str">
        <f>[5]ORÇAMENTO!D59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68" s="69" t="str">
        <f>[5]ORÇAMENTO!B59</f>
        <v>SINAPI</v>
      </c>
      <c r="E68" s="69" t="str">
        <f>[5]ORÇAMENTO!E59</f>
        <v>unid</v>
      </c>
      <c r="F68" s="22">
        <v>34</v>
      </c>
      <c r="G68" s="91">
        <v>1149.268554</v>
      </c>
      <c r="H68" s="91">
        <f t="shared" si="0"/>
        <v>39075.130835999997</v>
      </c>
      <c r="I68" s="156">
        <f t="shared" si="1"/>
        <v>3.3508434304935747E-2</v>
      </c>
      <c r="J68" s="1"/>
    </row>
    <row r="69" spans="1:10" ht="30">
      <c r="A69" s="69" t="str">
        <f>[5]ORÇAMENTO!A60</f>
        <v>6.1.10</v>
      </c>
      <c r="B69" s="69">
        <f>[5]ORÇAMENTO!C60</f>
        <v>3629</v>
      </c>
      <c r="C69" s="49" t="str">
        <f>[5]ORÇAMENTO!D60</f>
        <v>Porta em madeira compensada (canela), lisa e semi-oca, 1,00 x 2,10 m, inclusive batentes e ferragens.</v>
      </c>
      <c r="D69" s="69" t="str">
        <f>[5]ORÇAMENTO!B60</f>
        <v>ORSE</v>
      </c>
      <c r="E69" s="69" t="str">
        <f>[5]ORÇAMENTO!E60</f>
        <v>unid</v>
      </c>
      <c r="F69" s="22">
        <v>0</v>
      </c>
      <c r="G69" s="91">
        <v>1016.1044459999999</v>
      </c>
      <c r="H69" s="91">
        <f t="shared" si="0"/>
        <v>0</v>
      </c>
      <c r="I69" s="156">
        <f t="shared" si="1"/>
        <v>0</v>
      </c>
      <c r="J69" s="1"/>
    </row>
    <row r="70" spans="1:10" ht="45">
      <c r="A70" s="64" t="s">
        <v>544</v>
      </c>
      <c r="B70" s="158" t="s">
        <v>545</v>
      </c>
      <c r="C70" s="176" t="s">
        <v>546</v>
      </c>
      <c r="D70" s="110" t="s">
        <v>7</v>
      </c>
      <c r="E70" s="158" t="s">
        <v>429</v>
      </c>
      <c r="F70" s="65">
        <v>17.490000000000002</v>
      </c>
      <c r="G70" s="171">
        <v>1647.3500000000001</v>
      </c>
      <c r="H70" s="91">
        <f t="shared" si="0"/>
        <v>28812.151500000007</v>
      </c>
      <c r="I70" s="156">
        <f t="shared" si="1"/>
        <v>2.4707533028453358E-2</v>
      </c>
      <c r="J70" s="1"/>
    </row>
    <row r="71" spans="1:10" ht="60">
      <c r="A71" s="64" t="s">
        <v>547</v>
      </c>
      <c r="B71" s="108">
        <v>12093</v>
      </c>
      <c r="C71" s="109" t="s">
        <v>548</v>
      </c>
      <c r="D71" s="124" t="s">
        <v>1</v>
      </c>
      <c r="E71" s="108" t="s">
        <v>513</v>
      </c>
      <c r="F71" s="65">
        <v>5.5</v>
      </c>
      <c r="G71" s="171">
        <v>592.45000000000005</v>
      </c>
      <c r="H71" s="91">
        <f t="shared" si="0"/>
        <v>3258.4750000000004</v>
      </c>
      <c r="I71" s="156">
        <f t="shared" si="1"/>
        <v>2.794268199127356E-3</v>
      </c>
      <c r="J71" s="1"/>
    </row>
    <row r="72" spans="1:10" ht="30">
      <c r="A72" s="64" t="s">
        <v>549</v>
      </c>
      <c r="B72" s="108">
        <v>11955</v>
      </c>
      <c r="C72" s="109" t="s">
        <v>550</v>
      </c>
      <c r="D72" s="124" t="s">
        <v>1</v>
      </c>
      <c r="E72" s="108" t="s">
        <v>513</v>
      </c>
      <c r="F72" s="65">
        <v>14.775</v>
      </c>
      <c r="G72" s="171">
        <v>401.54</v>
      </c>
      <c r="H72" s="91">
        <f t="shared" si="0"/>
        <v>5932.7535000000007</v>
      </c>
      <c r="I72" s="156">
        <f t="shared" si="1"/>
        <v>5.0875653298894478E-3</v>
      </c>
      <c r="J72" s="1"/>
    </row>
    <row r="73" spans="1:10" ht="30">
      <c r="A73" s="64" t="s">
        <v>551</v>
      </c>
      <c r="B73" s="110">
        <v>1924</v>
      </c>
      <c r="C73" s="140" t="s">
        <v>552</v>
      </c>
      <c r="D73" s="124" t="s">
        <v>1</v>
      </c>
      <c r="E73" s="110" t="s">
        <v>513</v>
      </c>
      <c r="F73" s="65">
        <v>110.85000000000001</v>
      </c>
      <c r="G73" s="171">
        <v>105.72</v>
      </c>
      <c r="H73" s="91">
        <f t="shared" si="0"/>
        <v>11719.062</v>
      </c>
      <c r="I73" s="156">
        <f t="shared" si="1"/>
        <v>1.0049548414581002E-2</v>
      </c>
      <c r="J73" s="1"/>
    </row>
    <row r="74" spans="1:10">
      <c r="A74" s="64" t="s">
        <v>553</v>
      </c>
      <c r="B74" s="108">
        <v>1770</v>
      </c>
      <c r="C74" s="109" t="s">
        <v>554</v>
      </c>
      <c r="D74" s="124" t="s">
        <v>1</v>
      </c>
      <c r="E74" s="108" t="s">
        <v>38</v>
      </c>
      <c r="F74" s="65">
        <v>20.2</v>
      </c>
      <c r="G74" s="171">
        <v>80.109999999999985</v>
      </c>
      <c r="H74" s="91">
        <f t="shared" si="0"/>
        <v>1618.2219999999998</v>
      </c>
      <c r="I74" s="156">
        <f t="shared" si="1"/>
        <v>1.3876878827452312E-3</v>
      </c>
      <c r="J74" s="1"/>
    </row>
    <row r="75" spans="1:10" s="40" customFormat="1" ht="26.25">
      <c r="A75" s="177" t="s">
        <v>555</v>
      </c>
      <c r="B75" s="178" t="s">
        <v>556</v>
      </c>
      <c r="C75" s="179" t="s">
        <v>557</v>
      </c>
      <c r="D75" s="130" t="s">
        <v>7</v>
      </c>
      <c r="E75" s="178" t="s">
        <v>429</v>
      </c>
      <c r="F75" s="180">
        <v>4.9799999999999995</v>
      </c>
      <c r="G75" s="171">
        <v>270.79000000000002</v>
      </c>
      <c r="H75" s="91">
        <f t="shared" ref="H75:H138" si="2">F75*G75</f>
        <v>1348.5342000000001</v>
      </c>
      <c r="I75" s="156">
        <f t="shared" ref="I75:I138" si="3">H75/$H$237</f>
        <v>1.1564201752340126E-3</v>
      </c>
      <c r="J75" s="1"/>
    </row>
    <row r="76" spans="1:10" ht="30">
      <c r="A76" s="124" t="s">
        <v>558</v>
      </c>
      <c r="B76" s="181">
        <v>4723</v>
      </c>
      <c r="C76" s="181" t="s">
        <v>559</v>
      </c>
      <c r="D76" s="124" t="s">
        <v>1</v>
      </c>
      <c r="E76" s="108" t="s">
        <v>494</v>
      </c>
      <c r="F76" s="182">
        <v>3</v>
      </c>
      <c r="G76" s="183">
        <v>1767.96</v>
      </c>
      <c r="H76" s="91">
        <f t="shared" si="2"/>
        <v>5303.88</v>
      </c>
      <c r="I76" s="156">
        <f t="shared" si="3"/>
        <v>4.5482820079907321E-3</v>
      </c>
      <c r="J76" s="1"/>
    </row>
    <row r="77" spans="1:10" ht="30">
      <c r="A77" s="124" t="s">
        <v>560</v>
      </c>
      <c r="B77" s="181">
        <v>7149</v>
      </c>
      <c r="C77" s="181" t="s">
        <v>561</v>
      </c>
      <c r="D77" s="124" t="s">
        <v>1</v>
      </c>
      <c r="E77" s="108" t="s">
        <v>494</v>
      </c>
      <c r="F77" s="182">
        <v>4</v>
      </c>
      <c r="G77" s="183">
        <v>1561.3099999999997</v>
      </c>
      <c r="H77" s="91">
        <f t="shared" si="2"/>
        <v>6245.2399999999989</v>
      </c>
      <c r="I77" s="156">
        <f t="shared" si="3"/>
        <v>5.355534576118621E-3</v>
      </c>
      <c r="J77" s="1"/>
    </row>
    <row r="78" spans="1:10" ht="30">
      <c r="A78" s="124" t="s">
        <v>562</v>
      </c>
      <c r="B78" s="181">
        <v>7148</v>
      </c>
      <c r="C78" s="181" t="s">
        <v>563</v>
      </c>
      <c r="D78" s="124" t="s">
        <v>1</v>
      </c>
      <c r="E78" s="108" t="s">
        <v>494</v>
      </c>
      <c r="F78" s="182">
        <v>3</v>
      </c>
      <c r="G78" s="183">
        <v>1445.62</v>
      </c>
      <c r="H78" s="91">
        <f t="shared" si="2"/>
        <v>4336.8599999999997</v>
      </c>
      <c r="I78" s="156">
        <f t="shared" si="3"/>
        <v>3.719024998524605E-3</v>
      </c>
      <c r="J78" s="1"/>
    </row>
    <row r="79" spans="1:10">
      <c r="A79" s="69"/>
      <c r="B79" s="69"/>
      <c r="C79" s="49"/>
      <c r="D79" s="69"/>
      <c r="E79" s="69"/>
      <c r="F79" s="22">
        <v>0</v>
      </c>
      <c r="G79" s="91"/>
      <c r="H79" s="91">
        <f t="shared" si="2"/>
        <v>0</v>
      </c>
      <c r="I79" s="156">
        <f t="shared" si="3"/>
        <v>0</v>
      </c>
      <c r="J79" s="1"/>
    </row>
    <row r="80" spans="1:10">
      <c r="A80" s="101" t="str">
        <f>[5]ORÇAMENTO!A62</f>
        <v>6.2</v>
      </c>
      <c r="B80" s="101"/>
      <c r="C80" s="102" t="str">
        <f>[5]ORÇAMENTO!B62</f>
        <v>VIDRO</v>
      </c>
      <c r="D80" s="96"/>
      <c r="E80" s="96"/>
      <c r="F80" s="139">
        <v>0</v>
      </c>
      <c r="G80" s="105"/>
      <c r="H80" s="91">
        <f t="shared" si="2"/>
        <v>0</v>
      </c>
      <c r="I80" s="156">
        <f t="shared" si="3"/>
        <v>0</v>
      </c>
      <c r="J80" s="1"/>
    </row>
    <row r="81" spans="1:11" ht="30">
      <c r="A81" s="69" t="str">
        <f>[5]ORÇAMENTO!A63</f>
        <v>6.2.1</v>
      </c>
      <c r="B81" s="69">
        <f>[5]ORÇAMENTO!C63</f>
        <v>13096</v>
      </c>
      <c r="C81" s="49" t="str">
        <f>[5]ORÇAMENTO!D63</f>
        <v>Porta em vidro temperado 10mm, incolor,inclusive ferragens de fixação e instalação, exclusive puxador.</v>
      </c>
      <c r="D81" s="69" t="str">
        <f>[5]ORÇAMENTO!B63</f>
        <v>ORSE</v>
      </c>
      <c r="E81" s="69" t="str">
        <f>[5]ORÇAMENTO!E63</f>
        <v>m²</v>
      </c>
      <c r="F81" s="22">
        <v>23.1</v>
      </c>
      <c r="G81" s="91">
        <v>668.37846600000012</v>
      </c>
      <c r="H81" s="91">
        <f t="shared" si="2"/>
        <v>15439.542564600004</v>
      </c>
      <c r="I81" s="156">
        <f t="shared" si="3"/>
        <v>1.3240004234292118E-2</v>
      </c>
      <c r="J81" s="1"/>
    </row>
    <row r="82" spans="1:11" ht="45">
      <c r="A82" s="69" t="str">
        <f>[5]ORÇAMENTO!A64</f>
        <v>6.2.2</v>
      </c>
      <c r="B82" s="69">
        <f>[5]ORÇAMENTO!C64</f>
        <v>100702</v>
      </c>
      <c r="C82" s="49" t="str">
        <f>[5]ORÇAMENTO!D64</f>
        <v>PORTA DE CORRER DE ALUMÍNIO, COM DUAS FOLHAS PARA VIDRO, INCLUSO VIDRO LISO INCOLOR, FECHADURA E PUXADOR, SEM ALIZAR. AF_12/2019</v>
      </c>
      <c r="D82" s="69" t="str">
        <f>[5]ORÇAMENTO!B64</f>
        <v>SINAPI</v>
      </c>
      <c r="E82" s="69" t="str">
        <f>[5]ORÇAMENTO!E64</f>
        <v>m²</v>
      </c>
      <c r="F82" s="22">
        <v>25.08</v>
      </c>
      <c r="G82" s="91">
        <v>591.96992399999999</v>
      </c>
      <c r="H82" s="91">
        <f t="shared" si="2"/>
        <v>14846.605693919999</v>
      </c>
      <c r="I82" s="156">
        <f t="shared" si="3"/>
        <v>1.2731537960396744E-2</v>
      </c>
      <c r="J82" s="1"/>
    </row>
    <row r="83" spans="1:11" ht="30">
      <c r="A83" s="64" t="s">
        <v>564</v>
      </c>
      <c r="B83" s="108">
        <v>11347</v>
      </c>
      <c r="C83" s="109" t="s">
        <v>565</v>
      </c>
      <c r="D83" s="108" t="s">
        <v>1</v>
      </c>
      <c r="E83" s="64" t="s">
        <v>9</v>
      </c>
      <c r="F83" s="65">
        <v>16.149999999999999</v>
      </c>
      <c r="G83" s="171">
        <f>'[5]ITENS NOVOS'!I18</f>
        <v>1850.25</v>
      </c>
      <c r="H83" s="91">
        <f t="shared" si="2"/>
        <v>29881.537499999999</v>
      </c>
      <c r="I83" s="156">
        <f t="shared" si="3"/>
        <v>2.5624572837686814E-2</v>
      </c>
      <c r="J83" s="1"/>
    </row>
    <row r="84" spans="1:11">
      <c r="A84" s="69"/>
      <c r="B84" s="69"/>
      <c r="C84" s="49"/>
      <c r="D84" s="69"/>
      <c r="E84" s="69"/>
      <c r="F84" s="22">
        <v>0</v>
      </c>
      <c r="G84" s="91"/>
      <c r="H84" s="91">
        <f t="shared" si="2"/>
        <v>0</v>
      </c>
      <c r="I84" s="156">
        <f t="shared" si="3"/>
        <v>0</v>
      </c>
      <c r="J84" s="1"/>
    </row>
    <row r="85" spans="1:11">
      <c r="A85" s="101" t="str">
        <f>[5]ORÇAMENTO!A66</f>
        <v>6.3</v>
      </c>
      <c r="B85" s="101"/>
      <c r="C85" s="102" t="str">
        <f>[5]ORÇAMENTO!B66</f>
        <v>FERRAGENS</v>
      </c>
      <c r="D85" s="96"/>
      <c r="E85" s="96"/>
      <c r="F85" s="139">
        <v>0</v>
      </c>
      <c r="G85" s="105"/>
      <c r="H85" s="91">
        <f t="shared" si="2"/>
        <v>0</v>
      </c>
      <c r="I85" s="156">
        <f t="shared" si="3"/>
        <v>0</v>
      </c>
      <c r="J85" s="1"/>
    </row>
    <row r="86" spans="1:11" ht="30">
      <c r="A86" s="69" t="str">
        <f>[5]ORÇAMENTO!A67</f>
        <v>6.3.1</v>
      </c>
      <c r="B86" s="69">
        <f>[5]ORÇAMENTO!C67</f>
        <v>9733</v>
      </c>
      <c r="C86" s="49" t="str">
        <f>[5]ORÇAMENTO!D67</f>
        <v>Puxador duplo para porta, em alumínio polido, d = 1", I = 40mm, ref. 3008, Vesfer</v>
      </c>
      <c r="D86" s="69" t="str">
        <f>[5]ORÇAMENTO!B67</f>
        <v>ORSE</v>
      </c>
      <c r="E86" s="69" t="str">
        <f>[5]ORÇAMENTO!E67</f>
        <v>unid</v>
      </c>
      <c r="F86" s="22">
        <v>2</v>
      </c>
      <c r="G86" s="91">
        <v>254.336355</v>
      </c>
      <c r="H86" s="91">
        <f t="shared" si="2"/>
        <v>508.67271</v>
      </c>
      <c r="I86" s="156">
        <f t="shared" si="3"/>
        <v>4.3620650068419481E-4</v>
      </c>
      <c r="J86" s="1"/>
    </row>
    <row r="87" spans="1:11">
      <c r="A87" s="69" t="str">
        <f>[5]ORÇAMENTO!A68</f>
        <v>6.3.2</v>
      </c>
      <c r="B87" s="69">
        <f>[5]ORÇAMENTO!C68</f>
        <v>100705</v>
      </c>
      <c r="C87" s="49" t="str">
        <f>[5]ORÇAMENTO!D68</f>
        <v>TARJETA TIPO LIVRE/OCUPADO PARA PORTA DE BANHEIRO. AF_12/2019</v>
      </c>
      <c r="D87" s="69" t="str">
        <f>[5]ORÇAMENTO!B68</f>
        <v>SINAPI</v>
      </c>
      <c r="E87" s="69" t="str">
        <f>[5]ORÇAMENTO!E68</f>
        <v>unid</v>
      </c>
      <c r="F87" s="22">
        <v>6</v>
      </c>
      <c r="G87" s="91">
        <v>83.449170000000009</v>
      </c>
      <c r="H87" s="91">
        <f t="shared" si="2"/>
        <v>500.69502000000006</v>
      </c>
      <c r="I87" s="156">
        <f t="shared" si="3"/>
        <v>4.2936532330229186E-4</v>
      </c>
      <c r="J87" s="1"/>
    </row>
    <row r="88" spans="1:11">
      <c r="A88" s="69"/>
      <c r="B88" s="69"/>
      <c r="C88" s="49"/>
      <c r="D88" s="69"/>
      <c r="E88" s="69"/>
      <c r="F88" s="22">
        <v>0</v>
      </c>
      <c r="G88" s="91"/>
      <c r="H88" s="91">
        <f t="shared" si="2"/>
        <v>0</v>
      </c>
      <c r="I88" s="156">
        <f t="shared" si="3"/>
        <v>0</v>
      </c>
      <c r="J88" s="1"/>
    </row>
    <row r="89" spans="1:11">
      <c r="A89" s="101">
        <f>[5]ORÇAMENTO!A70</f>
        <v>7</v>
      </c>
      <c r="B89" s="101"/>
      <c r="C89" s="102" t="str">
        <f>[5]ORÇAMENTO!B70</f>
        <v>REVESTIMENTO</v>
      </c>
      <c r="D89" s="101"/>
      <c r="E89" s="101"/>
      <c r="F89" s="103">
        <v>0</v>
      </c>
      <c r="G89" s="104"/>
      <c r="H89" s="91">
        <f t="shared" si="2"/>
        <v>0</v>
      </c>
      <c r="I89" s="156">
        <f t="shared" si="3"/>
        <v>0</v>
      </c>
      <c r="J89" s="1"/>
    </row>
    <row r="90" spans="1:11" ht="73.5" customHeight="1">
      <c r="A90" s="69" t="str">
        <f>[5]ORÇAMENTO!A71</f>
        <v>7.1</v>
      </c>
      <c r="B90" s="69">
        <f>[5]ORÇAMENTO!C71</f>
        <v>87529</v>
      </c>
      <c r="C90" s="49" t="str">
        <f>[5]ORÇAMENTO!D71</f>
        <v>MASSA ÚNICA, PARA RECEBIMENTO DE PINTURA, EM ARGAMASSA TRAÇO 1:2:8, PREPARO MECÂNICO COM BETONEIRA 400L, APLICADA MANUALMENTE EM FACES INTERNAS DE PAREDES, ESPESSURA DE 20MM, COM EXECUÇÃO DE TALISCAS. AF_06/2014</v>
      </c>
      <c r="D90" s="69" t="str">
        <f>[5]ORÇAMENTO!B71</f>
        <v>SINAPI</v>
      </c>
      <c r="E90" s="69" t="str">
        <f>[5]ORÇAMENTO!E71</f>
        <v>m²</v>
      </c>
      <c r="F90" s="22">
        <v>1029.4899999999998</v>
      </c>
      <c r="G90" s="157">
        <v>31.619510999999999</v>
      </c>
      <c r="H90" s="91">
        <f t="shared" si="2"/>
        <v>32551.970379389993</v>
      </c>
      <c r="I90" s="156">
        <f t="shared" si="3"/>
        <v>2.7914572200205649E-2</v>
      </c>
      <c r="J90" s="1"/>
      <c r="K90" s="1"/>
    </row>
    <row r="91" spans="1:11" ht="69" customHeight="1">
      <c r="A91" s="69" t="str">
        <f>[5]ORÇAMENTO!A72</f>
        <v>7.2</v>
      </c>
      <c r="B91" s="69">
        <f>[5]ORÇAMENTO!C72</f>
        <v>87879</v>
      </c>
      <c r="C91" s="49" t="str">
        <f>[5]ORÇAMENTO!D72</f>
        <v>CHAPISCO APLICADO EM ALVENARIAS E ESTRUTURAS DE CONCRETO INTERNAS, COM COLHER DE PEDREIRO.  ARGAMASSA TRAÇO 1:3 COM PREPARO EM BETONEIRA 400L. AF_06/2014</v>
      </c>
      <c r="D91" s="69" t="str">
        <f>[5]ORÇAMENTO!B72</f>
        <v>SINAPI</v>
      </c>
      <c r="E91" s="69" t="str">
        <f>[5]ORÇAMENTO!E72</f>
        <v>m²</v>
      </c>
      <c r="F91" s="22">
        <v>1029.4899999999998</v>
      </c>
      <c r="G91" s="157">
        <v>3.7862370000000003</v>
      </c>
      <c r="H91" s="91">
        <f t="shared" si="2"/>
        <v>3897.8931291299996</v>
      </c>
      <c r="I91" s="156">
        <f t="shared" si="3"/>
        <v>3.3425939478820546E-3</v>
      </c>
      <c r="J91" s="1"/>
    </row>
    <row r="92" spans="1:11" ht="99.75" customHeight="1">
      <c r="A92" s="69" t="str">
        <f>[5]ORÇAMENTO!A73</f>
        <v>7.3</v>
      </c>
      <c r="B92" s="69">
        <f>[5]ORÇAMENTO!C73</f>
        <v>87273</v>
      </c>
      <c r="C92" s="49" t="str">
        <f>[5]ORÇAMENTO!D73</f>
        <v>REVESTIMENTO CERÂMICO PARA PAREDES INTERNAS COM PLACAS TIPO ESMALTADA EXTRA DE DIMENSÕES 33X45 CM APLICADAS EM AMBIENTES DE ÁREA MAIOR QUE 5 M² NA ALTURA INTEIRA DAS PAREDES. AF_06/2014</v>
      </c>
      <c r="D92" s="69" t="str">
        <f>[5]ORÇAMENTO!B73</f>
        <v>SINAPI</v>
      </c>
      <c r="E92" s="69" t="str">
        <f>[5]ORÇAMENTO!E73</f>
        <v>m²</v>
      </c>
      <c r="F92" s="22">
        <v>423.52</v>
      </c>
      <c r="G92" s="157">
        <v>77.712830999999994</v>
      </c>
      <c r="H92" s="91">
        <f t="shared" si="2"/>
        <v>32912.938185119994</v>
      </c>
      <c r="I92" s="156">
        <f t="shared" si="3"/>
        <v>2.8224116039105785E-2</v>
      </c>
      <c r="J92" s="1"/>
    </row>
    <row r="93" spans="1:11">
      <c r="A93" s="69" t="str">
        <f>[5]ORÇAMENTO!A74</f>
        <v>7.4</v>
      </c>
      <c r="B93" s="69">
        <f>[5]ORÇAMENTO!C74</f>
        <v>12420</v>
      </c>
      <c r="C93" s="49" t="s">
        <v>656</v>
      </c>
      <c r="D93" s="69" t="str">
        <f>[5]ORÇAMENTO!B74</f>
        <v>ORSE</v>
      </c>
      <c r="E93" s="69" t="str">
        <f>[5]ORÇAMENTO!E74</f>
        <v>m²</v>
      </c>
      <c r="F93" s="22">
        <v>0</v>
      </c>
      <c r="G93" s="157">
        <v>507.91293000000002</v>
      </c>
      <c r="H93" s="91">
        <f t="shared" si="2"/>
        <v>0</v>
      </c>
      <c r="I93" s="156">
        <f t="shared" si="3"/>
        <v>0</v>
      </c>
      <c r="J93" s="1"/>
    </row>
    <row r="94" spans="1:11" ht="60">
      <c r="A94" s="64" t="s">
        <v>657</v>
      </c>
      <c r="B94" s="64">
        <v>11099</v>
      </c>
      <c r="C94" s="140" t="s">
        <v>658</v>
      </c>
      <c r="D94" s="69" t="s">
        <v>659</v>
      </c>
      <c r="E94" s="69" t="s">
        <v>9</v>
      </c>
      <c r="F94" s="46">
        <v>116.74</v>
      </c>
      <c r="G94" s="157">
        <f>260.11*1.2663*0.965</f>
        <v>317.84908774500002</v>
      </c>
      <c r="H94" s="91">
        <f t="shared" si="2"/>
        <v>37105.702503351298</v>
      </c>
      <c r="I94" s="156">
        <f t="shared" si="3"/>
        <v>3.1819573423578468E-2</v>
      </c>
      <c r="J94" s="1"/>
    </row>
    <row r="95" spans="1:11" ht="60">
      <c r="A95" s="64" t="s">
        <v>660</v>
      </c>
      <c r="B95" s="64">
        <v>9776</v>
      </c>
      <c r="C95" s="140" t="s">
        <v>661</v>
      </c>
      <c r="D95" s="69" t="s">
        <v>1</v>
      </c>
      <c r="E95" s="69" t="s">
        <v>9</v>
      </c>
      <c r="F95" s="46">
        <v>99.65</v>
      </c>
      <c r="G95" s="157">
        <f>68.96*1.2663*0.965</f>
        <v>84.267706319999988</v>
      </c>
      <c r="H95" s="91">
        <f t="shared" si="2"/>
        <v>8397.2769347879985</v>
      </c>
      <c r="I95" s="156">
        <f t="shared" si="3"/>
        <v>7.2009893886384709E-3</v>
      </c>
      <c r="J95" s="1"/>
    </row>
    <row r="96" spans="1:11">
      <c r="A96" s="69"/>
      <c r="B96" s="69"/>
      <c r="C96" s="49"/>
      <c r="D96" s="69"/>
      <c r="E96" s="69"/>
      <c r="F96" s="22">
        <v>0</v>
      </c>
      <c r="G96" s="91"/>
      <c r="H96" s="91">
        <f t="shared" si="2"/>
        <v>0</v>
      </c>
      <c r="I96" s="156">
        <f t="shared" si="3"/>
        <v>0</v>
      </c>
      <c r="J96" s="1"/>
    </row>
    <row r="97" spans="1:10">
      <c r="A97" s="101">
        <f>[5]ORÇAMENTO!A76</f>
        <v>8</v>
      </c>
      <c r="B97" s="101"/>
      <c r="C97" s="102" t="str">
        <f>[5]ORÇAMENTO!B76</f>
        <v>PAVIMENTAÇÃO</v>
      </c>
      <c r="D97" s="101"/>
      <c r="E97" s="101"/>
      <c r="F97" s="103">
        <v>0</v>
      </c>
      <c r="G97" s="104"/>
      <c r="H97" s="91">
        <f t="shared" si="2"/>
        <v>0</v>
      </c>
      <c r="I97" s="156">
        <f t="shared" si="3"/>
        <v>0</v>
      </c>
      <c r="J97" s="1"/>
    </row>
    <row r="98" spans="1:10" ht="90.75" customHeight="1">
      <c r="A98" s="69" t="str">
        <f>[5]ORÇAMENTO!A77</f>
        <v>8.1</v>
      </c>
      <c r="B98" s="69">
        <f>[5]ORÇAMENTO!C77</f>
        <v>87620</v>
      </c>
      <c r="C98" s="49" t="str">
        <f>[5]ORÇAMENTO!D77</f>
        <v>CONTRAPISO EM ARGAMASSA TRAÇO 1:4 (CIMENTO E AREIA), PREPARO MECÂNICO COM BETONEIRA 400 L, APLICADO EM ÁREAS SECAS SOBRE LAJE, ADERIDO, ACABAMENTO NÃO REFORÇADO, ESPESSURA 2CM. AF_07/2021</v>
      </c>
      <c r="D98" s="69" t="str">
        <f>[5]ORÇAMENTO!B77</f>
        <v>SINAPI</v>
      </c>
      <c r="E98" s="69" t="str">
        <f>[5]ORÇAMENTO!E77</f>
        <v>m²</v>
      </c>
      <c r="F98" s="22">
        <v>774.83</v>
      </c>
      <c r="G98" s="91">
        <f>[5]ORÇAMENTO!G77*26.63%+[5]ORÇAMENTO!G77</f>
        <v>28.238489999999999</v>
      </c>
      <c r="H98" s="91">
        <f t="shared" si="2"/>
        <v>21880.029206700001</v>
      </c>
      <c r="I98" s="156">
        <f t="shared" si="3"/>
        <v>1.8762970349092613E-2</v>
      </c>
      <c r="J98" s="1"/>
    </row>
    <row r="99" spans="1:10" ht="45">
      <c r="A99" s="69" t="str">
        <f>[5]ORÇAMENTO!A78</f>
        <v>8.2</v>
      </c>
      <c r="B99" s="69">
        <f>[5]ORÇAMENTO!C78</f>
        <v>87263</v>
      </c>
      <c r="C99" s="49" t="str">
        <f>[5]ORÇAMENTO!D78</f>
        <v>REVESTIMENTO CERÂMICO PARA PISO COM PLACAS TIPO PORCELANATO DE DIMENSÕES 60X60 CM APLICADA EM AMBIENTES DE ÁREA MAIOR QUE 10 M². AF_06/2014</v>
      </c>
      <c r="D99" s="69" t="str">
        <f>[5]ORÇAMENTO!B78</f>
        <v>SINAPI</v>
      </c>
      <c r="E99" s="69" t="str">
        <f>[5]ORÇAMENTO!E78</f>
        <v>m²</v>
      </c>
      <c r="F99" s="22">
        <v>0</v>
      </c>
      <c r="G99" s="157">
        <f>[5]ORÇAMENTO!G78*26.63%+[5]ORÇAMENTO!G78</f>
        <v>184.01871599999998</v>
      </c>
      <c r="H99" s="91">
        <f t="shared" si="2"/>
        <v>0</v>
      </c>
      <c r="I99" s="156">
        <f t="shared" si="3"/>
        <v>0</v>
      </c>
      <c r="J99" s="1"/>
    </row>
    <row r="100" spans="1:10">
      <c r="A100" s="69" t="str">
        <f>[5]ORÇAMENTO!A79</f>
        <v>8.3</v>
      </c>
      <c r="B100" s="69">
        <f>[5]ORÇAMENTO!C79</f>
        <v>98504</v>
      </c>
      <c r="C100" s="49" t="str">
        <f>[5]ORÇAMENTO!D79</f>
        <v>PLANTIO DE GRAMA EM PLACAS. AF_05/2018</v>
      </c>
      <c r="D100" s="69" t="str">
        <f>[5]ORÇAMENTO!B79</f>
        <v>SINAPI</v>
      </c>
      <c r="E100" s="69" t="str">
        <f>[5]ORÇAMENTO!E79</f>
        <v>m²</v>
      </c>
      <c r="F100" s="22">
        <v>176.89</v>
      </c>
      <c r="G100" s="91">
        <f>[5]ORÇAMENTO!G79*26.63%+[5]ORÇAMENTO!G79</f>
        <v>16.550540999999999</v>
      </c>
      <c r="H100" s="91">
        <f t="shared" si="2"/>
        <v>2927.6251974899997</v>
      </c>
      <c r="I100" s="156">
        <f t="shared" si="3"/>
        <v>2.5105517115553287E-3</v>
      </c>
      <c r="J100" s="1"/>
    </row>
    <row r="101" spans="1:10" ht="60">
      <c r="A101" s="69" t="str">
        <f>[5]ORÇAMENTO!A80</f>
        <v>8.4</v>
      </c>
      <c r="B101" s="69">
        <f>[5]ORÇAMENTO!C80</f>
        <v>101819</v>
      </c>
      <c r="C101" s="49" t="str">
        <f>[5]ORÇAMENTO!D80</f>
        <v>RECOMPOSIÇÃO DE PAVIMENTO EM PARALELEPÍPEDOS, REJUNTAMENTO COM ARGAMASSA, COM REAPROVEITAMENTO DOS PARALELEPÍPEDOS, PARA O FECHAMENTO DE VALAS - INCLUSO RETIRADA E COLOCAÇÃO DO MATERIAL. AF_12/2020</v>
      </c>
      <c r="D101" s="69" t="str">
        <f>[5]ORÇAMENTO!B80</f>
        <v>SINAPI</v>
      </c>
      <c r="E101" s="69" t="str">
        <f>[5]ORÇAMENTO!E80</f>
        <v>m²</v>
      </c>
      <c r="F101" s="22">
        <v>155.13</v>
      </c>
      <c r="G101" s="91">
        <f>[5]ORÇAMENTO!G80*26.63%+[5]ORÇAMENTO!G80</f>
        <v>57.312737999999996</v>
      </c>
      <c r="H101" s="91">
        <f t="shared" si="2"/>
        <v>8890.9250459399991</v>
      </c>
      <c r="I101" s="156">
        <f t="shared" si="3"/>
        <v>7.6243117153561293E-3</v>
      </c>
      <c r="J101" s="1"/>
    </row>
    <row r="102" spans="1:10" ht="30">
      <c r="A102" s="64" t="s">
        <v>566</v>
      </c>
      <c r="B102" s="108">
        <v>95241</v>
      </c>
      <c r="C102" s="140" t="s">
        <v>567</v>
      </c>
      <c r="D102" s="69" t="s">
        <v>7</v>
      </c>
      <c r="E102" s="124" t="s">
        <v>9</v>
      </c>
      <c r="F102" s="22">
        <v>736.73</v>
      </c>
      <c r="G102" s="91">
        <f>'[5]ITENS NOVOS'!I21</f>
        <v>27.809999999999995</v>
      </c>
      <c r="H102" s="91">
        <f t="shared" si="2"/>
        <v>20488.461299999995</v>
      </c>
      <c r="I102" s="156">
        <f t="shared" si="3"/>
        <v>1.7569647107816236E-2</v>
      </c>
      <c r="J102" s="1"/>
    </row>
    <row r="103" spans="1:10" ht="45">
      <c r="A103" s="64"/>
      <c r="B103" s="108">
        <v>4786</v>
      </c>
      <c r="C103" s="140" t="s">
        <v>662</v>
      </c>
      <c r="D103" s="69" t="s">
        <v>7</v>
      </c>
      <c r="E103" s="69" t="s">
        <v>9</v>
      </c>
      <c r="F103" s="22">
        <v>774.83</v>
      </c>
      <c r="G103" s="91">
        <f>88*1.2663*0.965</f>
        <v>107.53419599999999</v>
      </c>
      <c r="H103" s="91">
        <f t="shared" si="2"/>
        <v>83320.721086680001</v>
      </c>
      <c r="I103" s="156">
        <f t="shared" si="3"/>
        <v>7.1450737311432505E-2</v>
      </c>
      <c r="J103" s="1"/>
    </row>
    <row r="104" spans="1:10">
      <c r="A104" s="101">
        <f>[5]ORÇAMENTO!A82</f>
        <v>9</v>
      </c>
      <c r="B104" s="101"/>
      <c r="C104" s="102" t="str">
        <f>[5]ORÇAMENTO!B82</f>
        <v>INSTALAÇÕES HIDRO-SANITÁRIAS-PLUVIAL-INCÊNDIO</v>
      </c>
      <c r="D104" s="101"/>
      <c r="E104" s="101"/>
      <c r="F104" s="103">
        <v>0</v>
      </c>
      <c r="G104" s="104"/>
      <c r="H104" s="91">
        <f t="shared" si="2"/>
        <v>0</v>
      </c>
      <c r="I104" s="156">
        <f t="shared" si="3"/>
        <v>0</v>
      </c>
      <c r="J104" s="1"/>
    </row>
    <row r="105" spans="1:10">
      <c r="A105" s="118" t="str">
        <f>[5]ORÇAMENTO!A83</f>
        <v>9.1</v>
      </c>
      <c r="B105" s="118"/>
      <c r="C105" s="119" t="str">
        <f>[5]ORÇAMENTO!B83</f>
        <v xml:space="preserve">SISTEMA PREDIAL DE ESGOTO SANITÁRIO -NBR 9160 </v>
      </c>
      <c r="D105" s="118"/>
      <c r="E105" s="118"/>
      <c r="F105" s="120">
        <v>0</v>
      </c>
      <c r="G105" s="121"/>
      <c r="H105" s="91">
        <f t="shared" si="2"/>
        <v>0</v>
      </c>
      <c r="I105" s="156">
        <f t="shared" si="3"/>
        <v>0</v>
      </c>
      <c r="J105" s="1"/>
    </row>
    <row r="106" spans="1:10" ht="45">
      <c r="A106" s="69" t="str">
        <f>[5]ORÇAMENTO!A84</f>
        <v>9.1.1</v>
      </c>
      <c r="B106" s="69">
        <f>[5]ORÇAMENTO!C84</f>
        <v>89707</v>
      </c>
      <c r="C106" s="49" t="str">
        <f>[5]ORÇAMENTO!D84</f>
        <v>CAIXA SIFONADA, PVC, DN 100 X 100 X 50 MM, JUNTA ELÁSTICA, FORNECIDA E INSTALADA EM RAMAL DE DESCARGA OU EM RAMAL DE ESGOTO SANITÁRIO. AF_12/2014</v>
      </c>
      <c r="D106" s="69" t="str">
        <f>[5]ORÇAMENTO!B84</f>
        <v>SINAPI</v>
      </c>
      <c r="E106" s="69" t="str">
        <f>[5]ORÇAMENTO!E84</f>
        <v>unid</v>
      </c>
      <c r="F106" s="22">
        <v>28</v>
      </c>
      <c r="G106" s="91">
        <f>[5]ORÇAMENTO!G84*26.63%+[5]ORÇAMENTO!G84</f>
        <v>41.040782999999998</v>
      </c>
      <c r="H106" s="91">
        <f t="shared" si="2"/>
        <v>1149.141924</v>
      </c>
      <c r="I106" s="156">
        <f t="shared" si="3"/>
        <v>9.8543359532211384E-4</v>
      </c>
      <c r="J106" s="1"/>
    </row>
    <row r="107" spans="1:10" ht="45">
      <c r="A107" s="69" t="str">
        <f>[5]ORÇAMENTO!A85</f>
        <v>9.1.2</v>
      </c>
      <c r="B107" s="69">
        <f>[5]ORÇAMENTO!C85</f>
        <v>89744</v>
      </c>
      <c r="C107" s="49" t="str">
        <f>[5]ORÇAMENTO!D85</f>
        <v>JOELHO 90 GRAUS, PVC, SERIE NORMAL, ESGOTO PREDIAL, DN 100 MM, JUNTA ELÁSTICA, FORNECIDO E INSTALADO EM RAMAL DE DESCARGA OU RAMAL DE ESGOTO SANITÁRIO. AF_12/2014</v>
      </c>
      <c r="D107" s="69" t="str">
        <f>[5]ORÇAMENTO!B85</f>
        <v>SINAPI</v>
      </c>
      <c r="E107" s="69" t="str">
        <f>[5]ORÇAMENTO!E85</f>
        <v>unid</v>
      </c>
      <c r="F107" s="22">
        <v>13</v>
      </c>
      <c r="G107" s="91">
        <f>[5]ORÇAMENTO!G85*26.63%+[5]ORÇAMENTO!G85</f>
        <v>26.592300000000002</v>
      </c>
      <c r="H107" s="91">
        <f t="shared" si="2"/>
        <v>345.69990000000001</v>
      </c>
      <c r="I107" s="156">
        <f t="shared" si="3"/>
        <v>2.9645101988246252E-4</v>
      </c>
      <c r="J107" s="1"/>
    </row>
    <row r="108" spans="1:10" ht="45">
      <c r="A108" s="69" t="str">
        <f>[5]ORÇAMENTO!A86</f>
        <v>9.1.3</v>
      </c>
      <c r="B108" s="69">
        <f>[5]ORÇAMENTO!C86</f>
        <v>89724</v>
      </c>
      <c r="C108" s="49" t="str">
        <f>[5]ORÇAMENTO!D86</f>
        <v>JOELHO 90 GRAUS, PVC, SERIE NORMAL, ESGOTO PREDIAL, DN 40 MM, JUNTA SOLDÁVEL, FORNECIDO E INSTALADO EM RAMAL DE DESCARGA OU RAMAL DE ESGOTO SANITÁRIO. AF_12/2014</v>
      </c>
      <c r="D108" s="69" t="str">
        <f>[5]ORÇAMENTO!B86</f>
        <v>SINAPI</v>
      </c>
      <c r="E108" s="69" t="str">
        <f>[5]ORÇAMENTO!E86</f>
        <v>unid</v>
      </c>
      <c r="F108" s="22">
        <v>63</v>
      </c>
      <c r="G108" s="91">
        <f>[5]ORÇAMENTO!G86*26.63%+[5]ORÇAMENTO!G86</f>
        <v>10.712898000000001</v>
      </c>
      <c r="H108" s="91">
        <f t="shared" si="2"/>
        <v>674.91257400000006</v>
      </c>
      <c r="I108" s="156">
        <f t="shared" si="3"/>
        <v>5.7876360650899216E-4</v>
      </c>
      <c r="J108" s="1"/>
    </row>
    <row r="109" spans="1:10" ht="45">
      <c r="A109" s="69" t="str">
        <f>[5]ORÇAMENTO!A87</f>
        <v>9.1.4</v>
      </c>
      <c r="B109" s="69">
        <f>[5]ORÇAMENTO!C87</f>
        <v>89731</v>
      </c>
      <c r="C109" s="49" t="str">
        <f>[5]ORÇAMENTO!D87</f>
        <v>JOELHO 90 GRAUS, PVC, SERIE NORMAL, ESGOTO PREDIAL, DN 50 MM, JUNTA ELÁSTICA, FORNECIDO E INSTALADO EM RAMAL DE DESCARGA OU RAMAL DE ESGOTO SANITÁRIO. AF_12/2014</v>
      </c>
      <c r="D109" s="69" t="str">
        <f>[5]ORÇAMENTO!B87</f>
        <v>SINAPI</v>
      </c>
      <c r="E109" s="69" t="str">
        <f>[5]ORÇAMENTO!E87</f>
        <v>unid</v>
      </c>
      <c r="F109" s="22">
        <v>38</v>
      </c>
      <c r="G109" s="91">
        <f>[5]ORÇAMENTO!G87*26.63%+[5]ORÇAMENTO!G87</f>
        <v>11.295396</v>
      </c>
      <c r="H109" s="91">
        <f t="shared" si="2"/>
        <v>429.22504800000002</v>
      </c>
      <c r="I109" s="156">
        <f t="shared" si="3"/>
        <v>3.6807706116981495E-4</v>
      </c>
      <c r="J109" s="1"/>
    </row>
    <row r="110" spans="1:10" ht="45">
      <c r="A110" s="69" t="str">
        <f>[5]ORÇAMENTO!A88</f>
        <v>9.1.5</v>
      </c>
      <c r="B110" s="69">
        <f>[5]ORÇAMENTO!C88</f>
        <v>89726</v>
      </c>
      <c r="C110" s="49" t="str">
        <f>[5]ORÇAMENTO!D88</f>
        <v>JOELHO 45 GRAUS, PVC, SERIE NORMAL, ESGOTO PREDIAL, DN 40 MM, JUNTA SOLDÁVEL, FORNECIDO E INSTALADO EM RAMAL DE DESCARGA OU RAMAL DE ESGOTO SANITÁRIO. AF_12/2014</v>
      </c>
      <c r="D110" s="69" t="str">
        <f>[5]ORÇAMENTO!B88</f>
        <v>SINAPI</v>
      </c>
      <c r="E110" s="69" t="str">
        <f>[5]ORÇAMENTO!E88</f>
        <v>unid</v>
      </c>
      <c r="F110" s="22">
        <v>30</v>
      </c>
      <c r="G110" s="91">
        <f>[5]ORÇAMENTO!G88*26.63%+[5]ORÇAMENTO!G88</f>
        <v>6.9646499999999998</v>
      </c>
      <c r="H110" s="91">
        <f t="shared" si="2"/>
        <v>208.93949999999998</v>
      </c>
      <c r="I110" s="156">
        <f t="shared" si="3"/>
        <v>1.7917369333555423E-4</v>
      </c>
      <c r="J110" s="1"/>
    </row>
    <row r="111" spans="1:10" ht="45">
      <c r="A111" s="69" t="str">
        <f>[5]ORÇAMENTO!A89</f>
        <v>9.1.6</v>
      </c>
      <c r="B111" s="69">
        <f>[5]ORÇAMENTO!C89</f>
        <v>89732</v>
      </c>
      <c r="C111" s="49" t="str">
        <f>[5]ORÇAMENTO!D89</f>
        <v>JOELHO 45 GRAUS, PVC, SERIE NORMAL, ESGOTO PREDIAL, DN 50 MM, JUNTA ELÁSTICA, FORNECIDO E INSTALADO EM RAMAL DE DESCARGA OU RAMAL DE ESGOTO SANITÁRIO. AF_12/2014</v>
      </c>
      <c r="D111" s="69" t="str">
        <f>[5]ORÇAMENTO!B89</f>
        <v>SINAPI</v>
      </c>
      <c r="E111" s="69" t="str">
        <f>[5]ORÇAMENTO!E89</f>
        <v>unid</v>
      </c>
      <c r="F111" s="22">
        <v>25</v>
      </c>
      <c r="G111" s="91">
        <f>[5]ORÇAMENTO!G89*26.63%+[5]ORÇAMENTO!G89</f>
        <v>12.181805999999998</v>
      </c>
      <c r="H111" s="91">
        <f t="shared" si="2"/>
        <v>304.54514999999998</v>
      </c>
      <c r="I111" s="156">
        <f t="shared" si="3"/>
        <v>2.6115923180121696E-4</v>
      </c>
      <c r="J111" s="1"/>
    </row>
    <row r="112" spans="1:10" ht="45">
      <c r="A112" s="69" t="str">
        <f>[5]ORÇAMENTO!A90</f>
        <v>9.1.7</v>
      </c>
      <c r="B112" s="69">
        <f>[5]ORÇAMENTO!C90</f>
        <v>89746</v>
      </c>
      <c r="C112" s="49" t="str">
        <f>[5]ORÇAMENTO!D90</f>
        <v>JOELHO 45 GRAUS, PVC, SERIE NORMAL, ESGOTO PREDIAL, DN 100 MM, JUNTA ELÁSTICA, FORNECIDO E INSTALADO EM RAMAL DE DESCARGA OU RAMAL DE ESGOTO SANITÁRIO. AF_12/2014</v>
      </c>
      <c r="D112" s="69" t="str">
        <f>[5]ORÇAMENTO!B90</f>
        <v>SINAPI</v>
      </c>
      <c r="E112" s="69" t="str">
        <f>[5]ORÇAMENTO!E90</f>
        <v>unid</v>
      </c>
      <c r="F112" s="22">
        <v>11</v>
      </c>
      <c r="G112" s="91">
        <f>[5]ORÇAMENTO!G90*26.63%+[5]ORÇAMENTO!G90</f>
        <v>26.503658999999999</v>
      </c>
      <c r="H112" s="91">
        <f t="shared" si="2"/>
        <v>291.54024900000002</v>
      </c>
      <c r="I112" s="156">
        <f t="shared" si="3"/>
        <v>2.5000702676754338E-4</v>
      </c>
      <c r="J112" s="1"/>
    </row>
    <row r="113" spans="1:10" ht="45">
      <c r="A113" s="69" t="str">
        <f>[5]ORÇAMENTO!A91</f>
        <v>9.1.8</v>
      </c>
      <c r="B113" s="69">
        <f>[5]ORÇAMENTO!C91</f>
        <v>89797</v>
      </c>
      <c r="C113" s="49" t="str">
        <f>[5]ORÇAMENTO!D91</f>
        <v>JUNÇÃO SIMPLES, PVC, SERIE NORMAL, ESGOTO PREDIAL, DN 100 X 100 MM, JUNTA ELÁSTICA, FORNECIDO E INSTALADO EM RAMAL DE DESCARGA OU RAMAL DE ESGOTO SANITÁRIO. AF_12/2014</v>
      </c>
      <c r="D113" s="69" t="str">
        <f>[5]ORÇAMENTO!B91</f>
        <v>SINAPI</v>
      </c>
      <c r="E113" s="69" t="str">
        <f>[5]ORÇAMENTO!E91</f>
        <v>unid</v>
      </c>
      <c r="F113" s="22">
        <v>2</v>
      </c>
      <c r="G113" s="91">
        <f>[5]ORÇAMENTO!G91*26.63%+[5]ORÇAMENTO!G91</f>
        <v>53.817749999999997</v>
      </c>
      <c r="H113" s="91">
        <f t="shared" si="2"/>
        <v>107.63549999999999</v>
      </c>
      <c r="I113" s="156">
        <f t="shared" si="3"/>
        <v>9.2301599597103694E-5</v>
      </c>
      <c r="J113" s="1"/>
    </row>
    <row r="114" spans="1:10" ht="30">
      <c r="A114" s="69" t="str">
        <f>[5]ORÇAMENTO!A92</f>
        <v>9.1.9</v>
      </c>
      <c r="B114" s="69">
        <f>[5]ORÇAMENTO!C92</f>
        <v>1560</v>
      </c>
      <c r="C114" s="49" t="str">
        <f>[5]ORÇAMENTO!D92</f>
        <v>Junção simples em pvc rígido soldável, para esgoto primário, diâm = 75 x 50 mm.</v>
      </c>
      <c r="D114" s="69" t="str">
        <f>[5]ORÇAMENTO!B92</f>
        <v>ORSE</v>
      </c>
      <c r="E114" s="69" t="str">
        <f>[5]ORÇAMENTO!E92</f>
        <v>unid</v>
      </c>
      <c r="F114" s="22">
        <v>3</v>
      </c>
      <c r="G114" s="91">
        <f>[5]ORÇAMENTO!G92*26.63%+[5]ORÇAMENTO!G92</f>
        <v>41.749910999999997</v>
      </c>
      <c r="H114" s="91">
        <f t="shared" si="2"/>
        <v>125.24973299999999</v>
      </c>
      <c r="I114" s="156">
        <f t="shared" si="3"/>
        <v>1.0740648489587678E-4</v>
      </c>
      <c r="J114" s="1"/>
    </row>
    <row r="115" spans="1:10" ht="30">
      <c r="A115" s="69" t="str">
        <f>[5]ORÇAMENTO!A93</f>
        <v>9.1.10</v>
      </c>
      <c r="B115" s="69">
        <f>[5]ORÇAMENTO!C93</f>
        <v>1562</v>
      </c>
      <c r="C115" s="49" t="str">
        <f>[5]ORÇAMENTO!D93</f>
        <v>Junção simples em pvc rígido soldável, para esgoto primário, diâm = 100 x 50 mm.</v>
      </c>
      <c r="D115" s="69" t="str">
        <f>[5]ORÇAMENTO!B93</f>
        <v>ORSE</v>
      </c>
      <c r="E115" s="69" t="str">
        <f>[5]ORÇAMENTO!E93</f>
        <v>unid</v>
      </c>
      <c r="F115" s="22">
        <v>17</v>
      </c>
      <c r="G115" s="91">
        <f>[5]ORÇAMENTO!G93*26.63%+[5]ORÇAMENTO!G93</f>
        <v>52.310853000000002</v>
      </c>
      <c r="H115" s="91">
        <f t="shared" si="2"/>
        <v>889.28450099999998</v>
      </c>
      <c r="I115" s="156">
        <f t="shared" si="3"/>
        <v>7.6259581587127074E-4</v>
      </c>
      <c r="J115" s="1"/>
    </row>
    <row r="116" spans="1:10" ht="45">
      <c r="A116" s="69" t="str">
        <f>[5]ORÇAMENTO!A94</f>
        <v>9.1.11</v>
      </c>
      <c r="B116" s="69">
        <f>[5]ORÇAMENTO!C94</f>
        <v>89784</v>
      </c>
      <c r="C116" s="49" t="str">
        <f>[5]ORÇAMENTO!D94</f>
        <v>TE, PVC, SERIE NORMAL, ESGOTO PREDIAL, DN 50 X 50 MM, JUNTA ELÁSTICA, FORNECIDO E INSTALADO EM RAMAL DE DESCARGA OU RAMAL DE ESGOTO SANITÁRIO. AF_12/2014</v>
      </c>
      <c r="D116" s="69" t="str">
        <f>[5]ORÇAMENTO!B94</f>
        <v>SINAPI</v>
      </c>
      <c r="E116" s="69" t="str">
        <f>[5]ORÇAMENTO!E94</f>
        <v>unid</v>
      </c>
      <c r="F116" s="22">
        <v>28</v>
      </c>
      <c r="G116" s="91">
        <f>[5]ORÇAMENTO!G94*26.63%+[5]ORÇAMENTO!G94</f>
        <v>22.096934999999998</v>
      </c>
      <c r="H116" s="91">
        <f t="shared" si="2"/>
        <v>618.71417999999994</v>
      </c>
      <c r="I116" s="156">
        <f t="shared" si="3"/>
        <v>5.3057131250758662E-4</v>
      </c>
      <c r="J116" s="1"/>
    </row>
    <row r="117" spans="1:10" ht="45">
      <c r="A117" s="69" t="str">
        <f>[5]ORÇAMENTO!A95</f>
        <v>9.1.12</v>
      </c>
      <c r="B117" s="69">
        <f>[5]ORÇAMENTO!C95</f>
        <v>89796</v>
      </c>
      <c r="C117" s="49" t="str">
        <f>[5]ORÇAMENTO!D95</f>
        <v>TE, PVC, SERIE NORMAL, ESGOTO PREDIAL, DN 100 X 100 MM, JUNTA ELÁSTICA, FORNECIDO E INSTALADO EM RAMAL DE DESCARGA OU RAMAL DE ESGOTO SANITÁRIO. AF_12/2014</v>
      </c>
      <c r="D117" s="69" t="str">
        <f>[5]ORÇAMENTO!B95</f>
        <v>SINAPI</v>
      </c>
      <c r="E117" s="69" t="str">
        <f>[5]ORÇAMENTO!E95</f>
        <v>unid</v>
      </c>
      <c r="F117" s="22">
        <v>5</v>
      </c>
      <c r="G117" s="91">
        <f>[5]ORÇAMENTO!G95*26.63%+[5]ORÇAMENTO!G95</f>
        <v>45.662778000000003</v>
      </c>
      <c r="H117" s="91">
        <f t="shared" si="2"/>
        <v>228.31389000000001</v>
      </c>
      <c r="I117" s="156">
        <f t="shared" si="3"/>
        <v>1.9578798126303293E-4</v>
      </c>
      <c r="J117" s="1"/>
    </row>
    <row r="118" spans="1:10" ht="45">
      <c r="A118" s="69" t="str">
        <f>[5]ORÇAMENTO!A96</f>
        <v>9.1.13</v>
      </c>
      <c r="B118" s="69">
        <f>[5]ORÇAMENTO!C96</f>
        <v>89714</v>
      </c>
      <c r="C118" s="49" t="str">
        <f>[5]ORÇAMENTO!D96</f>
        <v>TUBO PVC, SERIE NORMAL, ESGOTO PREDIAL, DN 100 MM, FORNECIDO E INSTALADO EM RAMAL DE DESCARGA OU RAMAL DE ESGOTO SANITÁRIO. AF_12/2014</v>
      </c>
      <c r="D118" s="69" t="str">
        <f>[5]ORÇAMENTO!B96</f>
        <v>SINAPI</v>
      </c>
      <c r="E118" s="69" t="str">
        <f>[5]ORÇAMENTO!E96</f>
        <v>m</v>
      </c>
      <c r="F118" s="22">
        <v>190</v>
      </c>
      <c r="G118" s="91">
        <f>[5]ORÇAMENTO!G96*26.63%+[5]ORÇAMENTO!G96</f>
        <v>57.287412000000003</v>
      </c>
      <c r="H118" s="91">
        <f t="shared" si="2"/>
        <v>10884.60828</v>
      </c>
      <c r="I118" s="156">
        <f t="shared" si="3"/>
        <v>9.3339721117278191E-3</v>
      </c>
      <c r="J118" s="1"/>
    </row>
    <row r="119" spans="1:10" ht="45">
      <c r="A119" s="69" t="str">
        <f>[5]ORÇAMENTO!A97</f>
        <v>9.1.14</v>
      </c>
      <c r="B119" s="69">
        <f>[5]ORÇAMENTO!C97</f>
        <v>89712</v>
      </c>
      <c r="C119" s="49" t="str">
        <f>[5]ORÇAMENTO!D97</f>
        <v>TUBO PVC, SERIE NORMAL, ESGOTO PREDIAL, DN 50 MM, FORNECIDO E INSTALADO EM RAMAL DE DESCARGA OU RAMAL DE ESGOTO SANITÁRIO. AF_12/2014</v>
      </c>
      <c r="D119" s="69" t="str">
        <f>[5]ORÇAMENTO!B97</f>
        <v>SINAPI</v>
      </c>
      <c r="E119" s="69" t="str">
        <f>[5]ORÇAMENTO!E97</f>
        <v>m</v>
      </c>
      <c r="F119" s="22">
        <v>100</v>
      </c>
      <c r="G119" s="91">
        <f>[5]ORÇAMENTO!G97*26.63%+[5]ORÇAMENTO!G97</f>
        <v>30.201255000000003</v>
      </c>
      <c r="H119" s="91">
        <f t="shared" si="2"/>
        <v>3020.1255000000001</v>
      </c>
      <c r="I119" s="156">
        <f t="shared" si="3"/>
        <v>2.589874294577557E-3</v>
      </c>
      <c r="J119" s="1"/>
    </row>
    <row r="120" spans="1:10" ht="45">
      <c r="A120" s="69" t="str">
        <f>[5]ORÇAMENTO!A98</f>
        <v>9.1.15</v>
      </c>
      <c r="B120" s="69">
        <f>[5]ORÇAMENTO!C98</f>
        <v>89711</v>
      </c>
      <c r="C120" s="49" t="str">
        <f>[5]ORÇAMENTO!D98</f>
        <v>TUBO PVC, SERIE NORMAL, ESGOTO PREDIAL, DN 40 MM, FORNECIDO E INSTALADO EM RAMAL DE DESCARGA OU RAMAL DE ESGOTO SANITÁRIO. AF_12/2014</v>
      </c>
      <c r="D120" s="69" t="str">
        <f>[5]ORÇAMENTO!B98</f>
        <v>SINAPI</v>
      </c>
      <c r="E120" s="69" t="str">
        <f>[5]ORÇAMENTO!E98</f>
        <v>m</v>
      </c>
      <c r="F120" s="22">
        <v>18</v>
      </c>
      <c r="G120" s="91">
        <f>[5]ORÇAMENTO!G98*26.63%+[5]ORÇAMENTO!G98</f>
        <v>19.766942999999998</v>
      </c>
      <c r="H120" s="91">
        <f t="shared" si="2"/>
        <v>355.80497399999996</v>
      </c>
      <c r="I120" s="156">
        <f t="shared" si="3"/>
        <v>3.051165112328729E-4</v>
      </c>
      <c r="J120" s="1"/>
    </row>
    <row r="121" spans="1:10" ht="45">
      <c r="A121" s="69" t="str">
        <f>[5]ORÇAMENTO!A99</f>
        <v>9.1.16</v>
      </c>
      <c r="B121" s="69">
        <f>[5]ORÇAMENTO!C99</f>
        <v>89709</v>
      </c>
      <c r="C121" s="49" t="str">
        <f>[5]ORÇAMENTO!D99</f>
        <v>RALO SIFONADO, PVC, DN 100 X 40 MM, JUNTA SOLDÁVEL, FORNECIDO E INSTALADO EM RAMAL DE DESCARGA OU EM RAMAL DE ESGOTO SANITÁRIO. AF_12/2014</v>
      </c>
      <c r="D121" s="69" t="str">
        <f>[5]ORÇAMENTO!B99</f>
        <v>SINAPI</v>
      </c>
      <c r="E121" s="69" t="str">
        <f>[5]ORÇAMENTO!E99</f>
        <v>unid</v>
      </c>
      <c r="F121" s="22">
        <v>2</v>
      </c>
      <c r="G121" s="91">
        <f>[5]ORÇAMENTO!G99*26.63%+[5]ORÇAMENTO!G99</f>
        <v>15.930054</v>
      </c>
      <c r="H121" s="91">
        <f t="shared" si="2"/>
        <v>31.860108</v>
      </c>
      <c r="I121" s="156">
        <f t="shared" si="3"/>
        <v>2.7321273480742695E-5</v>
      </c>
      <c r="J121" s="1"/>
    </row>
    <row r="122" spans="1:10" ht="45">
      <c r="A122" s="69" t="str">
        <f>[5]ORÇAMENTO!A100</f>
        <v>9.1.17</v>
      </c>
      <c r="B122" s="69">
        <f>[5]ORÇAMENTO!C100</f>
        <v>97902</v>
      </c>
      <c r="C122" s="49" t="str">
        <f>[5]ORÇAMENTO!D100</f>
        <v>CAIXA ENTERRADA HIDRÁULICA RETANGULAR EM ALVENARIA COM TIJOLOS CERÂMICOS MACIÇOS, DIMENSÕES INTERNAS: 0,6X0,6X0,6 M PARA REDE DE ESGOTO. AF_12/2020</v>
      </c>
      <c r="D122" s="69" t="str">
        <f>[5]ORÇAMENTO!B100</f>
        <v>SINAPI</v>
      </c>
      <c r="E122" s="69" t="str">
        <f>[5]ORÇAMENTO!E100</f>
        <v>unid</v>
      </c>
      <c r="F122" s="22">
        <v>18</v>
      </c>
      <c r="G122" s="91">
        <f>[5]ORÇAMENTO!G100*26.63%+[5]ORÇAMENTO!G100</f>
        <v>579.61083600000006</v>
      </c>
      <c r="H122" s="91">
        <f t="shared" si="2"/>
        <v>10432.995048000001</v>
      </c>
      <c r="I122" s="156">
        <f t="shared" si="3"/>
        <v>8.9466963178418072E-3</v>
      </c>
      <c r="J122" s="1"/>
    </row>
    <row r="123" spans="1:10" ht="30">
      <c r="A123" s="69" t="str">
        <f>[5]ORÇAMENTO!A101</f>
        <v>9.1.18</v>
      </c>
      <c r="B123" s="69">
        <f>[5]ORÇAMENTO!C101</f>
        <v>89849</v>
      </c>
      <c r="C123" s="49" t="str">
        <f>[5]ORÇAMENTO!D101</f>
        <v>TUBO PVC, SERIE NORMAL, ESGOTO PREDIAL, DN 150 MM, FORNECIDO E INSTALADO EM SUBCOLETOR AÉREO DE ESGOTO SANITÁRIO. AF_12/2014</v>
      </c>
      <c r="D123" s="69" t="str">
        <f>[5]ORÇAMENTO!B101</f>
        <v>SINAPI</v>
      </c>
      <c r="E123" s="69" t="str">
        <f>[5]ORÇAMENTO!E101</f>
        <v>m</v>
      </c>
      <c r="F123" s="22">
        <v>12</v>
      </c>
      <c r="G123" s="91">
        <f>[5]ORÇAMENTO!G101*26.63%+[5]ORÇAMENTO!G101</f>
        <v>74.027897999999993</v>
      </c>
      <c r="H123" s="91">
        <f t="shared" si="2"/>
        <v>888.33477599999992</v>
      </c>
      <c r="I123" s="156">
        <f t="shared" si="3"/>
        <v>7.6178138999247278E-4</v>
      </c>
      <c r="J123" s="1"/>
    </row>
    <row r="124" spans="1:10" ht="45">
      <c r="A124" s="69" t="str">
        <f>[5]ORÇAMENTO!A102</f>
        <v>9.1.19</v>
      </c>
      <c r="B124" s="69">
        <f>[5]ORÇAMENTO!C102</f>
        <v>89713</v>
      </c>
      <c r="C124" s="49" t="str">
        <f>[5]ORÇAMENTO!D102</f>
        <v>TUBO PVC, SERIE NORMAL, ESGOTO PREDIAL, DN 75 MM, FORNECIDO E INSTALADO EM RAMAL DE DESCARGA OU RAMAL DE ESGOTO SANITÁRIO. AF_12/2014</v>
      </c>
      <c r="D124" s="69" t="str">
        <f>[5]ORÇAMENTO!B102</f>
        <v>SINAPI</v>
      </c>
      <c r="E124" s="69" t="str">
        <f>[5]ORÇAMENTO!E102</f>
        <v>m</v>
      </c>
      <c r="F124" s="22">
        <v>14</v>
      </c>
      <c r="G124" s="91">
        <f>[5]ORÇAMENTO!G102*26.63%+[5]ORÇAMENTO!G102</f>
        <v>45.612126000000004</v>
      </c>
      <c r="H124" s="91">
        <f t="shared" si="2"/>
        <v>638.56976400000008</v>
      </c>
      <c r="I124" s="156">
        <f t="shared" si="3"/>
        <v>5.4759824288032311E-4</v>
      </c>
      <c r="J124" s="1"/>
    </row>
    <row r="125" spans="1:10" ht="30">
      <c r="A125" s="69" t="str">
        <f>[5]ORÇAMENTO!A103</f>
        <v>9.1.20</v>
      </c>
      <c r="B125" s="69">
        <f>[5]ORÇAMENTO!C103</f>
        <v>4282</v>
      </c>
      <c r="C125" s="49" t="str">
        <f>[5]ORÇAMENTO!D103</f>
        <v>Caixa sifonada em pvc, 150 x150 x50 mm, com tampa cega, acabamento branco, akros ou similar.</v>
      </c>
      <c r="D125" s="69" t="str">
        <f>[5]ORÇAMENTO!B103</f>
        <v>ORSE</v>
      </c>
      <c r="E125" s="69" t="str">
        <f>[5]ORÇAMENTO!E103</f>
        <v>unid</v>
      </c>
      <c r="F125" s="22">
        <v>2</v>
      </c>
      <c r="G125" s="91">
        <f>[5]ORÇAMENTO!G103*26.63%+[5]ORÇAMENTO!G103</f>
        <v>58.768982999999992</v>
      </c>
      <c r="H125" s="91">
        <f t="shared" si="2"/>
        <v>117.53796599999998</v>
      </c>
      <c r="I125" s="156">
        <f t="shared" si="3"/>
        <v>1.0079334676003722E-4</v>
      </c>
      <c r="J125" s="1"/>
    </row>
    <row r="126" spans="1:10" ht="45">
      <c r="A126" s="69" t="str">
        <f>[5]ORÇAMENTO!A104</f>
        <v>9.1.21</v>
      </c>
      <c r="B126" s="69">
        <f>[5]ORÇAMENTO!C104</f>
        <v>89739</v>
      </c>
      <c r="C126" s="49" t="str">
        <f>[5]ORÇAMENTO!D104</f>
        <v>JOELHO 45 GRAUS, PVC, SERIE NORMAL, ESGOTO PREDIAL, DN 75 MM, JUNTA ELÁSTICA, FORNECIDO E INSTALADO EM RAMAL DE DESCARGA OU RAMAL DE ESGOTO SANITÁRIO. AF_12/2014</v>
      </c>
      <c r="D126" s="69" t="str">
        <f>[5]ORÇAMENTO!B104</f>
        <v>SINAPI</v>
      </c>
      <c r="E126" s="69" t="str">
        <f>[5]ORÇAMENTO!E104</f>
        <v>unid</v>
      </c>
      <c r="F126" s="22">
        <v>1</v>
      </c>
      <c r="G126" s="91">
        <f>[5]ORÇAMENTO!G104*26.63%+[5]ORÇAMENTO!G104</f>
        <v>21.919652999999997</v>
      </c>
      <c r="H126" s="91">
        <f t="shared" si="2"/>
        <v>21.919652999999997</v>
      </c>
      <c r="I126" s="156">
        <f t="shared" si="3"/>
        <v>1.8796949282657233E-5</v>
      </c>
      <c r="J126" s="1"/>
    </row>
    <row r="127" spans="1:10" ht="45">
      <c r="A127" s="69" t="str">
        <f>[5]ORÇAMENTO!A105</f>
        <v>9.1.22</v>
      </c>
      <c r="B127" s="69">
        <f>[5]ORÇAMENTO!C105</f>
        <v>89785</v>
      </c>
      <c r="C127" s="49" t="str">
        <f>[5]ORÇAMENTO!D105</f>
        <v>JUNÇÃO SIMPLES, PVC, SERIE NORMAL, ESGOTO PREDIAL, DN 50 X 50 MM, JUNTA ELÁSTICA, FORNECIDO E INSTALADO EM RAMAL DE DESCARGA OU RAMAL DE ESGOTO SANITÁRIO. AF_12/2014</v>
      </c>
      <c r="D127" s="69" t="str">
        <f>[5]ORÇAMENTO!B105</f>
        <v>SINAPI</v>
      </c>
      <c r="E127" s="69" t="str">
        <f>[5]ORÇAMENTO!E105</f>
        <v>unid</v>
      </c>
      <c r="F127" s="22">
        <v>11</v>
      </c>
      <c r="G127" s="91">
        <f>[5]ORÇAMENTO!G105*26.63%+[5]ORÇAMENTO!G105</f>
        <v>24.616872000000001</v>
      </c>
      <c r="H127" s="91">
        <f t="shared" si="2"/>
        <v>270.78559200000001</v>
      </c>
      <c r="I127" s="156">
        <f t="shared" si="3"/>
        <v>2.3220910656287833E-4</v>
      </c>
      <c r="J127" s="1"/>
    </row>
    <row r="128" spans="1:10" ht="45">
      <c r="A128" s="69" t="str">
        <f>[5]ORÇAMENTO!A106</f>
        <v>9.1.23</v>
      </c>
      <c r="B128" s="69">
        <f>[5]ORÇAMENTO!C106</f>
        <v>89774</v>
      </c>
      <c r="C128" s="49" t="str">
        <f>[5]ORÇAMENTO!D106</f>
        <v>LUVA SIMPLES, PVC, SERIE NORMAL, ESGOTO PREDIAL, DN 75 MM, JUNTA ELÁSTICA, FORNECIDO E INSTALADO EM RAMAL DE DESCARGA OU RAMAL DE ESGOTO SANITÁRIO. AF_12/2014</v>
      </c>
      <c r="D128" s="69" t="str">
        <f>[5]ORÇAMENTO!B106</f>
        <v>SINAPI</v>
      </c>
      <c r="E128" s="69" t="str">
        <f>[5]ORÇAMENTO!E106</f>
        <v>unid</v>
      </c>
      <c r="F128" s="22">
        <v>4</v>
      </c>
      <c r="G128" s="91">
        <f>[5]ORÇAMENTO!G106*26.63%+[5]ORÇAMENTO!G106</f>
        <v>16.803801</v>
      </c>
      <c r="H128" s="91">
        <f t="shared" si="2"/>
        <v>67.215204</v>
      </c>
      <c r="I128" s="156">
        <f t="shared" si="3"/>
        <v>5.7639634195461935E-5</v>
      </c>
      <c r="J128" s="1"/>
    </row>
    <row r="129" spans="1:10" ht="45">
      <c r="A129" s="69" t="str">
        <f>[5]ORÇAMENTO!A107</f>
        <v>9.1.24</v>
      </c>
      <c r="B129" s="69">
        <f>[5]ORÇAMENTO!C107</f>
        <v>89778</v>
      </c>
      <c r="C129" s="49" t="str">
        <f>[5]ORÇAMENTO!D107</f>
        <v>LUVA SIMPLES, PVC, SERIE NORMAL, ESGOTO PREDIAL, DN 100 MM, JUNTA ELÁSTICA, FORNECIDO E INSTALADO EM RAMAL DE DESCARGA OU RAMAL DE ESGOTO SANITÁRIO. AF_12/2014</v>
      </c>
      <c r="D129" s="69" t="str">
        <f>[5]ORÇAMENTO!B107</f>
        <v>SINAPI</v>
      </c>
      <c r="E129" s="69" t="str">
        <f>[5]ORÇAMENTO!E107</f>
        <v>unid</v>
      </c>
      <c r="F129" s="22">
        <v>39</v>
      </c>
      <c r="G129" s="91">
        <f>[5]ORÇAMENTO!G107*26.63%+[5]ORÇAMENTO!G107</f>
        <v>20.640689999999999</v>
      </c>
      <c r="H129" s="91">
        <f t="shared" si="2"/>
        <v>804.98690999999997</v>
      </c>
      <c r="I129" s="156">
        <f t="shared" si="3"/>
        <v>6.9030737486916265E-4</v>
      </c>
      <c r="J129" s="1"/>
    </row>
    <row r="130" spans="1:10" ht="45">
      <c r="A130" s="69" t="str">
        <f>[5]ORÇAMENTO!A108</f>
        <v>9.1.25</v>
      </c>
      <c r="B130" s="69">
        <f>[5]ORÇAMENTO!C108</f>
        <v>89753</v>
      </c>
      <c r="C130" s="49" t="str">
        <f>[5]ORÇAMENTO!D108</f>
        <v>LUVA SIMPLES, PVC, SERIE NORMAL, ESGOTO PREDIAL, DN 50 MM, JUNTA ELÁSTICA, FORNECIDO E INSTALADO EM RAMAL DE DESCARGA OU RAMAL DE ESGOTO SANITÁRIO. AF_12/2014</v>
      </c>
      <c r="D130" s="69" t="str">
        <f>[5]ORÇAMENTO!B108</f>
        <v>SINAPI</v>
      </c>
      <c r="E130" s="69" t="str">
        <f>[5]ORÇAMENTO!E108</f>
        <v>unid</v>
      </c>
      <c r="F130" s="22">
        <v>46</v>
      </c>
      <c r="G130" s="91">
        <f>[5]ORÇAMENTO!G108*26.63%+[5]ORÇAMENTO!G108</f>
        <v>9.9024660000000004</v>
      </c>
      <c r="H130" s="91">
        <f t="shared" si="2"/>
        <v>455.51343600000001</v>
      </c>
      <c r="I130" s="156">
        <f t="shared" si="3"/>
        <v>3.9062036949494289E-4</v>
      </c>
      <c r="J130" s="1"/>
    </row>
    <row r="131" spans="1:10">
      <c r="A131" s="69" t="str">
        <f>[5]ORÇAMENTO!A109</f>
        <v>9.1.26</v>
      </c>
      <c r="B131" s="69">
        <f>[5]ORÇAMENTO!C109</f>
        <v>11551</v>
      </c>
      <c r="C131" s="49" t="str">
        <f>[5]ORÇAMENTO!D109</f>
        <v>Caixa de espuma em alvenaria 40x40x50cm - Rer 01.</v>
      </c>
      <c r="D131" s="69" t="str">
        <f>[5]ORÇAMENTO!B109</f>
        <v>ORSE</v>
      </c>
      <c r="E131" s="69" t="str">
        <f>[5]ORÇAMENTO!E109</f>
        <v>unid</v>
      </c>
      <c r="F131" s="22">
        <v>1</v>
      </c>
      <c r="G131" s="91">
        <f>[5]ORÇAMENTO!G109*26.63%+[5]ORÇAMENTO!G109</f>
        <v>216.73990799999999</v>
      </c>
      <c r="H131" s="91">
        <f t="shared" si="2"/>
        <v>216.73990799999999</v>
      </c>
      <c r="I131" s="156">
        <f t="shared" si="3"/>
        <v>1.8586284455341493E-4</v>
      </c>
      <c r="J131" s="1"/>
    </row>
    <row r="132" spans="1:10" ht="45">
      <c r="A132" s="69" t="str">
        <f>[5]ORÇAMENTO!A110</f>
        <v>9.1.27</v>
      </c>
      <c r="B132" s="69">
        <f>[5]ORÇAMENTO!C110</f>
        <v>98104</v>
      </c>
      <c r="C132" s="49" t="str">
        <f>[5]ORÇAMENTO!D110</f>
        <v>CAIXA DE GORDURA SIMPLES (CAPACIDADE: 36L), RETANGULAR, EM ALVENARIA COM TIJOLOS CERÂMICOS MACIÇOS, DIMENSÕES INTERNAS = 0,2X0,4 M, ALTURA INTERNA = 0,8 M. AF_12/2020</v>
      </c>
      <c r="D132" s="69" t="str">
        <f>[5]ORÇAMENTO!B110</f>
        <v>SINAPI</v>
      </c>
      <c r="E132" s="69" t="str">
        <f>[5]ORÇAMENTO!E110</f>
        <v>unid</v>
      </c>
      <c r="F132" s="22">
        <v>1</v>
      </c>
      <c r="G132" s="91">
        <f>[5]ORÇAMENTO!G110*26.63%+[5]ORÇAMENTO!G110</f>
        <v>391.90718700000002</v>
      </c>
      <c r="H132" s="91">
        <f t="shared" si="2"/>
        <v>391.90718700000002</v>
      </c>
      <c r="I132" s="156">
        <f t="shared" si="3"/>
        <v>3.3607555363891328E-4</v>
      </c>
      <c r="J132" s="1"/>
    </row>
    <row r="133" spans="1:10" ht="45">
      <c r="A133" s="69" t="str">
        <f>[5]ORÇAMENTO!A111</f>
        <v>9.1.28</v>
      </c>
      <c r="B133" s="69">
        <f>[5]ORÇAMENTO!C111</f>
        <v>89549</v>
      </c>
      <c r="C133" s="49" t="str">
        <f>[5]ORÇAMENTO!D111</f>
        <v>REDUÇÃO EXCÊNTRICA, PVC, SERIE R, ÁGUA PLUVIAL, DN 75 X 50 MM, JUNTA ELÁSTICA, FORNECIDO E INSTALADO EM RAMAL DE ENCAMINHAMENTO. AF_12/2014</v>
      </c>
      <c r="D133" s="69" t="str">
        <f>[5]ORÇAMENTO!B111</f>
        <v>SINAPI</v>
      </c>
      <c r="E133" s="69" t="str">
        <f>[5]ORÇAMENTO!E111</f>
        <v>unid</v>
      </c>
      <c r="F133" s="22">
        <v>3</v>
      </c>
      <c r="G133" s="91">
        <f>[5]ORÇAMENTO!G111*26.63%+[5]ORÇAMENTO!G111</f>
        <v>17.778852000000001</v>
      </c>
      <c r="H133" s="91">
        <f t="shared" si="2"/>
        <v>53.336556000000002</v>
      </c>
      <c r="I133" s="156">
        <f t="shared" si="3"/>
        <v>4.5738157353294214E-5</v>
      </c>
      <c r="J133" s="1"/>
    </row>
    <row r="134" spans="1:10">
      <c r="A134" s="69"/>
      <c r="B134" s="69"/>
      <c r="C134" s="49"/>
      <c r="D134" s="69"/>
      <c r="E134" s="69"/>
      <c r="F134" s="22">
        <v>0</v>
      </c>
      <c r="G134" s="91"/>
      <c r="H134" s="91">
        <f t="shared" si="2"/>
        <v>0</v>
      </c>
      <c r="I134" s="156">
        <f t="shared" si="3"/>
        <v>0</v>
      </c>
      <c r="J134" s="1"/>
    </row>
    <row r="135" spans="1:10">
      <c r="A135" s="101" t="str">
        <f>[5]ORÇAMENTO!A113</f>
        <v>9.2</v>
      </c>
      <c r="B135" s="101"/>
      <c r="C135" s="102" t="str">
        <f>[5]ORÇAMENTO!B113</f>
        <v>SISTEMA PREDIAL DE ÁGUA FRIA - NBR 5626</v>
      </c>
      <c r="D135" s="96"/>
      <c r="E135" s="96"/>
      <c r="F135" s="139">
        <v>0</v>
      </c>
      <c r="G135" s="105"/>
      <c r="H135" s="91">
        <f t="shared" si="2"/>
        <v>0</v>
      </c>
      <c r="I135" s="156">
        <f t="shared" si="3"/>
        <v>0</v>
      </c>
      <c r="J135" s="1"/>
    </row>
    <row r="136" spans="1:10" ht="30">
      <c r="A136" s="69" t="str">
        <f>[5]ORÇAMENTO!A114</f>
        <v>9.2.1</v>
      </c>
      <c r="B136" s="69">
        <f>[5]ORÇAMENTO!C114</f>
        <v>89450</v>
      </c>
      <c r="C136" s="49" t="str">
        <f>[5]ORÇAMENTO!D114</f>
        <v>TUBO, PVC, SOLDÁVEL, DN 60MM, INSTALADO EM PRUMADA DE ÁGUA - FORNECIMENTO E INSTALAÇÃO. AF_12/2014</v>
      </c>
      <c r="D136" s="69" t="str">
        <f>[5]ORÇAMENTO!B114</f>
        <v>SINAPI</v>
      </c>
      <c r="E136" s="69" t="str">
        <f>[5]ORÇAMENTO!E114</f>
        <v>m</v>
      </c>
      <c r="F136" s="22">
        <v>23</v>
      </c>
      <c r="G136" s="91">
        <f>[5]ORÇAMENTO!G114*26.63%+[5]ORÇAMENTO!G114</f>
        <v>40.141709999999996</v>
      </c>
      <c r="H136" s="91">
        <f t="shared" si="2"/>
        <v>923.25932999999986</v>
      </c>
      <c r="I136" s="156">
        <f t="shared" si="3"/>
        <v>7.9173054430880358E-4</v>
      </c>
      <c r="J136" s="1"/>
    </row>
    <row r="137" spans="1:10" ht="30">
      <c r="A137" s="69" t="str">
        <f>[5]ORÇAMENTO!A115</f>
        <v>9.2.2</v>
      </c>
      <c r="B137" s="69">
        <f>[5]ORÇAMENTO!C115</f>
        <v>89449</v>
      </c>
      <c r="C137" s="49" t="str">
        <f>[5]ORÇAMENTO!D115</f>
        <v>TUBO, PVC, SOLDÁVEL, DN 50MM, INSTALADO EM PRUMADA DE ÁGUA - FORNECIMENTO E INSTALAÇÃO. AF_12/2014</v>
      </c>
      <c r="D137" s="69" t="str">
        <f>[5]ORÇAMENTO!B115</f>
        <v>SINAPI</v>
      </c>
      <c r="E137" s="69" t="str">
        <f>[5]ORÇAMENTO!E115</f>
        <v>m</v>
      </c>
      <c r="F137" s="22">
        <v>166</v>
      </c>
      <c r="G137" s="91">
        <f>[5]ORÇAMENTO!G115*26.63%+[5]ORÇAMENTO!G115</f>
        <v>24.123015000000002</v>
      </c>
      <c r="H137" s="91">
        <f t="shared" si="2"/>
        <v>4004.4204900000004</v>
      </c>
      <c r="I137" s="156">
        <f t="shared" si="3"/>
        <v>3.4339452753637772E-3</v>
      </c>
      <c r="J137" s="1"/>
    </row>
    <row r="138" spans="1:10" ht="30">
      <c r="A138" s="69" t="str">
        <f>[5]ORÇAMENTO!A116</f>
        <v>9.2.3</v>
      </c>
      <c r="B138" s="69">
        <f>[5]ORÇAMENTO!C116</f>
        <v>89356</v>
      </c>
      <c r="C138" s="49" t="str">
        <f>[5]ORÇAMENTO!D116</f>
        <v>TUBO, PVC, SOLDÁVEL, DN 25MM, INSTALADO EM RAMAL OU SUB-RAMAL DE ÁGUA - FORNECIMENTO E INSTALAÇÃO. AF_12/2014</v>
      </c>
      <c r="D138" s="69" t="str">
        <f>[5]ORÇAMENTO!B116</f>
        <v>SINAPI</v>
      </c>
      <c r="E138" s="69" t="str">
        <f>[5]ORÇAMENTO!E116</f>
        <v>m</v>
      </c>
      <c r="F138" s="22">
        <v>169</v>
      </c>
      <c r="G138" s="91">
        <f>[5]ORÇAMENTO!G116*26.63%+[5]ORÇAMENTO!G116</f>
        <v>20.628026999999999</v>
      </c>
      <c r="H138" s="91">
        <f t="shared" si="2"/>
        <v>3486.136563</v>
      </c>
      <c r="I138" s="156">
        <f t="shared" si="3"/>
        <v>2.9894967847861466E-3</v>
      </c>
      <c r="J138" s="1"/>
    </row>
    <row r="139" spans="1:10" ht="45">
      <c r="A139" s="69" t="str">
        <f>[5]ORÇAMENTO!A117</f>
        <v>9.2.4</v>
      </c>
      <c r="B139" s="69">
        <f>[5]ORÇAMENTO!C117</f>
        <v>89383</v>
      </c>
      <c r="C139" s="49" t="str">
        <f>[5]ORÇAMENTO!D117</f>
        <v>ADAPTADOR CURTO COM BOLSA E ROSCA PARA REGISTRO, PVC, SOLDÁVEL, DN 25MM X 3/4, INSTALADO EM RAMAL OU SUB-RAMAL DE ÁGUA - FORNECIMENTO E INSTALAÇÃO. AF_12/2014</v>
      </c>
      <c r="D139" s="69" t="str">
        <f>[5]ORÇAMENTO!B117</f>
        <v>SINAPI</v>
      </c>
      <c r="E139" s="69" t="str">
        <f>[5]ORÇAMENTO!E117</f>
        <v>unid</v>
      </c>
      <c r="F139" s="22">
        <v>69</v>
      </c>
      <c r="G139" s="91">
        <f>[5]ORÇAMENTO!G117*26.63%+[5]ORÇAMENTO!G117</f>
        <v>6.2555220000000009</v>
      </c>
      <c r="H139" s="91">
        <f t="shared" ref="H139:H202" si="4">F139*G139</f>
        <v>431.63101800000004</v>
      </c>
      <c r="I139" s="156">
        <f t="shared" ref="I139:I202" si="5">H139/$H$237</f>
        <v>3.701402733961032E-4</v>
      </c>
      <c r="J139" s="1"/>
    </row>
    <row r="140" spans="1:10" ht="30">
      <c r="A140" s="69" t="str">
        <f>[5]ORÇAMENTO!A118</f>
        <v>9.2.5</v>
      </c>
      <c r="B140" s="69">
        <f>[5]ORÇAMENTO!C118</f>
        <v>89605</v>
      </c>
      <c r="C140" s="49" t="str">
        <f>[5]ORÇAMENTO!D118</f>
        <v>LUVA DE REDUÇÃO, PVC, SOLDÁVEL, DN 60MM X 50MM, INSTALADO EM PRUMADA DE ÁGUA - FORNECIMENTO E INSTALAÇÃO. AF_12/2014</v>
      </c>
      <c r="D140" s="69" t="str">
        <f>[5]ORÇAMENTO!B118</f>
        <v>SINAPI</v>
      </c>
      <c r="E140" s="69" t="str">
        <f>[5]ORÇAMENTO!E118</f>
        <v>unid</v>
      </c>
      <c r="F140" s="22">
        <v>1</v>
      </c>
      <c r="G140" s="91">
        <f>[5]ORÇAMENTO!G118*26.63%+[5]ORÇAMENTO!G118</f>
        <v>24.69285</v>
      </c>
      <c r="H140" s="91">
        <f t="shared" si="4"/>
        <v>24.69285</v>
      </c>
      <c r="I140" s="156">
        <f t="shared" si="5"/>
        <v>2.1175072848747322E-5</v>
      </c>
      <c r="J140" s="1"/>
    </row>
    <row r="141" spans="1:10" ht="30">
      <c r="A141" s="69" t="str">
        <f>[5]ORÇAMENTO!A119</f>
        <v>9.2.6</v>
      </c>
      <c r="B141" s="69">
        <f>[5]ORÇAMENTO!C119</f>
        <v>89579</v>
      </c>
      <c r="C141" s="49" t="str">
        <f>[5]ORÇAMENTO!D119</f>
        <v>LUVA DE REDUÇÃO, PVC, SOLDÁVEL, DN 50MM X 25MM, INSTALADO EM PRUMADA DE ÁGUA   FORNECIMENTO E INSTALAÇÃO. AF_12/2014</v>
      </c>
      <c r="D141" s="69" t="str">
        <f>[5]ORÇAMENTO!B119</f>
        <v>SINAPI</v>
      </c>
      <c r="E141" s="69" t="str">
        <f>[5]ORÇAMENTO!E119</f>
        <v>unid</v>
      </c>
      <c r="F141" s="22">
        <v>1</v>
      </c>
      <c r="G141" s="91">
        <f>[5]ORÇAMENTO!G119*26.63%+[5]ORÇAMENTO!G119</f>
        <v>12.890934</v>
      </c>
      <c r="H141" s="91">
        <f t="shared" si="4"/>
        <v>12.890934</v>
      </c>
      <c r="I141" s="156">
        <f t="shared" si="5"/>
        <v>1.1054473928217832E-5</v>
      </c>
      <c r="J141" s="1"/>
    </row>
    <row r="142" spans="1:10" ht="45">
      <c r="A142" s="69" t="str">
        <f>[5]ORÇAMENTO!A120</f>
        <v>9.2.7</v>
      </c>
      <c r="B142" s="69">
        <f>[5]ORÇAMENTO!C120</f>
        <v>90373</v>
      </c>
      <c r="C142" s="49" t="str">
        <f>[5]ORÇAMENTO!D120</f>
        <v>JOELHO 90 GRAUS COM BUCHA DE LATÃO, PVC, SOLDÁVEL, DN 25MM, X 1/2 INSTALADO EM RAMAL OU SUB-RAMAL DE ÁGUA - FORNECIMENTO E INSTALAÇÃO. AF_12/2014</v>
      </c>
      <c r="D142" s="69" t="str">
        <f>[5]ORÇAMENTO!B120</f>
        <v>SINAPI</v>
      </c>
      <c r="E142" s="69" t="str">
        <f>[5]ORÇAMENTO!E120</f>
        <v>unid</v>
      </c>
      <c r="F142" s="22">
        <v>66</v>
      </c>
      <c r="G142" s="91">
        <f>[5]ORÇAMENTO!G120*26.63%+[5]ORÇAMENTO!G120</f>
        <v>16.347933000000001</v>
      </c>
      <c r="H142" s="91">
        <f t="shared" si="4"/>
        <v>1078.9635780000001</v>
      </c>
      <c r="I142" s="156">
        <f t="shared" si="5"/>
        <v>9.252529523848022E-4</v>
      </c>
      <c r="J142" s="1"/>
    </row>
    <row r="143" spans="1:10">
      <c r="A143" s="69" t="str">
        <f>[5]ORÇAMENTO!A121</f>
        <v>9.2.8</v>
      </c>
      <c r="B143" s="69">
        <f>[5]ORÇAMENTO!C121</f>
        <v>4964</v>
      </c>
      <c r="C143" s="49" t="str">
        <f>[5]ORÇAMENTO!D121</f>
        <v>Joelho de 90º pvc rígido soldável c/ bucha de latão, d=20mmx1/2".</v>
      </c>
      <c r="D143" s="69" t="str">
        <f>[5]ORÇAMENTO!B121</f>
        <v>ORSE</v>
      </c>
      <c r="E143" s="69" t="str">
        <f>[5]ORÇAMENTO!E121</f>
        <v>unid</v>
      </c>
      <c r="F143" s="22">
        <v>1</v>
      </c>
      <c r="G143" s="91">
        <f>[5]ORÇAMENTO!G121*26.63%+[5]ORÇAMENTO!G121</f>
        <v>17.740863000000001</v>
      </c>
      <c r="H143" s="91">
        <f t="shared" si="4"/>
        <v>17.740863000000001</v>
      </c>
      <c r="I143" s="156">
        <f t="shared" si="5"/>
        <v>1.5213475415946153E-5</v>
      </c>
      <c r="J143" s="1"/>
    </row>
    <row r="144" spans="1:10" ht="30">
      <c r="A144" s="69" t="str">
        <f>[5]ORÇAMENTO!A122</f>
        <v>9.2.9</v>
      </c>
      <c r="B144" s="69">
        <f>[5]ORÇAMENTO!C122</f>
        <v>89505</v>
      </c>
      <c r="C144" s="49" t="str">
        <f>[5]ORÇAMENTO!D122</f>
        <v>JOELHO 90 GRAUS, PVC, SOLDÁVEL, DN 60MM, INSTALADO EM PRUMADA DE ÁGUA - FORNECIMENTO E INSTALAÇÃO. AF_12/2014</v>
      </c>
      <c r="D144" s="69" t="str">
        <f>[5]ORÇAMENTO!B122</f>
        <v>SINAPI</v>
      </c>
      <c r="E144" s="69" t="str">
        <f>[5]ORÇAMENTO!E122</f>
        <v>unid</v>
      </c>
      <c r="F144" s="22">
        <v>4</v>
      </c>
      <c r="G144" s="91">
        <f>[5]ORÇAMENTO!G122*26.63%+[5]ORÇAMENTO!G122</f>
        <v>46.371905999999996</v>
      </c>
      <c r="H144" s="91">
        <f t="shared" si="4"/>
        <v>185.48762399999998</v>
      </c>
      <c r="I144" s="156">
        <f t="shared" si="5"/>
        <v>1.5906280363510292E-4</v>
      </c>
      <c r="J144" s="1"/>
    </row>
    <row r="145" spans="1:10" ht="30">
      <c r="A145" s="69" t="str">
        <f>[5]ORÇAMENTO!A123</f>
        <v>9.2.10</v>
      </c>
      <c r="B145" s="69">
        <f>[5]ORÇAMENTO!C123</f>
        <v>89408</v>
      </c>
      <c r="C145" s="49" t="str">
        <f>[5]ORÇAMENTO!D123</f>
        <v>JOELHO 90 GRAUS, PVC, SOLDÁVEL, DN 25MM, INSTALADO EM RAMAL DE DISTRIBUIÇÃO DE ÁGUA - FORNECIMENTO E INSTALAÇÃO. AF_12/2014</v>
      </c>
      <c r="D145" s="69" t="str">
        <f>[5]ORÇAMENTO!B123</f>
        <v>SINAPI</v>
      </c>
      <c r="E145" s="69" t="str">
        <f>[5]ORÇAMENTO!E123</f>
        <v>unid</v>
      </c>
      <c r="F145" s="22">
        <v>48</v>
      </c>
      <c r="G145" s="91">
        <f>[5]ORÇAMENTO!G123*26.63%+[5]ORÇAMENTO!G123</f>
        <v>5.5970459999999997</v>
      </c>
      <c r="H145" s="91">
        <f t="shared" si="4"/>
        <v>268.658208</v>
      </c>
      <c r="I145" s="156">
        <f t="shared" si="5"/>
        <v>2.3038479259437084E-4</v>
      </c>
      <c r="J145" s="1"/>
    </row>
    <row r="146" spans="1:10" ht="30">
      <c r="A146" s="69" t="str">
        <f>[5]ORÇAMENTO!A124</f>
        <v>9.2.11</v>
      </c>
      <c r="B146" s="69">
        <f>[5]ORÇAMENTO!C124</f>
        <v>89501</v>
      </c>
      <c r="C146" s="49" t="str">
        <f>[5]ORÇAMENTO!D124</f>
        <v>JOELHO 90 GRAUS, PVC, SOLDÁVEL, DN 50MM, INSTALADO EM PRUMADA DE ÁGUA - FORNECIMENTO E INSTALAÇÃO. AF_12/2014</v>
      </c>
      <c r="D146" s="69" t="str">
        <f>[5]ORÇAMENTO!B124</f>
        <v>SINAPI</v>
      </c>
      <c r="E146" s="69" t="str">
        <f>[5]ORÇAMENTO!E124</f>
        <v>unid</v>
      </c>
      <c r="F146" s="22">
        <v>49</v>
      </c>
      <c r="G146" s="91">
        <f>[5]ORÇAMENTO!G124*26.63%+[5]ORÇAMENTO!G124</f>
        <v>15.461523000000001</v>
      </c>
      <c r="H146" s="91">
        <f t="shared" si="4"/>
        <v>757.61462700000004</v>
      </c>
      <c r="I146" s="156">
        <f t="shared" si="5"/>
        <v>6.4968381203471971E-4</v>
      </c>
      <c r="J146" s="1"/>
    </row>
    <row r="147" spans="1:10" ht="30">
      <c r="A147" s="69" t="str">
        <f>[5]ORÇAMENTO!A125</f>
        <v>9.2.12</v>
      </c>
      <c r="B147" s="69">
        <f>[5]ORÇAMENTO!C125</f>
        <v>89404</v>
      </c>
      <c r="C147" s="49" t="str">
        <f>[5]ORÇAMENTO!D125</f>
        <v>JOELHO 90 GRAUS, PVC, SOLDÁVEL, DN 20MM, INSTALADO EM RAMAL DE DISTRIBUIÇÃO DE ÁGUA - FORNECIMENTO E INSTALAÇÃO. AF_12/2014</v>
      </c>
      <c r="D147" s="69" t="str">
        <f>[5]ORÇAMENTO!B125</f>
        <v>SINAPI</v>
      </c>
      <c r="E147" s="69" t="str">
        <f>[5]ORÇAMENTO!E125</f>
        <v>unid</v>
      </c>
      <c r="F147" s="22">
        <v>2</v>
      </c>
      <c r="G147" s="91">
        <f>[5]ORÇAMENTO!G125*26.63%+[5]ORÇAMENTO!G125</f>
        <v>4.5713429999999997</v>
      </c>
      <c r="H147" s="91">
        <f t="shared" si="4"/>
        <v>9.1426859999999994</v>
      </c>
      <c r="I147" s="156">
        <f t="shared" si="5"/>
        <v>7.8402064598951611E-6</v>
      </c>
      <c r="J147" s="1"/>
    </row>
    <row r="148" spans="1:10" ht="45">
      <c r="A148" s="69" t="str">
        <f>[5]ORÇAMENTO!A126</f>
        <v>9.2.13</v>
      </c>
      <c r="B148" s="69">
        <f>[5]ORÇAMENTO!C126</f>
        <v>89534</v>
      </c>
      <c r="C148" s="49" t="str">
        <f>[5]ORÇAMENTO!D126</f>
        <v>LUVA SOLDÁVEL E COM ROSCA, PVC, SOLDÁVEL, DN 25MM X 3/4, INSTALADO EM PRUMADA DE ÁGUA - FORNECIMENTO E INSTALAÇÃO. AF_12/2014</v>
      </c>
      <c r="D148" s="69" t="str">
        <f>[5]ORÇAMENTO!B126</f>
        <v>SINAPI</v>
      </c>
      <c r="E148" s="69" t="str">
        <f>[5]ORÇAMENTO!E126</f>
        <v>unid</v>
      </c>
      <c r="F148" s="22">
        <v>3</v>
      </c>
      <c r="G148" s="91">
        <f>[5]ORÇAMENTO!G126*26.63%+[5]ORÇAMENTO!G126</f>
        <v>5.0398740000000002</v>
      </c>
      <c r="H148" s="91">
        <f t="shared" si="4"/>
        <v>15.119622</v>
      </c>
      <c r="I148" s="156">
        <f t="shared" si="5"/>
        <v>1.2965659990463743E-5</v>
      </c>
      <c r="J148" s="1"/>
    </row>
    <row r="149" spans="1:10" ht="30">
      <c r="A149" s="69" t="str">
        <f>[5]ORÇAMENTO!A127</f>
        <v>9.2.14</v>
      </c>
      <c r="B149" s="69">
        <f>[5]ORÇAMENTO!C127</f>
        <v>89378</v>
      </c>
      <c r="C149" s="49" t="str">
        <f>[5]ORÇAMENTO!D127</f>
        <v>LUVA, PVC, SOLDÁVEL, DN 25MM, INSTALADO EM RAMAL OU SUB-RAMAL DE ÁGUA - FORNECIMENTO E INSTALAÇÃO. AF_12/2014</v>
      </c>
      <c r="D149" s="69" t="str">
        <f>[5]ORÇAMENTO!B127</f>
        <v>SINAPI</v>
      </c>
      <c r="E149" s="69" t="str">
        <f>[5]ORÇAMENTO!E127</f>
        <v>unid</v>
      </c>
      <c r="F149" s="22">
        <v>64</v>
      </c>
      <c r="G149" s="91">
        <f>[5]ORÇAMENTO!G127*26.63%+[5]ORÇAMENTO!G127</f>
        <v>6.1162289999999997</v>
      </c>
      <c r="H149" s="91">
        <f t="shared" si="4"/>
        <v>391.43865599999998</v>
      </c>
      <c r="I149" s="156">
        <f t="shared" si="5"/>
        <v>3.3567377020537288E-4</v>
      </c>
      <c r="J149" s="1"/>
    </row>
    <row r="150" spans="1:10" ht="30">
      <c r="A150" s="69" t="str">
        <f>[5]ORÇAMENTO!A128</f>
        <v>9.2.15</v>
      </c>
      <c r="B150" s="69">
        <f>[5]ORÇAMENTO!C128</f>
        <v>89597</v>
      </c>
      <c r="C150" s="49" t="str">
        <f>[5]ORÇAMENTO!D128</f>
        <v>LUVA, PVC, SOLDÁVEL, DN 60MM, INSTALADO EM PRUMADA DE ÁGUA - FORNECIMENTO E INSTALAÇÃO. AF_12/2014</v>
      </c>
      <c r="D150" s="69" t="str">
        <f>[5]ORÇAMENTO!B128</f>
        <v>SINAPI</v>
      </c>
      <c r="E150" s="69" t="str">
        <f>[5]ORÇAMENTO!E128</f>
        <v>unid</v>
      </c>
      <c r="F150" s="22">
        <v>1</v>
      </c>
      <c r="G150" s="91">
        <f>[5]ORÇAMENTO!G128*26.63%+[5]ORÇAMENTO!G128</f>
        <v>25.414641</v>
      </c>
      <c r="H150" s="91">
        <f t="shared" si="4"/>
        <v>25.414641</v>
      </c>
      <c r="I150" s="156">
        <f t="shared" si="5"/>
        <v>2.179403651663378E-5</v>
      </c>
      <c r="J150" s="1"/>
    </row>
    <row r="151" spans="1:10" ht="30">
      <c r="A151" s="69" t="str">
        <f>[5]ORÇAMENTO!A129</f>
        <v>9.2.16</v>
      </c>
      <c r="B151" s="69">
        <f>[5]ORÇAMENTO!C129</f>
        <v>89371</v>
      </c>
      <c r="C151" s="49" t="str">
        <f>[5]ORÇAMENTO!D129</f>
        <v>LUVA, PVC, SOLDÁVEL, DN 20MM, INSTALADO EM RAMAL OU SUB-RAMAL DE ÁGUA - FORNECIMENTO E INSTALAÇÃO. AF_12/2014</v>
      </c>
      <c r="D151" s="69" t="str">
        <f>[5]ORÇAMENTO!B129</f>
        <v>SINAPI</v>
      </c>
      <c r="E151" s="69" t="str">
        <f>[5]ORÇAMENTO!E129</f>
        <v>unid</v>
      </c>
      <c r="F151" s="22">
        <v>1</v>
      </c>
      <c r="G151" s="91">
        <f>[5]ORÇAMENTO!G129*26.63%+[5]ORÇAMENTO!G129</f>
        <v>5.1285150000000002</v>
      </c>
      <c r="H151" s="91">
        <f t="shared" si="4"/>
        <v>5.1285150000000002</v>
      </c>
      <c r="I151" s="156">
        <f t="shared" si="5"/>
        <v>4.3978997455090593E-6</v>
      </c>
      <c r="J151" s="1"/>
    </row>
    <row r="152" spans="1:10" ht="45">
      <c r="A152" s="69" t="str">
        <f>[5]ORÇAMENTO!A130</f>
        <v>9.2.17</v>
      </c>
      <c r="B152" s="69">
        <f>[5]ORÇAMENTO!C130</f>
        <v>89396</v>
      </c>
      <c r="C152" s="49" t="str">
        <f>[5]ORÇAMENTO!D130</f>
        <v>TÊ COM BUCHA DE LATÃO NA BOLSA CENTRAL, PVC, SOLDÁVEL, DN 25MM X 1/2, INSTALADO EM RAMAL OU SUB-RAMAL DE ÁGUA - FORNECIMENTO E INSTALAÇÃO. AF_12/2014</v>
      </c>
      <c r="D152" s="69" t="str">
        <f>[5]ORÇAMENTO!B130</f>
        <v>SINAPI</v>
      </c>
      <c r="E152" s="69" t="str">
        <f>[5]ORÇAMENTO!E130</f>
        <v>unid</v>
      </c>
      <c r="F152" s="22">
        <v>7</v>
      </c>
      <c r="G152" s="91">
        <f>[5]ORÇAMENTO!G130*26.63%+[5]ORÇAMENTO!G130</f>
        <v>23.021334</v>
      </c>
      <c r="H152" s="91">
        <f t="shared" si="4"/>
        <v>161.149338</v>
      </c>
      <c r="I152" s="156">
        <f t="shared" si="5"/>
        <v>1.381917831144402E-4</v>
      </c>
      <c r="J152" s="1"/>
    </row>
    <row r="153" spans="1:10" ht="30">
      <c r="A153" s="69" t="str">
        <f>[5]ORÇAMENTO!A131</f>
        <v>9.2.18</v>
      </c>
      <c r="B153" s="69">
        <f>[5]ORÇAMENTO!C131</f>
        <v>89628</v>
      </c>
      <c r="C153" s="49" t="str">
        <f>[5]ORÇAMENTO!D131</f>
        <v>TE, PVC, SOLDÁVEL, DN 60MM, INSTALADO EM PRUMADA DE ÁGUA - FORNECIMENTO E INSTALAÇÃO. AF_12/2014</v>
      </c>
      <c r="D153" s="69" t="str">
        <f>[5]ORÇAMENTO!B131</f>
        <v>SINAPI</v>
      </c>
      <c r="E153" s="69" t="str">
        <f>[5]ORÇAMENTO!E131</f>
        <v>unid</v>
      </c>
      <c r="F153" s="22">
        <v>1</v>
      </c>
      <c r="G153" s="91">
        <f>[5]ORÇAMENTO!G131*26.63%+[5]ORÇAMENTO!G131</f>
        <v>58.642353</v>
      </c>
      <c r="H153" s="91">
        <f t="shared" si="4"/>
        <v>58.642353</v>
      </c>
      <c r="I153" s="156">
        <f t="shared" si="5"/>
        <v>5.0288083262845563E-5</v>
      </c>
      <c r="J153" s="1"/>
    </row>
    <row r="154" spans="1:10" ht="30">
      <c r="A154" s="69" t="str">
        <f>[5]ORÇAMENTO!A132</f>
        <v>9.2.19</v>
      </c>
      <c r="B154" s="69">
        <f>[5]ORÇAMENTO!C132</f>
        <v>89440</v>
      </c>
      <c r="C154" s="49" t="str">
        <f>[5]ORÇAMENTO!D132</f>
        <v>TE, PVC, SOLDÁVEL, DN 25MM, INSTALADO EM RAMAL DE DISTRIBUIÇÃO DE ÁGUA - FORNECIMENTO E INSTALAÇÃO. AF_12/2014</v>
      </c>
      <c r="D154" s="69" t="str">
        <f>[5]ORÇAMENTO!B132</f>
        <v>SINAPI</v>
      </c>
      <c r="E154" s="69" t="str">
        <f>[5]ORÇAMENTO!E132</f>
        <v>unid</v>
      </c>
      <c r="F154" s="22">
        <v>35</v>
      </c>
      <c r="G154" s="91">
        <f>[5]ORÇAMENTO!G132*26.63%+[5]ORÇAMENTO!G132</f>
        <v>8.0789939999999998</v>
      </c>
      <c r="H154" s="91">
        <f t="shared" si="4"/>
        <v>282.76479</v>
      </c>
      <c r="I154" s="156">
        <f t="shared" si="5"/>
        <v>2.424817316474501E-4</v>
      </c>
      <c r="J154" s="1"/>
    </row>
    <row r="155" spans="1:10" ht="30">
      <c r="A155" s="69" t="str">
        <f>[5]ORÇAMENTO!A133</f>
        <v>9.2.20</v>
      </c>
      <c r="B155" s="69">
        <f>[5]ORÇAMENTO!C133</f>
        <v>89625</v>
      </c>
      <c r="C155" s="49" t="str">
        <f>[5]ORÇAMENTO!D133</f>
        <v>TE, PVC, SOLDÁVEL, DN 50MM, INSTALADO EM PRUMADA DE ÁGUA - FORNECIMENTO E INSTALAÇÃO. AF_12/2014</v>
      </c>
      <c r="D155" s="69" t="str">
        <f>[5]ORÇAMENTO!B133</f>
        <v>SINAPI</v>
      </c>
      <c r="E155" s="69" t="str">
        <f>[5]ORÇAMENTO!E133</f>
        <v>unid</v>
      </c>
      <c r="F155" s="22">
        <v>32</v>
      </c>
      <c r="G155" s="91">
        <f>[5]ORÇAMENTO!G133*26.63%+[5]ORÇAMENTO!G133</f>
        <v>25.098065999999999</v>
      </c>
      <c r="H155" s="91">
        <f t="shared" si="4"/>
        <v>803.13811199999998</v>
      </c>
      <c r="I155" s="156">
        <f t="shared" si="5"/>
        <v>6.8872195915843594E-4</v>
      </c>
      <c r="J155" s="1"/>
    </row>
    <row r="156" spans="1:10" ht="45">
      <c r="A156" s="69" t="str">
        <f>[5]ORÇAMENTO!A134</f>
        <v>9.2.21</v>
      </c>
      <c r="B156" s="69">
        <f>[5]ORÇAMENTO!C134</f>
        <v>94794</v>
      </c>
      <c r="C156" s="49" t="str">
        <f>[5]ORÇAMENTO!D134</f>
        <v>REGISTRO DE GAVETA BRUTO, LATÃO, ROSCÁVEL, 1 1/2", COM ACABAMENTO E CANOPLA CROMADOS - FORNECIMENTO E INSTALAÇÃO. AF_08/2021</v>
      </c>
      <c r="D156" s="69" t="str">
        <f>[5]ORÇAMENTO!B134</f>
        <v>SINAPI</v>
      </c>
      <c r="E156" s="69" t="str">
        <f>[5]ORÇAMENTO!E134</f>
        <v>unid</v>
      </c>
      <c r="F156" s="22">
        <v>2</v>
      </c>
      <c r="G156" s="91">
        <f>[5]ORÇAMENTO!G134*26.63%+[5]ORÇAMENTO!G134</f>
        <v>218.39876099999998</v>
      </c>
      <c r="H156" s="91">
        <f t="shared" si="4"/>
        <v>436.79752199999996</v>
      </c>
      <c r="I156" s="156">
        <f t="shared" si="5"/>
        <v>3.7457075017676409E-4</v>
      </c>
      <c r="J156" s="1"/>
    </row>
    <row r="157" spans="1:10" ht="30">
      <c r="A157" s="69" t="str">
        <f>[5]ORÇAMENTO!A135</f>
        <v>9.2.22</v>
      </c>
      <c r="B157" s="69">
        <f>[5]ORÇAMENTO!C135</f>
        <v>89987</v>
      </c>
      <c r="C157" s="49" t="str">
        <f>[5]ORÇAMENTO!D135</f>
        <v>REGISTRO DE GAVETA BRUTO, LATÃO, ROSCÁVEL, 3/4", COM ACABAMENTO E CANOPLA CROMADOS - FORNECIMENTO E INSTALAÇÃO. AF_08/2021</v>
      </c>
      <c r="D157" s="69" t="str">
        <f>[5]ORÇAMENTO!B135</f>
        <v>SINAPI</v>
      </c>
      <c r="E157" s="69" t="str">
        <f>[5]ORÇAMENTO!E135</f>
        <v>unid</v>
      </c>
      <c r="F157" s="22">
        <v>33</v>
      </c>
      <c r="G157" s="91">
        <f>[5]ORÇAMENTO!G135*26.63%+[5]ORÇAMENTO!G135</f>
        <v>127.554399</v>
      </c>
      <c r="H157" s="91">
        <f t="shared" si="4"/>
        <v>4209.2951670000002</v>
      </c>
      <c r="I157" s="156">
        <f t="shared" si="5"/>
        <v>3.6096332259380761E-3</v>
      </c>
      <c r="J157" s="1"/>
    </row>
    <row r="158" spans="1:10" ht="45">
      <c r="A158" s="69" t="str">
        <f>[5]ORÇAMENTO!A136</f>
        <v>9.2.23</v>
      </c>
      <c r="B158" s="69">
        <f>[5]ORÇAMENTO!C136</f>
        <v>89985</v>
      </c>
      <c r="C158" s="49" t="str">
        <f>[5]ORÇAMENTO!D136</f>
        <v>REGISTRO DE PRESSÃO BRUTO, LATÃO, ROSCÁVEL, 3/4", COM ACABAMENTO E CANOPLA CROMADOS - FORNECIMENTO E INSTALAÇÃO. AF_08/2021</v>
      </c>
      <c r="D158" s="69" t="str">
        <f>[5]ORÇAMENTO!B136</f>
        <v>SINAPI</v>
      </c>
      <c r="E158" s="69" t="str">
        <f>[5]ORÇAMENTO!E136</f>
        <v>unid</v>
      </c>
      <c r="F158" s="22">
        <v>3</v>
      </c>
      <c r="G158" s="91">
        <f>[5]ORÇAMENTO!G136*26.63%+[5]ORÇAMENTO!G136</f>
        <v>116.58824099999998</v>
      </c>
      <c r="H158" s="91">
        <f t="shared" si="4"/>
        <v>349.76472299999995</v>
      </c>
      <c r="I158" s="156">
        <f t="shared" si="5"/>
        <v>2.9993676264371776E-4</v>
      </c>
      <c r="J158" s="1"/>
    </row>
    <row r="159" spans="1:10" ht="45">
      <c r="A159" s="69" t="str">
        <f>[5]ORÇAMENTO!A137</f>
        <v>9.2.24</v>
      </c>
      <c r="B159" s="69">
        <f>[5]ORÇAMENTO!C137</f>
        <v>2646</v>
      </c>
      <c r="C159" s="49" t="str">
        <f>[5]ORÇAMENTO!D137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59" s="69" t="str">
        <f>[5]ORÇAMENTO!B137</f>
        <v>ORSE</v>
      </c>
      <c r="E159" s="69" t="str">
        <f>[5]ORÇAMENTO!E137</f>
        <v>unid</v>
      </c>
      <c r="F159" s="22">
        <v>1</v>
      </c>
      <c r="G159" s="91">
        <f>[5]ORÇAMENTO!G137*26.63%+[5]ORÇAMENTO!G137</f>
        <v>1483.483113</v>
      </c>
      <c r="H159" s="91">
        <f t="shared" si="4"/>
        <v>1483.483113</v>
      </c>
      <c r="I159" s="156">
        <f t="shared" si="5"/>
        <v>1.2721440816941525E-3</v>
      </c>
      <c r="J159" s="1"/>
    </row>
    <row r="160" spans="1:10">
      <c r="A160" s="69"/>
      <c r="B160" s="69"/>
      <c r="C160" s="49"/>
      <c r="D160" s="69"/>
      <c r="E160" s="69"/>
      <c r="F160" s="22">
        <v>0</v>
      </c>
      <c r="G160" s="91"/>
      <c r="H160" s="91">
        <f t="shared" si="4"/>
        <v>0</v>
      </c>
      <c r="I160" s="156">
        <f t="shared" si="5"/>
        <v>0</v>
      </c>
      <c r="J160" s="1"/>
    </row>
    <row r="161" spans="1:10">
      <c r="A161" s="101" t="str">
        <f>[5]ORÇAMENTO!A139</f>
        <v>9.3</v>
      </c>
      <c r="B161" s="101"/>
      <c r="C161" s="102" t="str">
        <f>[5]ORÇAMENTO!B139</f>
        <v>COMBATE A  INCÊNDIO</v>
      </c>
      <c r="D161" s="101"/>
      <c r="E161" s="101"/>
      <c r="F161" s="103">
        <v>0</v>
      </c>
      <c r="G161" s="104"/>
      <c r="H161" s="91">
        <f t="shared" si="4"/>
        <v>0</v>
      </c>
      <c r="I161" s="156">
        <f t="shared" si="5"/>
        <v>0</v>
      </c>
      <c r="J161" s="1"/>
    </row>
    <row r="162" spans="1:10" ht="45">
      <c r="A162" s="69" t="str">
        <f>[5]ORÇAMENTO!A140</f>
        <v>9.3.1</v>
      </c>
      <c r="B162" s="69">
        <f>[5]ORÇAMENTO!C140</f>
        <v>92367</v>
      </c>
      <c r="C162" s="49" t="str">
        <f>[5]ORÇAMENTO!D140</f>
        <v>TUBO DE AÇO GALVANIZADO COM COSTURA, CLASSE MÉDIA, DN 65 (2 1/2"), CONEXÃO ROSQUEADA, INSTALADO EM REDE DE ALIMENTAÇÃO PARA HIDRANTE - FORNECIMENTO E INSTALAÇÃO. AF_10/2020</v>
      </c>
      <c r="D162" s="69" t="str">
        <f>[5]ORÇAMENTO!B140</f>
        <v>SINAPI</v>
      </c>
      <c r="E162" s="69" t="str">
        <f>[5]ORÇAMENTO!E140</f>
        <v>m</v>
      </c>
      <c r="F162" s="22">
        <v>106</v>
      </c>
      <c r="G162" s="91">
        <f>[5]ORÇAMENTO!G140*26.63%+[5]ORÇAMENTO!G140</f>
        <v>153.10833299999999</v>
      </c>
      <c r="H162" s="91">
        <f t="shared" si="4"/>
        <v>16229.483297999999</v>
      </c>
      <c r="I162" s="156">
        <f t="shared" si="5"/>
        <v>1.3917408931438773E-2</v>
      </c>
      <c r="J162" s="1"/>
    </row>
    <row r="163" spans="1:10" ht="60">
      <c r="A163" s="69" t="str">
        <f>[5]ORÇAMENTO!A141</f>
        <v>9.3.2</v>
      </c>
      <c r="B163" s="69">
        <f>[5]ORÇAMENTO!C141</f>
        <v>94473</v>
      </c>
      <c r="C163" s="49" t="str">
        <f>[5]ORÇAMENTO!D141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3" s="69" t="str">
        <f>[5]ORÇAMENTO!B141</f>
        <v>SINAPI</v>
      </c>
      <c r="E163" s="69" t="str">
        <f>[5]ORÇAMENTO!E141</f>
        <v>unid</v>
      </c>
      <c r="F163" s="22">
        <v>25</v>
      </c>
      <c r="G163" s="91">
        <f>[5]ORÇAMENTO!G141*26.63%+[5]ORÇAMENTO!G141</f>
        <v>120.94431300000001</v>
      </c>
      <c r="H163" s="91">
        <f t="shared" si="4"/>
        <v>3023.607825</v>
      </c>
      <c r="I163" s="156">
        <f t="shared" si="5"/>
        <v>2.5928605227998162E-3</v>
      </c>
      <c r="J163" s="1"/>
    </row>
    <row r="164" spans="1:10" ht="60">
      <c r="A164" s="69" t="str">
        <f>[5]ORÇAMENTO!A142</f>
        <v>9.3.3</v>
      </c>
      <c r="B164" s="69">
        <f>[5]ORÇAMENTO!C142</f>
        <v>94467</v>
      </c>
      <c r="C164" s="49" t="str">
        <f>[5]ORÇAMENTO!D142</f>
        <v>LUVA, EM FERRO GALVANIZADO, CONEXÃO ROSQUEADA, DN 65 (2 1/2), INSTALADO EM RESERVAÇÃO DE ÁGUA DE EDIFICAÇÃO QUE POSSUA RESERVATÓRIO DE FIBRA/FIBROCIMENTO  FORNECIMENTO E INSTALAÇÃO. AF_06/2016</v>
      </c>
      <c r="D164" s="69" t="str">
        <f>[5]ORÇAMENTO!B142</f>
        <v>SINAPI</v>
      </c>
      <c r="E164" s="69" t="str">
        <f>[5]ORÇAMENTO!E142</f>
        <v>unid</v>
      </c>
      <c r="F164" s="22">
        <v>4</v>
      </c>
      <c r="G164" s="91">
        <f>[5]ORÇAMENTO!G142*26.63%+[5]ORÇAMENTO!G142</f>
        <v>84.664817999999997</v>
      </c>
      <c r="H164" s="91">
        <f t="shared" si="4"/>
        <v>338.65927199999999</v>
      </c>
      <c r="I164" s="156">
        <f t="shared" si="5"/>
        <v>2.9041340936764015E-4</v>
      </c>
      <c r="J164" s="1"/>
    </row>
    <row r="165" spans="1:10" ht="60">
      <c r="A165" s="69" t="str">
        <f>[5]ORÇAMENTO!A143</f>
        <v>9.3.4</v>
      </c>
      <c r="B165" s="69">
        <f>[5]ORÇAMENTO!C143</f>
        <v>94478</v>
      </c>
      <c r="C165" s="49" t="str">
        <f>[5]ORÇAMENTO!D143</f>
        <v>TÊ, EM FERRO GALVANIZADO, CONEXÃO ROSQUEADA, DN 65 (2 1/2), INSTALADO EM RESERVAÇÃO DE ÁGUA DE EDIFICAÇÃO QUE POSSUA RESERVATÓRIO DE FIBRA/FIBROCIMENTO  FORNECIMENTO E INSTALAÇÃO. AF_06/2016</v>
      </c>
      <c r="D165" s="69" t="str">
        <f>[5]ORÇAMENTO!B143</f>
        <v>SINAPI</v>
      </c>
      <c r="E165" s="69" t="str">
        <f>[5]ORÇAMENTO!E143</f>
        <v>unid</v>
      </c>
      <c r="F165" s="22">
        <v>10</v>
      </c>
      <c r="G165" s="91">
        <f>[5]ORÇAMENTO!G143*26.63%+[5]ORÇAMENTO!G143</f>
        <v>166.67040600000001</v>
      </c>
      <c r="H165" s="91">
        <f t="shared" si="4"/>
        <v>1666.70406</v>
      </c>
      <c r="I165" s="156">
        <f t="shared" si="5"/>
        <v>1.4292631222318577E-3</v>
      </c>
      <c r="J165" s="1"/>
    </row>
    <row r="166" spans="1:10" ht="30">
      <c r="A166" s="69" t="str">
        <f>[5]ORÇAMENTO!A144</f>
        <v>9.3.5</v>
      </c>
      <c r="B166" s="69">
        <f>[5]ORÇAMENTO!C144</f>
        <v>94499</v>
      </c>
      <c r="C166" s="49" t="str">
        <f>[5]ORÇAMENTO!D144</f>
        <v>REGISTRO DE GAVETA BRUTO, LATÃO, ROSCÁVEL, 2 1/2" - FORNECIMENTO E INSTALAÇÃO. AF_08/2021</v>
      </c>
      <c r="D166" s="69" t="str">
        <f>[5]ORÇAMENTO!B144</f>
        <v>SINAPI</v>
      </c>
      <c r="E166" s="69" t="str">
        <f>[5]ORÇAMENTO!E144</f>
        <v>unid</v>
      </c>
      <c r="F166" s="22">
        <v>5</v>
      </c>
      <c r="G166" s="91">
        <f>[5]ORÇAMENTO!G144*26.63%+[5]ORÇAMENTO!G144</f>
        <v>385.95557700000001</v>
      </c>
      <c r="H166" s="91">
        <f t="shared" si="4"/>
        <v>1929.777885</v>
      </c>
      <c r="I166" s="156">
        <f t="shared" si="5"/>
        <v>1.6548590906588962E-3</v>
      </c>
      <c r="J166" s="1"/>
    </row>
    <row r="167" spans="1:10" ht="30">
      <c r="A167" s="69" t="str">
        <f>[5]ORÇAMENTO!A145</f>
        <v>9.3.6</v>
      </c>
      <c r="B167" s="69">
        <f>[5]ORÇAMENTO!C145</f>
        <v>99624</v>
      </c>
      <c r="C167" s="49" t="str">
        <f>[5]ORÇAMENTO!D145</f>
        <v>VÁLVULA DE RETENÇÃO HORIZONTAL, DE BRONZE, ROSCÁVEL, 2 1/2" - FORNECIMENTO E INSTALAÇÃO. AF_08/2021</v>
      </c>
      <c r="D167" s="69" t="str">
        <f>[5]ORÇAMENTO!B145</f>
        <v>SINAPI</v>
      </c>
      <c r="E167" s="69" t="str">
        <f>[5]ORÇAMENTO!E145</f>
        <v>unid</v>
      </c>
      <c r="F167" s="22">
        <v>3</v>
      </c>
      <c r="G167" s="91">
        <f>[5]ORÇAMENTO!G145*26.63%+[5]ORÇAMENTO!G145</f>
        <v>516.473118</v>
      </c>
      <c r="H167" s="91">
        <f t="shared" si="4"/>
        <v>1549.4193540000001</v>
      </c>
      <c r="I167" s="156">
        <f t="shared" si="5"/>
        <v>1.3286869557061665E-3</v>
      </c>
      <c r="J167" s="1"/>
    </row>
    <row r="168" spans="1:10">
      <c r="A168" s="69" t="str">
        <f>[5]ORÇAMENTO!A146</f>
        <v>9.3.7</v>
      </c>
      <c r="B168" s="69">
        <f>[5]ORÇAMENTO!C146</f>
        <v>8940</v>
      </c>
      <c r="C168" s="49" t="str">
        <f>[5]ORÇAMENTO!D146</f>
        <v>Válvula de fluxo contínuo galvanizada (p/incêndio)</v>
      </c>
      <c r="D168" s="69" t="str">
        <f>[5]ORÇAMENTO!B146</f>
        <v>ORSE</v>
      </c>
      <c r="E168" s="69" t="str">
        <f>[5]ORÇAMENTO!E146</f>
        <v>unid</v>
      </c>
      <c r="F168" s="22">
        <v>2</v>
      </c>
      <c r="G168" s="91">
        <f>[5]ORÇAMENTO!G146*26.63%+[5]ORÇAMENTO!G146</f>
        <v>284.79086999999998</v>
      </c>
      <c r="H168" s="91">
        <f t="shared" si="4"/>
        <v>569.58173999999997</v>
      </c>
      <c r="I168" s="156">
        <f t="shared" si="5"/>
        <v>4.8843834704443811E-4</v>
      </c>
      <c r="J168" s="1"/>
    </row>
    <row r="169" spans="1:10" ht="60">
      <c r="A169" s="69" t="str">
        <f>[5]ORÇAMENTO!A147</f>
        <v>9.3.8</v>
      </c>
      <c r="B169" s="69">
        <f>[5]ORÇAMENTO!C147</f>
        <v>96765</v>
      </c>
      <c r="C169" s="49" t="str">
        <f>[5]ORÇAMENTO!D147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69" s="69" t="str">
        <f>[5]ORÇAMENTO!B147</f>
        <v>SINAPI</v>
      </c>
      <c r="E169" s="69" t="str">
        <f>[5]ORÇAMENTO!E147</f>
        <v>unid</v>
      </c>
      <c r="F169" s="22">
        <v>3</v>
      </c>
      <c r="G169" s="91">
        <f>[5]ORÇAMENTO!G147*26.63%+[5]ORÇAMENTO!G147</f>
        <v>1951.0263989999999</v>
      </c>
      <c r="H169" s="91">
        <f t="shared" si="4"/>
        <v>5853.0791969999991</v>
      </c>
      <c r="I169" s="156">
        <f t="shared" si="5"/>
        <v>5.0192415369616087E-3</v>
      </c>
      <c r="J169" s="1"/>
    </row>
    <row r="170" spans="1:10" ht="30">
      <c r="A170" s="69" t="str">
        <f>[5]ORÇAMENTO!A148</f>
        <v>9.3.9</v>
      </c>
      <c r="B170" s="69">
        <f>[5]ORÇAMENTO!C148</f>
        <v>101916</v>
      </c>
      <c r="C170" s="49" t="str">
        <f>[5]ORÇAMENTO!D148</f>
        <v>HIDRANTE SUBTERRÂNEO PREDIAL (COM CURVA LONGA E CAIXA), DN 75 MM - FORNECIMENTO E INSTALAÇÃO. AF_10/2020</v>
      </c>
      <c r="D170" s="69" t="str">
        <f>[5]ORÇAMENTO!B148</f>
        <v>SINAPI</v>
      </c>
      <c r="E170" s="69" t="str">
        <f>[5]ORÇAMENTO!E148</f>
        <v>unid</v>
      </c>
      <c r="F170" s="22">
        <v>1</v>
      </c>
      <c r="G170" s="91">
        <f>[5]ORÇAMENTO!G148*26.63%+[5]ORÇAMENTO!G148</f>
        <v>3815.526519</v>
      </c>
      <c r="H170" s="91">
        <f t="shared" si="4"/>
        <v>3815.526519</v>
      </c>
      <c r="I170" s="156">
        <f t="shared" si="5"/>
        <v>3.2719613975767188E-3</v>
      </c>
      <c r="J170" s="1"/>
    </row>
    <row r="171" spans="1:10" ht="30">
      <c r="A171" s="69" t="str">
        <f>[5]ORÇAMENTO!A149</f>
        <v>9.3.10</v>
      </c>
      <c r="B171" s="69">
        <f>[5]ORÇAMENTO!C149</f>
        <v>101905</v>
      </c>
      <c r="C171" s="49" t="str">
        <f>[5]ORÇAMENTO!D149</f>
        <v>EXTINTOR DE INCÊNDIO PORTÁTIL COM CARGA DE ÁGUA PRESSURIZADA DE 10 L, CLASSE A - FORNECIMENTO E INSTALAÇÃO. AF_10/2020_P</v>
      </c>
      <c r="D171" s="69" t="str">
        <f>[5]ORÇAMENTO!B149</f>
        <v>SINAPI</v>
      </c>
      <c r="E171" s="69" t="str">
        <f>[5]ORÇAMENTO!E149</f>
        <v>unid</v>
      </c>
      <c r="F171" s="22">
        <v>7</v>
      </c>
      <c r="G171" s="91">
        <f>[5]ORÇAMENTO!G149*26.63%+[5]ORÇAMENTO!G149</f>
        <v>337.50693899999999</v>
      </c>
      <c r="H171" s="91">
        <f t="shared" si="4"/>
        <v>2362.548573</v>
      </c>
      <c r="I171" s="156">
        <f t="shared" si="5"/>
        <v>2.0259766751095573E-3</v>
      </c>
      <c r="J171" s="1"/>
    </row>
    <row r="172" spans="1:10" ht="30">
      <c r="A172" s="69" t="str">
        <f>[5]ORÇAMENTO!A150</f>
        <v>9.3.11</v>
      </c>
      <c r="B172" s="69">
        <f>[5]ORÇAMENTO!C150</f>
        <v>101907</v>
      </c>
      <c r="C172" s="49" t="str">
        <f>[5]ORÇAMENTO!D150</f>
        <v>EXTINTOR DE INCÊNDIO PORTÁTIL COM CARGA DE CO2 DE 6 KG, CLASSE BC - FORNECIMENTO E INSTALAÇÃO. AF_10/2020_P</v>
      </c>
      <c r="D172" s="69" t="str">
        <f>[5]ORÇAMENTO!B150</f>
        <v>SINAPI</v>
      </c>
      <c r="E172" s="69" t="str">
        <f>[5]ORÇAMENTO!E150</f>
        <v>unid</v>
      </c>
      <c r="F172" s="22">
        <v>2</v>
      </c>
      <c r="G172" s="91">
        <f>[5]ORÇAMENTO!G150*26.63%+[5]ORÇAMENTO!G150</f>
        <v>1110.0385799999999</v>
      </c>
      <c r="H172" s="91">
        <f t="shared" si="4"/>
        <v>2220.0771599999998</v>
      </c>
      <c r="I172" s="156">
        <f t="shared" si="5"/>
        <v>1.9038019342781435E-3</v>
      </c>
      <c r="J172" s="1"/>
    </row>
    <row r="173" spans="1:10" ht="30">
      <c r="A173" s="69" t="str">
        <f>[5]ORÇAMENTO!A151</f>
        <v>9.3.12</v>
      </c>
      <c r="B173" s="69">
        <f>[5]ORÇAMENTO!C151</f>
        <v>101909</v>
      </c>
      <c r="C173" s="49" t="str">
        <f>[5]ORÇAMENTO!D151</f>
        <v>EXTINTOR DE INCÊNDIO PORTÁTIL COM CARGA DE PQS DE 8 KG, CLASSE BC - FORNECIMENTO E INSTALAÇÃO. AF_10/2020_P</v>
      </c>
      <c r="D173" s="69" t="str">
        <f>[5]ORÇAMENTO!B151</f>
        <v>SINAPI</v>
      </c>
      <c r="E173" s="69" t="str">
        <f>[5]ORÇAMENTO!E151</f>
        <v>unid</v>
      </c>
      <c r="F173" s="22">
        <v>7</v>
      </c>
      <c r="G173" s="91">
        <f>[5]ORÇAMENTO!G151*26.63%+[5]ORÇAMENTO!G151</f>
        <v>382.95444600000002</v>
      </c>
      <c r="H173" s="91">
        <f t="shared" si="4"/>
        <v>2680.681122</v>
      </c>
      <c r="I173" s="156">
        <f t="shared" si="5"/>
        <v>2.2987876264834437E-3</v>
      </c>
      <c r="J173" s="1"/>
    </row>
    <row r="174" spans="1:10" ht="30">
      <c r="A174" s="69" t="str">
        <f>[5]ORÇAMENTO!A152</f>
        <v>9.3.13</v>
      </c>
      <c r="B174" s="69">
        <f>[5]ORÇAMENTO!C152</f>
        <v>97599</v>
      </c>
      <c r="C174" s="49" t="str">
        <f>[5]ORÇAMENTO!D152</f>
        <v>LUMINÁRIA DE EMERGÊNCIA, COM 30 LÂMPADAS LED DE 2 W, SEM REATOR - FORNECIMENTO E INSTALAÇÃO. AF_02/2020</v>
      </c>
      <c r="D174" s="69" t="str">
        <f>[5]ORÇAMENTO!B152</f>
        <v>SINAPI</v>
      </c>
      <c r="E174" s="69" t="str">
        <f>[5]ORÇAMENTO!E152</f>
        <v>unid</v>
      </c>
      <c r="F174" s="22">
        <v>18</v>
      </c>
      <c r="G174" s="91">
        <f>[5]ORÇAMENTO!G152*26.63%+[5]ORÇAMENTO!G152</f>
        <v>28.339793999999998</v>
      </c>
      <c r="H174" s="91">
        <f t="shared" si="4"/>
        <v>510.11629199999993</v>
      </c>
      <c r="I174" s="156">
        <f t="shared" si="5"/>
        <v>4.3744442801996766E-4</v>
      </c>
      <c r="J174" s="1"/>
    </row>
    <row r="175" spans="1:10" ht="45">
      <c r="A175" s="69" t="str">
        <f>[5]ORÇAMENTO!A153</f>
        <v>9.3.14</v>
      </c>
      <c r="B175" s="69">
        <f>[5]ORÇAMENTO!C153</f>
        <v>11853</v>
      </c>
      <c r="C175" s="49" t="str">
        <f>[5]ORÇAMENTO!D153</f>
        <v>Placa de sinalização de segurança contra incêndio, fotoluminescente, retangular, (20x40)cm, em pvc de 2cm anti-chamas (simblos, cores, e pictograma conforme nbr 13434)</v>
      </c>
      <c r="D175" s="69" t="str">
        <f>[5]ORÇAMENTO!B153</f>
        <v>ORSE</v>
      </c>
      <c r="E175" s="69" t="str">
        <f>[5]ORÇAMENTO!E153</f>
        <v>unid</v>
      </c>
      <c r="F175" s="22">
        <v>21</v>
      </c>
      <c r="G175" s="91">
        <f>[5]ORÇAMENTO!G153*26.63%+[5]ORÇAMENTO!G153</f>
        <v>48.689235000000004</v>
      </c>
      <c r="H175" s="91">
        <f t="shared" si="4"/>
        <v>1022.4739350000001</v>
      </c>
      <c r="I175" s="156">
        <f t="shared" si="5"/>
        <v>8.7681090111389878E-4</v>
      </c>
      <c r="J175" s="1"/>
    </row>
    <row r="176" spans="1:10" ht="30">
      <c r="A176" s="69" t="str">
        <f>[5]ORÇAMENTO!A154</f>
        <v>9.3.15</v>
      </c>
      <c r="B176" s="69">
        <f>[5]ORÇAMENTO!C154</f>
        <v>12888</v>
      </c>
      <c r="C176" s="49" t="str">
        <f>[5]ORÇAMENTO!D154</f>
        <v>Placa de sinalização, fotoluminescente, em pvc, com logotipo "Extintor de incêndio portátil"- Placa E5</v>
      </c>
      <c r="D176" s="69" t="str">
        <f>[5]ORÇAMENTO!B154</f>
        <v>ORSE</v>
      </c>
      <c r="E176" s="69" t="str">
        <f>[5]ORÇAMENTO!E154</f>
        <v>unid</v>
      </c>
      <c r="F176" s="22">
        <v>7</v>
      </c>
      <c r="G176" s="91">
        <f>[5]ORÇAMENTO!G154*26.63%+[5]ORÇAMENTO!G154</f>
        <v>19.007162999999998</v>
      </c>
      <c r="H176" s="91">
        <f t="shared" si="4"/>
        <v>133.050141</v>
      </c>
      <c r="I176" s="156">
        <f t="shared" si="5"/>
        <v>1.1409563611373749E-4</v>
      </c>
      <c r="J176" s="1"/>
    </row>
    <row r="177" spans="1:10" ht="30">
      <c r="A177" s="69" t="str">
        <f>[5]ORÇAMENTO!A155</f>
        <v>9.3.16</v>
      </c>
      <c r="B177" s="69">
        <f>[5]ORÇAMENTO!C155</f>
        <v>12894</v>
      </c>
      <c r="C177" s="49" t="str">
        <f>[5]ORÇAMENTO!D155</f>
        <v>Placa de sinalização, fotoluminescente, em pvc, com logotipo "Hidrante de incêndio"- Placa E9</v>
      </c>
      <c r="D177" s="69" t="str">
        <f>[5]ORÇAMENTO!B155</f>
        <v>ORSE</v>
      </c>
      <c r="E177" s="69" t="str">
        <f>[5]ORÇAMENTO!E155</f>
        <v>unid</v>
      </c>
      <c r="F177" s="22">
        <v>3</v>
      </c>
      <c r="G177" s="91">
        <f>[5]ORÇAMENTO!G155*26.63%+[5]ORÇAMENTO!G155</f>
        <v>19.007162999999998</v>
      </c>
      <c r="H177" s="91">
        <f t="shared" si="4"/>
        <v>57.021488999999995</v>
      </c>
      <c r="I177" s="156">
        <f t="shared" si="5"/>
        <v>4.889812976303035E-5</v>
      </c>
      <c r="J177" s="1"/>
    </row>
    <row r="178" spans="1:10">
      <c r="A178" s="69"/>
      <c r="B178" s="69"/>
      <c r="C178" s="49"/>
      <c r="D178" s="69"/>
      <c r="E178" s="69"/>
      <c r="F178" s="22">
        <v>0</v>
      </c>
      <c r="G178" s="91"/>
      <c r="H178" s="91">
        <f t="shared" si="4"/>
        <v>0</v>
      </c>
      <c r="I178" s="156">
        <f t="shared" si="5"/>
        <v>0</v>
      </c>
      <c r="J178" s="1"/>
    </row>
    <row r="179" spans="1:10">
      <c r="A179" s="101">
        <f>[5]ORÇAMENTO!A157</f>
        <v>10</v>
      </c>
      <c r="B179" s="101"/>
      <c r="C179" s="102" t="str">
        <f>[5]ORÇAMENTO!B157</f>
        <v>INSTALAÇÕES ELÉTRICAS</v>
      </c>
      <c r="D179" s="101"/>
      <c r="E179" s="101"/>
      <c r="F179" s="103">
        <v>0</v>
      </c>
      <c r="G179" s="104"/>
      <c r="H179" s="91">
        <f t="shared" si="4"/>
        <v>0</v>
      </c>
      <c r="I179" s="156">
        <f t="shared" si="5"/>
        <v>0</v>
      </c>
      <c r="J179" s="1"/>
    </row>
    <row r="180" spans="1:10" ht="30">
      <c r="A180" s="69" t="str">
        <f>[5]ORÇAMENTO!A158</f>
        <v>10.1</v>
      </c>
      <c r="B180" s="69">
        <f>[5]ORÇAMENTO!C158</f>
        <v>91940</v>
      </c>
      <c r="C180" s="49" t="str">
        <f>[5]ORÇAMENTO!D158</f>
        <v>CAIXA RETANGULAR 4" X 2" MÉDIA (1,30 M DO PISO), PVC, INSTALADA EM PAREDE - FORNECIMENTO E INSTALAÇÃO. AF_12/20</v>
      </c>
      <c r="D180" s="69" t="str">
        <f>[5]ORÇAMENTO!B158</f>
        <v>SINAPI</v>
      </c>
      <c r="E180" s="69" t="str">
        <f>[5]ORÇAMENTO!E158</f>
        <v>unid</v>
      </c>
      <c r="F180" s="22">
        <v>248</v>
      </c>
      <c r="G180" s="91">
        <f>[5]ORÇAMENTO!G158*26.63%+[5]ORÇAMENTO!G158</f>
        <v>12.409740000000001</v>
      </c>
      <c r="H180" s="91">
        <f t="shared" si="4"/>
        <v>3077.6155200000003</v>
      </c>
      <c r="I180" s="156">
        <f t="shared" si="5"/>
        <v>2.639174207774128E-3</v>
      </c>
      <c r="J180" s="1"/>
    </row>
    <row r="181" spans="1:10" ht="30">
      <c r="A181" s="69" t="str">
        <f>[5]ORÇAMENTO!A159</f>
        <v>10.2</v>
      </c>
      <c r="B181" s="69">
        <f>[5]ORÇAMENTO!C159</f>
        <v>91997</v>
      </c>
      <c r="C181" s="49" t="str">
        <f>[5]ORÇAMENTO!D159</f>
        <v>TOMADA MÉDIA DE EMBUTIR (1 MÓDULO), 2P+T 20 A, INCLUINDO SUPORTE E PLACA - FORNECIMENTO E INSTALAÇÃO. AF_12/2015</v>
      </c>
      <c r="D181" s="69" t="str">
        <f>[5]ORÇAMENTO!B159</f>
        <v>SINAPI</v>
      </c>
      <c r="E181" s="69" t="str">
        <f>[5]ORÇAMENTO!E159</f>
        <v>unid</v>
      </c>
      <c r="F181" s="22">
        <v>29</v>
      </c>
      <c r="G181" s="91">
        <f>[5]ORÇAMENTO!G159*26.63%+[5]ORÇAMENTO!G159</f>
        <v>33.253038000000004</v>
      </c>
      <c r="H181" s="91">
        <f t="shared" si="4"/>
        <v>964.33810200000016</v>
      </c>
      <c r="I181" s="156">
        <f t="shared" si="5"/>
        <v>8.2695717831974549E-4</v>
      </c>
      <c r="J181" s="1"/>
    </row>
    <row r="182" spans="1:10" ht="30">
      <c r="A182" s="69" t="str">
        <f>[5]ORÇAMENTO!A160</f>
        <v>10.3</v>
      </c>
      <c r="B182" s="69">
        <f>[5]ORÇAMENTO!C160</f>
        <v>91996</v>
      </c>
      <c r="C182" s="49" t="str">
        <f>[5]ORÇAMENTO!D160</f>
        <v>TOMADA MÉDIA DE EMBUTIR (1 MÓDULO), 2P+T 10 A, INCLUINDO SUPORTE E PLACA - FORNECIMENTO E INSTALAÇÃO. AF_12/2015</v>
      </c>
      <c r="D182" s="69" t="str">
        <f>[5]ORÇAMENTO!B160</f>
        <v>SINAPI</v>
      </c>
      <c r="E182" s="69" t="str">
        <f>[5]ORÇAMENTO!E160</f>
        <v>unid</v>
      </c>
      <c r="F182" s="22">
        <v>195</v>
      </c>
      <c r="G182" s="91">
        <f>[5]ORÇAMENTO!G160*26.63%+[5]ORÇAMENTO!G160</f>
        <v>30.492503999999997</v>
      </c>
      <c r="H182" s="91">
        <f t="shared" si="4"/>
        <v>5946.0382799999998</v>
      </c>
      <c r="I182" s="156">
        <f t="shared" si="5"/>
        <v>5.0989575419783549E-3</v>
      </c>
      <c r="J182" s="1"/>
    </row>
    <row r="183" spans="1:10" ht="30">
      <c r="A183" s="69" t="str">
        <f>[5]ORÇAMENTO!A161</f>
        <v>10.4</v>
      </c>
      <c r="B183" s="69">
        <f>[5]ORÇAMENTO!C161</f>
        <v>91953</v>
      </c>
      <c r="C183" s="49" t="str">
        <f>[5]ORÇAMENTO!D161</f>
        <v>INTERRUPTOR SIMPLES (1 MÓDULO), 10A/250V, INCLUINDO SUPORTE E PLACA - FORNECIMENTO E INSTALAÇÃO. AF_12/2015</v>
      </c>
      <c r="D183" s="69" t="str">
        <f>[5]ORÇAMENTO!B161</f>
        <v>SINAPI</v>
      </c>
      <c r="E183" s="69" t="str">
        <f>[5]ORÇAMENTO!E161</f>
        <v>unid</v>
      </c>
      <c r="F183" s="22">
        <v>38</v>
      </c>
      <c r="G183" s="91">
        <f>[5]ORÇAMENTO!G161*26.63%+[5]ORÇAMENTO!G161</f>
        <v>25.984476000000001</v>
      </c>
      <c r="H183" s="91">
        <f t="shared" si="4"/>
        <v>987.41008800000009</v>
      </c>
      <c r="I183" s="156">
        <f t="shared" si="5"/>
        <v>8.4674229766867751E-4</v>
      </c>
      <c r="J183" s="1"/>
    </row>
    <row r="184" spans="1:10" ht="30">
      <c r="A184" s="69" t="str">
        <f>[5]ORÇAMENTO!A162</f>
        <v>10.5</v>
      </c>
      <c r="B184" s="69">
        <f>[5]ORÇAMENTO!C162</f>
        <v>91959</v>
      </c>
      <c r="C184" s="49" t="str">
        <f>[5]ORÇAMENTO!D162</f>
        <v>INTERRUPTOR SIMPLES (2 MÓDULOS), 10A/250V, INCLUINDO SUPORTE E PLACA - FORNECIMENTO E INSTALAÇÃO. AF_12/2015</v>
      </c>
      <c r="D184" s="69" t="str">
        <f>[5]ORÇAMENTO!B162</f>
        <v>SINAPI</v>
      </c>
      <c r="E184" s="69" t="str">
        <f>[5]ORÇAMENTO!E162</f>
        <v>unid</v>
      </c>
      <c r="F184" s="22">
        <v>9</v>
      </c>
      <c r="G184" s="91">
        <f>[5]ORÇAMENTO!G162*26.63%+[5]ORÇAMENTO!G162</f>
        <v>41.218064999999996</v>
      </c>
      <c r="H184" s="91">
        <f t="shared" si="4"/>
        <v>370.96258499999999</v>
      </c>
      <c r="I184" s="156">
        <f t="shared" si="5"/>
        <v>3.1811474825848857E-4</v>
      </c>
      <c r="J184" s="1"/>
    </row>
    <row r="185" spans="1:10" ht="30">
      <c r="A185" s="69" t="str">
        <f>[5]ORÇAMENTO!A163</f>
        <v>10.6</v>
      </c>
      <c r="B185" s="69">
        <f>[5]ORÇAMENTO!C163</f>
        <v>91936</v>
      </c>
      <c r="C185" s="49" t="str">
        <f>[5]ORÇAMENTO!D163</f>
        <v>CAIXA OCTOGONAL 4" X 4", PVC, INSTALADA EM LAJE - FORNECIMENTO E INSTALAÇÃO. AF_12/2015</v>
      </c>
      <c r="D185" s="69" t="str">
        <f>[5]ORÇAMENTO!B163</f>
        <v>SINAPI</v>
      </c>
      <c r="E185" s="69" t="str">
        <f>[5]ORÇAMENTO!E163</f>
        <v>unid</v>
      </c>
      <c r="F185" s="22">
        <v>97</v>
      </c>
      <c r="G185" s="91">
        <f>[5]ORÇAMENTO!G163*26.63%+[5]ORÇAMENTO!G163</f>
        <v>11.054799000000001</v>
      </c>
      <c r="H185" s="91">
        <f t="shared" si="4"/>
        <v>1072.315503</v>
      </c>
      <c r="I185" s="156">
        <f t="shared" si="5"/>
        <v>9.1955197123321636E-4</v>
      </c>
      <c r="J185" s="1"/>
    </row>
    <row r="186" spans="1:10" ht="45">
      <c r="A186" s="69" t="str">
        <f>[5]ORÇAMENTO!A164</f>
        <v>10.7</v>
      </c>
      <c r="B186" s="69">
        <f>[5]ORÇAMENTO!C164</f>
        <v>91875</v>
      </c>
      <c r="C186" s="49" t="str">
        <f>[5]ORÇAMENTO!D164</f>
        <v>LUVA PARA ELETRODUTO, PVC, ROSCÁVEL, DN 25 MM (3/4"), PARA CIRCUITOS TERMINAIS, INSTALADA EM FORRO - FORNECIMENTO E INSTALAÇÃO. AF_12/2015</v>
      </c>
      <c r="D186" s="69" t="str">
        <f>[5]ORÇAMENTO!B164</f>
        <v>SINAPI</v>
      </c>
      <c r="E186" s="69" t="str">
        <f>[5]ORÇAMENTO!E164</f>
        <v>unid</v>
      </c>
      <c r="F186" s="22">
        <v>103</v>
      </c>
      <c r="G186" s="91">
        <f>[5]ORÇAMENTO!G164*26.63%+[5]ORÇAMENTO!G164</f>
        <v>5.2804710000000004</v>
      </c>
      <c r="H186" s="91">
        <f t="shared" si="4"/>
        <v>543.88851299999999</v>
      </c>
      <c r="I186" s="156">
        <f t="shared" si="5"/>
        <v>4.6640541227002365E-4</v>
      </c>
      <c r="J186" s="1"/>
    </row>
    <row r="187" spans="1:10" ht="45">
      <c r="A187" s="69" t="str">
        <f>[5]ORÇAMENTO!A165</f>
        <v>10.8</v>
      </c>
      <c r="B187" s="69">
        <f>[5]ORÇAMENTO!C165</f>
        <v>91854</v>
      </c>
      <c r="C187" s="49" t="str">
        <f>[5]ORÇAMENTO!D165</f>
        <v>ELETRODUTO FLEXÍVEL CORRUGADO, PVC, DN 25 MM (3/4"), PARA CIRCUITOS TERMINAIS, INSTALADO EM PAREDE - FORNECIMENTO E INSTALAÇÃO. AF_12/2015</v>
      </c>
      <c r="D187" s="69" t="str">
        <f>[5]ORÇAMENTO!B165</f>
        <v>SINAPI</v>
      </c>
      <c r="E187" s="69" t="str">
        <f>[5]ORÇAMENTO!E165</f>
        <v>m</v>
      </c>
      <c r="F187" s="22">
        <v>750</v>
      </c>
      <c r="G187" s="91">
        <f>[5]ORÇAMENTO!G165*26.63%+[5]ORÇAMENTO!G165</f>
        <v>7.9776899999999999</v>
      </c>
      <c r="H187" s="91">
        <f t="shared" si="4"/>
        <v>5983.2674999999999</v>
      </c>
      <c r="I187" s="156">
        <f t="shared" si="5"/>
        <v>5.1308830364272355E-3</v>
      </c>
      <c r="J187" s="1"/>
    </row>
    <row r="188" spans="1:10" ht="30">
      <c r="A188" s="69" t="str">
        <f>[5]ORÇAMENTO!A166</f>
        <v>10.9</v>
      </c>
      <c r="B188" s="69">
        <f>[5]ORÇAMENTO!C166</f>
        <v>95731</v>
      </c>
      <c r="C188" s="49" t="str">
        <f>[5]ORÇAMENTO!D166</f>
        <v>ELETRODUTO RÍGIDO SOLDÁVEL, PVC, DN 32 MM (1), APARENTE, INSTALADO EM PAREDE - FORNECIMENTO E INSTALAÇÃO. AF_11/2016_P</v>
      </c>
      <c r="D188" s="69" t="str">
        <f>[5]ORÇAMENTO!B166</f>
        <v>SINAPI</v>
      </c>
      <c r="E188" s="69" t="str">
        <f>[5]ORÇAMENTO!E166</f>
        <v>m</v>
      </c>
      <c r="F188" s="22">
        <v>210</v>
      </c>
      <c r="G188" s="91">
        <f>[5]ORÇAMENTO!G166*26.63%+[5]ORÇAMENTO!G166</f>
        <v>10.928169</v>
      </c>
      <c r="H188" s="91">
        <f t="shared" si="4"/>
        <v>2294.9154900000003</v>
      </c>
      <c r="I188" s="156">
        <f t="shared" si="5"/>
        <v>1.9679786935274243E-3</v>
      </c>
      <c r="J188" s="1"/>
    </row>
    <row r="189" spans="1:10" ht="45">
      <c r="A189" s="69" t="str">
        <f>[5]ORÇAMENTO!A167</f>
        <v>10.10</v>
      </c>
      <c r="B189" s="69">
        <f>[5]ORÇAMENTO!C167</f>
        <v>91917</v>
      </c>
      <c r="C189" s="49" t="str">
        <f>[5]ORÇAMENTO!D167</f>
        <v>CURVA 90 GRAUS PARA ELETRODUTO, PVC, ROSCÁVEL, DN 32 MM (1"), PARA CIRCUITOS TERMINAIS, INSTALADA EM PAREDE - FORNECIMENTO E INSTALAÇÃO. AF_12/2015</v>
      </c>
      <c r="D189" s="69" t="str">
        <f>[5]ORÇAMENTO!B167</f>
        <v>SINAPI</v>
      </c>
      <c r="E189" s="69" t="str">
        <f>[5]ORÇAMENTO!E167</f>
        <v>unid</v>
      </c>
      <c r="F189" s="22">
        <v>89</v>
      </c>
      <c r="G189" s="91">
        <f>[5]ORÇAMENTO!G167*26.63%+[5]ORÇAMENTO!G167</f>
        <v>14.499134999999999</v>
      </c>
      <c r="H189" s="91">
        <f t="shared" si="4"/>
        <v>1290.4230149999999</v>
      </c>
      <c r="I189" s="156">
        <f t="shared" si="5"/>
        <v>1.1065875890521003E-3</v>
      </c>
      <c r="J189" s="1"/>
    </row>
    <row r="190" spans="1:10" ht="30">
      <c r="A190" s="69" t="str">
        <f>[5]ORÇAMENTO!A168</f>
        <v>10.11</v>
      </c>
      <c r="B190" s="69">
        <f>[5]ORÇAMENTO!C168</f>
        <v>95738</v>
      </c>
      <c r="C190" s="49" t="str">
        <f>[5]ORÇAMENTO!D168</f>
        <v>LUVA PARA ELETRODUTO, PVC, SOLDÁVEL, DN 32 MM (1), APARENTE, INSTALADA EM PAREDE - FORNECIMENTO E INSTALAÇÃO. AF_11/2016_P</v>
      </c>
      <c r="D190" s="69" t="str">
        <f>[5]ORÇAMENTO!B168</f>
        <v>SINAPI</v>
      </c>
      <c r="E190" s="69" t="str">
        <f>[5]ORÇAMENTO!E168</f>
        <v>unid</v>
      </c>
      <c r="F190" s="22">
        <v>102</v>
      </c>
      <c r="G190" s="91">
        <f>[5]ORÇAMENTO!G168*26.63%+[5]ORÇAMENTO!G168</f>
        <v>7.6231259999999992</v>
      </c>
      <c r="H190" s="91">
        <f t="shared" si="4"/>
        <v>777.55885199999989</v>
      </c>
      <c r="I190" s="156">
        <f t="shared" si="5"/>
        <v>6.6678675548947702E-4</v>
      </c>
      <c r="J190" s="1"/>
    </row>
    <row r="191" spans="1:10" ht="45">
      <c r="A191" s="69" t="str">
        <f>[5]ORÇAMENTO!A169</f>
        <v>10.12</v>
      </c>
      <c r="B191" s="69">
        <f>[5]ORÇAMENTO!C169</f>
        <v>101512</v>
      </c>
      <c r="C191" s="49" t="str">
        <f>[5]ORÇAMENTO!D169</f>
        <v>ENTRADA DE ENERGIA ELÉTRICA, AÉREA, TRIFÁSICA, COM CAIXA DE EMBUTIR, CABO DE 35 MM2 E DISJUNTOR DIN 50A (NÃO INCLUSO O POSTE DE CONCRETO). AF_07/2020</v>
      </c>
      <c r="D191" s="69" t="str">
        <f>[5]ORÇAMENTO!B169</f>
        <v>SINAPI</v>
      </c>
      <c r="E191" s="69" t="str">
        <f>[5]ORÇAMENTO!E169</f>
        <v>unid</v>
      </c>
      <c r="F191" s="22">
        <v>1</v>
      </c>
      <c r="G191" s="91">
        <f>[5]ORÇAMENTO!G169*26.63%+[5]ORÇAMENTO!G169</f>
        <v>2640.2481630000002</v>
      </c>
      <c r="H191" s="91">
        <f t="shared" si="4"/>
        <v>2640.2481630000002</v>
      </c>
      <c r="I191" s="156">
        <f t="shared" si="5"/>
        <v>2.2641148020700846E-3</v>
      </c>
      <c r="J191" s="1"/>
    </row>
    <row r="192" spans="1:10" ht="45">
      <c r="A192" s="69" t="str">
        <f>[5]ORÇAMENTO!A170</f>
        <v>10.13</v>
      </c>
      <c r="B192" s="69">
        <f>[5]ORÇAMENTO!C170</f>
        <v>97589</v>
      </c>
      <c r="C192" s="49" t="str">
        <f>[5]ORÇAMENTO!D170</f>
        <v>LUMINÁRIA TIPO PLAFON EM PLÁSTICO, DE SOBREPOR, COM 1 LÂMPADA FLUORESCENTE DE 15 W, SEM REATOR - FORNECIMENTO E INSTALAÇÃO. AF_02/2020</v>
      </c>
      <c r="D192" s="69" t="str">
        <f>[5]ORÇAMENTO!B170</f>
        <v>SINAPI</v>
      </c>
      <c r="E192" s="69" t="str">
        <f>[5]ORÇAMENTO!E170</f>
        <v>unid</v>
      </c>
      <c r="F192" s="22">
        <v>97</v>
      </c>
      <c r="G192" s="91">
        <f>[5]ORÇAMENTO!G170*26.63%+[5]ORÇAMENTO!G170</f>
        <v>51.816996000000003</v>
      </c>
      <c r="H192" s="91">
        <f t="shared" si="4"/>
        <v>5026.2486120000003</v>
      </c>
      <c r="I192" s="156">
        <f t="shared" si="5"/>
        <v>4.3102023668800931E-3</v>
      </c>
      <c r="J192" s="1"/>
    </row>
    <row r="193" spans="1:10" ht="30">
      <c r="A193" s="69" t="str">
        <f>[5]ORÇAMENTO!A171</f>
        <v>10.14</v>
      </c>
      <c r="B193" s="69">
        <f>[5]ORÇAMENTO!C171</f>
        <v>91927</v>
      </c>
      <c r="C193" s="49" t="str">
        <f>[5]ORÇAMENTO!D171</f>
        <v>CABO DE COBRE FLEXÍVEL ISOLADO, 2,5 MM², ANTI-CHAMA 0,6/1,0 KV, PARA CIRCUITOS TERMINAIS - FORNECIMENTO E INSTALAÇÃO. AF_12/2015</v>
      </c>
      <c r="D193" s="69" t="str">
        <f>[5]ORÇAMENTO!B171</f>
        <v>SINAPI</v>
      </c>
      <c r="E193" s="69" t="str">
        <f>[5]ORÇAMENTO!E171</f>
        <v>m</v>
      </c>
      <c r="F193" s="22">
        <v>1470</v>
      </c>
      <c r="G193" s="91">
        <f>[5]ORÇAMENTO!G171*26.63%+[5]ORÇAMENTO!G171</f>
        <v>6.0402509999999996</v>
      </c>
      <c r="H193" s="91">
        <f t="shared" si="4"/>
        <v>8879.1689699999988</v>
      </c>
      <c r="I193" s="156">
        <f t="shared" si="5"/>
        <v>7.6142304260580166E-3</v>
      </c>
      <c r="J193" s="1"/>
    </row>
    <row r="194" spans="1:10" ht="30">
      <c r="A194" s="69" t="str">
        <f>[5]ORÇAMENTO!A172</f>
        <v>10.15</v>
      </c>
      <c r="B194" s="69">
        <f>[5]ORÇAMENTO!C172</f>
        <v>91929</v>
      </c>
      <c r="C194" s="49" t="str">
        <f>[5]ORÇAMENTO!D172</f>
        <v>CABO DE COBRE FLEXÍVEL ISOLADO, 4 MM², ANTI-CHAMA 0,6/1,0 KV, PARA CIRCUITOS TERMINAIS - FORNECIMENTO E INSTALAÇÃO. AF_12/2015</v>
      </c>
      <c r="D194" s="69" t="str">
        <f>[5]ORÇAMENTO!B172</f>
        <v>SINAPI</v>
      </c>
      <c r="E194" s="69" t="str">
        <f>[5]ORÇAMENTO!E172</f>
        <v>m</v>
      </c>
      <c r="F194" s="22">
        <v>1184</v>
      </c>
      <c r="G194" s="91">
        <f>[5]ORÇAMENTO!G172*26.63%+[5]ORÇAMENTO!G172</f>
        <v>8.5221990000000005</v>
      </c>
      <c r="H194" s="91">
        <f t="shared" si="4"/>
        <v>10090.283616000001</v>
      </c>
      <c r="I194" s="156">
        <f t="shared" si="5"/>
        <v>8.6528080247246283E-3</v>
      </c>
      <c r="J194" s="1"/>
    </row>
    <row r="195" spans="1:10" ht="30">
      <c r="A195" s="69" t="str">
        <f>[5]ORÇAMENTO!A173</f>
        <v>10.16</v>
      </c>
      <c r="B195" s="69">
        <f>[5]ORÇAMENTO!C173</f>
        <v>96972</v>
      </c>
      <c r="C195" s="49" t="str">
        <f>[5]ORÇAMENTO!D173</f>
        <v>CORDOALHA DE COBRE NU 25 MM², NÃO ENTERRADA, COM ISOLADOR - FORNECIMENTO E INSTALAÇÃO. AF_12/2017</v>
      </c>
      <c r="D195" s="69" t="str">
        <f>[5]ORÇAMENTO!B173</f>
        <v>SINAPI</v>
      </c>
      <c r="E195" s="69" t="str">
        <f>[5]ORÇAMENTO!E173</f>
        <v>m</v>
      </c>
      <c r="F195" s="22">
        <v>50</v>
      </c>
      <c r="G195" s="91">
        <f>[5]ORÇAMENTO!G173*26.63%+[5]ORÇAMENTO!G173</f>
        <v>52.880687999999999</v>
      </c>
      <c r="H195" s="91">
        <f t="shared" si="4"/>
        <v>2644.0344</v>
      </c>
      <c r="I195" s="156">
        <f t="shared" si="5"/>
        <v>2.2673616465735593E-3</v>
      </c>
      <c r="J195" s="1"/>
    </row>
    <row r="196" spans="1:10" ht="45">
      <c r="A196" s="69" t="str">
        <f>[5]ORÇAMENTO!A174</f>
        <v>10.17</v>
      </c>
      <c r="B196" s="69">
        <f>[5]ORÇAMENTO!C174</f>
        <v>101881</v>
      </c>
      <c r="C196" s="49" t="str">
        <f>[5]ORÇAMENTO!D174</f>
        <v>QUADRO DE DISTRIBUIÇÃO DE ENERGIA EM CHAPA DE AÇO GALVANIZADO, DE EMBUTIR, COM BARRAMENTO TRIFÁSICO, PARA 40 DISJUNTORES DIN 100A - FORNECIMENTO E INSTALAÇÃO. AF_10/2020</v>
      </c>
      <c r="D196" s="69" t="str">
        <f>[5]ORÇAMENTO!B174</f>
        <v>SINAPI</v>
      </c>
      <c r="E196" s="69" t="str">
        <f>[5]ORÇAMENTO!E174</f>
        <v>unid</v>
      </c>
      <c r="F196" s="22">
        <v>2</v>
      </c>
      <c r="G196" s="91">
        <f>[5]ORÇAMENTO!G174*26.63%+[5]ORÇAMENTO!G174</f>
        <v>1194.4501379999999</v>
      </c>
      <c r="H196" s="91">
        <f t="shared" si="4"/>
        <v>2388.9002759999998</v>
      </c>
      <c r="I196" s="156">
        <f t="shared" si="5"/>
        <v>2.0485742784932715E-3</v>
      </c>
      <c r="J196" s="1"/>
    </row>
    <row r="197" spans="1:10" ht="30">
      <c r="A197" s="69" t="str">
        <f>[5]ORÇAMENTO!A175</f>
        <v>10.18</v>
      </c>
      <c r="B197" s="69">
        <f>[5]ORÇAMENTO!C175</f>
        <v>93653</v>
      </c>
      <c r="C197" s="49" t="str">
        <f>[5]ORÇAMENTO!D175</f>
        <v>DISJUNTOR MONOPOLAR TIPO DIN, CORRENTE NOMINAL DE 10A - FORNECIMENTO E INSTALAÇÃO. AF_10/2020</v>
      </c>
      <c r="D197" s="69" t="str">
        <f>[5]ORÇAMENTO!B175</f>
        <v>SINAPI</v>
      </c>
      <c r="E197" s="69" t="str">
        <f>[5]ORÇAMENTO!E175</f>
        <v>unid</v>
      </c>
      <c r="F197" s="22">
        <v>1</v>
      </c>
      <c r="G197" s="91">
        <f>[5]ORÇAMENTO!G175*26.63%+[5]ORÇAMENTO!G175</f>
        <v>12.321099</v>
      </c>
      <c r="H197" s="91">
        <f t="shared" si="4"/>
        <v>12.321099</v>
      </c>
      <c r="I197" s="156">
        <f t="shared" si="5"/>
        <v>1.0565818400939048E-5</v>
      </c>
      <c r="J197" s="1"/>
    </row>
    <row r="198" spans="1:10" ht="30">
      <c r="A198" s="69" t="str">
        <f>[5]ORÇAMENTO!A176</f>
        <v>10.19</v>
      </c>
      <c r="B198" s="69">
        <f>[5]ORÇAMENTO!C176</f>
        <v>93654</v>
      </c>
      <c r="C198" s="49" t="str">
        <f>[5]ORÇAMENTO!D176</f>
        <v>DISJUNTOR MONOPOLAR TIPO DIN, CORRENTE NOMINAL DE 16A - FORNECIMENTO E INSTALAÇÃO. AF_10/2020</v>
      </c>
      <c r="D198" s="69" t="str">
        <f>[5]ORÇAMENTO!B176</f>
        <v>SINAPI</v>
      </c>
      <c r="E198" s="69" t="str">
        <f>[5]ORÇAMENTO!E176</f>
        <v>unid</v>
      </c>
      <c r="F198" s="22">
        <v>21</v>
      </c>
      <c r="G198" s="91">
        <f>[5]ORÇAMENTO!G176*26.63%+[5]ORÇAMENTO!G176</f>
        <v>12.814955999999999</v>
      </c>
      <c r="H198" s="91">
        <f t="shared" si="4"/>
        <v>269.11407599999995</v>
      </c>
      <c r="I198" s="156">
        <f t="shared" si="5"/>
        <v>2.3077571701619383E-4</v>
      </c>
      <c r="J198" s="1"/>
    </row>
    <row r="199" spans="1:10" ht="30">
      <c r="A199" s="69" t="str">
        <f>[5]ORÇAMENTO!A177</f>
        <v>10.20</v>
      </c>
      <c r="B199" s="69">
        <f>[5]ORÇAMENTO!C177</f>
        <v>93656</v>
      </c>
      <c r="C199" s="49" t="str">
        <f>[5]ORÇAMENTO!D177</f>
        <v>DISJUNTOR MONOPOLAR TIPO DIN, CORRENTE NOMINAL DE 25A - FORNECIMENTO E INSTALAÇÃO. AF_10/2020</v>
      </c>
      <c r="D199" s="69" t="str">
        <f>[5]ORÇAMENTO!B177</f>
        <v>SINAPI</v>
      </c>
      <c r="E199" s="69" t="str">
        <f>[5]ORÇAMENTO!E177</f>
        <v>unid</v>
      </c>
      <c r="F199" s="22">
        <v>9</v>
      </c>
      <c r="G199" s="91">
        <f>[5]ORÇAMENTO!G177*26.63%+[5]ORÇAMENTO!G177</f>
        <v>13.802670000000001</v>
      </c>
      <c r="H199" s="91">
        <f t="shared" si="4"/>
        <v>124.22403000000001</v>
      </c>
      <c r="I199" s="156">
        <f t="shared" si="5"/>
        <v>1.0652690494677499E-4</v>
      </c>
      <c r="J199" s="1"/>
    </row>
    <row r="200" spans="1:10" ht="30">
      <c r="A200" s="69" t="str">
        <f>[5]ORÇAMENTO!A178</f>
        <v>10.21</v>
      </c>
      <c r="B200" s="69">
        <f>[5]ORÇAMENTO!C178</f>
        <v>101895</v>
      </c>
      <c r="C200" s="49" t="str">
        <f>[5]ORÇAMENTO!D178</f>
        <v>DISJUNTOR TERMOMAGNÉTICO TRIPOLAR , CORRENTE NOMINAL DE 125A - FORNECIMENTO E INSTALAÇÃO. AF_10/2020</v>
      </c>
      <c r="D200" s="69" t="str">
        <f>[5]ORÇAMENTO!B178</f>
        <v>SINAPI</v>
      </c>
      <c r="E200" s="69" t="str">
        <f>[5]ORÇAMENTO!E178</f>
        <v>unid</v>
      </c>
      <c r="F200" s="22">
        <v>2</v>
      </c>
      <c r="G200" s="91">
        <f>[5]ORÇAMENTO!G178*26.63%+[5]ORÇAMENTO!G178</f>
        <v>454.107843</v>
      </c>
      <c r="H200" s="91">
        <f t="shared" si="4"/>
        <v>908.21568600000001</v>
      </c>
      <c r="I200" s="156">
        <f t="shared" si="5"/>
        <v>7.7883003838864371E-4</v>
      </c>
      <c r="J200" s="1"/>
    </row>
    <row r="201" spans="1:10">
      <c r="A201" s="69" t="str">
        <f>[5]ORÇAMENTO!A179</f>
        <v>10.22</v>
      </c>
      <c r="B201" s="69">
        <f>[5]ORÇAMENTO!C179</f>
        <v>12149</v>
      </c>
      <c r="C201" s="49" t="str">
        <f>[5]ORÇAMENTO!D179</f>
        <v>Dispositivo DR tetrapolar 100A, tipo AC, 30MA</v>
      </c>
      <c r="D201" s="69" t="str">
        <f>[5]ORÇAMENTO!B179</f>
        <v>ORSE</v>
      </c>
      <c r="E201" s="69" t="str">
        <f>[5]ORÇAMENTO!E179</f>
        <v>unid</v>
      </c>
      <c r="F201" s="22">
        <v>2</v>
      </c>
      <c r="G201" s="91">
        <f>[5]ORÇAMENTO!G179*26.63%+[5]ORÇAMENTO!G179</f>
        <v>449.270577</v>
      </c>
      <c r="H201" s="91">
        <f t="shared" si="4"/>
        <v>898.54115400000001</v>
      </c>
      <c r="I201" s="156">
        <f t="shared" si="5"/>
        <v>7.7053375343662169E-4</v>
      </c>
      <c r="J201" s="1"/>
    </row>
    <row r="202" spans="1:10" ht="30">
      <c r="A202" s="69" t="str">
        <f>[5]ORÇAMENTO!A180</f>
        <v>10.23</v>
      </c>
      <c r="B202" s="69">
        <f>[5]ORÇAMENTO!C180</f>
        <v>8083</v>
      </c>
      <c r="C202" s="49" t="str">
        <f>[5]ORÇAMENTO!D180</f>
        <v>Fornecimento e instalação de eletrocalha perfurada 200x70x3000mm (ref. Mopa ou similar).</v>
      </c>
      <c r="D202" s="69" t="str">
        <f>[5]ORÇAMENTO!B180</f>
        <v>ORSE</v>
      </c>
      <c r="E202" s="69" t="str">
        <f>[5]ORÇAMENTO!E180</f>
        <v>m</v>
      </c>
      <c r="F202" s="22">
        <v>25</v>
      </c>
      <c r="G202" s="91">
        <f>[5]ORÇAMENTO!G180*26.63%+[5]ORÇAMENTO!G180</f>
        <v>89.210835000000003</v>
      </c>
      <c r="H202" s="91">
        <f t="shared" si="4"/>
        <v>2230.2708750000002</v>
      </c>
      <c r="I202" s="156">
        <f t="shared" si="5"/>
        <v>1.9125434387105755E-3</v>
      </c>
      <c r="J202" s="1"/>
    </row>
    <row r="203" spans="1:10" ht="60">
      <c r="A203" s="69" t="str">
        <f>[5]ORÇAMENTO!A181</f>
        <v>10.24</v>
      </c>
      <c r="B203" s="69">
        <f>[5]ORÇAMENTO!C181</f>
        <v>96562</v>
      </c>
      <c r="C203" s="49" t="str">
        <f>[5]ORÇAMENTO!D181</f>
        <v>SUPORTE PARA ELETROCALHA LISA OU PERFURADA EM AÇO GALVANIZADO, LARGURA 200 OU 400 MM E ALTURA 50 MM, ESPAÇADO A CADA 1,5 M, EM PERFILADO DE SEÇÃO 38X76 MM, POR METRO DE ELETRECOLHA FIXADA. AF_07/2017</v>
      </c>
      <c r="D203" s="69" t="str">
        <f>[5]ORÇAMENTO!B181</f>
        <v>SINAPI</v>
      </c>
      <c r="E203" s="69" t="str">
        <f>[5]ORÇAMENTO!E181</f>
        <v>m</v>
      </c>
      <c r="F203" s="22">
        <v>40</v>
      </c>
      <c r="G203" s="91">
        <f>[5]ORÇAMENTO!G181*26.63%+[5]ORÇAMENTO!G181</f>
        <v>23.249268000000001</v>
      </c>
      <c r="H203" s="91">
        <f t="shared" ref="H203:H235" si="6">F203*G203</f>
        <v>929.97072000000003</v>
      </c>
      <c r="I203" s="156">
        <f t="shared" ref="I203:I237" si="7">H203/$H$237</f>
        <v>7.9748582051897602E-4</v>
      </c>
      <c r="J203" s="1"/>
    </row>
    <row r="204" spans="1:10">
      <c r="A204" s="69" t="str">
        <f>[5]ORÇAMENTO!A182</f>
        <v>10.25</v>
      </c>
      <c r="B204" s="69">
        <f>[5]ORÇAMENTO!C182</f>
        <v>12500</v>
      </c>
      <c r="C204" s="49" t="str">
        <f>[5]ORÇAMENTO!D182</f>
        <v>Cantoneira "ZZ" para fixação de perfilado, ref. Mopa ou similar.</v>
      </c>
      <c r="D204" s="69" t="str">
        <f>[5]ORÇAMENTO!B182</f>
        <v>ORSE</v>
      </c>
      <c r="E204" s="69" t="str">
        <f>[5]ORÇAMENTO!E182</f>
        <v>unid</v>
      </c>
      <c r="F204" s="22">
        <v>2</v>
      </c>
      <c r="G204" s="91">
        <f>[5]ORÇAMENTO!G182*26.63%+[5]ORÇAMENTO!G182</f>
        <v>9.6871950000000009</v>
      </c>
      <c r="H204" s="91">
        <f t="shared" si="6"/>
        <v>19.374390000000002</v>
      </c>
      <c r="I204" s="156">
        <f t="shared" si="7"/>
        <v>1.6614287927478667E-5</v>
      </c>
      <c r="J204" s="1"/>
    </row>
    <row r="205" spans="1:10">
      <c r="A205" s="69"/>
      <c r="B205" s="69"/>
      <c r="C205" s="49"/>
      <c r="D205" s="69"/>
      <c r="E205" s="69"/>
      <c r="F205" s="22">
        <v>0</v>
      </c>
      <c r="G205" s="91"/>
      <c r="H205" s="91">
        <f t="shared" si="6"/>
        <v>0</v>
      </c>
      <c r="I205" s="156">
        <f t="shared" si="7"/>
        <v>0</v>
      </c>
      <c r="J205" s="1"/>
    </row>
    <row r="206" spans="1:10">
      <c r="A206" s="101">
        <f>[5]ORÇAMENTO!A184</f>
        <v>11</v>
      </c>
      <c r="B206" s="101"/>
      <c r="C206" s="102" t="str">
        <f>[5]ORÇAMENTO!B184</f>
        <v>PINTURA</v>
      </c>
      <c r="D206" s="96"/>
      <c r="E206" s="96"/>
      <c r="F206" s="139">
        <v>0</v>
      </c>
      <c r="G206" s="105"/>
      <c r="H206" s="91">
        <f t="shared" si="6"/>
        <v>0</v>
      </c>
      <c r="I206" s="156">
        <f t="shared" si="7"/>
        <v>0</v>
      </c>
      <c r="J206" s="1"/>
    </row>
    <row r="207" spans="1:10" ht="30">
      <c r="A207" s="69" t="str">
        <f>[5]ORÇAMENTO!A185</f>
        <v>11.1</v>
      </c>
      <c r="B207" s="69">
        <f>[5]ORÇAMENTO!C185</f>
        <v>88489</v>
      </c>
      <c r="C207" s="49" t="str">
        <f>[5]ORÇAMENTO!D185</f>
        <v>APLICAÇÃO MANUAL DE PINTURA COM TINTA LÁTEX ACRÍLICA EM PAREDES, DUAS DEMÃOS. AF_06/2014</v>
      </c>
      <c r="D207" s="69" t="str">
        <f>[5]ORÇAMENTO!B185</f>
        <v>SINAPI</v>
      </c>
      <c r="E207" s="69" t="str">
        <f>[5]ORÇAMENTO!E185</f>
        <v>m²</v>
      </c>
      <c r="F207" s="22">
        <v>3708.15</v>
      </c>
      <c r="G207" s="91">
        <f>[5]ORÇAMENTO!G185*26.63%+[5]ORÇAMENTO!G185</f>
        <v>14.841036000000001</v>
      </c>
      <c r="H207" s="91">
        <f t="shared" si="6"/>
        <v>55032.787643400006</v>
      </c>
      <c r="I207" s="156">
        <f t="shared" si="7"/>
        <v>4.7192741519048488E-2</v>
      </c>
      <c r="J207" s="1"/>
    </row>
    <row r="208" spans="1:10" ht="30">
      <c r="A208" s="69" t="str">
        <f>[5]ORÇAMENTO!A186</f>
        <v>11.2</v>
      </c>
      <c r="B208" s="69">
        <f>[5]ORÇAMENTO!C186</f>
        <v>96135</v>
      </c>
      <c r="C208" s="49" t="str">
        <f>[5]ORÇAMENTO!D186</f>
        <v>APLICAÇÃO MANUAL DE MASSA ACRÍLICA EM PAREDES EXTERNAS DE CASAS, DUAS DEMÃOS. AF_05/2017</v>
      </c>
      <c r="D208" s="69" t="str">
        <f>[5]ORÇAMENTO!B186</f>
        <v>SINAPI</v>
      </c>
      <c r="E208" s="69" t="str">
        <f>[5]ORÇAMENTO!E186</f>
        <v>m²</v>
      </c>
      <c r="F208" s="22">
        <v>994.53</v>
      </c>
      <c r="G208" s="91">
        <f>[5]ORÇAMENTO!G186*26.63%+[5]ORÇAMENTO!G186</f>
        <v>26.250399000000002</v>
      </c>
      <c r="H208" s="91">
        <f t="shared" si="6"/>
        <v>26106.809317470001</v>
      </c>
      <c r="I208" s="156">
        <f t="shared" si="7"/>
        <v>2.2387597589819831E-2</v>
      </c>
      <c r="J208" s="1"/>
    </row>
    <row r="209" spans="1:10" ht="30">
      <c r="A209" s="69" t="str">
        <f>[5]ORÇAMENTO!A187</f>
        <v>11.3</v>
      </c>
      <c r="B209" s="69">
        <f>[5]ORÇAMENTO!C187</f>
        <v>88485</v>
      </c>
      <c r="C209" s="49" t="str">
        <f>[5]ORÇAMENTO!D187</f>
        <v>APLICAÇÃO DE FUNDO SELADOR ACRÍLICO EM PAREDES, UMA DEMÃO. AF_06/2014</v>
      </c>
      <c r="D209" s="69" t="str">
        <f>[5]ORÇAMENTO!B187</f>
        <v>SINAPI</v>
      </c>
      <c r="E209" s="69" t="str">
        <f>[5]ORÇAMENTO!E187</f>
        <v>m²</v>
      </c>
      <c r="F209" s="22">
        <v>418.9</v>
      </c>
      <c r="G209" s="91">
        <f>[5]ORÇAMENTO!G187*26.63%+[5]ORÇAMENTO!G187</f>
        <v>2.65923</v>
      </c>
      <c r="H209" s="91">
        <f t="shared" si="6"/>
        <v>1113.9514469999999</v>
      </c>
      <c r="I209" s="156">
        <f t="shared" si="7"/>
        <v>9.5525640175971938E-4</v>
      </c>
      <c r="J209" s="1"/>
    </row>
    <row r="210" spans="1:10" ht="30">
      <c r="A210" s="69" t="str">
        <f>[5]ORÇAMENTO!A188</f>
        <v>11.4</v>
      </c>
      <c r="B210" s="69">
        <f>[5]ORÇAMENTO!C188</f>
        <v>88497</v>
      </c>
      <c r="C210" s="49" t="str">
        <f>[5]ORÇAMENTO!D188</f>
        <v>APLICAÇÃO E LIXAMENTO DE MASSA LÁTEX EM PAREDES, DUAS DEMÃOS. AF_06/2014</v>
      </c>
      <c r="D210" s="69" t="str">
        <f>[5]ORÇAMENTO!B188</f>
        <v>SINAPI</v>
      </c>
      <c r="E210" s="69" t="str">
        <f>[5]ORÇAMENTO!E188</f>
        <v>m²</v>
      </c>
      <c r="F210" s="22">
        <v>961.62</v>
      </c>
      <c r="G210" s="91">
        <f>[5]ORÇAMENTO!G188*26.63%+[5]ORÇAMENTO!G188</f>
        <v>15.144948000000001</v>
      </c>
      <c r="H210" s="91">
        <f t="shared" si="6"/>
        <v>14563.684895760001</v>
      </c>
      <c r="I210" s="156">
        <f t="shared" si="7"/>
        <v>1.2488922445724939E-2</v>
      </c>
      <c r="J210" s="1"/>
    </row>
    <row r="211" spans="1:10" ht="30">
      <c r="A211" s="69" t="str">
        <f>[5]ORÇAMENTO!A189</f>
        <v>11.5</v>
      </c>
      <c r="B211" s="69">
        <f>[5]ORÇAMENTO!C189</f>
        <v>102203</v>
      </c>
      <c r="C211" s="49" t="str">
        <f>[5]ORÇAMENTO!D189</f>
        <v>PINTURA VERNIZ (INCOLOR) ALQUÍDICO EM MADEIRA, USO INTERNO E EXTERNO, 1 DEMÃO. AF_01/2021</v>
      </c>
      <c r="D211" s="69" t="str">
        <f>[5]ORÇAMENTO!B189</f>
        <v>SINAPI</v>
      </c>
      <c r="E211" s="69" t="str">
        <f>[5]ORÇAMENTO!E189</f>
        <v>m²</v>
      </c>
      <c r="F211" s="22">
        <v>165.06</v>
      </c>
      <c r="G211" s="91">
        <f>[5]ORÇAMENTO!G189*26.63%+[5]ORÇAMENTO!G189</f>
        <v>9.0920339999999999</v>
      </c>
      <c r="H211" s="91">
        <f t="shared" si="6"/>
        <v>1500.7311320399999</v>
      </c>
      <c r="I211" s="156">
        <f t="shared" si="7"/>
        <v>1.286934924374061E-3</v>
      </c>
      <c r="J211" s="1"/>
    </row>
    <row r="212" spans="1:10" ht="45">
      <c r="A212" s="69" t="str">
        <f>[5]ORÇAMENTO!A190</f>
        <v>11.6</v>
      </c>
      <c r="B212" s="69">
        <f>[5]ORÇAMENTO!C190</f>
        <v>100725</v>
      </c>
      <c r="C212" s="49" t="str">
        <f>[5]ORÇAMENTO!D190</f>
        <v>PINTURA COM TINTA ALQUÍDICA DE FUNDO E ACABAMENTO (ESMALTE SINTÉTICO GRAFITE) PULVERIZADA SOBRE SUPERFÍCIES METÁLICAS (EXCETO PERFIL) EXECUTADO EM OBRA (POR DEMÃO). AF_01/2020_P</v>
      </c>
      <c r="D212" s="69" t="str">
        <f>[5]ORÇAMENTO!B190</f>
        <v>SINAPI</v>
      </c>
      <c r="E212" s="69" t="str">
        <f>[5]ORÇAMENTO!E190</f>
        <v>m²</v>
      </c>
      <c r="F212" s="22">
        <v>57.75</v>
      </c>
      <c r="G212" s="91">
        <f>[5]ORÇAMENTO!G190*26.63%+[5]ORÇAMENTO!G190</f>
        <v>19.918899</v>
      </c>
      <c r="H212" s="91">
        <f t="shared" si="6"/>
        <v>1150.3164172500001</v>
      </c>
      <c r="I212" s="156">
        <f t="shared" si="7"/>
        <v>9.8644076865889402E-4</v>
      </c>
      <c r="J212" s="1"/>
    </row>
    <row r="213" spans="1:10">
      <c r="A213" s="69"/>
      <c r="B213" s="69"/>
      <c r="C213" s="49"/>
      <c r="D213" s="69"/>
      <c r="E213" s="69"/>
      <c r="F213" s="22">
        <v>0</v>
      </c>
      <c r="G213" s="91"/>
      <c r="H213" s="91">
        <f t="shared" si="6"/>
        <v>0</v>
      </c>
      <c r="I213" s="156">
        <f t="shared" si="7"/>
        <v>0</v>
      </c>
      <c r="J213" s="1"/>
    </row>
    <row r="214" spans="1:10">
      <c r="A214" s="101">
        <f>[5]ORÇAMENTO!A192</f>
        <v>12</v>
      </c>
      <c r="B214" s="101"/>
      <c r="C214" s="102" t="str">
        <f>[5]ORÇAMENTO!B192</f>
        <v>BANCADAS, LOUÇAS, METAIS E ACESSÓRIOS</v>
      </c>
      <c r="D214" s="101"/>
      <c r="E214" s="101"/>
      <c r="F214" s="103">
        <v>0</v>
      </c>
      <c r="G214" s="104"/>
      <c r="H214" s="91">
        <f t="shared" si="6"/>
        <v>0</v>
      </c>
      <c r="I214" s="156">
        <f t="shared" si="7"/>
        <v>0</v>
      </c>
      <c r="J214" s="1"/>
    </row>
    <row r="215" spans="1:10" ht="62.25" customHeight="1">
      <c r="A215" s="69" t="str">
        <f>[5]ORÇAMENTO!A193</f>
        <v>12.1</v>
      </c>
      <c r="B215" s="69">
        <f>[5]ORÇAMENTO!C193</f>
        <v>12294</v>
      </c>
      <c r="C215" s="49" t="str">
        <f>[5]ORÇAMENTO!D193</f>
        <v>Pia de cozinha com bancada em granito cinza andorinha, e=2cm, dim 3,40x0,60m, com duas cubas de aço inóx, sifão cromado, válvula cromada, torneira cromada 1/2", inclusive rodopia 10cm, assentada.</v>
      </c>
      <c r="D215" s="69" t="str">
        <f>[5]ORÇAMENTO!B193</f>
        <v>ORSE</v>
      </c>
      <c r="E215" s="69" t="str">
        <f>[5]ORÇAMENTO!E193</f>
        <v>unid</v>
      </c>
      <c r="F215" s="22">
        <v>2</v>
      </c>
      <c r="G215" s="91">
        <f>[5]ORÇAMENTO!G193*26.63%+[5]ORÇAMENTO!G193</f>
        <v>2916.972702</v>
      </c>
      <c r="H215" s="91">
        <f t="shared" si="6"/>
        <v>5833.9454040000001</v>
      </c>
      <c r="I215" s="156">
        <f t="shared" si="7"/>
        <v>5.0028335702567593E-3</v>
      </c>
      <c r="J215" s="1"/>
    </row>
    <row r="216" spans="1:10" ht="45">
      <c r="A216" s="69" t="str">
        <f>[5]ORÇAMENTO!A194</f>
        <v>12.2</v>
      </c>
      <c r="B216" s="69">
        <f>[5]ORÇAMENTO!C194</f>
        <v>86937</v>
      </c>
      <c r="C216" s="49" t="str">
        <f>[5]ORÇAMENTO!D194</f>
        <v>CUBA DE EMBUTIR OVAL EM LOUÇA BRANCA, 35 X 50CM OU EQUIVALENTE, INCLUSO VÁLVULA EM METAL CROMADO E SIFÃO FLEXÍVEL EM PVC - FORNECIMENTO E INSTALAÇÃO. AF_01/2020</v>
      </c>
      <c r="D216" s="69" t="str">
        <f>[5]ORÇAMENTO!B194</f>
        <v>SINAPI</v>
      </c>
      <c r="E216" s="69" t="str">
        <f>[5]ORÇAMENTO!E194</f>
        <v>unid</v>
      </c>
      <c r="F216" s="22">
        <v>26</v>
      </c>
      <c r="G216" s="91">
        <f>[5]ORÇAMENTO!G194*26.63%+[5]ORÇAMENTO!G194</f>
        <v>227.02226400000001</v>
      </c>
      <c r="H216" s="91">
        <f t="shared" si="6"/>
        <v>5902.5788640000001</v>
      </c>
      <c r="I216" s="156">
        <f t="shared" si="7"/>
        <v>5.0616894137645594E-3</v>
      </c>
      <c r="J216" s="1"/>
    </row>
    <row r="217" spans="1:10" ht="30">
      <c r="A217" s="69" t="str">
        <f>[5]ORÇAMENTO!A195</f>
        <v>12.3</v>
      </c>
      <c r="B217" s="69">
        <f>[5]ORÇAMENTO!C195</f>
        <v>86906</v>
      </c>
      <c r="C217" s="49" t="str">
        <f>[5]ORÇAMENTO!D195</f>
        <v>TORNEIRA CROMADA DE MESA, 1/2 OU 3/4, PARA LAVATÓRIO, PADRÃO POPULAR - FORNECIMENTO E INSTALAÇÃO. AF_01/2020</v>
      </c>
      <c r="D217" s="69" t="str">
        <f>[5]ORÇAMENTO!B195</f>
        <v>SINAPI</v>
      </c>
      <c r="E217" s="69" t="str">
        <f>[5]ORÇAMENTO!E195</f>
        <v>unid</v>
      </c>
      <c r="F217" s="22">
        <v>26</v>
      </c>
      <c r="G217" s="91">
        <f>[5]ORÇAMENTO!G195*26.63%+[5]ORÇAMENTO!G195</f>
        <v>74.762351999999993</v>
      </c>
      <c r="H217" s="91">
        <f t="shared" si="6"/>
        <v>1943.8211519999998</v>
      </c>
      <c r="I217" s="156">
        <f t="shared" si="7"/>
        <v>1.6669017346533888E-3</v>
      </c>
      <c r="J217" s="1"/>
    </row>
    <row r="218" spans="1:10">
      <c r="A218" s="69" t="str">
        <f>[5]ORÇAMENTO!A196</f>
        <v>12.4</v>
      </c>
      <c r="B218" s="69">
        <f>[5]ORÇAMENTO!C196</f>
        <v>10759</v>
      </c>
      <c r="C218" s="49" t="str">
        <f>[5]ORÇAMENTO!D196</f>
        <v>Bancada em granito cinza andorinha, e=2cm.</v>
      </c>
      <c r="D218" s="69" t="str">
        <f>[5]ORÇAMENTO!B196</f>
        <v>ORSE</v>
      </c>
      <c r="E218" s="69" t="str">
        <f>[5]ORÇAMENTO!E196</f>
        <v>m²</v>
      </c>
      <c r="F218" s="22">
        <v>28.2</v>
      </c>
      <c r="G218" s="91">
        <f>[5]ORÇAMENTO!G196*26.63%+[5]ORÇAMENTO!G196</f>
        <v>475.28037899999998</v>
      </c>
      <c r="H218" s="91">
        <f t="shared" si="6"/>
        <v>13402.906687799999</v>
      </c>
      <c r="I218" s="156">
        <f t="shared" si="7"/>
        <v>1.1493510287355556E-2</v>
      </c>
      <c r="J218" s="1"/>
    </row>
    <row r="219" spans="1:10" ht="60">
      <c r="A219" s="69" t="str">
        <f>[5]ORÇAMENTO!A197</f>
        <v>12.5</v>
      </c>
      <c r="B219" s="69">
        <f>[5]ORÇAMENTO!C197</f>
        <v>86943</v>
      </c>
      <c r="C219" s="49" t="str">
        <f>[5]ORÇAMENTO!D197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19" s="69" t="str">
        <f>[5]ORÇAMENTO!B197</f>
        <v>SINAPI</v>
      </c>
      <c r="E219" s="69" t="str">
        <f>[5]ORÇAMENTO!E197</f>
        <v>unid</v>
      </c>
      <c r="F219" s="22">
        <v>4</v>
      </c>
      <c r="G219" s="91">
        <f>[5]ORÇAMENTO!G197*26.63%+[5]ORÇAMENTO!G197</f>
        <v>265.09990499999998</v>
      </c>
      <c r="H219" s="91">
        <f t="shared" si="6"/>
        <v>1060.3996199999999</v>
      </c>
      <c r="I219" s="156">
        <f t="shared" si="7"/>
        <v>9.0933364120723099E-4</v>
      </c>
      <c r="J219" s="1"/>
    </row>
    <row r="220" spans="1:10" ht="30">
      <c r="A220" s="69" t="str">
        <f>[5]ORÇAMENTO!A198</f>
        <v>12.6</v>
      </c>
      <c r="B220" s="69">
        <f>[5]ORÇAMENTO!C198</f>
        <v>100869</v>
      </c>
      <c r="C220" s="49" t="str">
        <f>[5]ORÇAMENTO!D198</f>
        <v>BARRA DE APOIO RETA, EM ACO INOX POLIDO, COMPRIMENTO 90 CM,  FIXADA NA PAREDE - FORNECIMENTO E INSTALAÇÃO. AF_01/2020</v>
      </c>
      <c r="D220" s="69" t="str">
        <f>[5]ORÇAMENTO!B198</f>
        <v>SINAPI</v>
      </c>
      <c r="E220" s="69" t="str">
        <f>[5]ORÇAMENTO!E198</f>
        <v>unid</v>
      </c>
      <c r="F220" s="22">
        <v>6</v>
      </c>
      <c r="G220" s="91">
        <f>[5]ORÇAMENTO!G198*26.63%+[5]ORÇAMENTO!G198</f>
        <v>404.40556800000002</v>
      </c>
      <c r="H220" s="91">
        <f t="shared" si="6"/>
        <v>2426.4334079999999</v>
      </c>
      <c r="I220" s="156">
        <f t="shared" si="7"/>
        <v>2.0807603892233672E-3</v>
      </c>
      <c r="J220" s="1"/>
    </row>
    <row r="221" spans="1:10" ht="30">
      <c r="A221" s="69" t="str">
        <f>[5]ORÇAMENTO!A199</f>
        <v>12.7</v>
      </c>
      <c r="B221" s="69">
        <f>[5]ORÇAMENTO!C199</f>
        <v>100849</v>
      </c>
      <c r="C221" s="49" t="str">
        <f>[5]ORÇAMENTO!D199</f>
        <v>ASSENTO SANITÁRIO CONVENCIONAL - FORNECIMENTO E INSTALACAO. AF_01/2020</v>
      </c>
      <c r="D221" s="69" t="str">
        <f>[5]ORÇAMENTO!B199</f>
        <v>SINAPI</v>
      </c>
      <c r="E221" s="69" t="str">
        <f>[5]ORÇAMENTO!E199</f>
        <v>unid</v>
      </c>
      <c r="F221" s="22">
        <v>16</v>
      </c>
      <c r="G221" s="91">
        <f>[5]ORÇAMENTO!G199*26.63%+[5]ORÇAMENTO!G199</f>
        <v>50.576021999999995</v>
      </c>
      <c r="H221" s="91">
        <f t="shared" si="6"/>
        <v>809.21635199999992</v>
      </c>
      <c r="I221" s="156">
        <f t="shared" si="7"/>
        <v>6.9393428478274285E-4</v>
      </c>
      <c r="J221" s="1"/>
    </row>
    <row r="222" spans="1:10" ht="45">
      <c r="A222" s="69" t="str">
        <f>[5]ORÇAMENTO!A200</f>
        <v>12.8</v>
      </c>
      <c r="B222" s="69">
        <f>[5]ORÇAMENTO!C200</f>
        <v>86931</v>
      </c>
      <c r="C222" s="49" t="str">
        <f>[5]ORÇAMENTO!D200</f>
        <v>VASO SANITÁRIO SIFONADO COM CAIXA ACOPLADA LOUÇA BRANCA, INCLUSO ENGATE FLEXÍVEL EM PLÁSTICO BRANCO, 1/2  X 40CM - FORNECIMENTO E INSTALAÇÃO. AF_01/2020</v>
      </c>
      <c r="D222" s="69" t="str">
        <f>[5]ORÇAMENTO!B200</f>
        <v>SINAPI</v>
      </c>
      <c r="E222" s="69" t="str">
        <f>[5]ORÇAMENTO!E200</f>
        <v>unid</v>
      </c>
      <c r="F222" s="22">
        <v>16</v>
      </c>
      <c r="G222" s="91">
        <f>[5]ORÇAMENTO!G200*26.63%+[5]ORÇAMENTO!G200</f>
        <v>529.37671499999999</v>
      </c>
      <c r="H222" s="91">
        <f t="shared" si="6"/>
        <v>8470.0274399999998</v>
      </c>
      <c r="I222" s="156">
        <f t="shared" si="7"/>
        <v>7.2633757574718499E-3</v>
      </c>
      <c r="J222" s="1"/>
    </row>
    <row r="223" spans="1:10" ht="60">
      <c r="A223" s="69" t="str">
        <f>[5]ORÇAMENTO!A201</f>
        <v>12.9</v>
      </c>
      <c r="B223" s="69">
        <f>[5]ORÇAMENTO!C201</f>
        <v>95472</v>
      </c>
      <c r="C223" s="49" t="str">
        <f>[5]ORÇAMENTO!D201</f>
        <v>VASO SANITARIO SIFONADO CONVENCIONAL PARA PCD SEM FURO FRONTAL COM LOUÇA BRANCA SEM ASSENTO, INCLUSO CONJUNTO DE LIGAÇÃO PARA BACIA SANITÁRIA AJUSTÁVEL - FORNECIMENTO E INSTALAÇÃO. AF_01/2020</v>
      </c>
      <c r="D223" s="69" t="str">
        <f>[5]ORÇAMENTO!B201</f>
        <v>SINAPI</v>
      </c>
      <c r="E223" s="69" t="str">
        <f>[5]ORÇAMENTO!E201</f>
        <v>unid</v>
      </c>
      <c r="F223" s="22">
        <v>1</v>
      </c>
      <c r="G223" s="91">
        <f>[5]ORÇAMENTO!G201*26.63%+[5]ORÇAMENTO!G201</f>
        <v>819.65066400000001</v>
      </c>
      <c r="H223" s="91">
        <f t="shared" si="6"/>
        <v>819.65066400000001</v>
      </c>
      <c r="I223" s="156">
        <f t="shared" si="7"/>
        <v>7.0288211043780338E-4</v>
      </c>
      <c r="J223" s="1"/>
    </row>
    <row r="224" spans="1:10">
      <c r="A224" s="69" t="str">
        <f>[5]ORÇAMENTO!A202</f>
        <v>12.10</v>
      </c>
      <c r="B224" s="69">
        <f>[5]ORÇAMENTO!C202</f>
        <v>2050</v>
      </c>
      <c r="C224" s="49" t="str">
        <f>[5]ORÇAMENTO!D202</f>
        <v>Chuveiro plástico sem registro.</v>
      </c>
      <c r="D224" s="69" t="str">
        <f>[5]ORÇAMENTO!B202</f>
        <v>ORSE</v>
      </c>
      <c r="E224" s="69" t="str">
        <f>[5]ORÇAMENTO!E202</f>
        <v>unid</v>
      </c>
      <c r="F224" s="22">
        <v>2</v>
      </c>
      <c r="G224" s="91">
        <f>[5]ORÇAMENTO!G202*26.63%+[5]ORÇAMENTO!G202</f>
        <v>38.951388000000001</v>
      </c>
      <c r="H224" s="91">
        <f t="shared" si="6"/>
        <v>77.902776000000003</v>
      </c>
      <c r="I224" s="156">
        <f t="shared" si="7"/>
        <v>6.680464008486847E-5</v>
      </c>
      <c r="J224" s="1"/>
    </row>
    <row r="225" spans="1:10" ht="30">
      <c r="A225" s="69" t="str">
        <f>[5]ORÇAMENTO!A203</f>
        <v>12.11</v>
      </c>
      <c r="B225" s="69">
        <f>[5]ORÇAMENTO!C203</f>
        <v>95546</v>
      </c>
      <c r="C225" s="49" t="str">
        <f>[5]ORÇAMENTO!D203</f>
        <v>KIT DE ACESSORIOS PARA BANHEIRO EM METAL CROMADO, 5 PECAS, INCLUSO FIXAÇÃO. AF_01/2020</v>
      </c>
      <c r="D225" s="69" t="str">
        <f>[5]ORÇAMENTO!B203</f>
        <v>SINAPI</v>
      </c>
      <c r="E225" s="69" t="str">
        <f>[5]ORÇAMENTO!E203</f>
        <v>unid</v>
      </c>
      <c r="F225" s="22">
        <v>14</v>
      </c>
      <c r="G225" s="91">
        <f>[5]ORÇAMENTO!G203*26.63%+[5]ORÇAMENTO!G203</f>
        <v>111.117825</v>
      </c>
      <c r="H225" s="91">
        <f t="shared" si="6"/>
        <v>1555.6495499999999</v>
      </c>
      <c r="I225" s="156">
        <f t="shared" si="7"/>
        <v>1.3340295894710811E-3</v>
      </c>
      <c r="J225" s="1"/>
    </row>
    <row r="226" spans="1:10" ht="60">
      <c r="A226" s="69" t="str">
        <f>[5]ORÇAMENTO!A204</f>
        <v>12.12</v>
      </c>
      <c r="B226" s="69">
        <f>[5]ORÇAMENTO!C204</f>
        <v>86929</v>
      </c>
      <c r="C226" s="49" t="str">
        <f>[5]ORÇAMENTO!D204</f>
        <v>TANQUE DE MÁRMORE SINTÉTICO SUSPENSO, 22L OU EQUIVALENTE, INCLUSO SIFÃO FLEXÍVEL EM PVC, VÁLVULA PLÁSTICA E TORNEIRA DE METAL CROMADO PADRÃO POPULAR - FORNECIMENTO E INSTALAÇÃO. AF_01/2020</v>
      </c>
      <c r="D226" s="69" t="str">
        <f>[5]ORÇAMENTO!B204</f>
        <v>SINAPI</v>
      </c>
      <c r="E226" s="69" t="str">
        <f>[5]ORÇAMENTO!E204</f>
        <v>unid</v>
      </c>
      <c r="F226" s="22">
        <v>2</v>
      </c>
      <c r="G226" s="91">
        <f>[5]ORÇAMENTO!G204*26.63%+[5]ORÇAMENTO!G204</f>
        <v>360.87017400000002</v>
      </c>
      <c r="H226" s="91">
        <f t="shared" si="6"/>
        <v>721.74034800000004</v>
      </c>
      <c r="I226" s="156">
        <f t="shared" si="7"/>
        <v>6.1892023183959094E-4</v>
      </c>
      <c r="J226" s="1"/>
    </row>
    <row r="227" spans="1:10">
      <c r="A227" s="69"/>
      <c r="B227" s="69"/>
      <c r="C227" s="49"/>
      <c r="D227" s="69"/>
      <c r="E227" s="69"/>
      <c r="F227" s="22">
        <v>0</v>
      </c>
      <c r="G227" s="91"/>
      <c r="H227" s="91">
        <f t="shared" si="6"/>
        <v>0</v>
      </c>
      <c r="I227" s="156">
        <f t="shared" si="7"/>
        <v>0</v>
      </c>
      <c r="J227" s="1"/>
    </row>
    <row r="228" spans="1:10">
      <c r="A228" s="101">
        <f>[5]ORÇAMENTO!A206</f>
        <v>13</v>
      </c>
      <c r="B228" s="101"/>
      <c r="C228" s="102" t="str">
        <f>[5]ORÇAMENTO!B206</f>
        <v>SERVIÇOS COMPLEMENTARES</v>
      </c>
      <c r="D228" s="101"/>
      <c r="E228" s="101"/>
      <c r="F228" s="103">
        <v>0</v>
      </c>
      <c r="G228" s="104"/>
      <c r="H228" s="91">
        <f t="shared" si="6"/>
        <v>0</v>
      </c>
      <c r="I228" s="156">
        <f t="shared" si="7"/>
        <v>0</v>
      </c>
      <c r="J228" s="1"/>
    </row>
    <row r="229" spans="1:10" ht="30">
      <c r="A229" s="69" t="str">
        <f>[5]ORÇAMENTO!A207</f>
        <v>13.1</v>
      </c>
      <c r="B229" s="69">
        <f>[5]ORÇAMENTO!C207</f>
        <v>99803</v>
      </c>
      <c r="C229" s="49" t="str">
        <f>[5]ORÇAMENTO!D207</f>
        <v>LIMPEZA DE PISO CERÂMICO OU PORCELANATO COM PANO ÚMIDO. AF_04/2019</v>
      </c>
      <c r="D229" s="69" t="str">
        <f>[5]ORÇAMENTO!B207</f>
        <v>SINAPI</v>
      </c>
      <c r="E229" s="69" t="str">
        <f>[5]ORÇAMENTO!E207</f>
        <v>m²</v>
      </c>
      <c r="F229" s="22">
        <v>774.83</v>
      </c>
      <c r="G229" s="91">
        <f>[5]ORÇAMENTO!G207*26.63%+[5]ORÇAMENTO!G207</f>
        <v>1.7221680000000001</v>
      </c>
      <c r="H229" s="91">
        <f t="shared" si="6"/>
        <v>1334.3874314400002</v>
      </c>
      <c r="I229" s="156">
        <f t="shared" si="7"/>
        <v>1.1442887746531819E-3</v>
      </c>
      <c r="J229" s="1"/>
    </row>
    <row r="230" spans="1:10" ht="45">
      <c r="A230" s="69" t="str">
        <f>[5]ORÇAMENTO!A208</f>
        <v>13.2</v>
      </c>
      <c r="B230" s="69">
        <f>[5]ORÇAMENTO!C208</f>
        <v>10076</v>
      </c>
      <c r="C230" s="49" t="str">
        <f>[5]ORÇAMENTO!D208</f>
        <v>Corrimão em tubo de aço galvanizado (altura = 1,05 m), com barras verticais a cada 2,00m (1.1/2"), barra horizontal  superior (2"), barra horizontal intermediária (dupla) (1.1/2") e barra horizontal inferior (1").</v>
      </c>
      <c r="D230" s="69" t="str">
        <f>[5]ORÇAMENTO!B208</f>
        <v>ORSE</v>
      </c>
      <c r="E230" s="69" t="str">
        <f>[5]ORÇAMENTO!E208</f>
        <v>m</v>
      </c>
      <c r="F230" s="22">
        <v>32.28</v>
      </c>
      <c r="G230" s="91">
        <f>[5]ORÇAMENTO!G208*26.63%+[5]ORÇAMENTO!G208</f>
        <v>496.288296</v>
      </c>
      <c r="H230" s="91">
        <f t="shared" si="6"/>
        <v>16020.186194880001</v>
      </c>
      <c r="I230" s="156">
        <f t="shared" si="7"/>
        <v>1.3737928579612323E-2</v>
      </c>
      <c r="J230" s="1"/>
    </row>
    <row r="231" spans="1:10" ht="45">
      <c r="A231" s="69" t="str">
        <f>[5]ORÇAMENTO!A209</f>
        <v>13.3</v>
      </c>
      <c r="B231" s="69">
        <f>[5]ORÇAMENTO!C209</f>
        <v>4420</v>
      </c>
      <c r="C231" s="49" t="str">
        <f>[5]ORÇAMENTO!D209</f>
        <v>Banco de concreto em alvenaria de tijolo maciço, assento em concreto simples, sem encosto, revestido em todas as faces com cerâmica Elizabeth 20x20cm ou similar.</v>
      </c>
      <c r="D231" s="69" t="str">
        <f>[5]ORÇAMENTO!B209</f>
        <v>ORSE</v>
      </c>
      <c r="E231" s="69" t="str">
        <f>[5]ORÇAMENTO!E209</f>
        <v>m</v>
      </c>
      <c r="F231" s="22">
        <v>7.8</v>
      </c>
      <c r="G231" s="91">
        <f>[5]ORÇAMENTO!G209*26.63%+[5]ORÇAMENTO!G209</f>
        <v>247.498335</v>
      </c>
      <c r="H231" s="91">
        <f t="shared" si="6"/>
        <v>1930.4870129999999</v>
      </c>
      <c r="I231" s="156">
        <f t="shared" si="7"/>
        <v>1.6554671953150654E-3</v>
      </c>
      <c r="J231" s="1"/>
    </row>
    <row r="232" spans="1:10">
      <c r="A232" s="69" t="str">
        <f>[5]ORÇAMENTO!A210</f>
        <v>13.4</v>
      </c>
      <c r="B232" s="69">
        <f>[5]ORÇAMENTO!C210</f>
        <v>12058</v>
      </c>
      <c r="C232" s="49" t="str">
        <f>[5]ORÇAMENTO!D210</f>
        <v>Letra em alumínio 50x50cm - instalado</v>
      </c>
      <c r="D232" s="69" t="str">
        <f>[5]ORÇAMENTO!B210</f>
        <v>ORSE</v>
      </c>
      <c r="E232" s="69" t="str">
        <f>[5]ORÇAMENTO!E210</f>
        <v>unid</v>
      </c>
      <c r="F232" s="22">
        <v>16</v>
      </c>
      <c r="G232" s="91">
        <f>[5]ORÇAMENTO!G210*26.63%+[5]ORÇAMENTO!G210</f>
        <v>262.68127199999998</v>
      </c>
      <c r="H232" s="91">
        <f t="shared" si="6"/>
        <v>4202.9003519999997</v>
      </c>
      <c r="I232" s="156">
        <f t="shared" si="7"/>
        <v>3.6041494250208359E-3</v>
      </c>
      <c r="J232" s="1"/>
    </row>
    <row r="233" spans="1:10">
      <c r="A233" s="69" t="str">
        <f>[5]ORÇAMENTO!A211</f>
        <v>13.5</v>
      </c>
      <c r="B233" s="69">
        <f>[5]ORÇAMENTO!C211</f>
        <v>12055</v>
      </c>
      <c r="C233" s="49" t="str">
        <f>[5]ORÇAMENTO!D211</f>
        <v>Letra em alumínio 25x25cm - instalado</v>
      </c>
      <c r="D233" s="69" t="str">
        <f>[5]ORÇAMENTO!B211</f>
        <v>ORSE</v>
      </c>
      <c r="E233" s="69" t="str">
        <f>[5]ORÇAMENTO!E211</f>
        <v>unid</v>
      </c>
      <c r="F233" s="22">
        <v>50</v>
      </c>
      <c r="G233" s="91">
        <f>[5]ORÇAMENTO!G211*26.63%+[5]ORÇAMENTO!G211</f>
        <v>135.798012</v>
      </c>
      <c r="H233" s="91">
        <f t="shared" si="6"/>
        <v>6789.9005999999999</v>
      </c>
      <c r="I233" s="156">
        <f t="shared" si="7"/>
        <v>5.8226020828196475E-3</v>
      </c>
      <c r="J233" s="1"/>
    </row>
    <row r="234" spans="1:10" ht="60">
      <c r="A234" s="64" t="s">
        <v>663</v>
      </c>
      <c r="B234" s="64">
        <v>12400</v>
      </c>
      <c r="C234" s="63" t="s">
        <v>664</v>
      </c>
      <c r="D234" s="69" t="s">
        <v>1</v>
      </c>
      <c r="E234" s="69" t="s">
        <v>665</v>
      </c>
      <c r="F234" s="22">
        <v>47.5</v>
      </c>
      <c r="G234" s="159">
        <f>268.4*1.2663*0.965</f>
        <v>327.97929779999998</v>
      </c>
      <c r="H234" s="91">
        <f t="shared" si="6"/>
        <v>15579.0166455</v>
      </c>
      <c r="I234" s="156">
        <f t="shared" si="7"/>
        <v>1.3359608647050041E-2</v>
      </c>
      <c r="J234" s="1"/>
    </row>
    <row r="235" spans="1:10" ht="30">
      <c r="A235" s="64" t="s">
        <v>666</v>
      </c>
      <c r="B235" s="64">
        <v>94213</v>
      </c>
      <c r="C235" s="63" t="s">
        <v>667</v>
      </c>
      <c r="D235" s="69" t="s">
        <v>7</v>
      </c>
      <c r="E235" s="69" t="s">
        <v>665</v>
      </c>
      <c r="F235" s="22">
        <v>47.5</v>
      </c>
      <c r="G235" s="91">
        <f>90.88*1.2663*0.965</f>
        <v>111.05349695999999</v>
      </c>
      <c r="H235" s="91">
        <f t="shared" si="6"/>
        <v>5275.0411055999994</v>
      </c>
      <c r="I235" s="156">
        <f t="shared" si="7"/>
        <v>4.5235515418923528E-3</v>
      </c>
      <c r="J235" s="1"/>
    </row>
    <row r="236" spans="1:10" ht="15.75" thickBot="1">
      <c r="A236" s="150"/>
      <c r="B236" s="84"/>
      <c r="C236" s="160"/>
      <c r="D236" s="84"/>
      <c r="E236" s="84"/>
      <c r="F236" s="161"/>
      <c r="G236" s="162"/>
      <c r="H236" s="162"/>
      <c r="I236" s="162"/>
    </row>
    <row r="237" spans="1:10">
      <c r="A237" s="150"/>
      <c r="B237" s="84"/>
      <c r="G237" s="163"/>
      <c r="H237" s="164">
        <f>SUM(H10:H235)</f>
        <v>1166128.2195523018</v>
      </c>
      <c r="I237" s="165">
        <f t="shared" si="7"/>
        <v>1</v>
      </c>
    </row>
    <row r="238" spans="1:10">
      <c r="F238" s="1"/>
      <c r="H238" s="166"/>
      <c r="I238" s="167"/>
    </row>
    <row r="239" spans="1:10" ht="15.75" thickBot="1">
      <c r="F239" s="1"/>
      <c r="H239" s="168" t="s">
        <v>668</v>
      </c>
      <c r="I239" s="169"/>
    </row>
    <row r="240" spans="1:10" ht="15.75" thickBot="1">
      <c r="F240" s="1"/>
      <c r="I240" s="170"/>
    </row>
  </sheetData>
  <mergeCells count="13">
    <mergeCell ref="F7:F8"/>
    <mergeCell ref="G7:G8"/>
    <mergeCell ref="H7:I7"/>
    <mergeCell ref="A1:I1"/>
    <mergeCell ref="A2:I2"/>
    <mergeCell ref="A3:I3"/>
    <mergeCell ref="A4:I4"/>
    <mergeCell ref="A6:I6"/>
    <mergeCell ref="A7:A8"/>
    <mergeCell ref="B7:B8"/>
    <mergeCell ref="C7:C8"/>
    <mergeCell ref="D7:D8"/>
    <mergeCell ref="E7:E8"/>
  </mergeCells>
  <conditionalFormatting sqref="F10:F93">
    <cfRule type="cellIs" dxfId="3" priority="3" operator="lessThan">
      <formula>0</formula>
    </cfRule>
  </conditionalFormatting>
  <conditionalFormatting sqref="F96:F236">
    <cfRule type="cellIs" dxfId="2" priority="1" operator="lessThan">
      <formula>0</formula>
    </cfRule>
  </conditionalFormatting>
  <conditionalFormatting sqref="I236">
    <cfRule type="cellIs" dxfId="1" priority="2" operator="lessThan">
      <formula>0</formula>
    </cfRule>
    <cfRule type="cellIs" dxfId="0" priority="4" operator="greaterThan">
      <formula>0</formula>
    </cfRule>
  </conditionalFormatting>
  <hyperlinks>
    <hyperlink ref="C15" r:id="rId1" display="http://orse.cehop.se.gov.br/composicao.asp?font_sg_fonte=ORSE&amp;serv_nr_codigo=3141&amp;peri_nr_ano=2022&amp;peri_nr_mes=2&amp;peri_nr_ordem=1" xr:uid="{00000000-0004-0000-0800-000000000000}"/>
    <hyperlink ref="B15" r:id="rId2" display="http://orse.cehop.se.gov.br/composicao.asp?font_sg_fonte=ORSE&amp;serv_nr_codigo=3141&amp;peri_nr_ano=2022&amp;peri_nr_mes=2&amp;peri_nr_ordem=1" xr:uid="{00000000-0004-0000-0800-000001000000}"/>
    <hyperlink ref="E15" r:id="rId3" display="http://orse.cehop.se.gov.br/composicao.asp?font_sg_fonte=ORSE&amp;serv_nr_codigo=3141&amp;peri_nr_ano=2022&amp;peri_nr_mes=2&amp;peri_nr_ordem=1" xr:uid="{00000000-0004-0000-0800-000002000000}"/>
    <hyperlink ref="B52" r:id="rId4" display="http://orse.cehop.se.gov.br/composicao.asp?font_sg_fonte=ORSE&amp;serv_nr_codigo=12625&amp;peri_nr_ano=2022&amp;peri_nr_mes=2&amp;peri_nr_ordem=1" xr:uid="{00000000-0004-0000-0800-000003000000}"/>
    <hyperlink ref="C52" r:id="rId5" display="http://orse.cehop.se.gov.br/composicao.asp?font_sg_fonte=ORSE&amp;serv_nr_codigo=12625&amp;peri_nr_ano=2022&amp;peri_nr_mes=2&amp;peri_nr_ordem=1" xr:uid="{00000000-0004-0000-0800-000004000000}"/>
    <hyperlink ref="D52" r:id="rId6" display="http://orse.cehop.se.gov.br/composicao.asp?font_sg_fonte=ORSE&amp;serv_nr_codigo=12625&amp;peri_nr_ano=2022&amp;peri_nr_mes=2&amp;peri_nr_ordem=1" xr:uid="{00000000-0004-0000-0800-000005000000}"/>
    <hyperlink ref="B83" r:id="rId7" display="http://orse.cehop.se.gov.br/composicao.asp?font_sg_fonte=ORSE&amp;serv_nr_codigo=11347&amp;peri_nr_ano=2022&amp;peri_nr_mes=2&amp;peri_nr_ordem=1" xr:uid="{00000000-0004-0000-0800-000006000000}"/>
    <hyperlink ref="C83" r:id="rId8" display="http://orse.cehop.se.gov.br/composicao.asp?font_sg_fonte=ORSE&amp;serv_nr_codigo=11347&amp;peri_nr_ano=2022&amp;peri_nr_mes=2&amp;peri_nr_ordem=1" xr:uid="{00000000-0004-0000-0800-000007000000}"/>
    <hyperlink ref="D83" r:id="rId9" display="http://orse.cehop.se.gov.br/composicao.asp?font_sg_fonte=ORSE&amp;serv_nr_codigo=11347&amp;peri_nr_ano=2022&amp;peri_nr_mes=2&amp;peri_nr_ordem=1" xr:uid="{00000000-0004-0000-0800-000008000000}"/>
    <hyperlink ref="B42" r:id="rId10" display="https://sites.seinfra.ce.gov.br/siproce/desonerada/html/C0074.html?a=1620068787511" xr:uid="{00000000-0004-0000-0800-000009000000}"/>
    <hyperlink ref="C42" r:id="rId11" display="https://sites.seinfra.ce.gov.br/siproce/desonerada/html/C0074.html?a=1620068787511" xr:uid="{00000000-0004-0000-0800-00000A000000}"/>
    <hyperlink ref="B55" r:id="rId12" display="http://orse.cehop.se.gov.br/composicao.asp?font_sg_fonte=ORSE&amp;serv_nr_codigo=8269&amp;peri_nr_ano=2022&amp;peri_nr_mes=2&amp;peri_nr_ordem=1" xr:uid="{00000000-0004-0000-0800-00000B000000}"/>
    <hyperlink ref="C55" r:id="rId13" display="http://orse.cehop.se.gov.br/composicao.asp?font_sg_fonte=ORSE&amp;serv_nr_codigo=8269&amp;peri_nr_ano=2022&amp;peri_nr_mes=2&amp;peri_nr_ordem=1" xr:uid="{00000000-0004-0000-0800-00000C000000}"/>
    <hyperlink ref="E55" r:id="rId14" display="http://orse.cehop.se.gov.br/composicao.asp?font_sg_fonte=ORSE&amp;serv_nr_codigo=8269&amp;peri_nr_ano=2022&amp;peri_nr_mes=2&amp;peri_nr_ordem=1" xr:uid="{00000000-0004-0000-0800-00000D000000}"/>
    <hyperlink ref="B71" r:id="rId15" display="http://orse.cehop.se.gov.br/composicao.asp?font_sg_fonte=ORSE&amp;serv_nr_codigo=12093&amp;peri_nr_ano=2022&amp;peri_nr_mes=2&amp;peri_nr_ordem=1" xr:uid="{00000000-0004-0000-0800-00000E000000}"/>
    <hyperlink ref="C71" r:id="rId16" display="http://orse.cehop.se.gov.br/composicao.asp?font_sg_fonte=ORSE&amp;serv_nr_codigo=12093&amp;peri_nr_ano=2022&amp;peri_nr_mes=2&amp;peri_nr_ordem=1" xr:uid="{00000000-0004-0000-0800-00000F000000}"/>
    <hyperlink ref="B72" r:id="rId17" display="http://orse.cehop.se.gov.br/composicao.asp?font_sg_fonte=ORSE&amp;serv_nr_codigo=11955&amp;peri_nr_ano=2022&amp;peri_nr_mes=2&amp;peri_nr_ordem=1" xr:uid="{00000000-0004-0000-0800-000010000000}"/>
    <hyperlink ref="C72" r:id="rId18" display="http://orse.cehop.se.gov.br/composicao.asp?font_sg_fonte=ORSE&amp;serv_nr_codigo=11955&amp;peri_nr_ano=2022&amp;peri_nr_mes=2&amp;peri_nr_ordem=1" xr:uid="{00000000-0004-0000-0800-000011000000}"/>
    <hyperlink ref="B76" r:id="rId19" display="http://orse.cehop.se.gov.br/composicao.asp?font_sg_fonte=ORSE&amp;serv_nr_codigo=4723&amp;peri_nr_ano=2022&amp;peri_nr_mes=2&amp;peri_nr_ordem=1" xr:uid="{00000000-0004-0000-0800-000012000000}"/>
    <hyperlink ref="C76" r:id="rId20" display="http://orse.cehop.se.gov.br/composicao.asp?font_sg_fonte=ORSE&amp;serv_nr_codigo=4723&amp;peri_nr_ano=2022&amp;peri_nr_mes=2&amp;peri_nr_ordem=1" xr:uid="{00000000-0004-0000-0800-000013000000}"/>
    <hyperlink ref="B77" r:id="rId21" display="http://orse.cehop.se.gov.br/composicao.asp?font_sg_fonte=ORSE&amp;serv_nr_codigo=7149&amp;peri_nr_ano=2022&amp;peri_nr_mes=2&amp;peri_nr_ordem=1" xr:uid="{00000000-0004-0000-0800-000014000000}"/>
    <hyperlink ref="C77" r:id="rId22" display="http://orse.cehop.se.gov.br/composicao.asp?font_sg_fonte=ORSE&amp;serv_nr_codigo=7149&amp;peri_nr_ano=2022&amp;peri_nr_mes=2&amp;peri_nr_ordem=1" xr:uid="{00000000-0004-0000-0800-000015000000}"/>
    <hyperlink ref="B78" r:id="rId23" display="http://orse.cehop.se.gov.br/composicao.asp?font_sg_fonte=ORSE&amp;serv_nr_codigo=7148&amp;peri_nr_ano=2022&amp;peri_nr_mes=2&amp;peri_nr_ordem=1" xr:uid="{00000000-0004-0000-0800-000016000000}"/>
    <hyperlink ref="C78" r:id="rId24" display="http://orse.cehop.se.gov.br/composicao.asp?font_sg_fonte=ORSE&amp;serv_nr_codigo=7148&amp;peri_nr_ano=2022&amp;peri_nr_mes=2&amp;peri_nr_ordem=1" xr:uid="{00000000-0004-0000-0800-000017000000}"/>
    <hyperlink ref="E71" r:id="rId25" display="http://orse.cehop.se.gov.br/composicao.asp?font_sg_fonte=ORSE&amp;serv_nr_codigo=12093&amp;peri_nr_ano=2022&amp;peri_nr_mes=2&amp;peri_nr_ordem=1" xr:uid="{00000000-0004-0000-0800-000018000000}"/>
    <hyperlink ref="E72" r:id="rId26" display="http://orse.cehop.se.gov.br/composicao.asp?font_sg_fonte=ORSE&amp;serv_nr_codigo=11955&amp;peri_nr_ano=2022&amp;peri_nr_mes=2&amp;peri_nr_ordem=1" xr:uid="{00000000-0004-0000-0800-000019000000}"/>
    <hyperlink ref="E76" r:id="rId27" display="http://orse.cehop.se.gov.br/composicao.asp?font_sg_fonte=ORSE&amp;serv_nr_codigo=4723&amp;peri_nr_ano=2022&amp;peri_nr_mes=2&amp;peri_nr_ordem=1" xr:uid="{00000000-0004-0000-0800-00001A000000}"/>
    <hyperlink ref="E77" r:id="rId28" display="http://orse.cehop.se.gov.br/composicao.asp?font_sg_fonte=ORSE&amp;serv_nr_codigo=7149&amp;peri_nr_ano=2022&amp;peri_nr_mes=2&amp;peri_nr_ordem=1" xr:uid="{00000000-0004-0000-0800-00001B000000}"/>
    <hyperlink ref="E78" r:id="rId29" display="http://orse.cehop.se.gov.br/composicao.asp?font_sg_fonte=ORSE&amp;serv_nr_codigo=7148&amp;peri_nr_ano=2022&amp;peri_nr_mes=2&amp;peri_nr_ordem=1" xr:uid="{00000000-0004-0000-0800-00001C000000}"/>
    <hyperlink ref="B74" r:id="rId30" display="http://orse.cehop.se.gov.br/composicao.asp?font_sg_fonte=ORSE&amp;serv_nr_codigo=1770&amp;peri_nr_ano=2022&amp;peri_nr_mes=2&amp;peri_nr_ordem=1" xr:uid="{00000000-0004-0000-0800-00001D000000}"/>
    <hyperlink ref="C74" r:id="rId31" display="http://orse.cehop.se.gov.br/composicao.asp?font_sg_fonte=ORSE&amp;serv_nr_codigo=1770&amp;peri_nr_ano=2022&amp;peri_nr_mes=2&amp;peri_nr_ordem=1" xr:uid="{00000000-0004-0000-0800-00001E000000}"/>
    <hyperlink ref="E74" r:id="rId32" display="http://orse.cehop.se.gov.br/composicao.asp?font_sg_fonte=ORSE&amp;serv_nr_codigo=1770&amp;peri_nr_ano=2022&amp;peri_nr_mes=2&amp;peri_nr_ordem=1" xr:uid="{00000000-0004-0000-0800-00001F000000}"/>
    <hyperlink ref="B102" r:id="rId33" display="https://app.orcafascio.com/banco/sinapi/composicoes/62338683e64d1e19238e91f6?estado_sinapi=PB" xr:uid="{00000000-0004-0000-0800-000020000000}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48" fitToHeight="8" orientation="landscape" horizontalDpi="300" verticalDpi="300" r:id="rId34"/>
  <rowBreaks count="1" manualBreakCount="1">
    <brk id="158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099"/>
  <sheetViews>
    <sheetView topLeftCell="A187" zoomScaleNormal="100" zoomScaleSheetLayoutView="100" workbookViewId="0">
      <selection activeCell="O11" sqref="O11"/>
    </sheetView>
  </sheetViews>
  <sheetFormatPr defaultRowHeight="15"/>
  <cols>
    <col min="1" max="1" width="9.140625" style="57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40" bestFit="1" customWidth="1"/>
  </cols>
  <sheetData>
    <row r="1" spans="1:13" ht="16.5" thickBot="1">
      <c r="A1" s="409"/>
      <c r="B1" s="410"/>
      <c r="C1" s="415" t="s">
        <v>409</v>
      </c>
      <c r="D1" s="416"/>
      <c r="E1" s="416"/>
      <c r="F1" s="416"/>
      <c r="G1" s="416"/>
      <c r="H1" s="416"/>
      <c r="I1" s="416"/>
      <c r="J1" s="416"/>
      <c r="K1" s="416"/>
      <c r="L1" s="416"/>
      <c r="M1" s="417"/>
    </row>
    <row r="2" spans="1:13">
      <c r="A2" s="411"/>
      <c r="B2" s="412"/>
      <c r="C2" s="418" t="s">
        <v>410</v>
      </c>
      <c r="D2" s="419"/>
      <c r="E2" s="419"/>
      <c r="F2" s="419"/>
      <c r="G2" s="420"/>
      <c r="H2" s="418" t="s">
        <v>411</v>
      </c>
      <c r="I2" s="419"/>
      <c r="J2" s="419"/>
      <c r="K2" s="419"/>
      <c r="L2" s="419"/>
      <c r="M2" s="420"/>
    </row>
    <row r="3" spans="1:13" ht="15.75" thickBot="1">
      <c r="A3" s="411"/>
      <c r="B3" s="412"/>
      <c r="C3" s="421" t="s">
        <v>431</v>
      </c>
      <c r="D3" s="422"/>
      <c r="E3" s="422"/>
      <c r="F3" s="422"/>
      <c r="G3" s="423"/>
      <c r="H3" s="424" t="s">
        <v>412</v>
      </c>
      <c r="I3" s="425"/>
      <c r="J3" s="425"/>
      <c r="K3" s="425"/>
      <c r="L3" s="425"/>
      <c r="M3" s="426"/>
    </row>
    <row r="4" spans="1:13">
      <c r="A4" s="411"/>
      <c r="B4" s="412"/>
      <c r="C4" s="418" t="s">
        <v>413</v>
      </c>
      <c r="D4" s="419"/>
      <c r="E4" s="419"/>
      <c r="F4" s="419"/>
      <c r="G4" s="420"/>
      <c r="H4" s="427" t="s">
        <v>414</v>
      </c>
      <c r="I4" s="428"/>
      <c r="J4" s="428"/>
      <c r="K4" s="429"/>
      <c r="L4" s="28"/>
      <c r="M4" s="29"/>
    </row>
    <row r="5" spans="1:13" ht="15.75" thickBot="1">
      <c r="A5" s="413"/>
      <c r="B5" s="414"/>
      <c r="C5" s="430" t="s">
        <v>432</v>
      </c>
      <c r="D5" s="431"/>
      <c r="E5" s="431"/>
      <c r="F5" s="431"/>
      <c r="G5" s="432"/>
      <c r="H5" s="433"/>
      <c r="I5" s="434"/>
      <c r="J5" s="434"/>
      <c r="K5" s="435"/>
      <c r="L5" s="30"/>
      <c r="M5" s="31"/>
    </row>
    <row r="6" spans="1:13" ht="15.75" thickBot="1">
      <c r="A6" s="56"/>
      <c r="B6" s="32"/>
      <c r="C6" s="32"/>
      <c r="D6" s="32"/>
      <c r="E6" s="32"/>
      <c r="F6" s="32"/>
      <c r="G6" s="58"/>
      <c r="H6" s="32"/>
      <c r="I6" s="32"/>
      <c r="J6" s="32"/>
      <c r="K6" s="32"/>
      <c r="L6" s="32"/>
      <c r="M6" s="33"/>
    </row>
    <row r="7" spans="1:13">
      <c r="A7" s="396" t="s">
        <v>415</v>
      </c>
      <c r="B7" s="398" t="s">
        <v>416</v>
      </c>
      <c r="C7" s="399"/>
      <c r="D7" s="402" t="s">
        <v>417</v>
      </c>
      <c r="E7" s="404" t="s">
        <v>418</v>
      </c>
      <c r="F7" s="405"/>
      <c r="G7" s="405"/>
      <c r="H7" s="405"/>
      <c r="I7" s="405"/>
      <c r="J7" s="406"/>
      <c r="K7" s="404" t="s">
        <v>419</v>
      </c>
      <c r="L7" s="406"/>
      <c r="M7" s="407" t="s">
        <v>420</v>
      </c>
    </row>
    <row r="8" spans="1:13" ht="15.75" thickBot="1">
      <c r="A8" s="494"/>
      <c r="B8" s="495"/>
      <c r="C8" s="496"/>
      <c r="D8" s="497"/>
      <c r="E8" s="34" t="s">
        <v>421</v>
      </c>
      <c r="F8" s="34" t="s">
        <v>422</v>
      </c>
      <c r="G8" s="34" t="s">
        <v>423</v>
      </c>
      <c r="H8" s="34" t="s">
        <v>424</v>
      </c>
      <c r="I8" s="34" t="s">
        <v>425</v>
      </c>
      <c r="J8" s="34" t="s">
        <v>426</v>
      </c>
      <c r="K8" s="34" t="s">
        <v>427</v>
      </c>
      <c r="L8" s="34" t="s">
        <v>428</v>
      </c>
      <c r="M8" s="493"/>
    </row>
    <row r="9" spans="1:13" ht="15.75" thickBot="1"/>
    <row r="10" spans="1:13" ht="14.45" customHeight="1" thickBot="1">
      <c r="A10" s="51"/>
      <c r="B10" s="486" t="s">
        <v>333</v>
      </c>
      <c r="C10" s="487"/>
      <c r="D10" s="487"/>
      <c r="E10" s="487"/>
      <c r="F10" s="487"/>
      <c r="G10" s="487"/>
      <c r="H10" s="487"/>
      <c r="I10" s="487"/>
      <c r="J10" s="487"/>
      <c r="K10" s="487"/>
      <c r="L10" s="52"/>
      <c r="M10" s="36"/>
    </row>
    <row r="11" spans="1:13">
      <c r="A11" s="53"/>
      <c r="B11" s="498"/>
      <c r="C11" s="499"/>
      <c r="D11" s="499"/>
      <c r="E11" s="499"/>
      <c r="F11" s="499"/>
      <c r="G11" s="499"/>
      <c r="H11" s="499"/>
      <c r="I11" s="499"/>
      <c r="J11" s="499"/>
      <c r="K11" s="500"/>
      <c r="L11" s="54"/>
      <c r="M11" s="38"/>
    </row>
    <row r="12" spans="1:13">
      <c r="A12" s="77" t="s">
        <v>4</v>
      </c>
      <c r="B12" s="501" t="str">
        <f>BM_15!B21</f>
        <v>Demolição de piso de alta resistência</v>
      </c>
      <c r="C12" s="501"/>
      <c r="D12" s="501"/>
      <c r="E12" s="501"/>
      <c r="F12" s="501"/>
      <c r="G12" s="501"/>
      <c r="H12" s="501"/>
      <c r="I12" s="501"/>
      <c r="J12" s="501"/>
      <c r="K12" s="501"/>
      <c r="L12" s="78"/>
      <c r="M12" s="55" t="s">
        <v>429</v>
      </c>
    </row>
    <row r="13" spans="1:13">
      <c r="A13" s="37"/>
      <c r="B13" s="37"/>
      <c r="C13" s="37"/>
      <c r="D13" s="37"/>
      <c r="E13" s="37"/>
      <c r="F13" s="38" t="s">
        <v>462</v>
      </c>
      <c r="G13" s="37"/>
      <c r="H13" s="38" t="s">
        <v>462</v>
      </c>
      <c r="I13" s="37"/>
      <c r="J13" s="37"/>
      <c r="K13" s="46" t="s">
        <v>453</v>
      </c>
      <c r="L13" s="68">
        <f>SUM(L16:L40)</f>
        <v>736.73</v>
      </c>
      <c r="M13" s="38"/>
    </row>
    <row r="14" spans="1:13">
      <c r="A14" s="37"/>
      <c r="B14" s="37"/>
      <c r="C14" s="37"/>
      <c r="D14" s="37"/>
      <c r="E14" s="37"/>
      <c r="F14" s="38"/>
      <c r="G14" s="37"/>
      <c r="H14" s="38"/>
      <c r="I14" s="37"/>
      <c r="J14" s="37"/>
      <c r="K14" s="46" t="s">
        <v>454</v>
      </c>
      <c r="L14" s="68">
        <v>608.61</v>
      </c>
      <c r="M14" s="38"/>
    </row>
    <row r="15" spans="1:13">
      <c r="A15" s="37"/>
      <c r="B15" s="37"/>
      <c r="C15" s="37"/>
      <c r="D15" s="37"/>
      <c r="E15" s="37"/>
      <c r="F15" s="38"/>
      <c r="G15" s="37"/>
      <c r="H15" s="38"/>
      <c r="I15" s="37"/>
      <c r="J15" s="37"/>
      <c r="K15" s="46" t="s">
        <v>479</v>
      </c>
      <c r="L15" s="68">
        <f>L13-L14</f>
        <v>128.12</v>
      </c>
      <c r="M15" s="38"/>
    </row>
    <row r="16" spans="1:13">
      <c r="A16" s="37"/>
      <c r="B16" s="393" t="s">
        <v>434</v>
      </c>
      <c r="C16" s="393"/>
      <c r="D16" s="37">
        <v>1</v>
      </c>
      <c r="E16" s="37">
        <v>5.2</v>
      </c>
      <c r="F16" s="37"/>
      <c r="G16" s="37">
        <v>5.6</v>
      </c>
      <c r="H16" s="37"/>
      <c r="I16" s="37"/>
      <c r="J16" s="37"/>
      <c r="K16" s="37">
        <f>(E16*G16)+(F16*H16)</f>
        <v>29.119999999999997</v>
      </c>
      <c r="L16" s="38">
        <f t="shared" ref="L16:L40" si="0">K16*D16</f>
        <v>29.119999999999997</v>
      </c>
      <c r="M16" s="38"/>
    </row>
    <row r="17" spans="1:13">
      <c r="A17" s="37"/>
      <c r="B17" s="393" t="s">
        <v>435</v>
      </c>
      <c r="C17" s="393"/>
      <c r="D17" s="37">
        <v>1</v>
      </c>
      <c r="E17" s="37">
        <v>5.2</v>
      </c>
      <c r="F17" s="37"/>
      <c r="G17" s="37">
        <v>5.6</v>
      </c>
      <c r="H17" s="37"/>
      <c r="I17" s="37"/>
      <c r="J17" s="37"/>
      <c r="K17" s="37">
        <f t="shared" ref="K17:K40" si="1">(E17*G17)+(F17*H17)</f>
        <v>29.119999999999997</v>
      </c>
      <c r="L17" s="38">
        <f t="shared" si="0"/>
        <v>29.119999999999997</v>
      </c>
      <c r="M17" s="38"/>
    </row>
    <row r="18" spans="1:13">
      <c r="A18" s="37"/>
      <c r="B18" s="393" t="s">
        <v>436</v>
      </c>
      <c r="C18" s="393"/>
      <c r="D18" s="37">
        <v>1</v>
      </c>
      <c r="E18" s="37">
        <v>5.2</v>
      </c>
      <c r="F18" s="37"/>
      <c r="G18" s="37">
        <v>5.6</v>
      </c>
      <c r="H18" s="37"/>
      <c r="I18" s="37"/>
      <c r="J18" s="37"/>
      <c r="K18" s="37">
        <f t="shared" si="1"/>
        <v>29.119999999999997</v>
      </c>
      <c r="L18" s="38">
        <f t="shared" si="0"/>
        <v>29.119999999999997</v>
      </c>
      <c r="M18" s="38"/>
    </row>
    <row r="19" spans="1:13">
      <c r="A19" s="37"/>
      <c r="B19" s="393" t="s">
        <v>436</v>
      </c>
      <c r="C19" s="393"/>
      <c r="D19" s="37">
        <v>1</v>
      </c>
      <c r="E19" s="37">
        <v>5.2</v>
      </c>
      <c r="F19" s="37"/>
      <c r="G19" s="37">
        <v>5.6</v>
      </c>
      <c r="H19" s="37"/>
      <c r="I19" s="37"/>
      <c r="J19" s="37"/>
      <c r="K19" s="37">
        <f t="shared" si="1"/>
        <v>29.119999999999997</v>
      </c>
      <c r="L19" s="38">
        <f t="shared" si="0"/>
        <v>29.119999999999997</v>
      </c>
      <c r="M19" s="38"/>
    </row>
    <row r="20" spans="1:13">
      <c r="A20" s="37"/>
      <c r="B20" s="393" t="s">
        <v>460</v>
      </c>
      <c r="C20" s="393"/>
      <c r="D20" s="37">
        <v>1</v>
      </c>
      <c r="E20" s="37">
        <v>2</v>
      </c>
      <c r="F20" s="37"/>
      <c r="G20" s="37">
        <v>20</v>
      </c>
      <c r="H20" s="37"/>
      <c r="I20" s="37"/>
      <c r="J20" s="37"/>
      <c r="K20" s="37">
        <f t="shared" si="1"/>
        <v>40</v>
      </c>
      <c r="L20" s="38">
        <f t="shared" si="0"/>
        <v>40</v>
      </c>
      <c r="M20" s="38"/>
    </row>
    <row r="21" spans="1:13" s="42" customFormat="1" ht="14.45" customHeight="1">
      <c r="A21" s="71"/>
      <c r="B21" s="492" t="s">
        <v>439</v>
      </c>
      <c r="C21" s="492"/>
      <c r="D21" s="71">
        <v>1</v>
      </c>
      <c r="E21" s="71">
        <v>2</v>
      </c>
      <c r="F21" s="72"/>
      <c r="G21" s="71">
        <v>34.700000000000003</v>
      </c>
      <c r="H21" s="72"/>
      <c r="I21" s="72"/>
      <c r="J21" s="72"/>
      <c r="K21" s="37">
        <f t="shared" si="1"/>
        <v>69.400000000000006</v>
      </c>
      <c r="L21" s="38">
        <f t="shared" si="0"/>
        <v>69.400000000000006</v>
      </c>
    </row>
    <row r="22" spans="1:13" s="42" customFormat="1" ht="14.45" customHeight="1">
      <c r="A22" s="71"/>
      <c r="B22" s="75"/>
      <c r="C22" s="76"/>
      <c r="D22" s="71"/>
      <c r="E22" s="71"/>
      <c r="F22" s="72"/>
      <c r="G22" s="71"/>
      <c r="H22" s="72"/>
      <c r="I22" s="72"/>
      <c r="J22" s="72"/>
      <c r="K22" s="37">
        <f t="shared" si="1"/>
        <v>0</v>
      </c>
      <c r="L22" s="38">
        <f t="shared" si="0"/>
        <v>0</v>
      </c>
    </row>
    <row r="23" spans="1:13" s="42" customFormat="1" ht="14.45" customHeight="1">
      <c r="A23" s="37"/>
      <c r="B23" s="490" t="s">
        <v>444</v>
      </c>
      <c r="C23" s="491"/>
      <c r="D23" s="37">
        <v>1</v>
      </c>
      <c r="E23" s="37">
        <v>4.3</v>
      </c>
      <c r="F23" s="38"/>
      <c r="G23" s="37">
        <v>3</v>
      </c>
      <c r="H23" s="38"/>
      <c r="I23" s="38"/>
      <c r="J23" s="38"/>
      <c r="K23" s="37">
        <f t="shared" si="1"/>
        <v>12.899999999999999</v>
      </c>
      <c r="L23" s="38">
        <f t="shared" si="0"/>
        <v>12.899999999999999</v>
      </c>
      <c r="M23" s="38"/>
    </row>
    <row r="24" spans="1:13" s="42" customFormat="1" ht="14.45" customHeight="1">
      <c r="A24" s="37"/>
      <c r="B24" s="490" t="s">
        <v>450</v>
      </c>
      <c r="C24" s="491"/>
      <c r="D24" s="37">
        <v>1</v>
      </c>
      <c r="E24" s="37">
        <v>8.6999999999999993</v>
      </c>
      <c r="F24" s="38"/>
      <c r="G24" s="37">
        <v>6</v>
      </c>
      <c r="H24" s="38"/>
      <c r="I24" s="38"/>
      <c r="J24" s="38"/>
      <c r="K24" s="37">
        <f t="shared" si="1"/>
        <v>52.199999999999996</v>
      </c>
      <c r="L24" s="38">
        <f t="shared" si="0"/>
        <v>52.199999999999996</v>
      </c>
      <c r="M24" s="38"/>
    </row>
    <row r="25" spans="1:13" s="42" customFormat="1" ht="14.45" customHeight="1">
      <c r="A25" s="37"/>
      <c r="B25" s="490" t="s">
        <v>455</v>
      </c>
      <c r="C25" s="491"/>
      <c r="D25" s="37">
        <v>1</v>
      </c>
      <c r="E25" s="37">
        <v>7.5</v>
      </c>
      <c r="F25" s="38"/>
      <c r="G25" s="37">
        <v>4</v>
      </c>
      <c r="H25" s="38"/>
      <c r="I25" s="38"/>
      <c r="J25" s="38"/>
      <c r="K25" s="37">
        <f t="shared" si="1"/>
        <v>30</v>
      </c>
      <c r="L25" s="38">
        <f t="shared" si="0"/>
        <v>30</v>
      </c>
      <c r="M25" s="38"/>
    </row>
    <row r="26" spans="1:13" s="42" customFormat="1" ht="14.45" customHeight="1">
      <c r="A26" s="37"/>
      <c r="B26" s="490" t="s">
        <v>443</v>
      </c>
      <c r="C26" s="491"/>
      <c r="D26" s="37">
        <v>1</v>
      </c>
      <c r="E26" s="37">
        <v>14.6</v>
      </c>
      <c r="F26" s="38"/>
      <c r="G26" s="37">
        <v>2.7</v>
      </c>
      <c r="H26" s="38"/>
      <c r="I26" s="38"/>
      <c r="J26" s="38"/>
      <c r="K26" s="37">
        <f t="shared" si="1"/>
        <v>39.42</v>
      </c>
      <c r="L26" s="38">
        <f t="shared" si="0"/>
        <v>39.42</v>
      </c>
      <c r="M26" s="38"/>
    </row>
    <row r="27" spans="1:13" s="42" customFormat="1" ht="14.45" customHeight="1">
      <c r="A27" s="37"/>
      <c r="B27" s="490" t="s">
        <v>442</v>
      </c>
      <c r="C27" s="491"/>
      <c r="D27" s="37">
        <v>1</v>
      </c>
      <c r="E27" s="37">
        <v>6.3</v>
      </c>
      <c r="F27" s="38">
        <v>3.9</v>
      </c>
      <c r="G27" s="37">
        <v>3.9</v>
      </c>
      <c r="H27" s="38">
        <v>1.4</v>
      </c>
      <c r="I27" s="38"/>
      <c r="J27" s="38"/>
      <c r="K27" s="37">
        <f t="shared" si="1"/>
        <v>30.03</v>
      </c>
      <c r="L27" s="38">
        <f t="shared" si="0"/>
        <v>30.03</v>
      </c>
      <c r="M27" s="38"/>
    </row>
    <row r="28" spans="1:13" s="42" customFormat="1" ht="14.45" customHeight="1">
      <c r="A28" s="37"/>
      <c r="B28" s="490" t="s">
        <v>441</v>
      </c>
      <c r="C28" s="491"/>
      <c r="D28" s="37">
        <v>1</v>
      </c>
      <c r="E28" s="37">
        <v>6.3</v>
      </c>
      <c r="F28" s="38"/>
      <c r="G28" s="37">
        <v>3.9</v>
      </c>
      <c r="H28" s="38"/>
      <c r="I28" s="38"/>
      <c r="J28" s="38"/>
      <c r="K28" s="37">
        <f t="shared" si="1"/>
        <v>24.57</v>
      </c>
      <c r="L28" s="38">
        <f t="shared" si="0"/>
        <v>24.57</v>
      </c>
      <c r="M28" s="38"/>
    </row>
    <row r="29" spans="1:13" s="42" customFormat="1" ht="14.45" customHeight="1">
      <c r="A29" s="37"/>
      <c r="B29" s="490" t="s">
        <v>456</v>
      </c>
      <c r="C29" s="491"/>
      <c r="D29" s="37">
        <v>1</v>
      </c>
      <c r="E29" s="37">
        <v>3.2</v>
      </c>
      <c r="F29" s="38"/>
      <c r="G29" s="37">
        <v>3.5</v>
      </c>
      <c r="H29" s="38"/>
      <c r="I29" s="38"/>
      <c r="J29" s="38"/>
      <c r="K29" s="37">
        <f t="shared" si="1"/>
        <v>11.200000000000001</v>
      </c>
      <c r="L29" s="38">
        <f t="shared" si="0"/>
        <v>11.200000000000001</v>
      </c>
      <c r="M29" s="38"/>
    </row>
    <row r="30" spans="1:13" s="42" customFormat="1" ht="14.45" customHeight="1">
      <c r="A30" s="37"/>
      <c r="B30" s="490" t="s">
        <v>457</v>
      </c>
      <c r="C30" s="491"/>
      <c r="D30" s="37">
        <v>1</v>
      </c>
      <c r="E30" s="37">
        <v>5</v>
      </c>
      <c r="F30" s="38"/>
      <c r="G30" s="37">
        <v>4.2</v>
      </c>
      <c r="H30" s="38"/>
      <c r="I30" s="38"/>
      <c r="J30" s="38"/>
      <c r="K30" s="37">
        <f t="shared" si="1"/>
        <v>21</v>
      </c>
      <c r="L30" s="38">
        <f t="shared" si="0"/>
        <v>21</v>
      </c>
      <c r="M30" s="38"/>
    </row>
    <row r="31" spans="1:13" s="42" customFormat="1" ht="14.45" customHeight="1">
      <c r="A31" s="37"/>
      <c r="B31" s="490" t="s">
        <v>446</v>
      </c>
      <c r="C31" s="491"/>
      <c r="D31" s="37">
        <v>1</v>
      </c>
      <c r="E31" s="37">
        <v>3.5</v>
      </c>
      <c r="F31" s="38">
        <v>1.5</v>
      </c>
      <c r="G31" s="37">
        <v>3</v>
      </c>
      <c r="H31" s="38">
        <v>1.6</v>
      </c>
      <c r="I31" s="38"/>
      <c r="J31" s="38"/>
      <c r="K31" s="37">
        <f t="shared" si="1"/>
        <v>12.9</v>
      </c>
      <c r="L31" s="38">
        <f t="shared" si="0"/>
        <v>12.9</v>
      </c>
      <c r="M31" s="38"/>
    </row>
    <row r="32" spans="1:13" s="42" customFormat="1" ht="14.45" customHeight="1">
      <c r="A32" s="37"/>
      <c r="B32" s="490" t="s">
        <v>452</v>
      </c>
      <c r="C32" s="491"/>
      <c r="D32" s="37">
        <v>1</v>
      </c>
      <c r="E32" s="37">
        <v>4.2</v>
      </c>
      <c r="F32" s="38"/>
      <c r="G32" s="37">
        <v>3.1</v>
      </c>
      <c r="H32" s="38"/>
      <c r="I32" s="38"/>
      <c r="J32" s="38"/>
      <c r="K32" s="37">
        <f t="shared" si="1"/>
        <v>13.020000000000001</v>
      </c>
      <c r="L32" s="38">
        <f t="shared" si="0"/>
        <v>13.020000000000001</v>
      </c>
      <c r="M32" s="38"/>
    </row>
    <row r="33" spans="1:13" s="42" customFormat="1" ht="14.45" customHeight="1">
      <c r="A33" s="37"/>
      <c r="B33" s="490" t="s">
        <v>458</v>
      </c>
      <c r="C33" s="491"/>
      <c r="D33" s="37">
        <v>1</v>
      </c>
      <c r="E33" s="37">
        <v>7</v>
      </c>
      <c r="F33" s="38"/>
      <c r="G33" s="37">
        <v>4.5999999999999996</v>
      </c>
      <c r="H33" s="38"/>
      <c r="I33" s="38"/>
      <c r="J33" s="38"/>
      <c r="K33" s="37">
        <f t="shared" si="1"/>
        <v>32.199999999999996</v>
      </c>
      <c r="L33" s="38">
        <f t="shared" si="0"/>
        <v>32.199999999999996</v>
      </c>
      <c r="M33" s="38"/>
    </row>
    <row r="34" spans="1:13" s="42" customFormat="1" ht="14.45" customHeight="1">
      <c r="A34" s="37"/>
      <c r="B34" s="490" t="s">
        <v>459</v>
      </c>
      <c r="C34" s="491"/>
      <c r="D34" s="37">
        <v>1</v>
      </c>
      <c r="E34" s="37">
        <v>3.7</v>
      </c>
      <c r="F34" s="38"/>
      <c r="G34" s="37">
        <v>4.2</v>
      </c>
      <c r="H34" s="38"/>
      <c r="I34" s="38"/>
      <c r="J34" s="38"/>
      <c r="K34" s="37">
        <f t="shared" si="1"/>
        <v>15.540000000000001</v>
      </c>
      <c r="L34" s="38">
        <f t="shared" si="0"/>
        <v>15.540000000000001</v>
      </c>
      <c r="M34" s="38"/>
    </row>
    <row r="35" spans="1:13" s="42" customFormat="1" ht="14.45" customHeight="1">
      <c r="A35" s="37"/>
      <c r="B35" s="490" t="s">
        <v>448</v>
      </c>
      <c r="C35" s="491"/>
      <c r="D35" s="37">
        <v>1</v>
      </c>
      <c r="E35" s="37">
        <v>34.700000000000003</v>
      </c>
      <c r="F35" s="38"/>
      <c r="G35" s="37">
        <v>1.9</v>
      </c>
      <c r="H35" s="38"/>
      <c r="I35" s="38"/>
      <c r="J35" s="38"/>
      <c r="K35" s="37">
        <f t="shared" si="1"/>
        <v>65.930000000000007</v>
      </c>
      <c r="L35" s="38">
        <f t="shared" si="0"/>
        <v>65.930000000000007</v>
      </c>
      <c r="M35" s="38"/>
    </row>
    <row r="36" spans="1:13" s="42" customFormat="1" ht="14.45" customHeight="1">
      <c r="A36" s="37"/>
      <c r="B36" s="490" t="s">
        <v>461</v>
      </c>
      <c r="C36" s="491"/>
      <c r="D36" s="37">
        <v>1</v>
      </c>
      <c r="E36" s="37">
        <v>3.5</v>
      </c>
      <c r="F36" s="38"/>
      <c r="G36" s="37">
        <v>2.7</v>
      </c>
      <c r="H36" s="38"/>
      <c r="I36" s="38"/>
      <c r="J36" s="38"/>
      <c r="K36" s="37">
        <f t="shared" si="1"/>
        <v>9.4500000000000011</v>
      </c>
      <c r="L36" s="38">
        <f t="shared" si="0"/>
        <v>9.4500000000000011</v>
      </c>
      <c r="M36" s="38"/>
    </row>
    <row r="37" spans="1:13" s="42" customFormat="1" ht="14.45" customHeight="1">
      <c r="A37" s="37"/>
      <c r="B37" s="490" t="s">
        <v>447</v>
      </c>
      <c r="C37" s="491"/>
      <c r="D37" s="37">
        <v>1</v>
      </c>
      <c r="E37" s="37">
        <v>3.4</v>
      </c>
      <c r="F37" s="38">
        <v>2.2000000000000002</v>
      </c>
      <c r="G37" s="37">
        <v>3.1</v>
      </c>
      <c r="H37" s="38">
        <v>1</v>
      </c>
      <c r="I37" s="38"/>
      <c r="J37" s="38"/>
      <c r="K37" s="37">
        <f t="shared" si="1"/>
        <v>12.739999999999998</v>
      </c>
      <c r="L37" s="38">
        <f t="shared" si="0"/>
        <v>12.739999999999998</v>
      </c>
      <c r="M37" s="38"/>
    </row>
    <row r="38" spans="1:13" s="42" customFormat="1" ht="14.45" customHeight="1">
      <c r="A38" s="37"/>
      <c r="B38" s="490" t="s">
        <v>451</v>
      </c>
      <c r="C38" s="491"/>
      <c r="D38" s="37">
        <v>1</v>
      </c>
      <c r="E38" s="37">
        <v>2.2000000000000002</v>
      </c>
      <c r="F38" s="38"/>
      <c r="G38" s="37">
        <v>1</v>
      </c>
      <c r="H38" s="38"/>
      <c r="I38" s="38"/>
      <c r="J38" s="38"/>
      <c r="K38" s="37">
        <f t="shared" si="1"/>
        <v>2.2000000000000002</v>
      </c>
      <c r="L38" s="38">
        <f t="shared" si="0"/>
        <v>2.2000000000000002</v>
      </c>
      <c r="M38" s="38"/>
    </row>
    <row r="39" spans="1:13" s="42" customFormat="1" ht="14.45" customHeight="1">
      <c r="A39" s="37"/>
      <c r="B39" s="490" t="s">
        <v>451</v>
      </c>
      <c r="C39" s="491"/>
      <c r="D39" s="37">
        <v>1</v>
      </c>
      <c r="E39" s="37">
        <v>5.9</v>
      </c>
      <c r="F39" s="38"/>
      <c r="G39" s="37">
        <v>4.5</v>
      </c>
      <c r="H39" s="38"/>
      <c r="I39" s="38"/>
      <c r="J39" s="38"/>
      <c r="K39" s="37">
        <f t="shared" si="1"/>
        <v>26.55</v>
      </c>
      <c r="L39" s="38">
        <f t="shared" si="0"/>
        <v>26.55</v>
      </c>
      <c r="M39" s="38"/>
    </row>
    <row r="40" spans="1:13" s="42" customFormat="1" ht="14.45" customHeight="1">
      <c r="A40" s="37"/>
      <c r="B40" s="490" t="s">
        <v>437</v>
      </c>
      <c r="C40" s="491"/>
      <c r="D40" s="37">
        <v>1</v>
      </c>
      <c r="E40" s="37">
        <v>15</v>
      </c>
      <c r="F40" s="38"/>
      <c r="G40" s="37">
        <v>6.6</v>
      </c>
      <c r="H40" s="38"/>
      <c r="I40" s="38"/>
      <c r="J40" s="38"/>
      <c r="K40" s="37">
        <f t="shared" si="1"/>
        <v>99</v>
      </c>
      <c r="L40" s="38">
        <f t="shared" si="0"/>
        <v>99</v>
      </c>
      <c r="M40" s="38"/>
    </row>
    <row r="41" spans="1:13" s="42" customFormat="1" ht="14.45" customHeight="1">
      <c r="A41" s="37"/>
      <c r="B41" s="73"/>
      <c r="C41" s="74"/>
      <c r="D41" s="37"/>
      <c r="E41" s="37"/>
      <c r="F41" s="38"/>
      <c r="G41" s="37"/>
      <c r="H41" s="38"/>
      <c r="I41" s="38"/>
      <c r="J41" s="38"/>
      <c r="K41" s="37"/>
      <c r="L41" s="38"/>
      <c r="M41" s="38"/>
    </row>
    <row r="42" spans="1:13" s="42" customFormat="1" ht="14.45" customHeight="1">
      <c r="A42" s="41"/>
      <c r="B42" s="41"/>
      <c r="C42" s="41"/>
      <c r="D42" s="41"/>
      <c r="E42" s="41"/>
      <c r="G42" s="41"/>
      <c r="K42" s="41"/>
    </row>
    <row r="43" spans="1:13" s="42" customFormat="1" ht="14.45" customHeight="1">
      <c r="A43" s="77" t="str">
        <f>BM_15!A24</f>
        <v>1.6</v>
      </c>
      <c r="B43" s="501" t="str">
        <f>BM_15!B24</f>
        <v>Remoção de caixão de madeira (aduela)</v>
      </c>
      <c r="C43" s="501"/>
      <c r="D43" s="501"/>
      <c r="E43" s="501"/>
      <c r="F43" s="501"/>
      <c r="G43" s="501"/>
      <c r="H43" s="501"/>
      <c r="I43" s="501"/>
      <c r="J43" s="501"/>
      <c r="K43" s="501"/>
      <c r="L43" s="78">
        <f>SUM(L45:L69)</f>
        <v>36</v>
      </c>
      <c r="M43" s="55" t="s">
        <v>429</v>
      </c>
    </row>
    <row r="44" spans="1:13" s="42" customFormat="1" ht="14.45" customHeight="1">
      <c r="A44" s="41"/>
      <c r="B44" s="41"/>
      <c r="C44" s="41"/>
      <c r="D44" s="41"/>
      <c r="E44" s="41"/>
      <c r="G44" s="41"/>
      <c r="K44" s="41"/>
    </row>
    <row r="45" spans="1:13" s="42" customFormat="1" ht="14.45" customHeight="1">
      <c r="A45" s="41"/>
      <c r="B45" s="490" t="s">
        <v>464</v>
      </c>
      <c r="C45" s="491"/>
      <c r="D45" s="37">
        <v>1</v>
      </c>
      <c r="E45" s="37">
        <v>2</v>
      </c>
      <c r="F45" s="37"/>
      <c r="G45" s="37"/>
      <c r="H45" s="37"/>
      <c r="I45" s="37"/>
      <c r="J45" s="37"/>
      <c r="K45" s="37"/>
      <c r="L45" s="37">
        <f>E45*D45</f>
        <v>2</v>
      </c>
    </row>
    <row r="46" spans="1:13" s="42" customFormat="1" ht="14.45" customHeight="1">
      <c r="A46" s="41"/>
      <c r="B46" s="490" t="s">
        <v>435</v>
      </c>
      <c r="C46" s="491"/>
      <c r="D46" s="37">
        <v>1</v>
      </c>
      <c r="E46" s="37">
        <v>1</v>
      </c>
      <c r="F46" s="37"/>
      <c r="G46" s="37"/>
      <c r="H46" s="37"/>
      <c r="I46" s="37"/>
      <c r="J46" s="37"/>
      <c r="K46" s="37"/>
      <c r="L46" s="37">
        <f t="shared" ref="L46:L69" si="2">E46*D46</f>
        <v>1</v>
      </c>
    </row>
    <row r="47" spans="1:13" s="42" customFormat="1" ht="14.45" customHeight="1">
      <c r="A47" s="41"/>
      <c r="B47" s="490" t="s">
        <v>436</v>
      </c>
      <c r="C47" s="491"/>
      <c r="D47" s="37">
        <v>1</v>
      </c>
      <c r="E47" s="37">
        <v>2</v>
      </c>
      <c r="F47" s="37"/>
      <c r="G47" s="37"/>
      <c r="H47" s="37"/>
      <c r="I47" s="37"/>
      <c r="J47" s="37"/>
      <c r="K47" s="37"/>
      <c r="L47" s="37">
        <f t="shared" si="2"/>
        <v>2</v>
      </c>
    </row>
    <row r="48" spans="1:13" s="42" customFormat="1" ht="14.45" customHeight="1">
      <c r="A48" s="41"/>
      <c r="B48" s="490" t="s">
        <v>436</v>
      </c>
      <c r="C48" s="491"/>
      <c r="D48" s="37">
        <v>1</v>
      </c>
      <c r="E48" s="37">
        <v>2</v>
      </c>
      <c r="F48" s="37"/>
      <c r="G48" s="37"/>
      <c r="H48" s="37"/>
      <c r="I48" s="37"/>
      <c r="J48" s="37"/>
      <c r="K48" s="37"/>
      <c r="L48" s="37">
        <f t="shared" si="2"/>
        <v>2</v>
      </c>
    </row>
    <row r="49" spans="1:12" s="42" customFormat="1" ht="14.45" customHeight="1">
      <c r="A49" s="41"/>
      <c r="B49" s="490" t="s">
        <v>569</v>
      </c>
      <c r="C49" s="491"/>
      <c r="D49" s="37">
        <v>1</v>
      </c>
      <c r="E49" s="37">
        <v>1</v>
      </c>
      <c r="F49" s="37"/>
      <c r="G49" s="37"/>
      <c r="H49" s="37"/>
      <c r="I49" s="37"/>
      <c r="J49" s="37"/>
      <c r="K49" s="37"/>
      <c r="L49" s="37">
        <f t="shared" si="2"/>
        <v>1</v>
      </c>
    </row>
    <row r="50" spans="1:12" s="42" customFormat="1" ht="14.45" customHeight="1">
      <c r="A50" s="41"/>
      <c r="B50" s="490" t="s">
        <v>570</v>
      </c>
      <c r="C50" s="491"/>
      <c r="D50" s="37">
        <v>1</v>
      </c>
      <c r="E50" s="37">
        <v>1</v>
      </c>
      <c r="F50" s="37"/>
      <c r="G50" s="37"/>
      <c r="H50" s="37"/>
      <c r="I50" s="37"/>
      <c r="J50" s="37"/>
      <c r="K50" s="37"/>
      <c r="L50" s="37">
        <f t="shared" si="2"/>
        <v>1</v>
      </c>
    </row>
    <row r="51" spans="1:12" s="42" customFormat="1" ht="14.45" customHeight="1">
      <c r="A51" s="41"/>
      <c r="B51" s="490" t="s">
        <v>571</v>
      </c>
      <c r="C51" s="491"/>
      <c r="D51" s="37">
        <v>1</v>
      </c>
      <c r="E51" s="37">
        <v>2</v>
      </c>
      <c r="F51" s="37"/>
      <c r="G51" s="37"/>
      <c r="H51" s="37"/>
      <c r="I51" s="37"/>
      <c r="J51" s="37"/>
      <c r="K51" s="37"/>
      <c r="L51" s="37">
        <f t="shared" si="2"/>
        <v>2</v>
      </c>
    </row>
    <row r="52" spans="1:12" s="42" customFormat="1" ht="14.45" customHeight="1">
      <c r="A52" s="41"/>
      <c r="B52" s="490" t="s">
        <v>572</v>
      </c>
      <c r="C52" s="491"/>
      <c r="D52" s="37">
        <v>1</v>
      </c>
      <c r="E52" s="37">
        <v>1</v>
      </c>
      <c r="F52" s="37"/>
      <c r="G52" s="37"/>
      <c r="H52" s="37"/>
      <c r="I52" s="37"/>
      <c r="J52" s="37"/>
      <c r="K52" s="37"/>
      <c r="L52" s="37">
        <f t="shared" si="2"/>
        <v>1</v>
      </c>
    </row>
    <row r="53" spans="1:12" s="42" customFormat="1" ht="14.45" customHeight="1">
      <c r="A53" s="41"/>
      <c r="B53" s="490" t="s">
        <v>570</v>
      </c>
      <c r="C53" s="491"/>
      <c r="D53" s="37">
        <v>1</v>
      </c>
      <c r="E53" s="37">
        <v>1</v>
      </c>
      <c r="F53" s="37"/>
      <c r="G53" s="37"/>
      <c r="H53" s="37"/>
      <c r="I53" s="37"/>
      <c r="J53" s="37"/>
      <c r="K53" s="37"/>
      <c r="L53" s="37">
        <f t="shared" si="2"/>
        <v>1</v>
      </c>
    </row>
    <row r="54" spans="1:12" s="42" customFormat="1" ht="14.45" customHeight="1">
      <c r="A54" s="41"/>
      <c r="B54" s="490" t="s">
        <v>440</v>
      </c>
      <c r="C54" s="491"/>
      <c r="D54" s="37">
        <v>1</v>
      </c>
      <c r="E54" s="37">
        <v>2</v>
      </c>
      <c r="F54" s="37"/>
      <c r="G54" s="37"/>
      <c r="H54" s="37"/>
      <c r="I54" s="37"/>
      <c r="J54" s="37"/>
      <c r="K54" s="37"/>
      <c r="L54" s="37">
        <f t="shared" si="2"/>
        <v>2</v>
      </c>
    </row>
    <row r="55" spans="1:12" s="42" customFormat="1" ht="14.45" customHeight="1">
      <c r="A55" s="41"/>
      <c r="B55" s="490" t="s">
        <v>441</v>
      </c>
      <c r="C55" s="491"/>
      <c r="D55" s="37">
        <v>1</v>
      </c>
      <c r="E55" s="37">
        <v>2</v>
      </c>
      <c r="F55" s="37"/>
      <c r="G55" s="37"/>
      <c r="H55" s="37"/>
      <c r="I55" s="37"/>
      <c r="J55" s="37"/>
      <c r="K55" s="37"/>
      <c r="L55" s="37">
        <f t="shared" si="2"/>
        <v>2</v>
      </c>
    </row>
    <row r="56" spans="1:12" s="42" customFormat="1" ht="14.45" customHeight="1">
      <c r="A56" s="41"/>
      <c r="B56" s="490" t="s">
        <v>442</v>
      </c>
      <c r="C56" s="491"/>
      <c r="D56" s="37">
        <v>1</v>
      </c>
      <c r="E56" s="37">
        <v>2</v>
      </c>
      <c r="F56" s="37"/>
      <c r="G56" s="37"/>
      <c r="H56" s="37"/>
      <c r="I56" s="37"/>
      <c r="J56" s="37"/>
      <c r="K56" s="37"/>
      <c r="L56" s="37">
        <f t="shared" si="2"/>
        <v>2</v>
      </c>
    </row>
    <row r="57" spans="1:12" s="42" customFormat="1" ht="14.45" customHeight="1">
      <c r="A57" s="41"/>
      <c r="B57" s="490" t="s">
        <v>480</v>
      </c>
      <c r="C57" s="491"/>
      <c r="D57" s="37">
        <v>1</v>
      </c>
      <c r="E57" s="37">
        <v>2</v>
      </c>
      <c r="F57" s="37"/>
      <c r="G57" s="37"/>
      <c r="H57" s="37"/>
      <c r="I57" s="37"/>
      <c r="J57" s="37"/>
      <c r="K57" s="37"/>
      <c r="L57" s="37">
        <f t="shared" si="2"/>
        <v>2</v>
      </c>
    </row>
    <row r="58" spans="1:12" s="42" customFormat="1" ht="14.45" customHeight="1">
      <c r="A58" s="41"/>
      <c r="B58" s="490" t="s">
        <v>444</v>
      </c>
      <c r="C58" s="491"/>
      <c r="D58" s="37">
        <v>1</v>
      </c>
      <c r="E58" s="37">
        <v>1</v>
      </c>
      <c r="F58" s="37"/>
      <c r="G58" s="37"/>
      <c r="H58" s="37"/>
      <c r="I58" s="37"/>
      <c r="J58" s="37"/>
      <c r="K58" s="37"/>
      <c r="L58" s="37">
        <f t="shared" si="2"/>
        <v>1</v>
      </c>
    </row>
    <row r="59" spans="1:12" s="42" customFormat="1" ht="14.45" customHeight="1">
      <c r="A59" s="41"/>
      <c r="B59" s="490" t="s">
        <v>573</v>
      </c>
      <c r="C59" s="491"/>
      <c r="D59" s="37">
        <v>1</v>
      </c>
      <c r="E59" s="37">
        <v>1</v>
      </c>
      <c r="F59" s="37"/>
      <c r="G59" s="37"/>
      <c r="H59" s="37"/>
      <c r="I59" s="37"/>
      <c r="J59" s="37"/>
      <c r="K59" s="37"/>
      <c r="L59" s="37">
        <f t="shared" si="2"/>
        <v>1</v>
      </c>
    </row>
    <row r="60" spans="1:12" s="42" customFormat="1" ht="14.45" customHeight="1">
      <c r="A60" s="41"/>
      <c r="B60" s="490" t="s">
        <v>445</v>
      </c>
      <c r="C60" s="491"/>
      <c r="D60" s="37">
        <v>1</v>
      </c>
      <c r="E60" s="37">
        <v>1</v>
      </c>
      <c r="F60" s="37"/>
      <c r="G60" s="37"/>
      <c r="H60" s="37"/>
      <c r="I60" s="37"/>
      <c r="J60" s="37"/>
      <c r="K60" s="37"/>
      <c r="L60" s="37">
        <f t="shared" si="2"/>
        <v>1</v>
      </c>
    </row>
    <row r="61" spans="1:12" s="42" customFormat="1" ht="14.45" customHeight="1">
      <c r="A61" s="41"/>
      <c r="B61" s="490" t="s">
        <v>574</v>
      </c>
      <c r="C61" s="491"/>
      <c r="D61" s="37">
        <v>1</v>
      </c>
      <c r="E61" s="37">
        <v>1</v>
      </c>
      <c r="F61" s="37"/>
      <c r="G61" s="37"/>
      <c r="H61" s="37"/>
      <c r="I61" s="37"/>
      <c r="J61" s="37"/>
      <c r="K61" s="37"/>
      <c r="L61" s="37">
        <f t="shared" si="2"/>
        <v>1</v>
      </c>
    </row>
    <row r="62" spans="1:12" s="42" customFormat="1" ht="14.45" customHeight="1">
      <c r="A62" s="41"/>
      <c r="B62" s="490" t="s">
        <v>446</v>
      </c>
      <c r="C62" s="491"/>
      <c r="D62" s="37">
        <v>1</v>
      </c>
      <c r="E62" s="37">
        <v>2</v>
      </c>
      <c r="F62" s="37"/>
      <c r="G62" s="37"/>
      <c r="H62" s="37"/>
      <c r="I62" s="37"/>
      <c r="J62" s="37"/>
      <c r="K62" s="37"/>
      <c r="L62" s="37">
        <f t="shared" si="2"/>
        <v>2</v>
      </c>
    </row>
    <row r="63" spans="1:12" s="42" customFormat="1" ht="14.45" customHeight="1">
      <c r="A63" s="41"/>
      <c r="B63" s="490" t="s">
        <v>456</v>
      </c>
      <c r="C63" s="491"/>
      <c r="D63" s="37">
        <v>1</v>
      </c>
      <c r="E63" s="37">
        <v>1</v>
      </c>
      <c r="F63" s="37"/>
      <c r="G63" s="37"/>
      <c r="H63" s="37"/>
      <c r="I63" s="37"/>
      <c r="J63" s="37"/>
      <c r="K63" s="37"/>
      <c r="L63" s="37">
        <f t="shared" si="2"/>
        <v>1</v>
      </c>
    </row>
    <row r="64" spans="1:12" s="42" customFormat="1" ht="14.45" customHeight="1">
      <c r="A64" s="41"/>
      <c r="B64" s="490" t="s">
        <v>575</v>
      </c>
      <c r="C64" s="491"/>
      <c r="D64" s="37">
        <v>1</v>
      </c>
      <c r="E64" s="37">
        <v>2</v>
      </c>
      <c r="F64" s="37"/>
      <c r="G64" s="37"/>
      <c r="H64" s="37"/>
      <c r="I64" s="37"/>
      <c r="J64" s="37"/>
      <c r="K64" s="37"/>
      <c r="L64" s="37">
        <f t="shared" si="2"/>
        <v>2</v>
      </c>
    </row>
    <row r="65" spans="1:13" s="42" customFormat="1" ht="14.45" customHeight="1">
      <c r="A65" s="41"/>
      <c r="B65" s="490" t="s">
        <v>459</v>
      </c>
      <c r="C65" s="491"/>
      <c r="D65" s="37">
        <v>1</v>
      </c>
      <c r="E65" s="37">
        <v>1</v>
      </c>
      <c r="F65" s="37"/>
      <c r="G65" s="37"/>
      <c r="H65" s="37"/>
      <c r="I65" s="37"/>
      <c r="J65" s="37"/>
      <c r="K65" s="37"/>
      <c r="L65" s="37">
        <f t="shared" si="2"/>
        <v>1</v>
      </c>
    </row>
    <row r="66" spans="1:13" s="42" customFormat="1" ht="14.45" customHeight="1">
      <c r="A66" s="41"/>
      <c r="B66" s="490" t="s">
        <v>576</v>
      </c>
      <c r="C66" s="491"/>
      <c r="D66" s="37">
        <v>1</v>
      </c>
      <c r="E66" s="37">
        <v>2</v>
      </c>
      <c r="F66" s="37"/>
      <c r="G66" s="37"/>
      <c r="H66" s="37"/>
      <c r="I66" s="37"/>
      <c r="J66" s="37"/>
      <c r="K66" s="37"/>
      <c r="L66" s="37">
        <f t="shared" si="2"/>
        <v>2</v>
      </c>
    </row>
    <row r="67" spans="1:13" s="42" customFormat="1" ht="14.45" customHeight="1">
      <c r="A67" s="41"/>
      <c r="B67" s="490" t="s">
        <v>452</v>
      </c>
      <c r="C67" s="491"/>
      <c r="D67" s="37">
        <v>1</v>
      </c>
      <c r="E67" s="37">
        <v>1</v>
      </c>
      <c r="F67" s="37"/>
      <c r="G67" s="37"/>
      <c r="H67" s="37"/>
      <c r="I67" s="37"/>
      <c r="J67" s="37"/>
      <c r="K67" s="37"/>
      <c r="L67" s="37">
        <f t="shared" si="2"/>
        <v>1</v>
      </c>
    </row>
    <row r="68" spans="1:13" s="42" customFormat="1" ht="14.45" customHeight="1">
      <c r="A68" s="41"/>
      <c r="B68" s="490" t="s">
        <v>457</v>
      </c>
      <c r="C68" s="491"/>
      <c r="D68" s="37">
        <v>1</v>
      </c>
      <c r="E68" s="37">
        <v>1</v>
      </c>
      <c r="F68" s="37"/>
      <c r="G68" s="37"/>
      <c r="H68" s="37"/>
      <c r="I68" s="37"/>
      <c r="J68" s="37"/>
      <c r="K68" s="37"/>
      <c r="L68" s="37">
        <f t="shared" si="2"/>
        <v>1</v>
      </c>
    </row>
    <row r="69" spans="1:13" s="42" customFormat="1" ht="14.45" customHeight="1">
      <c r="A69" s="41"/>
      <c r="B69" s="490" t="s">
        <v>577</v>
      </c>
      <c r="C69" s="491"/>
      <c r="D69" s="37">
        <v>1</v>
      </c>
      <c r="E69" s="37">
        <v>1</v>
      </c>
      <c r="F69" s="37"/>
      <c r="G69" s="37"/>
      <c r="H69" s="37"/>
      <c r="I69" s="37"/>
      <c r="J69" s="37"/>
      <c r="K69" s="37"/>
      <c r="L69" s="37">
        <f t="shared" si="2"/>
        <v>1</v>
      </c>
    </row>
    <row r="70" spans="1:13" s="42" customFormat="1" ht="14.45" customHeight="1">
      <c r="A70" s="41"/>
      <c r="B70" s="41"/>
      <c r="C70" s="41"/>
      <c r="D70" s="41"/>
      <c r="E70" s="41"/>
      <c r="G70" s="41"/>
      <c r="K70" s="41"/>
    </row>
    <row r="71" spans="1:13" s="42" customFormat="1" ht="14.45" customHeight="1">
      <c r="A71" s="142" t="s">
        <v>491</v>
      </c>
      <c r="B71" s="394" t="str">
        <f>BM_15!B25</f>
        <v>REMOÇÃO DE JANELAS, DE FORMA MANUAL, SEM REAPROVEITAMENTO. AF_12/2017</v>
      </c>
      <c r="C71" s="394"/>
      <c r="D71" s="394"/>
      <c r="E71" s="394"/>
      <c r="F71" s="394"/>
      <c r="G71" s="394"/>
      <c r="H71" s="394"/>
      <c r="I71" s="394"/>
      <c r="J71" s="394"/>
      <c r="K71" s="394"/>
      <c r="L71" s="142">
        <f>SUM(L73:L91)</f>
        <v>14</v>
      </c>
      <c r="M71" s="142" t="s">
        <v>429</v>
      </c>
    </row>
    <row r="72" spans="1:13" s="42" customFormat="1" ht="14.4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</row>
    <row r="73" spans="1:13" s="42" customFormat="1" ht="14.45" customHeight="1">
      <c r="A73" s="37"/>
      <c r="B73" s="490" t="s">
        <v>464</v>
      </c>
      <c r="C73" s="491"/>
      <c r="D73" s="37">
        <v>1</v>
      </c>
      <c r="E73" s="37">
        <v>1</v>
      </c>
      <c r="F73" s="37"/>
      <c r="G73" s="37">
        <v>1</v>
      </c>
      <c r="H73" s="37"/>
      <c r="I73" s="37"/>
      <c r="J73" s="37"/>
      <c r="K73" s="37">
        <f t="shared" ref="K73:K91" si="3">E73*G73</f>
        <v>1</v>
      </c>
      <c r="L73" s="37">
        <f t="shared" ref="L73:L91" si="4">K73*D73</f>
        <v>1</v>
      </c>
      <c r="M73" s="37"/>
    </row>
    <row r="74" spans="1:13" s="42" customFormat="1" ht="14.45" customHeight="1">
      <c r="A74" s="37"/>
      <c r="B74" s="490" t="s">
        <v>578</v>
      </c>
      <c r="C74" s="491"/>
      <c r="D74" s="37">
        <v>1</v>
      </c>
      <c r="E74" s="37">
        <v>0.5</v>
      </c>
      <c r="F74" s="37"/>
      <c r="G74" s="37">
        <v>0.5</v>
      </c>
      <c r="H74" s="37"/>
      <c r="I74" s="37"/>
      <c r="J74" s="37"/>
      <c r="K74" s="37">
        <f t="shared" si="3"/>
        <v>0.25</v>
      </c>
      <c r="L74" s="37">
        <f t="shared" si="4"/>
        <v>0.25</v>
      </c>
      <c r="M74" s="37"/>
    </row>
    <row r="75" spans="1:13" s="42" customFormat="1" ht="14.45" customHeight="1">
      <c r="A75" s="37"/>
      <c r="B75" s="490" t="s">
        <v>435</v>
      </c>
      <c r="C75" s="491"/>
      <c r="D75" s="37">
        <v>1</v>
      </c>
      <c r="E75" s="37">
        <v>1</v>
      </c>
      <c r="F75" s="37"/>
      <c r="G75" s="37">
        <v>1</v>
      </c>
      <c r="H75" s="37"/>
      <c r="I75" s="37"/>
      <c r="J75" s="37"/>
      <c r="K75" s="37">
        <f t="shared" si="3"/>
        <v>1</v>
      </c>
      <c r="L75" s="37">
        <f t="shared" si="4"/>
        <v>1</v>
      </c>
      <c r="M75" s="37"/>
    </row>
    <row r="76" spans="1:13" s="42" customFormat="1" ht="14.45" customHeight="1">
      <c r="A76" s="37"/>
      <c r="B76" s="490" t="s">
        <v>436</v>
      </c>
      <c r="C76" s="491"/>
      <c r="D76" s="37">
        <v>1</v>
      </c>
      <c r="E76" s="37">
        <v>1</v>
      </c>
      <c r="F76" s="37"/>
      <c r="G76" s="37">
        <v>1</v>
      </c>
      <c r="H76" s="37"/>
      <c r="I76" s="37"/>
      <c r="J76" s="37"/>
      <c r="K76" s="37">
        <f t="shared" si="3"/>
        <v>1</v>
      </c>
      <c r="L76" s="37">
        <f t="shared" si="4"/>
        <v>1</v>
      </c>
      <c r="M76" s="37"/>
    </row>
    <row r="77" spans="1:13" s="42" customFormat="1" ht="14.45" customHeight="1">
      <c r="A77" s="37"/>
      <c r="B77" s="490" t="s">
        <v>578</v>
      </c>
      <c r="C77" s="491"/>
      <c r="D77" s="37">
        <v>1</v>
      </c>
      <c r="E77" s="37">
        <v>0.5</v>
      </c>
      <c r="F77" s="37"/>
      <c r="G77" s="37">
        <v>0.5</v>
      </c>
      <c r="H77" s="37"/>
      <c r="I77" s="37"/>
      <c r="J77" s="37"/>
      <c r="K77" s="37">
        <f t="shared" si="3"/>
        <v>0.25</v>
      </c>
      <c r="L77" s="37">
        <f t="shared" si="4"/>
        <v>0.25</v>
      </c>
      <c r="M77" s="37"/>
    </row>
    <row r="78" spans="1:13" s="42" customFormat="1" ht="14.45" customHeight="1">
      <c r="A78" s="37"/>
      <c r="B78" s="490" t="s">
        <v>436</v>
      </c>
      <c r="C78" s="491"/>
      <c r="D78" s="37">
        <v>1</v>
      </c>
      <c r="E78" s="37">
        <v>1</v>
      </c>
      <c r="F78" s="37"/>
      <c r="G78" s="37">
        <v>1</v>
      </c>
      <c r="H78" s="37"/>
      <c r="I78" s="37"/>
      <c r="J78" s="37"/>
      <c r="K78" s="37">
        <f t="shared" si="3"/>
        <v>1</v>
      </c>
      <c r="L78" s="37">
        <f t="shared" si="4"/>
        <v>1</v>
      </c>
      <c r="M78" s="37"/>
    </row>
    <row r="79" spans="1:13" s="42" customFormat="1" ht="14.45" customHeight="1">
      <c r="A79" s="37"/>
      <c r="B79" s="490" t="s">
        <v>578</v>
      </c>
      <c r="C79" s="491"/>
      <c r="D79" s="37">
        <v>1</v>
      </c>
      <c r="E79" s="37">
        <v>0.5</v>
      </c>
      <c r="F79" s="37"/>
      <c r="G79" s="37">
        <v>0.5</v>
      </c>
      <c r="H79" s="37"/>
      <c r="I79" s="37"/>
      <c r="J79" s="37"/>
      <c r="K79" s="37">
        <f t="shared" si="3"/>
        <v>0.25</v>
      </c>
      <c r="L79" s="37">
        <f t="shared" si="4"/>
        <v>0.25</v>
      </c>
      <c r="M79" s="37"/>
    </row>
    <row r="80" spans="1:13" s="42" customFormat="1" ht="14.45" customHeight="1">
      <c r="A80" s="37"/>
      <c r="B80" s="490" t="s">
        <v>576</v>
      </c>
      <c r="C80" s="491"/>
      <c r="D80" s="37">
        <v>2</v>
      </c>
      <c r="E80" s="37">
        <v>0.5</v>
      </c>
      <c r="F80" s="37"/>
      <c r="G80" s="37">
        <v>0.5</v>
      </c>
      <c r="H80" s="37"/>
      <c r="I80" s="37"/>
      <c r="J80" s="37"/>
      <c r="K80" s="37">
        <f t="shared" si="3"/>
        <v>0.25</v>
      </c>
      <c r="L80" s="37">
        <f t="shared" si="4"/>
        <v>0.5</v>
      </c>
      <c r="M80" s="37"/>
    </row>
    <row r="81" spans="1:13" s="42" customFormat="1" ht="14.45" customHeight="1">
      <c r="A81" s="37"/>
      <c r="B81" s="490" t="s">
        <v>441</v>
      </c>
      <c r="C81" s="491"/>
      <c r="D81" s="37">
        <v>1</v>
      </c>
      <c r="E81" s="37">
        <v>1</v>
      </c>
      <c r="F81" s="37"/>
      <c r="G81" s="37">
        <v>1</v>
      </c>
      <c r="H81" s="37"/>
      <c r="I81" s="37"/>
      <c r="J81" s="37"/>
      <c r="K81" s="37">
        <f t="shared" si="3"/>
        <v>1</v>
      </c>
      <c r="L81" s="37">
        <f t="shared" si="4"/>
        <v>1</v>
      </c>
      <c r="M81" s="37"/>
    </row>
    <row r="82" spans="1:13" s="42" customFormat="1" ht="14.45" customHeight="1">
      <c r="A82" s="37"/>
      <c r="B82" s="490" t="s">
        <v>442</v>
      </c>
      <c r="C82" s="491"/>
      <c r="D82" s="37">
        <v>1</v>
      </c>
      <c r="E82" s="37">
        <v>1</v>
      </c>
      <c r="F82" s="37"/>
      <c r="G82" s="37">
        <v>1</v>
      </c>
      <c r="H82" s="37"/>
      <c r="I82" s="37"/>
      <c r="J82" s="37"/>
      <c r="K82" s="37">
        <f t="shared" si="3"/>
        <v>1</v>
      </c>
      <c r="L82" s="37">
        <f t="shared" si="4"/>
        <v>1</v>
      </c>
      <c r="M82" s="37"/>
    </row>
    <row r="83" spans="1:13" s="42" customFormat="1" ht="14.45" customHeight="1">
      <c r="A83" s="37"/>
      <c r="B83" s="490" t="s">
        <v>480</v>
      </c>
      <c r="C83" s="491"/>
      <c r="D83" s="37">
        <v>1</v>
      </c>
      <c r="E83" s="37">
        <v>1</v>
      </c>
      <c r="F83" s="37"/>
      <c r="G83" s="37">
        <v>1</v>
      </c>
      <c r="H83" s="37"/>
      <c r="I83" s="37"/>
      <c r="J83" s="37"/>
      <c r="K83" s="37">
        <f t="shared" si="3"/>
        <v>1</v>
      </c>
      <c r="L83" s="37">
        <f t="shared" si="4"/>
        <v>1</v>
      </c>
      <c r="M83" s="37"/>
    </row>
    <row r="84" spans="1:13" s="42" customFormat="1" ht="14.45" customHeight="1">
      <c r="A84" s="37"/>
      <c r="B84" s="490" t="s">
        <v>444</v>
      </c>
      <c r="C84" s="491"/>
      <c r="D84" s="37">
        <v>1</v>
      </c>
      <c r="E84" s="37">
        <v>1</v>
      </c>
      <c r="F84" s="37"/>
      <c r="G84" s="37">
        <v>1</v>
      </c>
      <c r="H84" s="37"/>
      <c r="I84" s="37"/>
      <c r="J84" s="37"/>
      <c r="K84" s="37">
        <f t="shared" si="3"/>
        <v>1</v>
      </c>
      <c r="L84" s="37">
        <f t="shared" si="4"/>
        <v>1</v>
      </c>
      <c r="M84" s="37"/>
    </row>
    <row r="85" spans="1:13" s="42" customFormat="1" ht="14.45" customHeight="1">
      <c r="A85" s="37"/>
      <c r="B85" s="490" t="s">
        <v>445</v>
      </c>
      <c r="C85" s="491"/>
      <c r="D85" s="37">
        <v>1</v>
      </c>
      <c r="E85" s="37">
        <v>0.5</v>
      </c>
      <c r="F85" s="37"/>
      <c r="G85" s="37">
        <v>0.5</v>
      </c>
      <c r="H85" s="37"/>
      <c r="I85" s="37"/>
      <c r="J85" s="37"/>
      <c r="K85" s="37">
        <f t="shared" si="3"/>
        <v>0.25</v>
      </c>
      <c r="L85" s="37">
        <f t="shared" si="4"/>
        <v>0.25</v>
      </c>
      <c r="M85" s="37"/>
    </row>
    <row r="86" spans="1:13" s="42" customFormat="1" ht="14.45" customHeight="1">
      <c r="A86" s="37"/>
      <c r="B86" s="490" t="s">
        <v>446</v>
      </c>
      <c r="C86" s="491"/>
      <c r="D86" s="37">
        <v>1</v>
      </c>
      <c r="E86" s="37">
        <v>1</v>
      </c>
      <c r="F86" s="37"/>
      <c r="G86" s="37">
        <v>1</v>
      </c>
      <c r="H86" s="37"/>
      <c r="I86" s="37"/>
      <c r="J86" s="37"/>
      <c r="K86" s="37">
        <f t="shared" si="3"/>
        <v>1</v>
      </c>
      <c r="L86" s="37">
        <f t="shared" si="4"/>
        <v>1</v>
      </c>
      <c r="M86" s="37"/>
    </row>
    <row r="87" spans="1:13" s="42" customFormat="1" ht="14.45" customHeight="1">
      <c r="A87" s="37"/>
      <c r="B87" s="490" t="s">
        <v>456</v>
      </c>
      <c r="C87" s="491"/>
      <c r="D87" s="37">
        <v>1</v>
      </c>
      <c r="E87" s="37">
        <v>1</v>
      </c>
      <c r="F87" s="37"/>
      <c r="G87" s="37">
        <v>1</v>
      </c>
      <c r="H87" s="37"/>
      <c r="I87" s="37"/>
      <c r="J87" s="37"/>
      <c r="K87" s="37">
        <f t="shared" si="3"/>
        <v>1</v>
      </c>
      <c r="L87" s="37">
        <f t="shared" si="4"/>
        <v>1</v>
      </c>
      <c r="M87" s="37"/>
    </row>
    <row r="88" spans="1:13" s="42" customFormat="1" ht="14.45" customHeight="1">
      <c r="A88" s="37"/>
      <c r="B88" s="490" t="s">
        <v>575</v>
      </c>
      <c r="C88" s="491"/>
      <c r="D88" s="37">
        <v>1</v>
      </c>
      <c r="E88" s="37">
        <v>0.5</v>
      </c>
      <c r="F88" s="37"/>
      <c r="G88" s="37">
        <v>0.5</v>
      </c>
      <c r="H88" s="37"/>
      <c r="I88" s="37"/>
      <c r="J88" s="37"/>
      <c r="K88" s="37">
        <f t="shared" si="3"/>
        <v>0.25</v>
      </c>
      <c r="L88" s="37">
        <f t="shared" si="4"/>
        <v>0.25</v>
      </c>
      <c r="M88" s="37"/>
    </row>
    <row r="89" spans="1:13" s="42" customFormat="1" ht="14.45" customHeight="1">
      <c r="A89" s="37"/>
      <c r="B89" s="490" t="s">
        <v>459</v>
      </c>
      <c r="C89" s="491"/>
      <c r="D89" s="37">
        <v>1</v>
      </c>
      <c r="E89" s="37">
        <v>1</v>
      </c>
      <c r="F89" s="37"/>
      <c r="G89" s="37">
        <v>1</v>
      </c>
      <c r="H89" s="37"/>
      <c r="I89" s="37"/>
      <c r="J89" s="37"/>
      <c r="K89" s="37">
        <f t="shared" si="3"/>
        <v>1</v>
      </c>
      <c r="L89" s="37">
        <f t="shared" si="4"/>
        <v>1</v>
      </c>
      <c r="M89" s="37"/>
    </row>
    <row r="90" spans="1:13" s="42" customFormat="1" ht="14.45" customHeight="1">
      <c r="A90" s="37"/>
      <c r="B90" s="490" t="s">
        <v>576</v>
      </c>
      <c r="C90" s="491"/>
      <c r="D90" s="37">
        <v>1</v>
      </c>
      <c r="E90" s="37">
        <v>1</v>
      </c>
      <c r="F90" s="37"/>
      <c r="G90" s="37">
        <v>1</v>
      </c>
      <c r="H90" s="37"/>
      <c r="I90" s="37"/>
      <c r="J90" s="37"/>
      <c r="K90" s="37">
        <f t="shared" si="3"/>
        <v>1</v>
      </c>
      <c r="L90" s="37">
        <f t="shared" si="4"/>
        <v>1</v>
      </c>
      <c r="M90" s="37"/>
    </row>
    <row r="91" spans="1:13" s="42" customFormat="1" ht="14.45" customHeight="1">
      <c r="A91" s="37"/>
      <c r="B91" s="490" t="s">
        <v>577</v>
      </c>
      <c r="C91" s="491"/>
      <c r="D91" s="37">
        <v>1</v>
      </c>
      <c r="E91" s="37">
        <v>0.5</v>
      </c>
      <c r="F91" s="37"/>
      <c r="G91" s="37">
        <v>0.5</v>
      </c>
      <c r="H91" s="37"/>
      <c r="I91" s="37"/>
      <c r="J91" s="37"/>
      <c r="K91" s="37">
        <f t="shared" si="3"/>
        <v>0.25</v>
      </c>
      <c r="L91" s="37">
        <f t="shared" si="4"/>
        <v>0.25</v>
      </c>
      <c r="M91" s="37"/>
    </row>
    <row r="92" spans="1:13" s="42" customFormat="1" ht="14.4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</row>
    <row r="93" spans="1:13" s="42" customFormat="1" ht="14.45" customHeight="1">
      <c r="A93" s="142" t="s">
        <v>492</v>
      </c>
      <c r="B93" s="394" t="str">
        <f>BM_15!B26</f>
        <v>REMOÇÃO DE FORRO DE GESSO, DE FORMA MANUAL, SEM REAPROVEITAMENTO. AF_12/2017</v>
      </c>
      <c r="C93" s="394"/>
      <c r="D93" s="394"/>
      <c r="E93" s="394"/>
      <c r="F93" s="394"/>
      <c r="G93" s="394"/>
      <c r="H93" s="394"/>
      <c r="I93" s="394"/>
      <c r="J93" s="394"/>
      <c r="K93" s="394"/>
      <c r="L93" s="142">
        <f>SUM(L95:L103)</f>
        <v>396.84</v>
      </c>
      <c r="M93" s="142" t="s">
        <v>429</v>
      </c>
    </row>
    <row r="94" spans="1:13" s="42" customFormat="1" ht="14.4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</row>
    <row r="95" spans="1:13" s="42" customFormat="1" ht="14.45" customHeight="1">
      <c r="A95" s="37"/>
      <c r="B95" s="393" t="s">
        <v>437</v>
      </c>
      <c r="C95" s="393"/>
      <c r="D95" s="37">
        <v>1</v>
      </c>
      <c r="E95" s="37">
        <v>6.7</v>
      </c>
      <c r="F95" s="37"/>
      <c r="G95" s="37">
        <v>19.2</v>
      </c>
      <c r="H95" s="37"/>
      <c r="I95" s="37"/>
      <c r="J95" s="37"/>
      <c r="K95" s="37">
        <f>E95*G95</f>
        <v>128.63999999999999</v>
      </c>
      <c r="L95" s="37">
        <f>K95*D95</f>
        <v>128.63999999999999</v>
      </c>
      <c r="M95" s="37"/>
    </row>
    <row r="96" spans="1:13" s="42" customFormat="1" ht="14.45" customHeight="1">
      <c r="A96" s="37"/>
      <c r="B96" s="393" t="s">
        <v>579</v>
      </c>
      <c r="C96" s="393"/>
      <c r="D96" s="37">
        <v>1</v>
      </c>
      <c r="E96" s="37">
        <v>6.2</v>
      </c>
      <c r="F96" s="37"/>
      <c r="G96" s="37">
        <v>4.0999999999999996</v>
      </c>
      <c r="H96" s="37"/>
      <c r="I96" s="37"/>
      <c r="J96" s="37"/>
      <c r="K96" s="37">
        <f t="shared" ref="K96:K103" si="5">E96*G96</f>
        <v>25.419999999999998</v>
      </c>
      <c r="L96" s="37">
        <f t="shared" ref="L96:L103" si="6">K96*D96</f>
        <v>25.419999999999998</v>
      </c>
      <c r="M96" s="37"/>
    </row>
    <row r="97" spans="1:13" s="42" customFormat="1" ht="14.45" customHeight="1">
      <c r="A97" s="37"/>
      <c r="B97" s="393" t="s">
        <v>434</v>
      </c>
      <c r="C97" s="393"/>
      <c r="D97" s="37">
        <v>1</v>
      </c>
      <c r="E97" s="37">
        <v>5.2</v>
      </c>
      <c r="F97" s="37"/>
      <c r="G97" s="37">
        <v>5.6</v>
      </c>
      <c r="H97" s="37"/>
      <c r="I97" s="37"/>
      <c r="J97" s="37"/>
      <c r="K97" s="37">
        <f t="shared" si="5"/>
        <v>29.119999999999997</v>
      </c>
      <c r="L97" s="37">
        <f t="shared" si="6"/>
        <v>29.119999999999997</v>
      </c>
      <c r="M97" s="37"/>
    </row>
    <row r="98" spans="1:13" s="42" customFormat="1" ht="14.45" customHeight="1">
      <c r="A98" s="37"/>
      <c r="B98" s="393" t="s">
        <v>435</v>
      </c>
      <c r="C98" s="393"/>
      <c r="D98" s="37">
        <v>1</v>
      </c>
      <c r="E98" s="37">
        <v>5.2</v>
      </c>
      <c r="F98" s="37"/>
      <c r="G98" s="37">
        <v>5.6</v>
      </c>
      <c r="H98" s="37"/>
      <c r="I98" s="37"/>
      <c r="J98" s="37"/>
      <c r="K98" s="37">
        <f t="shared" si="5"/>
        <v>29.119999999999997</v>
      </c>
      <c r="L98" s="37">
        <f t="shared" si="6"/>
        <v>29.119999999999997</v>
      </c>
      <c r="M98" s="37"/>
    </row>
    <row r="99" spans="1:13" s="42" customFormat="1" ht="14.45" customHeight="1">
      <c r="A99" s="37"/>
      <c r="B99" s="393" t="s">
        <v>436</v>
      </c>
      <c r="C99" s="393"/>
      <c r="D99" s="37">
        <v>1</v>
      </c>
      <c r="E99" s="37">
        <v>5.2</v>
      </c>
      <c r="F99" s="37"/>
      <c r="G99" s="37">
        <v>5.6</v>
      </c>
      <c r="H99" s="37"/>
      <c r="I99" s="37"/>
      <c r="J99" s="37"/>
      <c r="K99" s="37">
        <f t="shared" si="5"/>
        <v>29.119999999999997</v>
      </c>
      <c r="L99" s="37">
        <f t="shared" si="6"/>
        <v>29.119999999999997</v>
      </c>
      <c r="M99" s="37"/>
    </row>
    <row r="100" spans="1:13" s="42" customFormat="1" ht="14.45" customHeight="1">
      <c r="A100" s="37"/>
      <c r="B100" s="393" t="s">
        <v>436</v>
      </c>
      <c r="C100" s="393"/>
      <c r="D100" s="37">
        <v>1</v>
      </c>
      <c r="E100" s="37">
        <v>5.2</v>
      </c>
      <c r="F100" s="37"/>
      <c r="G100" s="37">
        <v>5.6</v>
      </c>
      <c r="H100" s="37"/>
      <c r="I100" s="37"/>
      <c r="J100" s="37"/>
      <c r="K100" s="37">
        <f t="shared" si="5"/>
        <v>29.119999999999997</v>
      </c>
      <c r="L100" s="37">
        <f t="shared" si="6"/>
        <v>29.119999999999997</v>
      </c>
      <c r="M100" s="37"/>
    </row>
    <row r="101" spans="1:13" s="42" customFormat="1" ht="14.45" customHeight="1">
      <c r="A101" s="37"/>
      <c r="B101" s="393" t="s">
        <v>580</v>
      </c>
      <c r="C101" s="393"/>
      <c r="D101" s="37">
        <v>1</v>
      </c>
      <c r="E101" s="37">
        <v>2</v>
      </c>
      <c r="F101" s="37"/>
      <c r="G101" s="37">
        <v>22.9</v>
      </c>
      <c r="H101" s="37"/>
      <c r="I101" s="37"/>
      <c r="J101" s="37"/>
      <c r="K101" s="37">
        <f t="shared" si="5"/>
        <v>45.8</v>
      </c>
      <c r="L101" s="37">
        <f t="shared" si="6"/>
        <v>45.8</v>
      </c>
      <c r="M101" s="37"/>
    </row>
    <row r="102" spans="1:13" s="42" customFormat="1" ht="14.45" customHeight="1">
      <c r="A102" s="37"/>
      <c r="B102" s="393" t="s">
        <v>581</v>
      </c>
      <c r="C102" s="393"/>
      <c r="D102" s="37">
        <v>1</v>
      </c>
      <c r="E102" s="37">
        <v>5.2</v>
      </c>
      <c r="F102" s="37"/>
      <c r="G102" s="37">
        <v>13</v>
      </c>
      <c r="H102" s="37"/>
      <c r="I102" s="37"/>
      <c r="J102" s="37"/>
      <c r="K102" s="37">
        <f t="shared" si="5"/>
        <v>67.600000000000009</v>
      </c>
      <c r="L102" s="37">
        <f t="shared" si="6"/>
        <v>67.600000000000009</v>
      </c>
      <c r="M102" s="37"/>
    </row>
    <row r="103" spans="1:13" s="42" customFormat="1" ht="14.45" customHeight="1">
      <c r="A103" s="37"/>
      <c r="B103" s="393" t="s">
        <v>582</v>
      </c>
      <c r="C103" s="393"/>
      <c r="D103" s="37">
        <v>1</v>
      </c>
      <c r="E103" s="37">
        <v>3</v>
      </c>
      <c r="F103" s="37"/>
      <c r="G103" s="37">
        <v>4.3</v>
      </c>
      <c r="H103" s="37"/>
      <c r="I103" s="37"/>
      <c r="J103" s="37"/>
      <c r="K103" s="37">
        <f t="shared" si="5"/>
        <v>12.899999999999999</v>
      </c>
      <c r="L103" s="37">
        <f t="shared" si="6"/>
        <v>12.899999999999999</v>
      </c>
      <c r="M103" s="37"/>
    </row>
    <row r="104" spans="1:13" s="42" customFormat="1" ht="14.4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</row>
    <row r="105" spans="1:13" s="42" customFormat="1" ht="14.45" customHeight="1">
      <c r="A105" s="142" t="s">
        <v>493</v>
      </c>
      <c r="B105" s="394" t="str">
        <f>BM_15!B27</f>
        <v>DEMOLIÇÃO DE LAJES, DE FORMA MANUAL, SEM REAPROVEITAMENTO. AF_12/2017</v>
      </c>
      <c r="C105" s="394"/>
      <c r="D105" s="394"/>
      <c r="E105" s="394"/>
      <c r="F105" s="394"/>
      <c r="G105" s="394"/>
      <c r="H105" s="394"/>
      <c r="I105" s="394"/>
      <c r="J105" s="394"/>
      <c r="K105" s="394"/>
      <c r="L105" s="142">
        <f>SUM(L107:L111)</f>
        <v>35.363999999999997</v>
      </c>
      <c r="M105" s="142" t="s">
        <v>495</v>
      </c>
    </row>
    <row r="106" spans="1:13" s="42" customFormat="1" ht="14.4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</row>
    <row r="107" spans="1:13" s="42" customFormat="1" ht="14.45" customHeight="1">
      <c r="A107" s="37"/>
      <c r="B107" s="393" t="s">
        <v>437</v>
      </c>
      <c r="C107" s="393"/>
      <c r="D107" s="37">
        <v>1</v>
      </c>
      <c r="E107" s="37">
        <v>6.7</v>
      </c>
      <c r="F107" s="37"/>
      <c r="G107" s="37">
        <v>19.2</v>
      </c>
      <c r="H107" s="37"/>
      <c r="I107" s="37">
        <v>0.15</v>
      </c>
      <c r="J107" s="37"/>
      <c r="K107" s="37">
        <f>E107*G107*I107</f>
        <v>19.295999999999996</v>
      </c>
      <c r="L107" s="37">
        <f>K107*D107</f>
        <v>19.295999999999996</v>
      </c>
      <c r="M107" s="37"/>
    </row>
    <row r="108" spans="1:13" s="42" customFormat="1" ht="14.45" customHeight="1">
      <c r="A108" s="37"/>
      <c r="B108" s="393" t="s">
        <v>581</v>
      </c>
      <c r="C108" s="393"/>
      <c r="D108" s="37">
        <v>1</v>
      </c>
      <c r="E108" s="37">
        <v>5.2</v>
      </c>
      <c r="F108" s="37"/>
      <c r="G108" s="37">
        <v>13</v>
      </c>
      <c r="H108" s="37"/>
      <c r="I108" s="37">
        <v>0.15</v>
      </c>
      <c r="J108" s="37"/>
      <c r="K108" s="37">
        <f>E108*G108*I108</f>
        <v>10.14</v>
      </c>
      <c r="L108" s="37">
        <f>K108*D108</f>
        <v>10.14</v>
      </c>
      <c r="M108" s="37"/>
    </row>
    <row r="109" spans="1:13" s="42" customFormat="1" ht="14.45" customHeight="1">
      <c r="A109" s="37"/>
      <c r="B109" s="393" t="s">
        <v>583</v>
      </c>
      <c r="C109" s="393"/>
      <c r="D109" s="37">
        <v>1</v>
      </c>
      <c r="E109" s="37">
        <v>4.7</v>
      </c>
      <c r="F109" s="37"/>
      <c r="G109" s="37">
        <v>4.0999999999999996</v>
      </c>
      <c r="H109" s="37"/>
      <c r="I109" s="37">
        <v>0.15</v>
      </c>
      <c r="J109" s="37"/>
      <c r="K109" s="37">
        <f>E109*G109*I109</f>
        <v>2.8904999999999998</v>
      </c>
      <c r="L109" s="37">
        <f>K109*D109</f>
        <v>2.8904999999999998</v>
      </c>
      <c r="M109" s="37"/>
    </row>
    <row r="110" spans="1:13" s="42" customFormat="1" ht="14.45" customHeight="1">
      <c r="A110" s="37"/>
      <c r="B110" s="393" t="s">
        <v>573</v>
      </c>
      <c r="C110" s="393"/>
      <c r="D110" s="37">
        <v>1</v>
      </c>
      <c r="E110" s="37">
        <v>3.9</v>
      </c>
      <c r="F110" s="37"/>
      <c r="G110" s="37">
        <v>2.2999999999999998</v>
      </c>
      <c r="H110" s="37"/>
      <c r="I110" s="37">
        <v>0.15</v>
      </c>
      <c r="J110" s="37"/>
      <c r="K110" s="37">
        <f>E110*G110*I110</f>
        <v>1.3454999999999997</v>
      </c>
      <c r="L110" s="37">
        <f>K110*D110</f>
        <v>1.3454999999999997</v>
      </c>
      <c r="M110" s="37"/>
    </row>
    <row r="111" spans="1:13" s="42" customFormat="1" ht="14.45" customHeight="1">
      <c r="A111" s="37"/>
      <c r="B111" s="393" t="s">
        <v>445</v>
      </c>
      <c r="C111" s="393"/>
      <c r="D111" s="37">
        <v>1</v>
      </c>
      <c r="E111" s="37">
        <v>4.7</v>
      </c>
      <c r="F111" s="37"/>
      <c r="G111" s="37">
        <v>2.4</v>
      </c>
      <c r="H111" s="37"/>
      <c r="I111" s="37">
        <v>0.15</v>
      </c>
      <c r="J111" s="37"/>
      <c r="K111" s="37">
        <f>E111*G111*I111</f>
        <v>1.6919999999999999</v>
      </c>
      <c r="L111" s="37">
        <f>K111*D111</f>
        <v>1.6919999999999999</v>
      </c>
      <c r="M111" s="37"/>
    </row>
    <row r="112" spans="1:13" s="42" customFormat="1" ht="14.45" customHeight="1">
      <c r="A112" s="41"/>
      <c r="B112" s="41"/>
      <c r="C112" s="41"/>
      <c r="D112" s="41"/>
      <c r="E112" s="41"/>
      <c r="G112" s="41"/>
      <c r="K112" s="41"/>
    </row>
    <row r="113" spans="1:13" s="42" customFormat="1" ht="19.149999999999999" customHeight="1">
      <c r="A113" s="142" t="s">
        <v>520</v>
      </c>
      <c r="B113" s="394" t="str">
        <f>BM_15!B28</f>
        <v>REMOÇÃO DE TELHAS, DE FIBROCIMENTO, METÁLICA E CERÂMICA, DE FORMA MANUAL, SEM REAPROVEITAMENTO. AF_12/2017</v>
      </c>
      <c r="C113" s="394"/>
      <c r="D113" s="394"/>
      <c r="E113" s="394"/>
      <c r="F113" s="394"/>
      <c r="G113" s="394"/>
      <c r="H113" s="394"/>
      <c r="I113" s="394"/>
      <c r="J113" s="394"/>
      <c r="K113" s="394"/>
      <c r="L113" s="142">
        <f>SUM(L115:L119)</f>
        <v>636.83999999999992</v>
      </c>
      <c r="M113" s="142" t="s">
        <v>429</v>
      </c>
    </row>
    <row r="114" spans="1:13" s="42" customFormat="1" ht="14.4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</row>
    <row r="115" spans="1:13" s="42" customFormat="1" ht="14.45" customHeight="1">
      <c r="A115" s="37"/>
      <c r="B115" s="393" t="s">
        <v>585</v>
      </c>
      <c r="C115" s="393"/>
      <c r="D115" s="37">
        <v>1</v>
      </c>
      <c r="E115" s="37">
        <v>211.67</v>
      </c>
      <c r="F115" s="37"/>
      <c r="G115" s="37"/>
      <c r="H115" s="37"/>
      <c r="I115" s="37"/>
      <c r="J115" s="37"/>
      <c r="K115" s="37">
        <f>E115</f>
        <v>211.67</v>
      </c>
      <c r="L115" s="37">
        <f>K115*D115</f>
        <v>211.67</v>
      </c>
      <c r="M115" s="37"/>
    </row>
    <row r="116" spans="1:13" s="42" customFormat="1" ht="14.45" customHeight="1">
      <c r="A116" s="37"/>
      <c r="B116" s="393" t="s">
        <v>586</v>
      </c>
      <c r="C116" s="393"/>
      <c r="D116" s="37">
        <v>1</v>
      </c>
      <c r="E116" s="37">
        <v>5</v>
      </c>
      <c r="F116" s="37"/>
      <c r="G116" s="37"/>
      <c r="H116" s="37">
        <v>11.4</v>
      </c>
      <c r="I116" s="37"/>
      <c r="J116" s="37"/>
      <c r="K116" s="37">
        <f t="shared" ref="K116" si="7">E116*H116</f>
        <v>57</v>
      </c>
      <c r="L116" s="37">
        <f t="shared" ref="L116:L119" si="8">K116*D116</f>
        <v>57</v>
      </c>
      <c r="M116" s="37"/>
    </row>
    <row r="117" spans="1:13" s="42" customFormat="1" ht="14.45" customHeight="1">
      <c r="A117" s="37"/>
      <c r="B117" s="393" t="s">
        <v>587</v>
      </c>
      <c r="C117" s="393"/>
      <c r="D117" s="37">
        <v>1</v>
      </c>
      <c r="E117" s="37">
        <v>159.29</v>
      </c>
      <c r="F117" s="37"/>
      <c r="G117" s="37"/>
      <c r="H117" s="37"/>
      <c r="I117" s="37"/>
      <c r="J117" s="37"/>
      <c r="K117" s="37">
        <f>E117</f>
        <v>159.29</v>
      </c>
      <c r="L117" s="37">
        <f t="shared" si="8"/>
        <v>159.29</v>
      </c>
      <c r="M117" s="37"/>
    </row>
    <row r="118" spans="1:13" s="42" customFormat="1" ht="14.45" customHeight="1">
      <c r="A118" s="37"/>
      <c r="B118" s="393" t="s">
        <v>587</v>
      </c>
      <c r="C118" s="393"/>
      <c r="D118" s="37">
        <v>1</v>
      </c>
      <c r="E118" s="37">
        <v>180.53</v>
      </c>
      <c r="F118" s="37"/>
      <c r="G118" s="37"/>
      <c r="H118" s="37"/>
      <c r="I118" s="37"/>
      <c r="J118" s="37"/>
      <c r="K118" s="37">
        <f>E118</f>
        <v>180.53</v>
      </c>
      <c r="L118" s="37">
        <f t="shared" si="8"/>
        <v>180.53</v>
      </c>
      <c r="M118" s="37"/>
    </row>
    <row r="119" spans="1:13" s="42" customFormat="1" ht="14.45" customHeight="1">
      <c r="A119" s="37"/>
      <c r="B119" s="393" t="s">
        <v>588</v>
      </c>
      <c r="C119" s="393"/>
      <c r="D119" s="37">
        <v>1</v>
      </c>
      <c r="E119" s="37">
        <v>28.35</v>
      </c>
      <c r="F119" s="37"/>
      <c r="G119" s="37"/>
      <c r="H119" s="37"/>
      <c r="I119" s="37"/>
      <c r="J119" s="37"/>
      <c r="K119" s="37">
        <f>E119</f>
        <v>28.35</v>
      </c>
      <c r="L119" s="37">
        <f t="shared" si="8"/>
        <v>28.35</v>
      </c>
      <c r="M119" s="37"/>
    </row>
    <row r="120" spans="1:13" s="42" customFormat="1" ht="14.45" customHeight="1">
      <c r="A120" s="41"/>
      <c r="B120" s="41"/>
      <c r="C120" s="41"/>
      <c r="D120" s="41"/>
      <c r="E120" s="41"/>
      <c r="G120" s="41"/>
      <c r="K120" s="41"/>
    </row>
    <row r="121" spans="1:13" s="42" customFormat="1" ht="14.45" customHeight="1">
      <c r="A121" s="142" t="s">
        <v>589</v>
      </c>
      <c r="B121" s="394" t="str">
        <f>REPROGRAMAÇÃO!C24</f>
        <v>INFRA ESTRUTURA E SUPERESTRUTURA</v>
      </c>
      <c r="C121" s="394"/>
      <c r="D121" s="394"/>
      <c r="E121" s="394"/>
      <c r="F121" s="394"/>
      <c r="G121" s="394"/>
      <c r="H121" s="394"/>
      <c r="I121" s="394"/>
      <c r="J121" s="394"/>
      <c r="K121" s="394"/>
      <c r="L121" s="142"/>
      <c r="M121" s="142"/>
    </row>
    <row r="122" spans="1:13" s="42" customFormat="1" ht="14.4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</row>
    <row r="123" spans="1:13" s="42" customFormat="1" ht="23.45" customHeight="1">
      <c r="A123" s="142" t="str">
        <f>BM_15!A34</f>
        <v>2.4</v>
      </c>
      <c r="B123" s="394" t="str">
        <f>BM_15!B34</f>
        <v>CONCRETO FCK = 25MPA, TRAÇO 1:2,3:2,7 (EM MASSA SECA DE CIMENTO/ AREIA MÉDIA/ BRITA 1) - PREPARO MECÂNICO COM BETONEIRA 600 L. AF_05/2021</v>
      </c>
      <c r="C123" s="394"/>
      <c r="D123" s="394"/>
      <c r="E123" s="394"/>
      <c r="F123" s="394"/>
      <c r="G123" s="394"/>
      <c r="H123" s="394"/>
      <c r="I123" s="394"/>
      <c r="J123" s="394"/>
      <c r="K123" s="394"/>
      <c r="L123" s="142">
        <f>SUM(L125:L135)</f>
        <v>12.295800000000003</v>
      </c>
      <c r="M123" s="142" t="s">
        <v>495</v>
      </c>
    </row>
    <row r="124" spans="1:13" s="42" customFormat="1" ht="14.4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</row>
    <row r="125" spans="1:13" s="42" customFormat="1" ht="14.45" customHeight="1">
      <c r="A125" s="37"/>
      <c r="B125" s="490" t="s">
        <v>590</v>
      </c>
      <c r="C125" s="491"/>
      <c r="D125" s="37">
        <v>2</v>
      </c>
      <c r="E125" s="37">
        <v>6.08</v>
      </c>
      <c r="F125" s="37"/>
      <c r="G125" s="37">
        <v>0.5</v>
      </c>
      <c r="H125" s="37"/>
      <c r="I125" s="37">
        <v>0.15</v>
      </c>
      <c r="J125" s="37"/>
      <c r="K125" s="37">
        <f>E125*G125*I125</f>
        <v>0.45599999999999996</v>
      </c>
      <c r="L125" s="37">
        <f>K125*D125</f>
        <v>0.91199999999999992</v>
      </c>
      <c r="M125" s="37"/>
    </row>
    <row r="126" spans="1:13" s="42" customFormat="1" ht="14.45" customHeight="1">
      <c r="A126" s="37"/>
      <c r="B126" s="490" t="s">
        <v>591</v>
      </c>
      <c r="C126" s="491"/>
      <c r="D126" s="37">
        <v>2</v>
      </c>
      <c r="E126" s="37">
        <v>1.28</v>
      </c>
      <c r="F126" s="37"/>
      <c r="G126" s="37">
        <v>0.3</v>
      </c>
      <c r="H126" s="37"/>
      <c r="I126" s="37">
        <v>0.15</v>
      </c>
      <c r="J126" s="37"/>
      <c r="K126" s="37">
        <f t="shared" ref="K126:K135" si="9">E126*G126*I126</f>
        <v>5.7599999999999998E-2</v>
      </c>
      <c r="L126" s="37">
        <f t="shared" ref="L126:L135" si="10">K126*D126</f>
        <v>0.1152</v>
      </c>
      <c r="M126" s="37"/>
    </row>
    <row r="127" spans="1:13" s="42" customFormat="1" ht="14.45" customHeight="1">
      <c r="A127" s="37"/>
      <c r="B127" s="490" t="s">
        <v>592</v>
      </c>
      <c r="C127" s="491"/>
      <c r="D127" s="37">
        <v>2</v>
      </c>
      <c r="E127" s="37">
        <v>19.23</v>
      </c>
      <c r="F127" s="37"/>
      <c r="G127" s="37">
        <v>0.5</v>
      </c>
      <c r="H127" s="37"/>
      <c r="I127" s="37">
        <v>0.15</v>
      </c>
      <c r="J127" s="37"/>
      <c r="K127" s="37">
        <f t="shared" si="9"/>
        <v>1.44225</v>
      </c>
      <c r="L127" s="37">
        <f t="shared" si="10"/>
        <v>2.8845000000000001</v>
      </c>
      <c r="M127" s="37"/>
    </row>
    <row r="128" spans="1:13" s="42" customFormat="1" ht="14.45" customHeight="1">
      <c r="A128" s="37"/>
      <c r="B128" s="490" t="s">
        <v>593</v>
      </c>
      <c r="C128" s="491"/>
      <c r="D128" s="37">
        <v>2</v>
      </c>
      <c r="E128" s="37">
        <v>10.9</v>
      </c>
      <c r="F128" s="37"/>
      <c r="G128" s="37">
        <v>0.5</v>
      </c>
      <c r="H128" s="37"/>
      <c r="I128" s="37">
        <v>0.15</v>
      </c>
      <c r="J128" s="37"/>
      <c r="K128" s="37">
        <f t="shared" si="9"/>
        <v>0.8175</v>
      </c>
      <c r="L128" s="37">
        <f t="shared" si="10"/>
        <v>1.635</v>
      </c>
      <c r="M128" s="37"/>
    </row>
    <row r="129" spans="1:13" s="42" customFormat="1" ht="14.45" customHeight="1">
      <c r="A129" s="37"/>
      <c r="B129" s="490" t="s">
        <v>594</v>
      </c>
      <c r="C129" s="491"/>
      <c r="D129" s="37">
        <v>2</v>
      </c>
      <c r="E129" s="37">
        <v>39.11</v>
      </c>
      <c r="F129" s="37"/>
      <c r="G129" s="37">
        <v>0.5</v>
      </c>
      <c r="H129" s="37"/>
      <c r="I129" s="37">
        <v>0.15</v>
      </c>
      <c r="J129" s="37"/>
      <c r="K129" s="37">
        <f t="shared" si="9"/>
        <v>2.9332499999999997</v>
      </c>
      <c r="L129" s="37">
        <f t="shared" si="10"/>
        <v>5.8664999999999994</v>
      </c>
      <c r="M129" s="37"/>
    </row>
    <row r="130" spans="1:13" s="42" customFormat="1" ht="14.45" customHeight="1">
      <c r="A130" s="37"/>
      <c r="B130" s="490" t="s">
        <v>595</v>
      </c>
      <c r="C130" s="491"/>
      <c r="D130" s="37">
        <v>2</v>
      </c>
      <c r="E130" s="37">
        <v>1.48</v>
      </c>
      <c r="F130" s="37"/>
      <c r="G130" s="37">
        <v>0.3</v>
      </c>
      <c r="H130" s="37"/>
      <c r="I130" s="37">
        <v>0.15</v>
      </c>
      <c r="J130" s="37"/>
      <c r="K130" s="37">
        <f t="shared" si="9"/>
        <v>6.6599999999999993E-2</v>
      </c>
      <c r="L130" s="37">
        <f t="shared" si="10"/>
        <v>0.13319999999999999</v>
      </c>
      <c r="M130" s="37"/>
    </row>
    <row r="131" spans="1:13" s="42" customFormat="1" ht="14.45" customHeight="1">
      <c r="A131" s="37"/>
      <c r="B131" s="490" t="s">
        <v>596</v>
      </c>
      <c r="C131" s="491"/>
      <c r="D131" s="37">
        <v>2</v>
      </c>
      <c r="E131" s="37">
        <v>1.48</v>
      </c>
      <c r="F131" s="37"/>
      <c r="G131" s="37">
        <v>0.3</v>
      </c>
      <c r="H131" s="37"/>
      <c r="I131" s="37">
        <v>0.15</v>
      </c>
      <c r="J131" s="37"/>
      <c r="K131" s="37">
        <f t="shared" si="9"/>
        <v>6.6599999999999993E-2</v>
      </c>
      <c r="L131" s="37">
        <f t="shared" si="10"/>
        <v>0.13319999999999999</v>
      </c>
      <c r="M131" s="37"/>
    </row>
    <row r="132" spans="1:13" s="42" customFormat="1" ht="14.45" customHeight="1">
      <c r="A132" s="37"/>
      <c r="B132" s="490" t="s">
        <v>597</v>
      </c>
      <c r="C132" s="491"/>
      <c r="D132" s="37">
        <v>2</v>
      </c>
      <c r="E132" s="37">
        <v>1.58</v>
      </c>
      <c r="F132" s="37"/>
      <c r="G132" s="37">
        <v>0.4</v>
      </c>
      <c r="H132" s="37"/>
      <c r="I132" s="37">
        <v>0.15</v>
      </c>
      <c r="J132" s="37"/>
      <c r="K132" s="37">
        <f t="shared" si="9"/>
        <v>9.4800000000000009E-2</v>
      </c>
      <c r="L132" s="37">
        <f t="shared" si="10"/>
        <v>0.18960000000000002</v>
      </c>
      <c r="M132" s="37"/>
    </row>
    <row r="133" spans="1:13" s="42" customFormat="1" ht="14.45" customHeight="1">
      <c r="A133" s="37"/>
      <c r="B133" s="490" t="s">
        <v>598</v>
      </c>
      <c r="C133" s="491"/>
      <c r="D133" s="37">
        <v>2</v>
      </c>
      <c r="E133" s="37">
        <v>1.58</v>
      </c>
      <c r="F133" s="37"/>
      <c r="G133" s="37">
        <v>0.3</v>
      </c>
      <c r="H133" s="37"/>
      <c r="I133" s="37">
        <v>0.15</v>
      </c>
      <c r="J133" s="37"/>
      <c r="K133" s="37">
        <f t="shared" si="9"/>
        <v>7.1099999999999997E-2</v>
      </c>
      <c r="L133" s="37">
        <f t="shared" si="10"/>
        <v>0.14219999999999999</v>
      </c>
      <c r="M133" s="37"/>
    </row>
    <row r="134" spans="1:13" s="42" customFormat="1" ht="14.45" customHeight="1">
      <c r="A134" s="37"/>
      <c r="B134" s="490" t="s">
        <v>599</v>
      </c>
      <c r="C134" s="491"/>
      <c r="D134" s="37">
        <v>2</v>
      </c>
      <c r="E134" s="37">
        <v>1.58</v>
      </c>
      <c r="F134" s="37"/>
      <c r="G134" s="37">
        <v>0.3</v>
      </c>
      <c r="H134" s="37"/>
      <c r="I134" s="37">
        <v>0.15</v>
      </c>
      <c r="J134" s="37"/>
      <c r="K134" s="37">
        <f t="shared" si="9"/>
        <v>7.1099999999999997E-2</v>
      </c>
      <c r="L134" s="37">
        <f t="shared" si="10"/>
        <v>0.14219999999999999</v>
      </c>
      <c r="M134" s="37"/>
    </row>
    <row r="135" spans="1:13" s="42" customFormat="1" ht="14.45" customHeight="1">
      <c r="A135" s="37"/>
      <c r="B135" s="490" t="s">
        <v>600</v>
      </c>
      <c r="C135" s="491"/>
      <c r="D135" s="37">
        <v>2</v>
      </c>
      <c r="E135" s="37">
        <v>1.58</v>
      </c>
      <c r="F135" s="37"/>
      <c r="G135" s="37">
        <v>0.3</v>
      </c>
      <c r="H135" s="37"/>
      <c r="I135" s="37">
        <v>0.15</v>
      </c>
      <c r="J135" s="37"/>
      <c r="K135" s="37">
        <f t="shared" si="9"/>
        <v>7.1099999999999997E-2</v>
      </c>
      <c r="L135" s="37">
        <f t="shared" si="10"/>
        <v>0.14219999999999999</v>
      </c>
      <c r="M135" s="37"/>
    </row>
    <row r="136" spans="1:13" s="42" customFormat="1" ht="14.45" customHeight="1">
      <c r="A136" s="37"/>
      <c r="B136" s="73"/>
      <c r="C136" s="74"/>
      <c r="D136" s="37"/>
      <c r="E136" s="37"/>
      <c r="F136" s="37"/>
      <c r="G136" s="37"/>
      <c r="H136" s="37"/>
      <c r="I136" s="37"/>
      <c r="J136" s="37"/>
      <c r="K136" s="37"/>
      <c r="L136" s="37"/>
      <c r="M136" s="37"/>
    </row>
    <row r="137" spans="1:13" s="42" customFormat="1" ht="14.45" customHeight="1">
      <c r="A137" s="142" t="s">
        <v>20</v>
      </c>
      <c r="B137" s="394" t="str">
        <f>BM_15!B35</f>
        <v>CONCRETO FCK = 30MPA, TRAÇO 1:2,1:2,5 (EM MASSA SECA DE CIMENTO/ AREIA MÉDIA/ BRITA 1) - PREPARO MECÂNICO COM BETONEIRA 600 L. AF_05/2021</v>
      </c>
      <c r="C137" s="394"/>
      <c r="D137" s="394"/>
      <c r="E137" s="394"/>
      <c r="F137" s="394"/>
      <c r="G137" s="394"/>
      <c r="H137" s="394"/>
      <c r="I137" s="394"/>
      <c r="J137" s="394"/>
      <c r="K137" s="394"/>
      <c r="L137" s="142">
        <f>SUM(L139:L149)</f>
        <v>12.295800000000003</v>
      </c>
      <c r="M137" s="142" t="s">
        <v>495</v>
      </c>
    </row>
    <row r="138" spans="1:13" s="42" customFormat="1" ht="14.45" customHeight="1">
      <c r="A138" s="37"/>
      <c r="B138" s="73"/>
      <c r="C138" s="74"/>
      <c r="D138" s="37"/>
      <c r="E138" s="37"/>
      <c r="F138" s="37"/>
      <c r="G138" s="37"/>
      <c r="H138" s="37"/>
      <c r="I138" s="37"/>
      <c r="J138" s="37"/>
      <c r="K138" s="37"/>
      <c r="L138" s="37"/>
      <c r="M138" s="37"/>
    </row>
    <row r="139" spans="1:13" s="42" customFormat="1" ht="14.45" customHeight="1">
      <c r="A139" s="37"/>
      <c r="B139" s="490" t="s">
        <v>590</v>
      </c>
      <c r="C139" s="491"/>
      <c r="D139" s="37">
        <v>2</v>
      </c>
      <c r="E139" s="37">
        <v>6.08</v>
      </c>
      <c r="F139" s="37"/>
      <c r="G139" s="37">
        <v>0.5</v>
      </c>
      <c r="H139" s="37"/>
      <c r="I139" s="37">
        <v>0.15</v>
      </c>
      <c r="J139" s="37"/>
      <c r="K139" s="37">
        <f>E139*G139*I139</f>
        <v>0.45599999999999996</v>
      </c>
      <c r="L139" s="37">
        <f>K139*D139</f>
        <v>0.91199999999999992</v>
      </c>
      <c r="M139" s="37"/>
    </row>
    <row r="140" spans="1:13" s="42" customFormat="1" ht="14.45" customHeight="1">
      <c r="A140" s="37"/>
      <c r="B140" s="490" t="s">
        <v>591</v>
      </c>
      <c r="C140" s="491"/>
      <c r="D140" s="37">
        <v>2</v>
      </c>
      <c r="E140" s="37">
        <v>1.28</v>
      </c>
      <c r="F140" s="37"/>
      <c r="G140" s="37">
        <v>0.3</v>
      </c>
      <c r="H140" s="37"/>
      <c r="I140" s="37">
        <v>0.15</v>
      </c>
      <c r="J140" s="37"/>
      <c r="K140" s="37">
        <f t="shared" ref="K140:K149" si="11">E140*G140*I140</f>
        <v>5.7599999999999998E-2</v>
      </c>
      <c r="L140" s="37">
        <f t="shared" ref="L140:L149" si="12">K140*D140</f>
        <v>0.1152</v>
      </c>
      <c r="M140" s="37"/>
    </row>
    <row r="141" spans="1:13" s="42" customFormat="1" ht="14.45" customHeight="1">
      <c r="A141" s="37"/>
      <c r="B141" s="490" t="s">
        <v>592</v>
      </c>
      <c r="C141" s="491"/>
      <c r="D141" s="37">
        <v>2</v>
      </c>
      <c r="E141" s="37">
        <v>19.23</v>
      </c>
      <c r="F141" s="37"/>
      <c r="G141" s="37">
        <v>0.5</v>
      </c>
      <c r="H141" s="37"/>
      <c r="I141" s="37">
        <v>0.15</v>
      </c>
      <c r="J141" s="37"/>
      <c r="K141" s="37">
        <f t="shared" si="11"/>
        <v>1.44225</v>
      </c>
      <c r="L141" s="37">
        <f t="shared" si="12"/>
        <v>2.8845000000000001</v>
      </c>
      <c r="M141" s="37"/>
    </row>
    <row r="142" spans="1:13" s="42" customFormat="1" ht="14.45" customHeight="1">
      <c r="A142" s="37"/>
      <c r="B142" s="490" t="s">
        <v>593</v>
      </c>
      <c r="C142" s="491"/>
      <c r="D142" s="37">
        <v>2</v>
      </c>
      <c r="E142" s="37">
        <v>10.9</v>
      </c>
      <c r="F142" s="37"/>
      <c r="G142" s="37">
        <v>0.5</v>
      </c>
      <c r="H142" s="37"/>
      <c r="I142" s="37">
        <v>0.15</v>
      </c>
      <c r="J142" s="37"/>
      <c r="K142" s="37">
        <f t="shared" si="11"/>
        <v>0.8175</v>
      </c>
      <c r="L142" s="37">
        <f t="shared" si="12"/>
        <v>1.635</v>
      </c>
      <c r="M142" s="37"/>
    </row>
    <row r="143" spans="1:13" s="42" customFormat="1" ht="14.45" customHeight="1">
      <c r="A143" s="37"/>
      <c r="B143" s="490" t="s">
        <v>594</v>
      </c>
      <c r="C143" s="491"/>
      <c r="D143" s="37">
        <v>2</v>
      </c>
      <c r="E143" s="37">
        <v>39.11</v>
      </c>
      <c r="F143" s="37"/>
      <c r="G143" s="37">
        <v>0.5</v>
      </c>
      <c r="H143" s="37"/>
      <c r="I143" s="37">
        <v>0.15</v>
      </c>
      <c r="J143" s="37"/>
      <c r="K143" s="37">
        <f t="shared" si="11"/>
        <v>2.9332499999999997</v>
      </c>
      <c r="L143" s="37">
        <f t="shared" si="12"/>
        <v>5.8664999999999994</v>
      </c>
      <c r="M143" s="37"/>
    </row>
    <row r="144" spans="1:13" s="42" customFormat="1" ht="14.45" customHeight="1">
      <c r="A144" s="37"/>
      <c r="B144" s="490" t="s">
        <v>595</v>
      </c>
      <c r="C144" s="491"/>
      <c r="D144" s="37">
        <v>2</v>
      </c>
      <c r="E144" s="37">
        <v>1.48</v>
      </c>
      <c r="F144" s="37"/>
      <c r="G144" s="37">
        <v>0.3</v>
      </c>
      <c r="H144" s="37"/>
      <c r="I144" s="37">
        <v>0.15</v>
      </c>
      <c r="J144" s="37"/>
      <c r="K144" s="37">
        <f t="shared" si="11"/>
        <v>6.6599999999999993E-2</v>
      </c>
      <c r="L144" s="37">
        <f t="shared" si="12"/>
        <v>0.13319999999999999</v>
      </c>
      <c r="M144" s="37"/>
    </row>
    <row r="145" spans="1:13" s="42" customFormat="1" ht="14.45" customHeight="1">
      <c r="A145" s="37"/>
      <c r="B145" s="490" t="s">
        <v>596</v>
      </c>
      <c r="C145" s="491"/>
      <c r="D145" s="37">
        <v>2</v>
      </c>
      <c r="E145" s="37">
        <v>1.48</v>
      </c>
      <c r="F145" s="37"/>
      <c r="G145" s="37">
        <v>0.3</v>
      </c>
      <c r="H145" s="37"/>
      <c r="I145" s="37">
        <v>0.15</v>
      </c>
      <c r="J145" s="37"/>
      <c r="K145" s="37">
        <f t="shared" si="11"/>
        <v>6.6599999999999993E-2</v>
      </c>
      <c r="L145" s="37">
        <f t="shared" si="12"/>
        <v>0.13319999999999999</v>
      </c>
      <c r="M145" s="37"/>
    </row>
    <row r="146" spans="1:13" s="42" customFormat="1" ht="14.45" customHeight="1">
      <c r="A146" s="37"/>
      <c r="B146" s="490" t="s">
        <v>597</v>
      </c>
      <c r="C146" s="491"/>
      <c r="D146" s="37">
        <v>2</v>
      </c>
      <c r="E146" s="37">
        <v>1.58</v>
      </c>
      <c r="F146" s="37"/>
      <c r="G146" s="37">
        <v>0.4</v>
      </c>
      <c r="H146" s="37"/>
      <c r="I146" s="37">
        <v>0.15</v>
      </c>
      <c r="J146" s="37"/>
      <c r="K146" s="37">
        <f t="shared" si="11"/>
        <v>9.4800000000000009E-2</v>
      </c>
      <c r="L146" s="37">
        <f t="shared" si="12"/>
        <v>0.18960000000000002</v>
      </c>
      <c r="M146" s="37"/>
    </row>
    <row r="147" spans="1:13" s="42" customFormat="1" ht="14.45" customHeight="1">
      <c r="A147" s="37"/>
      <c r="B147" s="490" t="s">
        <v>598</v>
      </c>
      <c r="C147" s="491"/>
      <c r="D147" s="37">
        <v>2</v>
      </c>
      <c r="E147" s="37">
        <v>1.58</v>
      </c>
      <c r="F147" s="37"/>
      <c r="G147" s="37">
        <v>0.3</v>
      </c>
      <c r="H147" s="37"/>
      <c r="I147" s="37">
        <v>0.15</v>
      </c>
      <c r="J147" s="37"/>
      <c r="K147" s="37">
        <f t="shared" si="11"/>
        <v>7.1099999999999997E-2</v>
      </c>
      <c r="L147" s="37">
        <f t="shared" si="12"/>
        <v>0.14219999999999999</v>
      </c>
      <c r="M147" s="37"/>
    </row>
    <row r="148" spans="1:13" s="42" customFormat="1" ht="14.45" customHeight="1">
      <c r="A148" s="37"/>
      <c r="B148" s="490" t="s">
        <v>599</v>
      </c>
      <c r="C148" s="491"/>
      <c r="D148" s="37">
        <v>2</v>
      </c>
      <c r="E148" s="37">
        <v>1.58</v>
      </c>
      <c r="F148" s="37"/>
      <c r="G148" s="37">
        <v>0.3</v>
      </c>
      <c r="H148" s="37"/>
      <c r="I148" s="37">
        <v>0.15</v>
      </c>
      <c r="J148" s="37"/>
      <c r="K148" s="37">
        <f t="shared" si="11"/>
        <v>7.1099999999999997E-2</v>
      </c>
      <c r="L148" s="37">
        <f t="shared" si="12"/>
        <v>0.14219999999999999</v>
      </c>
      <c r="M148" s="37"/>
    </row>
    <row r="149" spans="1:13" s="42" customFormat="1" ht="14.45" customHeight="1">
      <c r="A149" s="37"/>
      <c r="B149" s="490" t="s">
        <v>600</v>
      </c>
      <c r="C149" s="491"/>
      <c r="D149" s="37">
        <v>2</v>
      </c>
      <c r="E149" s="37">
        <v>1.58</v>
      </c>
      <c r="F149" s="37"/>
      <c r="G149" s="37">
        <v>0.3</v>
      </c>
      <c r="H149" s="37"/>
      <c r="I149" s="37">
        <v>0.15</v>
      </c>
      <c r="J149" s="37"/>
      <c r="K149" s="37">
        <f t="shared" si="11"/>
        <v>7.1099999999999997E-2</v>
      </c>
      <c r="L149" s="37">
        <f t="shared" si="12"/>
        <v>0.14219999999999999</v>
      </c>
      <c r="M149" s="37"/>
    </row>
    <row r="150" spans="1:13" s="42" customFormat="1" ht="14.4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</row>
    <row r="151" spans="1:13" s="42" customFormat="1" ht="23.45" customHeight="1">
      <c r="A151" s="142" t="s">
        <v>29</v>
      </c>
      <c r="B151" s="394" t="str">
        <f>BM_15!B38</f>
        <v>Forma plana para estruturas, em compensado plastificado de 12mm, 07 usos.</v>
      </c>
      <c r="C151" s="394"/>
      <c r="D151" s="394"/>
      <c r="E151" s="394"/>
      <c r="F151" s="394"/>
      <c r="G151" s="394"/>
      <c r="H151" s="394"/>
      <c r="I151" s="394"/>
      <c r="J151" s="394"/>
      <c r="K151" s="394"/>
      <c r="L151" s="142">
        <f>SUM(L153:L159)</f>
        <v>99.050000000000011</v>
      </c>
      <c r="M151" s="142" t="s">
        <v>601</v>
      </c>
    </row>
    <row r="152" spans="1:13" s="42" customFormat="1" ht="14.4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</row>
    <row r="153" spans="1:13" s="42" customFormat="1" ht="14.45" customHeight="1">
      <c r="A153" s="37"/>
      <c r="B153" s="490" t="s">
        <v>593</v>
      </c>
      <c r="C153" s="491"/>
      <c r="D153" s="37">
        <v>2</v>
      </c>
      <c r="E153" s="37">
        <f>2*4.2</f>
        <v>8.4</v>
      </c>
      <c r="F153" s="37"/>
      <c r="G153" s="37"/>
      <c r="H153" s="37"/>
      <c r="I153" s="37"/>
      <c r="J153" s="37"/>
      <c r="K153" s="37">
        <f>D153*E153</f>
        <v>16.8</v>
      </c>
      <c r="L153" s="37">
        <f>K153*1</f>
        <v>16.8</v>
      </c>
      <c r="M153" s="37"/>
    </row>
    <row r="154" spans="1:13" s="42" customFormat="1" ht="14.45" customHeight="1">
      <c r="A154" s="37"/>
      <c r="B154" s="490" t="s">
        <v>597</v>
      </c>
      <c r="C154" s="491"/>
      <c r="D154" s="37">
        <v>2</v>
      </c>
      <c r="E154" s="37">
        <f>3*2.28+1.79</f>
        <v>8.629999999999999</v>
      </c>
      <c r="F154" s="37"/>
      <c r="G154" s="37"/>
      <c r="H154" s="37"/>
      <c r="I154" s="37"/>
      <c r="J154" s="37"/>
      <c r="K154" s="37">
        <f t="shared" ref="K154:K155" si="13">D154*E154</f>
        <v>17.259999999999998</v>
      </c>
      <c r="L154" s="37">
        <f t="shared" ref="L154:L155" si="14">K154*1</f>
        <v>17.259999999999998</v>
      </c>
      <c r="M154" s="37"/>
    </row>
    <row r="155" spans="1:13" s="42" customFormat="1" ht="14.45" customHeight="1">
      <c r="A155" s="37"/>
      <c r="B155" s="490" t="s">
        <v>598</v>
      </c>
      <c r="C155" s="491"/>
      <c r="D155" s="37">
        <v>2</v>
      </c>
      <c r="E155" s="37">
        <f>2*1.92</f>
        <v>3.84</v>
      </c>
      <c r="F155" s="37"/>
      <c r="G155" s="37"/>
      <c r="H155" s="37"/>
      <c r="I155" s="37"/>
      <c r="J155" s="37"/>
      <c r="K155" s="37">
        <f t="shared" si="13"/>
        <v>7.68</v>
      </c>
      <c r="L155" s="37">
        <f t="shared" si="14"/>
        <v>7.68</v>
      </c>
      <c r="M155" s="37"/>
    </row>
    <row r="156" spans="1:13" s="42" customFormat="1" ht="14.45" customHeight="1">
      <c r="A156" s="37"/>
      <c r="B156" s="502" t="s">
        <v>450</v>
      </c>
      <c r="C156" s="502"/>
      <c r="D156" s="60"/>
      <c r="E156" s="144"/>
      <c r="F156" s="60"/>
      <c r="G156" s="60"/>
      <c r="H156" s="60"/>
      <c r="I156" s="60"/>
      <c r="J156" s="60"/>
      <c r="K156" s="60"/>
      <c r="L156" s="144"/>
      <c r="M156" s="37"/>
    </row>
    <row r="157" spans="1:13" s="42" customFormat="1" ht="14.45" customHeight="1">
      <c r="A157" s="37"/>
      <c r="B157" s="60"/>
      <c r="C157" s="60"/>
      <c r="D157" s="60"/>
      <c r="E157" s="144"/>
      <c r="F157" s="60"/>
      <c r="G157" s="60"/>
      <c r="H157" s="60"/>
      <c r="I157" s="60"/>
      <c r="J157" s="60"/>
      <c r="K157" s="60"/>
      <c r="L157" s="144"/>
      <c r="M157" s="37"/>
    </row>
    <row r="158" spans="1:13" s="42" customFormat="1" ht="14.45" customHeight="1">
      <c r="A158" s="37"/>
      <c r="B158" s="503" t="s">
        <v>602</v>
      </c>
      <c r="C158" s="503"/>
      <c r="D158" s="145">
        <v>1</v>
      </c>
      <c r="E158" s="144">
        <f>(2*7.68)+(3*4.73)</f>
        <v>29.55</v>
      </c>
      <c r="F158" s="60"/>
      <c r="G158" s="60"/>
      <c r="H158" s="60"/>
      <c r="I158" s="60"/>
      <c r="J158" s="60"/>
      <c r="K158" s="60">
        <f>E158</f>
        <v>29.55</v>
      </c>
      <c r="L158" s="144">
        <f>K158*1</f>
        <v>29.55</v>
      </c>
      <c r="M158" s="37"/>
    </row>
    <row r="159" spans="1:13" s="42" customFormat="1" ht="14.45" customHeight="1">
      <c r="A159" s="37"/>
      <c r="B159" s="503" t="s">
        <v>603</v>
      </c>
      <c r="C159" s="503"/>
      <c r="D159" s="60">
        <v>1</v>
      </c>
      <c r="E159" s="144">
        <v>6.52</v>
      </c>
      <c r="F159" s="60">
        <f>4*3.68</f>
        <v>14.72</v>
      </c>
      <c r="G159" s="60">
        <v>2</v>
      </c>
      <c r="H159" s="60"/>
      <c r="I159" s="60"/>
      <c r="J159" s="60"/>
      <c r="K159" s="60">
        <f>(E159*G159)+F159</f>
        <v>27.759999999999998</v>
      </c>
      <c r="L159" s="144">
        <f t="shared" ref="L159" si="15">K159*1</f>
        <v>27.759999999999998</v>
      </c>
      <c r="M159" s="37"/>
    </row>
    <row r="160" spans="1:13" s="42" customFormat="1" ht="14.4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</row>
    <row r="161" spans="1:13" s="42" customFormat="1" ht="23.45" customHeight="1">
      <c r="A161" s="142" t="s">
        <v>30</v>
      </c>
      <c r="B161" s="394" t="str">
        <f>BM_15!B39</f>
        <v>ARMAÇÃO DE PILAR OU VIGA DE UMA ESTRUTURA CONVENCIONAL DE CONCRETO ARMADO EM UM EDIFÍCIO DE MÚLTIPLOS PAVIMENTOS UTILIZANDO AÇO CA-50 DE 12,5 MM - MONTAGEM. AF_12/2015</v>
      </c>
      <c r="C161" s="394"/>
      <c r="D161" s="394"/>
      <c r="E161" s="394"/>
      <c r="F161" s="394"/>
      <c r="G161" s="394"/>
      <c r="H161" s="394"/>
      <c r="I161" s="394"/>
      <c r="J161" s="394"/>
      <c r="K161" s="394"/>
      <c r="L161" s="142">
        <f>SUM(L163:L173)</f>
        <v>446.57226000000009</v>
      </c>
      <c r="M161" s="142" t="s">
        <v>601</v>
      </c>
    </row>
    <row r="162" spans="1:13" s="42" customFormat="1" ht="14.4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</row>
    <row r="163" spans="1:13" s="42" customFormat="1" ht="14.45" customHeight="1">
      <c r="A163" s="37"/>
      <c r="B163" s="490" t="s">
        <v>590</v>
      </c>
      <c r="C163" s="491"/>
      <c r="D163" s="37">
        <v>2</v>
      </c>
      <c r="E163" s="37">
        <f>2*7.2+2*6.62</f>
        <v>27.64</v>
      </c>
      <c r="F163" s="37"/>
      <c r="G163" s="37"/>
      <c r="H163" s="37"/>
      <c r="I163" s="37"/>
      <c r="J163" s="37"/>
      <c r="K163" s="37">
        <f>E163*D163</f>
        <v>55.28</v>
      </c>
      <c r="L163" s="37">
        <f>K163*0.617</f>
        <v>34.107759999999999</v>
      </c>
      <c r="M163" s="37"/>
    </row>
    <row r="164" spans="1:13" s="42" customFormat="1" ht="14.45" customHeight="1">
      <c r="A164" s="37"/>
      <c r="B164" s="490" t="s">
        <v>591</v>
      </c>
      <c r="C164" s="491"/>
      <c r="D164" s="37">
        <v>2</v>
      </c>
      <c r="E164" s="37">
        <f>2*2.31+2.1</f>
        <v>6.7200000000000006</v>
      </c>
      <c r="F164" s="37"/>
      <c r="G164" s="37"/>
      <c r="H164" s="37"/>
      <c r="I164" s="37"/>
      <c r="J164" s="37"/>
      <c r="K164" s="37">
        <f t="shared" ref="K164:K173" si="16">E164*D164</f>
        <v>13.440000000000001</v>
      </c>
      <c r="L164" s="37">
        <f t="shared" ref="L164:L173" si="17">K164*0.617</f>
        <v>8.2924800000000012</v>
      </c>
      <c r="M164" s="37"/>
    </row>
    <row r="165" spans="1:13" s="42" customFormat="1" ht="14.45" customHeight="1">
      <c r="A165" s="37"/>
      <c r="B165" s="490" t="s">
        <v>592</v>
      </c>
      <c r="C165" s="491"/>
      <c r="D165" s="37">
        <v>2</v>
      </c>
      <c r="E165" s="37">
        <f>2*11.98+2*9.04+3.7+2*7.14+2*5.75+2*7.23+1.85+1.41</f>
        <v>89.240000000000009</v>
      </c>
      <c r="F165" s="37"/>
      <c r="G165" s="37"/>
      <c r="H165" s="37"/>
      <c r="I165" s="37"/>
      <c r="J165" s="37"/>
      <c r="K165" s="37">
        <f t="shared" si="16"/>
        <v>178.48000000000002</v>
      </c>
      <c r="L165" s="37">
        <f t="shared" si="17"/>
        <v>110.12216000000001</v>
      </c>
      <c r="M165" s="37"/>
    </row>
    <row r="166" spans="1:13" s="42" customFormat="1" ht="14.45" customHeight="1">
      <c r="A166" s="37"/>
      <c r="B166" s="490" t="s">
        <v>593</v>
      </c>
      <c r="C166" s="491"/>
      <c r="D166" s="37">
        <v>2</v>
      </c>
      <c r="E166" s="37">
        <f>2*7.43+2*11.29</f>
        <v>37.44</v>
      </c>
      <c r="F166" s="37"/>
      <c r="G166" s="37"/>
      <c r="H166" s="37"/>
      <c r="I166" s="37"/>
      <c r="J166" s="37"/>
      <c r="K166" s="37">
        <f t="shared" si="16"/>
        <v>74.88</v>
      </c>
      <c r="L166" s="37">
        <f t="shared" si="17"/>
        <v>46.200959999999995</v>
      </c>
      <c r="M166" s="37"/>
    </row>
    <row r="167" spans="1:13" s="42" customFormat="1" ht="14.45" customHeight="1">
      <c r="A167" s="37"/>
      <c r="B167" s="490" t="s">
        <v>594</v>
      </c>
      <c r="C167" s="491"/>
      <c r="D167" s="37">
        <v>2</v>
      </c>
      <c r="E167" s="37">
        <f>6*12+2*5.57+2*9.5+2*9.8+2*6.87+2*5.75+2*7.23</f>
        <v>161.44000000000003</v>
      </c>
      <c r="F167" s="37"/>
      <c r="G167" s="37"/>
      <c r="H167" s="37"/>
      <c r="I167" s="37"/>
      <c r="J167" s="37"/>
      <c r="K167" s="37">
        <f t="shared" si="16"/>
        <v>322.88000000000005</v>
      </c>
      <c r="L167" s="37">
        <f t="shared" si="17"/>
        <v>199.21696000000003</v>
      </c>
      <c r="M167" s="37"/>
    </row>
    <row r="168" spans="1:13" s="42" customFormat="1" ht="14.45" customHeight="1">
      <c r="A168" s="37"/>
      <c r="B168" s="490" t="s">
        <v>595</v>
      </c>
      <c r="C168" s="491"/>
      <c r="D168" s="37">
        <v>2</v>
      </c>
      <c r="E168" s="37">
        <f>2*1.75+2*1.5</f>
        <v>6.5</v>
      </c>
      <c r="F168" s="37"/>
      <c r="G168" s="37"/>
      <c r="H168" s="37"/>
      <c r="I168" s="37"/>
      <c r="J168" s="37"/>
      <c r="K168" s="37">
        <f t="shared" si="16"/>
        <v>13</v>
      </c>
      <c r="L168" s="37">
        <f t="shared" si="17"/>
        <v>8.0210000000000008</v>
      </c>
      <c r="M168" s="37"/>
    </row>
    <row r="169" spans="1:13" s="42" customFormat="1" ht="14.45" customHeight="1">
      <c r="A169" s="37"/>
      <c r="B169" s="490" t="s">
        <v>596</v>
      </c>
      <c r="C169" s="491"/>
      <c r="D169" s="37">
        <v>2</v>
      </c>
      <c r="E169" s="37">
        <f>2*1.9+1.8+1.67+2*1.5</f>
        <v>10.27</v>
      </c>
      <c r="F169" s="37"/>
      <c r="G169" s="37"/>
      <c r="H169" s="37"/>
      <c r="I169" s="37"/>
      <c r="J169" s="37"/>
      <c r="K169" s="37">
        <f t="shared" si="16"/>
        <v>20.54</v>
      </c>
      <c r="L169" s="37">
        <f t="shared" si="17"/>
        <v>12.673179999999999</v>
      </c>
      <c r="M169" s="37"/>
    </row>
    <row r="170" spans="1:13" s="42" customFormat="1" ht="14.45" customHeight="1">
      <c r="A170" s="37"/>
      <c r="B170" s="490" t="s">
        <v>597</v>
      </c>
      <c r="C170" s="491"/>
      <c r="D170" s="37">
        <v>2</v>
      </c>
      <c r="E170" s="37">
        <f>2*1.66</f>
        <v>3.32</v>
      </c>
      <c r="F170" s="37"/>
      <c r="G170" s="37"/>
      <c r="H170" s="37"/>
      <c r="I170" s="37"/>
      <c r="J170" s="37"/>
      <c r="K170" s="37">
        <f t="shared" si="16"/>
        <v>6.64</v>
      </c>
      <c r="L170" s="37">
        <f t="shared" si="17"/>
        <v>4.0968799999999996</v>
      </c>
      <c r="M170" s="37"/>
    </row>
    <row r="171" spans="1:13" s="42" customFormat="1" ht="14.45" customHeight="1">
      <c r="A171" s="37"/>
      <c r="B171" s="490" t="s">
        <v>598</v>
      </c>
      <c r="C171" s="491"/>
      <c r="D171" s="37">
        <v>2</v>
      </c>
      <c r="E171" s="37">
        <f>2*1.65</f>
        <v>3.3</v>
      </c>
      <c r="F171" s="37"/>
      <c r="G171" s="37"/>
      <c r="H171" s="37"/>
      <c r="I171" s="37"/>
      <c r="J171" s="37"/>
      <c r="K171" s="37">
        <f t="shared" si="16"/>
        <v>6.6</v>
      </c>
      <c r="L171" s="37">
        <f t="shared" si="17"/>
        <v>4.0721999999999996</v>
      </c>
      <c r="M171" s="37"/>
    </row>
    <row r="172" spans="1:13" s="42" customFormat="1" ht="14.45" customHeight="1">
      <c r="A172" s="37"/>
      <c r="B172" s="490" t="s">
        <v>599</v>
      </c>
      <c r="C172" s="491"/>
      <c r="D172" s="37">
        <v>2</v>
      </c>
      <c r="E172" s="37">
        <f>2*1.93+1.8+2*1.65</f>
        <v>8.9600000000000009</v>
      </c>
      <c r="F172" s="37"/>
      <c r="G172" s="37"/>
      <c r="H172" s="37"/>
      <c r="I172" s="37"/>
      <c r="J172" s="37"/>
      <c r="K172" s="37">
        <f t="shared" si="16"/>
        <v>17.920000000000002</v>
      </c>
      <c r="L172" s="37">
        <f t="shared" si="17"/>
        <v>11.056640000000002</v>
      </c>
      <c r="M172" s="37"/>
    </row>
    <row r="173" spans="1:13" s="42" customFormat="1" ht="14.45" customHeight="1">
      <c r="A173" s="37"/>
      <c r="B173" s="490" t="s">
        <v>600</v>
      </c>
      <c r="C173" s="491"/>
      <c r="D173" s="37">
        <v>2</v>
      </c>
      <c r="E173" s="37">
        <f>2*1.93+2*1.6</f>
        <v>7.0600000000000005</v>
      </c>
      <c r="F173" s="37"/>
      <c r="G173" s="37"/>
      <c r="H173" s="37"/>
      <c r="I173" s="37"/>
      <c r="J173" s="37"/>
      <c r="K173" s="37">
        <f t="shared" si="16"/>
        <v>14.120000000000001</v>
      </c>
      <c r="L173" s="37">
        <f t="shared" si="17"/>
        <v>8.71204</v>
      </c>
      <c r="M173" s="37"/>
    </row>
    <row r="174" spans="1:13" s="42" customFormat="1" ht="14.45" customHeight="1">
      <c r="A174" s="41"/>
      <c r="B174" s="41"/>
      <c r="C174" s="41"/>
      <c r="D174" s="41"/>
      <c r="E174" s="41"/>
      <c r="G174" s="41"/>
      <c r="K174" s="41"/>
    </row>
    <row r="175" spans="1:13" s="42" customFormat="1" ht="14.45" customHeight="1">
      <c r="A175" s="41"/>
      <c r="B175" s="41"/>
      <c r="C175" s="41"/>
      <c r="D175" s="41"/>
      <c r="E175" s="41"/>
      <c r="G175" s="41"/>
      <c r="K175" s="41"/>
    </row>
    <row r="176" spans="1:13" s="42" customFormat="1" ht="14.45" customHeight="1">
      <c r="A176" s="41"/>
      <c r="B176" s="41"/>
      <c r="C176" s="41"/>
      <c r="D176" s="41"/>
      <c r="E176" s="41"/>
      <c r="G176" s="41"/>
      <c r="K176" s="41"/>
    </row>
    <row r="177" spans="1:11" s="42" customFormat="1" ht="14.45" customHeight="1">
      <c r="A177" s="41"/>
      <c r="B177" s="41"/>
      <c r="C177" s="41"/>
      <c r="D177" s="41"/>
      <c r="E177" s="41"/>
      <c r="G177" s="41"/>
      <c r="K177" s="41"/>
    </row>
    <row r="178" spans="1:11" s="42" customFormat="1" ht="14.45" customHeight="1">
      <c r="A178" s="41"/>
      <c r="B178" s="41"/>
      <c r="C178" s="41"/>
      <c r="D178" s="41"/>
      <c r="E178" s="41"/>
      <c r="G178" s="41"/>
      <c r="K178" s="41"/>
    </row>
    <row r="179" spans="1:11" s="42" customFormat="1" ht="14.45" customHeight="1">
      <c r="A179" s="41"/>
      <c r="B179" s="41"/>
      <c r="C179" s="41"/>
      <c r="D179" s="41"/>
      <c r="E179" s="41"/>
      <c r="G179" s="41"/>
      <c r="K179" s="41"/>
    </row>
    <row r="180" spans="1:11" s="42" customFormat="1" ht="14.45" customHeight="1">
      <c r="A180" s="41"/>
      <c r="B180" s="41"/>
      <c r="C180" s="41"/>
      <c r="D180" s="41"/>
      <c r="E180" s="41"/>
      <c r="G180" s="41"/>
      <c r="K180" s="41"/>
    </row>
    <row r="181" spans="1:11" s="42" customFormat="1" ht="14.45" customHeight="1">
      <c r="A181" s="41"/>
      <c r="B181" s="41"/>
      <c r="C181" s="41"/>
      <c r="D181" s="41"/>
      <c r="E181" s="41"/>
      <c r="G181" s="41"/>
      <c r="K181" s="41"/>
    </row>
    <row r="182" spans="1:11" s="42" customFormat="1" ht="14.45" customHeight="1">
      <c r="A182" s="41"/>
      <c r="B182" s="41"/>
      <c r="C182" s="41"/>
      <c r="D182" s="41"/>
      <c r="E182" s="41"/>
      <c r="G182" s="41"/>
      <c r="K182" s="41"/>
    </row>
    <row r="183" spans="1:11" s="42" customFormat="1" ht="14.45" customHeight="1">
      <c r="A183" s="41"/>
      <c r="B183" s="41"/>
      <c r="C183" s="41"/>
      <c r="D183" s="41"/>
      <c r="E183" s="41"/>
      <c r="G183" s="41"/>
      <c r="K183" s="41"/>
    </row>
    <row r="184" spans="1:11" s="42" customFormat="1" ht="14.45" customHeight="1">
      <c r="A184" s="41"/>
      <c r="B184" s="41"/>
      <c r="C184" s="41"/>
      <c r="D184" s="41"/>
      <c r="E184" s="41"/>
      <c r="G184" s="41"/>
      <c r="K184" s="41"/>
    </row>
    <row r="185" spans="1:11" s="42" customFormat="1" ht="14.45" customHeight="1">
      <c r="A185" s="41"/>
      <c r="B185" s="41"/>
      <c r="C185" s="41"/>
      <c r="D185" s="41"/>
      <c r="E185" s="41"/>
      <c r="G185" s="41"/>
      <c r="K185" s="41"/>
    </row>
    <row r="186" spans="1:11" s="42" customFormat="1" ht="14.45" customHeight="1">
      <c r="A186" s="41"/>
      <c r="B186" s="41"/>
      <c r="C186" s="41"/>
      <c r="D186" s="41"/>
      <c r="E186" s="41"/>
      <c r="G186" s="41"/>
      <c r="K186" s="41"/>
    </row>
    <row r="187" spans="1:11" s="42" customFormat="1" ht="14.45" customHeight="1">
      <c r="A187" s="41"/>
      <c r="B187" s="41"/>
      <c r="C187" s="41"/>
      <c r="D187" s="41"/>
      <c r="E187" s="41"/>
      <c r="G187" s="41"/>
      <c r="K187" s="41"/>
    </row>
    <row r="188" spans="1:11" s="42" customFormat="1" ht="14.45" customHeight="1">
      <c r="A188" s="41"/>
      <c r="B188" s="41"/>
      <c r="C188" s="41"/>
      <c r="D188" s="41"/>
      <c r="E188" s="41"/>
      <c r="G188" s="41"/>
      <c r="K188" s="41"/>
    </row>
    <row r="189" spans="1:11" s="42" customFormat="1" ht="14.45" customHeight="1">
      <c r="A189" s="41"/>
      <c r="B189" s="41"/>
      <c r="C189" s="41"/>
      <c r="D189" s="41"/>
      <c r="E189" s="41"/>
      <c r="G189" s="41"/>
      <c r="K189" s="41"/>
    </row>
    <row r="190" spans="1:11" s="42" customFormat="1" ht="14.45" customHeight="1">
      <c r="A190" s="41"/>
      <c r="B190" s="41"/>
      <c r="C190" s="41"/>
      <c r="D190" s="41"/>
      <c r="E190" s="41"/>
      <c r="G190" s="41"/>
      <c r="K190" s="41"/>
    </row>
    <row r="191" spans="1:11" s="42" customFormat="1" ht="14.45" customHeight="1">
      <c r="A191" s="41"/>
      <c r="B191" s="41"/>
      <c r="C191" s="41"/>
      <c r="D191" s="41"/>
      <c r="E191" s="41"/>
      <c r="G191" s="41"/>
      <c r="K191" s="41"/>
    </row>
    <row r="192" spans="1:11" s="42" customFormat="1" ht="14.45" customHeight="1">
      <c r="A192" s="41"/>
      <c r="B192" s="41"/>
      <c r="C192" s="41"/>
      <c r="D192" s="41"/>
      <c r="E192" s="41"/>
      <c r="G192" s="41"/>
      <c r="K192" s="41"/>
    </row>
    <row r="193" spans="1:11" s="42" customFormat="1" ht="14.45" customHeight="1">
      <c r="A193" s="41"/>
      <c r="B193" s="41"/>
      <c r="C193" s="41"/>
      <c r="D193" s="41"/>
      <c r="E193" s="41"/>
      <c r="G193" s="41"/>
      <c r="K193" s="41"/>
    </row>
    <row r="194" spans="1:11" s="42" customFormat="1" ht="14.45" customHeight="1">
      <c r="A194" s="41"/>
      <c r="B194" s="41"/>
      <c r="C194" s="41"/>
      <c r="D194" s="41"/>
      <c r="E194" s="41"/>
      <c r="G194" s="41"/>
      <c r="K194" s="41"/>
    </row>
    <row r="195" spans="1:11" s="42" customFormat="1" ht="14.45" customHeight="1">
      <c r="A195" s="41"/>
      <c r="B195" s="41"/>
      <c r="C195" s="41"/>
      <c r="D195" s="41"/>
      <c r="E195" s="41"/>
      <c r="G195" s="41"/>
      <c r="K195" s="41"/>
    </row>
    <row r="196" spans="1:11" s="42" customFormat="1" ht="14.45" customHeight="1">
      <c r="A196" s="41"/>
      <c r="B196" s="41"/>
      <c r="C196" s="41"/>
      <c r="D196" s="41"/>
      <c r="E196" s="41"/>
      <c r="G196" s="41"/>
      <c r="K196" s="41"/>
    </row>
    <row r="197" spans="1:11" s="42" customFormat="1" ht="14.45" customHeight="1">
      <c r="A197" s="41"/>
      <c r="B197" s="41"/>
      <c r="C197" s="41"/>
      <c r="D197" s="41"/>
      <c r="E197" s="41"/>
      <c r="G197" s="41"/>
      <c r="K197" s="41"/>
    </row>
    <row r="198" spans="1:11" s="42" customFormat="1" ht="14.45" customHeight="1">
      <c r="A198" s="41"/>
      <c r="B198" s="41"/>
      <c r="C198" s="41"/>
      <c r="D198" s="41"/>
      <c r="E198" s="41"/>
      <c r="G198" s="41"/>
      <c r="K198" s="41"/>
    </row>
    <row r="199" spans="1:11" s="42" customFormat="1" ht="14.45" customHeight="1">
      <c r="A199" s="41"/>
      <c r="B199" s="41"/>
      <c r="C199" s="41"/>
      <c r="D199" s="41"/>
      <c r="E199" s="41"/>
      <c r="G199" s="41"/>
      <c r="K199" s="41"/>
    </row>
    <row r="200" spans="1:11" s="42" customFormat="1" ht="14.45" customHeight="1">
      <c r="A200" s="41"/>
      <c r="B200" s="41"/>
      <c r="C200" s="41"/>
      <c r="D200" s="41"/>
      <c r="E200" s="41"/>
      <c r="G200" s="41"/>
      <c r="K200" s="41"/>
    </row>
    <row r="201" spans="1:11" s="42" customFormat="1" ht="14.45" customHeight="1">
      <c r="A201" s="41"/>
      <c r="B201" s="41"/>
      <c r="C201" s="41"/>
      <c r="D201" s="41"/>
      <c r="E201" s="41"/>
      <c r="G201" s="41"/>
      <c r="K201" s="41"/>
    </row>
    <row r="202" spans="1:11" s="42" customFormat="1" ht="14.45" customHeight="1">
      <c r="A202" s="41"/>
      <c r="B202" s="41"/>
      <c r="C202" s="41"/>
      <c r="D202" s="41"/>
      <c r="E202" s="41"/>
      <c r="G202" s="41"/>
      <c r="K202" s="41"/>
    </row>
    <row r="203" spans="1:11" s="42" customFormat="1" ht="14.45" customHeight="1">
      <c r="A203" s="41"/>
      <c r="B203" s="41"/>
      <c r="C203" s="41"/>
      <c r="D203" s="41"/>
      <c r="E203" s="41"/>
      <c r="G203" s="41"/>
      <c r="K203" s="41"/>
    </row>
    <row r="204" spans="1:11" s="42" customFormat="1" ht="14.45" customHeight="1">
      <c r="A204" s="41"/>
      <c r="B204" s="41"/>
      <c r="C204" s="41"/>
      <c r="D204" s="41"/>
      <c r="E204" s="41"/>
      <c r="G204" s="41"/>
      <c r="K204" s="41"/>
    </row>
    <row r="205" spans="1:11" s="42" customFormat="1" ht="14.45" customHeight="1">
      <c r="A205" s="41"/>
      <c r="B205" s="41"/>
      <c r="C205" s="41"/>
      <c r="D205" s="41"/>
      <c r="E205" s="41"/>
      <c r="G205" s="41"/>
      <c r="K205" s="41"/>
    </row>
    <row r="206" spans="1:11" s="42" customFormat="1" ht="14.45" customHeight="1">
      <c r="A206" s="41"/>
      <c r="B206" s="41"/>
      <c r="C206" s="41"/>
      <c r="D206" s="41"/>
      <c r="E206" s="41"/>
      <c r="G206" s="41"/>
      <c r="K206" s="41"/>
    </row>
    <row r="207" spans="1:11" s="42" customFormat="1" ht="14.45" customHeight="1">
      <c r="A207" s="41"/>
      <c r="B207" s="41"/>
      <c r="C207" s="41"/>
      <c r="D207" s="41"/>
      <c r="E207" s="41"/>
      <c r="G207" s="41"/>
      <c r="K207" s="41"/>
    </row>
    <row r="208" spans="1:11" s="42" customFormat="1" ht="14.45" customHeight="1">
      <c r="A208" s="41"/>
      <c r="B208" s="41"/>
      <c r="C208" s="41"/>
      <c r="D208" s="41"/>
      <c r="E208" s="41"/>
      <c r="G208" s="41"/>
      <c r="K208" s="41"/>
    </row>
    <row r="209" spans="1:11" s="42" customFormat="1" ht="14.45" customHeight="1">
      <c r="A209" s="41"/>
      <c r="B209" s="41"/>
      <c r="C209" s="41"/>
      <c r="D209" s="41"/>
      <c r="E209" s="41"/>
      <c r="G209" s="41"/>
      <c r="K209" s="41"/>
    </row>
    <row r="210" spans="1:11" s="42" customFormat="1" ht="14.45" customHeight="1">
      <c r="A210" s="41"/>
      <c r="B210" s="41"/>
      <c r="C210" s="41"/>
      <c r="D210" s="41"/>
      <c r="E210" s="41"/>
      <c r="G210" s="41"/>
      <c r="K210" s="41"/>
    </row>
    <row r="211" spans="1:11" s="42" customFormat="1" ht="14.45" customHeight="1">
      <c r="A211" s="41"/>
      <c r="B211" s="41"/>
      <c r="C211" s="41"/>
      <c r="D211" s="41"/>
      <c r="E211" s="41"/>
      <c r="G211" s="41"/>
      <c r="K211" s="41"/>
    </row>
    <row r="212" spans="1:11" s="42" customFormat="1" ht="14.45" customHeight="1">
      <c r="A212" s="41"/>
      <c r="B212" s="41"/>
      <c r="C212" s="41"/>
      <c r="D212" s="41"/>
      <c r="E212" s="41"/>
      <c r="G212" s="41"/>
      <c r="K212" s="41"/>
    </row>
    <row r="213" spans="1:11" s="42" customFormat="1" ht="14.45" customHeight="1">
      <c r="A213" s="41"/>
      <c r="B213" s="41"/>
      <c r="C213" s="41"/>
      <c r="D213" s="41"/>
      <c r="E213" s="41"/>
      <c r="G213" s="41"/>
      <c r="K213" s="41"/>
    </row>
    <row r="214" spans="1:11" s="42" customFormat="1" ht="14.45" customHeight="1">
      <c r="A214" s="41"/>
      <c r="B214" s="41"/>
      <c r="C214" s="41"/>
      <c r="D214" s="41"/>
      <c r="E214" s="41"/>
      <c r="G214" s="41"/>
      <c r="K214" s="41"/>
    </row>
    <row r="215" spans="1:11" s="42" customFormat="1" ht="14.45" customHeight="1">
      <c r="A215" s="41"/>
      <c r="B215" s="41"/>
      <c r="C215" s="41"/>
      <c r="D215" s="41"/>
      <c r="E215" s="41"/>
      <c r="G215" s="41"/>
      <c r="K215" s="41"/>
    </row>
    <row r="216" spans="1:11" s="42" customFormat="1" ht="14.45" customHeight="1">
      <c r="A216" s="41"/>
      <c r="B216" s="41"/>
      <c r="C216" s="41"/>
      <c r="D216" s="41"/>
      <c r="E216" s="41"/>
      <c r="G216" s="41"/>
      <c r="K216" s="41"/>
    </row>
    <row r="217" spans="1:11" s="42" customFormat="1" ht="14.45" customHeight="1">
      <c r="A217" s="41"/>
      <c r="B217" s="41"/>
      <c r="C217" s="41"/>
      <c r="D217" s="41"/>
      <c r="E217" s="41"/>
      <c r="G217" s="41"/>
      <c r="K217" s="41"/>
    </row>
    <row r="218" spans="1:11" s="42" customFormat="1" ht="14.45" customHeight="1">
      <c r="A218" s="41"/>
      <c r="B218" s="41"/>
      <c r="C218" s="41"/>
      <c r="D218" s="41"/>
      <c r="E218" s="41"/>
      <c r="G218" s="41"/>
      <c r="K218" s="41"/>
    </row>
    <row r="219" spans="1:11" s="42" customFormat="1" ht="14.45" customHeight="1">
      <c r="A219" s="41"/>
      <c r="B219" s="41"/>
      <c r="C219" s="41"/>
      <c r="D219" s="41"/>
      <c r="E219" s="41"/>
      <c r="G219" s="41"/>
      <c r="K219" s="41"/>
    </row>
    <row r="220" spans="1:11" s="42" customFormat="1" ht="14.45" customHeight="1">
      <c r="A220" s="41"/>
      <c r="B220" s="41"/>
      <c r="C220" s="41"/>
      <c r="D220" s="41"/>
      <c r="E220" s="41"/>
      <c r="G220" s="41"/>
      <c r="K220" s="41"/>
    </row>
    <row r="221" spans="1:11" s="42" customFormat="1" ht="14.45" customHeight="1">
      <c r="A221" s="41"/>
      <c r="B221" s="41"/>
      <c r="C221" s="41"/>
      <c r="D221" s="41"/>
      <c r="E221" s="41"/>
      <c r="G221" s="41"/>
      <c r="K221" s="41"/>
    </row>
    <row r="222" spans="1:11" s="42" customFormat="1" ht="14.45" customHeight="1">
      <c r="A222" s="41"/>
      <c r="B222" s="41"/>
      <c r="C222" s="41"/>
      <c r="D222" s="41"/>
      <c r="E222" s="41"/>
      <c r="G222" s="41"/>
      <c r="K222" s="41"/>
    </row>
    <row r="223" spans="1:11" s="42" customFormat="1" ht="14.45" customHeight="1">
      <c r="A223" s="41"/>
      <c r="B223" s="41"/>
      <c r="C223" s="41"/>
      <c r="D223" s="41"/>
      <c r="E223" s="41"/>
      <c r="G223" s="41"/>
      <c r="K223" s="41"/>
    </row>
    <row r="224" spans="1:11" s="42" customFormat="1" ht="14.45" customHeight="1">
      <c r="A224" s="41"/>
      <c r="B224" s="41"/>
      <c r="C224" s="41"/>
      <c r="D224" s="41"/>
      <c r="E224" s="41"/>
      <c r="G224" s="41"/>
      <c r="K224" s="41"/>
    </row>
    <row r="225" spans="1:11" s="42" customFormat="1" ht="14.45" customHeight="1">
      <c r="A225" s="41"/>
      <c r="B225" s="41"/>
      <c r="C225" s="41"/>
      <c r="D225" s="41"/>
      <c r="E225" s="41"/>
      <c r="G225" s="41"/>
      <c r="K225" s="41"/>
    </row>
    <row r="226" spans="1:11" s="42" customFormat="1" ht="14.45" customHeight="1">
      <c r="A226" s="41"/>
      <c r="B226" s="41"/>
      <c r="C226" s="41"/>
      <c r="D226" s="41"/>
      <c r="E226" s="41"/>
      <c r="G226" s="41"/>
      <c r="K226" s="41"/>
    </row>
    <row r="227" spans="1:11" s="42" customFormat="1" ht="14.45" customHeight="1">
      <c r="A227" s="41"/>
      <c r="B227" s="41"/>
      <c r="C227" s="41"/>
      <c r="D227" s="41"/>
      <c r="E227" s="41"/>
      <c r="G227" s="41"/>
      <c r="K227" s="41"/>
    </row>
    <row r="228" spans="1:11" s="42" customFormat="1" ht="14.45" customHeight="1">
      <c r="A228" s="41"/>
      <c r="B228" s="41"/>
      <c r="C228" s="41"/>
      <c r="D228" s="41"/>
      <c r="E228" s="41"/>
      <c r="G228" s="41"/>
      <c r="K228" s="41"/>
    </row>
    <row r="229" spans="1:11" s="42" customFormat="1" ht="14.45" customHeight="1">
      <c r="A229" s="41"/>
      <c r="B229" s="41"/>
      <c r="C229" s="41"/>
      <c r="D229" s="41"/>
      <c r="E229" s="41"/>
      <c r="G229" s="41"/>
      <c r="K229" s="41"/>
    </row>
    <row r="230" spans="1:11" s="42" customFormat="1" ht="14.45" customHeight="1">
      <c r="A230" s="41"/>
      <c r="B230" s="41"/>
      <c r="C230" s="41"/>
      <c r="D230" s="41"/>
      <c r="E230" s="41"/>
      <c r="G230" s="41"/>
      <c r="K230" s="41"/>
    </row>
    <row r="231" spans="1:11" s="42" customFormat="1" ht="14.45" customHeight="1">
      <c r="A231" s="41"/>
      <c r="B231" s="41"/>
      <c r="C231" s="41"/>
      <c r="D231" s="41"/>
      <c r="E231" s="41"/>
      <c r="G231" s="41"/>
      <c r="K231" s="41"/>
    </row>
    <row r="232" spans="1:11" s="42" customFormat="1" ht="14.45" customHeight="1">
      <c r="A232" s="41"/>
      <c r="B232" s="41"/>
      <c r="C232" s="41"/>
      <c r="D232" s="41"/>
      <c r="E232" s="41"/>
      <c r="G232" s="41"/>
      <c r="K232" s="41"/>
    </row>
    <row r="233" spans="1:11" s="42" customFormat="1" ht="14.45" customHeight="1">
      <c r="A233" s="41"/>
      <c r="B233" s="41"/>
      <c r="C233" s="41"/>
      <c r="D233" s="41"/>
      <c r="E233" s="41"/>
      <c r="G233" s="41"/>
      <c r="K233" s="41"/>
    </row>
    <row r="234" spans="1:11" s="42" customFormat="1" ht="14.45" customHeight="1">
      <c r="A234" s="41"/>
      <c r="B234" s="41"/>
      <c r="C234" s="41"/>
      <c r="D234" s="41"/>
      <c r="E234" s="41"/>
      <c r="G234" s="41"/>
      <c r="K234" s="41"/>
    </row>
    <row r="235" spans="1:11" s="42" customFormat="1" ht="14.45" customHeight="1">
      <c r="A235" s="41"/>
      <c r="B235" s="41"/>
      <c r="C235" s="41"/>
      <c r="D235" s="41"/>
      <c r="E235" s="41"/>
      <c r="G235" s="41"/>
      <c r="K235" s="41"/>
    </row>
    <row r="236" spans="1:11" s="42" customFormat="1" ht="14.45" customHeight="1">
      <c r="A236" s="41"/>
      <c r="B236" s="41"/>
      <c r="C236" s="41"/>
      <c r="D236" s="41"/>
      <c r="E236" s="41"/>
      <c r="G236" s="41"/>
      <c r="K236" s="41"/>
    </row>
    <row r="237" spans="1:11" s="42" customFormat="1" ht="14.45" customHeight="1">
      <c r="A237" s="41"/>
      <c r="B237" s="41"/>
      <c r="C237" s="41"/>
      <c r="D237" s="41"/>
      <c r="E237" s="41"/>
      <c r="G237" s="41"/>
      <c r="K237" s="41"/>
    </row>
    <row r="238" spans="1:11" s="42" customFormat="1" ht="14.45" customHeight="1">
      <c r="A238" s="41"/>
      <c r="B238" s="41"/>
      <c r="C238" s="41"/>
      <c r="D238" s="41"/>
      <c r="E238" s="41"/>
      <c r="G238" s="41"/>
      <c r="K238" s="41"/>
    </row>
    <row r="239" spans="1:11" s="42" customFormat="1" ht="14.45" customHeight="1">
      <c r="A239" s="41"/>
      <c r="B239" s="41"/>
      <c r="C239" s="41"/>
      <c r="D239" s="41"/>
      <c r="E239" s="41"/>
      <c r="G239" s="41"/>
      <c r="K239" s="41"/>
    </row>
    <row r="240" spans="1:11" s="42" customFormat="1" ht="14.45" customHeight="1">
      <c r="A240" s="41"/>
      <c r="B240" s="41"/>
      <c r="C240" s="41"/>
      <c r="D240" s="41"/>
      <c r="E240" s="41"/>
      <c r="G240" s="41"/>
      <c r="K240" s="41"/>
    </row>
    <row r="241" spans="1:11" s="42" customFormat="1" ht="14.45" customHeight="1">
      <c r="A241" s="41"/>
      <c r="B241" s="41"/>
      <c r="C241" s="41"/>
      <c r="D241" s="41"/>
      <c r="E241" s="41"/>
      <c r="G241" s="41"/>
      <c r="K241" s="41"/>
    </row>
    <row r="242" spans="1:11" s="42" customFormat="1" ht="14.45" customHeight="1">
      <c r="A242" s="41"/>
      <c r="B242" s="41"/>
      <c r="C242" s="41"/>
      <c r="D242" s="41"/>
      <c r="E242" s="41"/>
      <c r="G242" s="41"/>
      <c r="K242" s="41"/>
    </row>
    <row r="243" spans="1:11" s="42" customFormat="1" ht="14.45" customHeight="1">
      <c r="A243" s="41"/>
      <c r="B243" s="41"/>
      <c r="C243" s="41"/>
      <c r="D243" s="41"/>
      <c r="E243" s="41"/>
      <c r="G243" s="41"/>
      <c r="K243" s="41"/>
    </row>
    <row r="244" spans="1:11" s="42" customFormat="1" ht="14.45" customHeight="1">
      <c r="A244" s="41"/>
      <c r="B244" s="41"/>
      <c r="C244" s="41"/>
      <c r="D244" s="41"/>
      <c r="E244" s="41"/>
      <c r="G244" s="41"/>
      <c r="K244" s="41"/>
    </row>
    <row r="245" spans="1:11" s="42" customFormat="1" ht="14.45" customHeight="1">
      <c r="A245" s="41"/>
      <c r="B245" s="41"/>
      <c r="C245" s="41"/>
      <c r="D245" s="41"/>
      <c r="E245" s="41"/>
      <c r="G245" s="41"/>
      <c r="K245" s="41"/>
    </row>
    <row r="246" spans="1:11" s="42" customFormat="1" ht="14.45" customHeight="1">
      <c r="A246" s="41"/>
      <c r="B246" s="41"/>
      <c r="C246" s="41"/>
      <c r="D246" s="41"/>
      <c r="E246" s="41"/>
      <c r="G246" s="41"/>
      <c r="K246" s="41"/>
    </row>
    <row r="247" spans="1:11" s="42" customFormat="1" ht="14.45" customHeight="1">
      <c r="A247" s="41"/>
      <c r="B247" s="41"/>
      <c r="C247" s="41"/>
      <c r="D247" s="41"/>
      <c r="E247" s="41"/>
      <c r="G247" s="41"/>
      <c r="K247" s="41"/>
    </row>
    <row r="248" spans="1:11" s="42" customFormat="1" ht="14.45" customHeight="1">
      <c r="A248" s="41"/>
      <c r="B248" s="41"/>
      <c r="C248" s="41"/>
      <c r="D248" s="41"/>
      <c r="E248" s="41"/>
      <c r="G248" s="41"/>
      <c r="K248" s="41"/>
    </row>
    <row r="249" spans="1:11" s="42" customFormat="1" ht="14.45" customHeight="1">
      <c r="A249" s="41"/>
      <c r="B249" s="41"/>
      <c r="C249" s="41"/>
      <c r="D249" s="41"/>
      <c r="E249" s="41"/>
      <c r="G249" s="41"/>
      <c r="K249" s="41"/>
    </row>
    <row r="250" spans="1:11" s="42" customFormat="1" ht="14.45" customHeight="1">
      <c r="A250" s="41"/>
      <c r="B250" s="41"/>
      <c r="C250" s="41"/>
      <c r="D250" s="41"/>
      <c r="E250" s="41"/>
      <c r="G250" s="41"/>
      <c r="K250" s="41"/>
    </row>
    <row r="251" spans="1:11" s="42" customFormat="1" ht="14.45" customHeight="1">
      <c r="A251" s="41"/>
      <c r="B251" s="41"/>
      <c r="C251" s="41"/>
      <c r="D251" s="41"/>
      <c r="E251" s="41"/>
      <c r="G251" s="41"/>
      <c r="K251" s="41"/>
    </row>
    <row r="252" spans="1:11" s="42" customFormat="1" ht="14.45" customHeight="1">
      <c r="A252" s="41"/>
      <c r="B252" s="41"/>
      <c r="C252" s="41"/>
      <c r="D252" s="41"/>
      <c r="E252" s="41"/>
      <c r="G252" s="41"/>
      <c r="K252" s="41"/>
    </row>
    <row r="253" spans="1:11" s="42" customFormat="1" ht="14.45" customHeight="1">
      <c r="A253" s="41"/>
      <c r="B253" s="41"/>
      <c r="C253" s="41"/>
      <c r="D253" s="41"/>
      <c r="E253" s="41"/>
      <c r="G253" s="41"/>
      <c r="K253" s="41"/>
    </row>
    <row r="254" spans="1:11" s="42" customFormat="1" ht="14.45" customHeight="1">
      <c r="A254" s="41"/>
      <c r="B254" s="41"/>
      <c r="C254" s="41"/>
      <c r="D254" s="41"/>
      <c r="E254" s="41"/>
      <c r="G254" s="41"/>
      <c r="K254" s="41"/>
    </row>
    <row r="255" spans="1:11" s="42" customFormat="1" ht="14.45" customHeight="1">
      <c r="A255" s="41"/>
      <c r="B255" s="41"/>
      <c r="C255" s="41"/>
      <c r="D255" s="41"/>
      <c r="E255" s="41"/>
      <c r="G255" s="41"/>
      <c r="K255" s="41"/>
    </row>
    <row r="256" spans="1:11" s="42" customFormat="1" ht="14.45" customHeight="1">
      <c r="A256" s="41"/>
      <c r="B256" s="41"/>
      <c r="C256" s="41"/>
      <c r="D256" s="41"/>
      <c r="E256" s="41"/>
      <c r="G256" s="41"/>
      <c r="K256" s="41"/>
    </row>
    <row r="257" spans="1:11" s="42" customFormat="1" ht="14.45" customHeight="1">
      <c r="A257" s="41"/>
      <c r="B257" s="41"/>
      <c r="C257" s="41"/>
      <c r="D257" s="41"/>
      <c r="E257" s="41"/>
      <c r="G257" s="41"/>
      <c r="K257" s="41"/>
    </row>
    <row r="258" spans="1:11" s="42" customFormat="1" ht="14.45" customHeight="1">
      <c r="A258" s="41"/>
      <c r="B258" s="41"/>
      <c r="C258" s="41"/>
      <c r="D258" s="41"/>
      <c r="E258" s="41"/>
      <c r="G258" s="41"/>
      <c r="K258" s="41"/>
    </row>
    <row r="259" spans="1:11" s="42" customFormat="1" ht="14.45" customHeight="1">
      <c r="A259" s="41"/>
      <c r="B259" s="41"/>
      <c r="C259" s="41"/>
      <c r="D259" s="41"/>
      <c r="E259" s="41"/>
      <c r="G259" s="41"/>
      <c r="K259" s="41"/>
    </row>
    <row r="260" spans="1:11" s="42" customFormat="1" ht="14.45" customHeight="1">
      <c r="A260" s="41"/>
      <c r="B260" s="41"/>
      <c r="C260" s="41"/>
      <c r="D260" s="41"/>
      <c r="E260" s="41"/>
      <c r="G260" s="41"/>
      <c r="K260" s="41"/>
    </row>
    <row r="261" spans="1:11" s="42" customFormat="1" ht="14.45" customHeight="1">
      <c r="A261" s="41"/>
      <c r="B261" s="41"/>
      <c r="C261" s="41"/>
      <c r="D261" s="41"/>
      <c r="E261" s="41"/>
      <c r="G261" s="41"/>
      <c r="K261" s="41"/>
    </row>
    <row r="262" spans="1:11" s="42" customFormat="1" ht="14.45" customHeight="1">
      <c r="A262" s="41"/>
      <c r="B262" s="41"/>
      <c r="C262" s="41"/>
      <c r="D262" s="41"/>
      <c r="E262" s="41"/>
      <c r="G262" s="41"/>
      <c r="K262" s="41"/>
    </row>
    <row r="263" spans="1:11" s="42" customFormat="1" ht="14.45" customHeight="1">
      <c r="A263" s="41"/>
      <c r="B263" s="41"/>
      <c r="C263" s="41"/>
      <c r="D263" s="41"/>
      <c r="E263" s="41"/>
      <c r="G263" s="41"/>
      <c r="K263" s="41"/>
    </row>
    <row r="264" spans="1:11" s="42" customFormat="1" ht="14.45" customHeight="1">
      <c r="A264" s="41"/>
      <c r="B264" s="41"/>
      <c r="C264" s="41"/>
      <c r="D264" s="41"/>
      <c r="E264" s="41"/>
      <c r="G264" s="41"/>
      <c r="K264" s="41"/>
    </row>
    <row r="265" spans="1:11" s="42" customFormat="1" ht="14.45" customHeight="1">
      <c r="A265" s="41"/>
      <c r="B265" s="41"/>
      <c r="C265" s="41"/>
      <c r="D265" s="41"/>
      <c r="E265" s="41"/>
      <c r="G265" s="41"/>
      <c r="K265" s="41"/>
    </row>
    <row r="266" spans="1:11" s="42" customFormat="1" ht="14.45" customHeight="1">
      <c r="A266" s="41"/>
      <c r="B266" s="41"/>
      <c r="C266" s="41"/>
      <c r="D266" s="41"/>
      <c r="E266" s="41"/>
      <c r="G266" s="41"/>
      <c r="K266" s="41"/>
    </row>
    <row r="267" spans="1:11" s="42" customFormat="1" ht="14.45" customHeight="1">
      <c r="A267" s="41"/>
      <c r="B267" s="41"/>
      <c r="C267" s="41"/>
      <c r="D267" s="41"/>
      <c r="E267" s="41"/>
      <c r="G267" s="41"/>
      <c r="K267" s="41"/>
    </row>
    <row r="268" spans="1:11" s="42" customFormat="1" ht="14.45" customHeight="1">
      <c r="A268" s="41"/>
      <c r="B268" s="41"/>
      <c r="C268" s="41"/>
      <c r="D268" s="41"/>
      <c r="E268" s="41"/>
      <c r="G268" s="41"/>
      <c r="K268" s="41"/>
    </row>
    <row r="269" spans="1:11" s="42" customFormat="1" ht="14.45" customHeight="1">
      <c r="A269" s="41"/>
      <c r="B269" s="41"/>
      <c r="C269" s="41"/>
      <c r="D269" s="41"/>
      <c r="E269" s="41"/>
      <c r="G269" s="41"/>
      <c r="K269" s="41"/>
    </row>
    <row r="270" spans="1:11" s="42" customFormat="1" ht="14.45" customHeight="1">
      <c r="A270" s="41"/>
      <c r="B270" s="41"/>
      <c r="C270" s="41"/>
      <c r="D270" s="41"/>
      <c r="E270" s="41"/>
      <c r="G270" s="41"/>
      <c r="K270" s="41"/>
    </row>
    <row r="271" spans="1:11" s="42" customFormat="1" ht="14.45" customHeight="1">
      <c r="A271" s="41"/>
      <c r="B271" s="41"/>
      <c r="C271" s="41"/>
      <c r="D271" s="41"/>
      <c r="E271" s="41"/>
      <c r="G271" s="41"/>
      <c r="K271" s="41"/>
    </row>
    <row r="272" spans="1:11" s="42" customFormat="1" ht="14.45" customHeight="1">
      <c r="A272" s="41"/>
      <c r="B272" s="41"/>
      <c r="C272" s="41"/>
      <c r="D272" s="41"/>
      <c r="E272" s="41"/>
      <c r="G272" s="41"/>
      <c r="K272" s="41"/>
    </row>
    <row r="273" spans="1:11" s="42" customFormat="1" ht="14.45" customHeight="1">
      <c r="A273" s="41"/>
      <c r="B273" s="41"/>
      <c r="C273" s="41"/>
      <c r="D273" s="41"/>
      <c r="E273" s="41"/>
      <c r="G273" s="41"/>
      <c r="K273" s="41"/>
    </row>
    <row r="274" spans="1:11" s="42" customFormat="1" ht="14.45" customHeight="1">
      <c r="A274" s="41"/>
      <c r="B274" s="41"/>
      <c r="C274" s="41"/>
      <c r="D274" s="41"/>
      <c r="E274" s="41"/>
      <c r="G274" s="41"/>
      <c r="K274" s="41"/>
    </row>
    <row r="275" spans="1:11" s="42" customFormat="1" ht="14.45" customHeight="1">
      <c r="A275" s="41"/>
      <c r="B275" s="41"/>
      <c r="C275" s="41"/>
      <c r="D275" s="41"/>
      <c r="E275" s="41"/>
      <c r="G275" s="41"/>
      <c r="K275" s="41"/>
    </row>
    <row r="276" spans="1:11" s="42" customFormat="1" ht="14.45" customHeight="1">
      <c r="A276" s="41"/>
      <c r="B276" s="41"/>
      <c r="C276" s="41"/>
      <c r="D276" s="41"/>
      <c r="E276" s="41"/>
      <c r="G276" s="41"/>
      <c r="K276" s="41"/>
    </row>
    <row r="277" spans="1:11" s="42" customFormat="1" ht="14.45" customHeight="1">
      <c r="A277" s="41"/>
      <c r="B277" s="41"/>
      <c r="C277" s="41"/>
      <c r="D277" s="41"/>
      <c r="E277" s="41"/>
      <c r="G277" s="41"/>
      <c r="K277" s="41"/>
    </row>
    <row r="278" spans="1:11" s="42" customFormat="1" ht="14.45" customHeight="1">
      <c r="A278" s="41"/>
      <c r="B278" s="41"/>
      <c r="C278" s="41"/>
      <c r="D278" s="41"/>
      <c r="E278" s="41"/>
      <c r="G278" s="41"/>
      <c r="K278" s="41"/>
    </row>
    <row r="279" spans="1:11" s="42" customFormat="1" ht="14.45" customHeight="1">
      <c r="A279" s="41"/>
      <c r="B279" s="41"/>
      <c r="C279" s="41"/>
      <c r="D279" s="41"/>
      <c r="E279" s="41"/>
      <c r="G279" s="41"/>
      <c r="K279" s="41"/>
    </row>
    <row r="280" spans="1:11" s="42" customFormat="1" ht="14.45" customHeight="1">
      <c r="A280" s="41"/>
      <c r="B280" s="41"/>
      <c r="C280" s="41"/>
      <c r="D280" s="41"/>
      <c r="E280" s="41"/>
      <c r="G280" s="41"/>
      <c r="K280" s="41"/>
    </row>
    <row r="281" spans="1:11" s="42" customFormat="1" ht="14.45" customHeight="1">
      <c r="A281" s="41"/>
      <c r="B281" s="41"/>
      <c r="C281" s="41"/>
      <c r="D281" s="41"/>
      <c r="E281" s="41"/>
      <c r="G281" s="41"/>
      <c r="K281" s="41"/>
    </row>
    <row r="282" spans="1:11" s="42" customFormat="1" ht="14.45" customHeight="1">
      <c r="A282" s="41"/>
      <c r="B282" s="41"/>
      <c r="C282" s="41"/>
      <c r="D282" s="41"/>
      <c r="E282" s="41"/>
      <c r="G282" s="41"/>
      <c r="K282" s="41"/>
    </row>
    <row r="283" spans="1:11" s="42" customFormat="1" ht="14.45" customHeight="1">
      <c r="A283" s="41"/>
      <c r="B283" s="41"/>
      <c r="C283" s="41"/>
      <c r="D283" s="41"/>
      <c r="E283" s="41"/>
      <c r="G283" s="41"/>
      <c r="K283" s="41"/>
    </row>
    <row r="284" spans="1:11" s="42" customFormat="1" ht="14.45" customHeight="1">
      <c r="A284" s="41"/>
      <c r="B284" s="41"/>
      <c r="C284" s="41"/>
      <c r="D284" s="41"/>
      <c r="E284" s="41"/>
      <c r="G284" s="41"/>
      <c r="K284" s="41"/>
    </row>
    <row r="285" spans="1:11" s="42" customFormat="1" ht="14.45" customHeight="1">
      <c r="A285" s="41"/>
      <c r="B285" s="41"/>
      <c r="C285" s="41"/>
      <c r="D285" s="41"/>
      <c r="E285" s="41"/>
      <c r="G285" s="41"/>
      <c r="K285" s="41"/>
    </row>
    <row r="286" spans="1:11" s="42" customFormat="1" ht="14.45" customHeight="1">
      <c r="A286" s="41"/>
      <c r="B286" s="41"/>
      <c r="C286" s="41"/>
      <c r="D286" s="41"/>
      <c r="E286" s="41"/>
      <c r="G286" s="41"/>
      <c r="K286" s="41"/>
    </row>
    <row r="287" spans="1:11" s="42" customFormat="1" ht="14.45" customHeight="1">
      <c r="A287" s="41"/>
      <c r="B287" s="41"/>
      <c r="C287" s="41"/>
      <c r="D287" s="41"/>
      <c r="E287" s="41"/>
      <c r="G287" s="41"/>
      <c r="K287" s="41"/>
    </row>
    <row r="288" spans="1:11" s="42" customFormat="1" ht="14.45" customHeight="1">
      <c r="A288" s="41"/>
      <c r="B288" s="41"/>
      <c r="C288" s="41"/>
      <c r="D288" s="41"/>
      <c r="E288" s="41"/>
      <c r="G288" s="41"/>
      <c r="K288" s="41"/>
    </row>
    <row r="289" spans="1:11" s="42" customFormat="1" ht="14.45" customHeight="1">
      <c r="A289" s="41"/>
      <c r="B289" s="41"/>
      <c r="C289" s="41"/>
      <c r="D289" s="41"/>
      <c r="E289" s="41"/>
      <c r="G289" s="41"/>
      <c r="K289" s="41"/>
    </row>
    <row r="290" spans="1:11" s="42" customFormat="1" ht="14.45" customHeight="1">
      <c r="A290" s="41"/>
      <c r="B290" s="41"/>
      <c r="C290" s="41"/>
      <c r="D290" s="41"/>
      <c r="E290" s="41"/>
      <c r="G290" s="41"/>
      <c r="K290" s="41"/>
    </row>
    <row r="291" spans="1:11" s="42" customFormat="1" ht="14.45" customHeight="1">
      <c r="A291" s="41"/>
      <c r="B291" s="41"/>
      <c r="C291" s="41"/>
      <c r="D291" s="41"/>
      <c r="E291" s="41"/>
      <c r="G291" s="41"/>
      <c r="K291" s="41"/>
    </row>
    <row r="292" spans="1:11" s="42" customFormat="1" ht="14.45" customHeight="1">
      <c r="A292" s="41"/>
      <c r="B292" s="41"/>
      <c r="C292" s="41"/>
      <c r="D292" s="41"/>
      <c r="E292" s="41"/>
      <c r="G292" s="41"/>
      <c r="K292" s="41"/>
    </row>
    <row r="293" spans="1:11" s="42" customFormat="1" ht="14.45" customHeight="1">
      <c r="A293" s="41"/>
      <c r="B293" s="41"/>
      <c r="C293" s="41"/>
      <c r="D293" s="41"/>
      <c r="E293" s="41"/>
      <c r="G293" s="41"/>
      <c r="K293" s="41"/>
    </row>
    <row r="294" spans="1:11" s="42" customFormat="1" ht="14.45" customHeight="1">
      <c r="A294" s="41"/>
      <c r="B294" s="41"/>
      <c r="C294" s="41"/>
      <c r="D294" s="41"/>
      <c r="E294" s="41"/>
      <c r="G294" s="41"/>
      <c r="K294" s="41"/>
    </row>
    <row r="295" spans="1:11" s="42" customFormat="1" ht="14.45" customHeight="1">
      <c r="A295" s="41"/>
      <c r="B295" s="41"/>
      <c r="C295" s="41"/>
      <c r="D295" s="41"/>
      <c r="E295" s="41"/>
      <c r="G295" s="41"/>
      <c r="K295" s="41"/>
    </row>
    <row r="296" spans="1:11" s="42" customFormat="1" ht="14.45" customHeight="1">
      <c r="A296" s="41"/>
      <c r="B296" s="41"/>
      <c r="C296" s="41"/>
      <c r="D296" s="41"/>
      <c r="E296" s="41"/>
      <c r="G296" s="41"/>
      <c r="K296" s="41"/>
    </row>
    <row r="297" spans="1:11" s="42" customFormat="1" ht="14.45" customHeight="1">
      <c r="A297" s="41"/>
      <c r="B297" s="41"/>
      <c r="C297" s="41"/>
      <c r="D297" s="41"/>
      <c r="E297" s="41"/>
      <c r="G297" s="41"/>
      <c r="K297" s="41"/>
    </row>
    <row r="298" spans="1:11" s="42" customFormat="1" ht="14.45" customHeight="1">
      <c r="A298" s="41"/>
      <c r="B298" s="41"/>
      <c r="C298" s="41"/>
      <c r="D298" s="41"/>
      <c r="E298" s="41"/>
      <c r="G298" s="41"/>
      <c r="K298" s="41"/>
    </row>
    <row r="299" spans="1:11" s="42" customFormat="1" ht="14.45" customHeight="1">
      <c r="A299" s="41"/>
      <c r="B299" s="41"/>
      <c r="C299" s="41"/>
      <c r="D299" s="41"/>
      <c r="E299" s="41"/>
      <c r="G299" s="41"/>
      <c r="K299" s="41"/>
    </row>
    <row r="300" spans="1:11" s="42" customFormat="1" ht="14.45" customHeight="1">
      <c r="A300" s="41"/>
      <c r="B300" s="41"/>
      <c r="C300" s="41"/>
      <c r="D300" s="41"/>
      <c r="E300" s="41"/>
      <c r="G300" s="41"/>
      <c r="K300" s="41"/>
    </row>
    <row r="301" spans="1:11" s="42" customFormat="1" ht="14.45" customHeight="1">
      <c r="A301" s="41"/>
      <c r="B301" s="41"/>
      <c r="C301" s="41"/>
      <c r="D301" s="41"/>
      <c r="E301" s="41"/>
      <c r="G301" s="41"/>
      <c r="K301" s="41"/>
    </row>
    <row r="302" spans="1:11" s="42" customFormat="1" ht="14.45" customHeight="1">
      <c r="A302" s="41"/>
      <c r="B302" s="41"/>
      <c r="C302" s="41"/>
      <c r="D302" s="41"/>
      <c r="E302" s="41"/>
      <c r="G302" s="41"/>
      <c r="K302" s="41"/>
    </row>
    <row r="303" spans="1:11" s="42" customFormat="1" ht="14.45" customHeight="1">
      <c r="A303" s="41"/>
      <c r="B303" s="41"/>
      <c r="C303" s="41"/>
      <c r="D303" s="41"/>
      <c r="E303" s="41"/>
      <c r="G303" s="41"/>
      <c r="K303" s="41"/>
    </row>
    <row r="304" spans="1:11" s="42" customFormat="1" ht="14.45" customHeight="1">
      <c r="A304" s="41"/>
      <c r="B304" s="41"/>
      <c r="C304" s="41"/>
      <c r="D304" s="41"/>
      <c r="E304" s="41"/>
      <c r="G304" s="41"/>
      <c r="K304" s="41"/>
    </row>
    <row r="305" spans="1:11" s="42" customFormat="1" ht="14.45" customHeight="1">
      <c r="A305" s="41"/>
      <c r="B305" s="41"/>
      <c r="C305" s="41"/>
      <c r="D305" s="41"/>
      <c r="E305" s="41"/>
      <c r="G305" s="41"/>
      <c r="K305" s="41"/>
    </row>
    <row r="306" spans="1:11" s="42" customFormat="1" ht="14.45" customHeight="1">
      <c r="A306" s="41"/>
      <c r="B306" s="41"/>
      <c r="C306" s="41"/>
      <c r="D306" s="41"/>
      <c r="E306" s="41"/>
      <c r="G306" s="41"/>
      <c r="K306" s="41"/>
    </row>
    <row r="307" spans="1:11" s="42" customFormat="1" ht="14.45" customHeight="1">
      <c r="A307" s="41"/>
      <c r="B307" s="41"/>
      <c r="C307" s="41"/>
      <c r="D307" s="41"/>
      <c r="E307" s="41"/>
      <c r="G307" s="41"/>
      <c r="K307" s="41"/>
    </row>
    <row r="308" spans="1:11" s="42" customFormat="1" ht="14.45" customHeight="1">
      <c r="A308" s="41"/>
      <c r="B308" s="41"/>
      <c r="C308" s="41"/>
      <c r="D308" s="41"/>
      <c r="E308" s="41"/>
      <c r="G308" s="41"/>
      <c r="K308" s="41"/>
    </row>
    <row r="309" spans="1:11" s="42" customFormat="1" ht="14.45" customHeight="1">
      <c r="A309" s="41"/>
      <c r="B309" s="41"/>
      <c r="C309" s="41"/>
      <c r="D309" s="41"/>
      <c r="E309" s="41"/>
      <c r="G309" s="41"/>
      <c r="K309" s="41"/>
    </row>
    <row r="310" spans="1:11" s="42" customFormat="1" ht="14.45" customHeight="1">
      <c r="A310" s="41"/>
      <c r="B310" s="41"/>
      <c r="C310" s="41"/>
      <c r="D310" s="41"/>
      <c r="E310" s="41"/>
      <c r="G310" s="41"/>
      <c r="K310" s="41"/>
    </row>
    <row r="311" spans="1:11" s="42" customFormat="1" ht="14.45" customHeight="1">
      <c r="A311" s="41"/>
      <c r="B311" s="41"/>
      <c r="C311" s="41"/>
      <c r="D311" s="41"/>
      <c r="E311" s="41"/>
      <c r="G311" s="41"/>
      <c r="K311" s="41"/>
    </row>
    <row r="312" spans="1:11" s="42" customFormat="1" ht="14.45" customHeight="1">
      <c r="A312" s="41"/>
      <c r="B312" s="41"/>
      <c r="C312" s="41"/>
      <c r="D312" s="41"/>
      <c r="E312" s="41"/>
      <c r="G312" s="41"/>
      <c r="K312" s="41"/>
    </row>
    <row r="313" spans="1:11" s="42" customFormat="1" ht="14.45" customHeight="1">
      <c r="A313" s="41"/>
      <c r="B313" s="41"/>
      <c r="C313" s="41"/>
      <c r="D313" s="41"/>
      <c r="E313" s="41"/>
      <c r="G313" s="41"/>
      <c r="K313" s="41"/>
    </row>
    <row r="314" spans="1:11" s="42" customFormat="1" ht="14.45" customHeight="1">
      <c r="A314" s="41"/>
      <c r="B314" s="41"/>
      <c r="C314" s="41"/>
      <c r="D314" s="41"/>
      <c r="E314" s="41"/>
      <c r="G314" s="41"/>
      <c r="K314" s="41"/>
    </row>
    <row r="315" spans="1:11" s="42" customFormat="1" ht="14.45" customHeight="1">
      <c r="A315" s="41"/>
      <c r="B315" s="41"/>
      <c r="C315" s="41"/>
      <c r="D315" s="41"/>
      <c r="E315" s="41"/>
      <c r="G315" s="41"/>
      <c r="K315" s="41"/>
    </row>
    <row r="316" spans="1:11" s="42" customFormat="1" ht="14.45" customHeight="1">
      <c r="A316" s="41"/>
      <c r="B316" s="41"/>
      <c r="C316" s="41"/>
      <c r="D316" s="41"/>
      <c r="E316" s="41"/>
      <c r="G316" s="41"/>
      <c r="K316" s="41"/>
    </row>
    <row r="317" spans="1:11" s="42" customFormat="1" ht="14.45" customHeight="1">
      <c r="A317" s="41"/>
      <c r="B317" s="41"/>
      <c r="C317" s="41"/>
      <c r="D317" s="41"/>
      <c r="E317" s="41"/>
      <c r="G317" s="41"/>
      <c r="K317" s="41"/>
    </row>
    <row r="318" spans="1:11" s="42" customFormat="1" ht="14.45" customHeight="1">
      <c r="A318" s="41"/>
      <c r="B318" s="41"/>
      <c r="C318" s="41"/>
      <c r="D318" s="41"/>
      <c r="E318" s="41"/>
      <c r="G318" s="41"/>
      <c r="K318" s="41"/>
    </row>
    <row r="319" spans="1:11" s="42" customFormat="1" ht="14.45" customHeight="1">
      <c r="A319" s="41"/>
      <c r="B319" s="41"/>
      <c r="C319" s="41"/>
      <c r="D319" s="41"/>
      <c r="E319" s="41"/>
      <c r="G319" s="41"/>
      <c r="K319" s="41"/>
    </row>
    <row r="320" spans="1:11" s="42" customFormat="1" ht="14.45" customHeight="1">
      <c r="A320" s="41"/>
      <c r="B320" s="41"/>
      <c r="C320" s="41"/>
      <c r="D320" s="41"/>
      <c r="E320" s="41"/>
      <c r="G320" s="41"/>
      <c r="K320" s="41"/>
    </row>
    <row r="321" spans="1:13" s="42" customFormat="1" ht="14.45" customHeight="1">
      <c r="A321" s="41"/>
      <c r="B321" s="41"/>
      <c r="C321" s="41"/>
      <c r="D321" s="41"/>
      <c r="E321" s="41"/>
      <c r="G321" s="41"/>
      <c r="K321" s="41"/>
    </row>
    <row r="322" spans="1:13" s="42" customFormat="1" ht="14.45" customHeight="1">
      <c r="A322" s="41"/>
      <c r="B322" s="41"/>
      <c r="C322" s="41"/>
      <c r="D322" s="41"/>
      <c r="E322" s="41"/>
      <c r="G322" s="41"/>
      <c r="K322" s="41"/>
    </row>
    <row r="323" spans="1:13" s="42" customFormat="1" ht="14.45" customHeight="1">
      <c r="A323" s="41"/>
      <c r="B323" s="41"/>
      <c r="C323" s="41"/>
      <c r="D323" s="41"/>
      <c r="E323" s="41"/>
      <c r="G323" s="41"/>
      <c r="K323" s="41"/>
    </row>
    <row r="324" spans="1:13" s="42" customFormat="1" ht="14.45" customHeight="1">
      <c r="A324" s="41"/>
      <c r="B324" s="41"/>
      <c r="C324" s="41"/>
      <c r="D324" s="41"/>
      <c r="E324" s="41"/>
      <c r="G324" s="41"/>
      <c r="K324" s="41"/>
    </row>
    <row r="325" spans="1:13" s="42" customFormat="1" ht="14.45" customHeight="1">
      <c r="A325" s="41"/>
      <c r="B325" s="41"/>
      <c r="C325" s="41"/>
      <c r="D325" s="41"/>
      <c r="E325" s="41"/>
      <c r="G325" s="41"/>
      <c r="K325" s="41"/>
    </row>
    <row r="326" spans="1:13" s="42" customFormat="1" ht="14.45" customHeight="1">
      <c r="A326" s="41"/>
      <c r="B326" s="41"/>
      <c r="C326" s="41"/>
      <c r="D326" s="41"/>
      <c r="E326" s="41"/>
      <c r="G326" s="41"/>
      <c r="K326" s="41"/>
    </row>
    <row r="327" spans="1:13" s="42" customFormat="1" ht="14.45" customHeight="1">
      <c r="A327" s="41"/>
      <c r="B327" s="41"/>
      <c r="C327" s="41"/>
      <c r="D327" s="41"/>
      <c r="E327" s="41"/>
      <c r="G327" s="41"/>
      <c r="K327" s="41"/>
    </row>
    <row r="328" spans="1:13" ht="15" customHeight="1">
      <c r="D328" s="44"/>
      <c r="E328" s="44"/>
      <c r="F328" s="44"/>
      <c r="G328" s="44"/>
      <c r="H328" s="44"/>
      <c r="I328" s="44"/>
      <c r="J328" s="44"/>
      <c r="K328" s="44"/>
      <c r="L328" s="44"/>
    </row>
    <row r="329" spans="1:13" ht="15.75" thickBot="1"/>
    <row r="330" spans="1:13">
      <c r="A330" s="79">
        <f>BM_15!A56</f>
        <v>0</v>
      </c>
      <c r="B330" s="488">
        <f>BM_15!B56</f>
        <v>0</v>
      </c>
      <c r="C330" s="489"/>
      <c r="D330" s="489"/>
      <c r="E330" s="489"/>
      <c r="F330" s="489"/>
      <c r="G330" s="489"/>
      <c r="H330" s="489"/>
      <c r="I330" s="489"/>
      <c r="J330" s="489"/>
      <c r="K330" s="489"/>
      <c r="L330" s="35"/>
      <c r="M330" s="80"/>
    </row>
    <row r="331" spans="1:13" ht="25.15" customHeight="1" thickBot="1">
      <c r="I331" s="41"/>
    </row>
    <row r="332" spans="1:13" ht="24.6" customHeight="1">
      <c r="A332" s="79">
        <f>BM_15!A57</f>
        <v>5</v>
      </c>
      <c r="B332" s="484" t="str">
        <f>BM_15!B57</f>
        <v>COBERTURAS E PROTEÇÕES</v>
      </c>
      <c r="C332" s="485"/>
      <c r="D332" s="485"/>
      <c r="E332" s="485"/>
      <c r="F332" s="485"/>
      <c r="G332" s="485"/>
      <c r="H332" s="485"/>
      <c r="I332" s="485"/>
      <c r="J332" s="485"/>
      <c r="K332" s="485"/>
      <c r="L332" s="35"/>
      <c r="M332" s="80"/>
    </row>
    <row r="333" spans="1:13">
      <c r="A333" s="62"/>
      <c r="B333" s="47"/>
      <c r="C333" s="47"/>
      <c r="D333" s="47"/>
      <c r="E333" s="47"/>
      <c r="F333" s="47"/>
      <c r="G333" s="69"/>
      <c r="H333" s="47"/>
      <c r="I333" s="47"/>
      <c r="J333" s="47"/>
      <c r="K333" s="61" t="s">
        <v>479</v>
      </c>
      <c r="L333" s="59">
        <f>SUM(L334:L337)</f>
        <v>150.02999999999997</v>
      </c>
    </row>
    <row r="334" spans="1:13">
      <c r="A334" s="62"/>
      <c r="B334" s="483" t="s">
        <v>480</v>
      </c>
      <c r="C334" s="483"/>
      <c r="D334" s="60">
        <v>1</v>
      </c>
      <c r="E334" s="60">
        <v>8.6</v>
      </c>
      <c r="F334" s="60"/>
      <c r="G334" s="60">
        <v>13.2</v>
      </c>
      <c r="H334" s="60"/>
      <c r="I334" s="60"/>
      <c r="J334" s="60"/>
      <c r="K334" s="60">
        <f>E334*G334</f>
        <v>113.52</v>
      </c>
      <c r="L334" s="60">
        <f>K334*D334</f>
        <v>113.52</v>
      </c>
    </row>
    <row r="335" spans="1:13">
      <c r="A335" s="62"/>
      <c r="B335" s="483" t="s">
        <v>470</v>
      </c>
      <c r="C335" s="483"/>
      <c r="D335" s="60">
        <v>1</v>
      </c>
      <c r="E335" s="60">
        <v>1.6</v>
      </c>
      <c r="F335" s="60"/>
      <c r="G335" s="60">
        <v>2.2000000000000002</v>
      </c>
      <c r="H335" s="60"/>
      <c r="I335" s="60"/>
      <c r="J335" s="60"/>
      <c r="K335" s="60">
        <f>E335*G335</f>
        <v>3.5200000000000005</v>
      </c>
      <c r="L335" s="60">
        <f>K335*D335</f>
        <v>3.5200000000000005</v>
      </c>
    </row>
    <row r="336" spans="1:13">
      <c r="A336" s="62"/>
      <c r="B336" s="483" t="s">
        <v>481</v>
      </c>
      <c r="C336" s="483"/>
      <c r="D336" s="60">
        <v>1</v>
      </c>
      <c r="E336" s="60">
        <v>4.4000000000000004</v>
      </c>
      <c r="F336" s="60"/>
      <c r="G336" s="60">
        <v>2.8</v>
      </c>
      <c r="H336" s="60"/>
      <c r="I336" s="60"/>
      <c r="J336" s="60"/>
      <c r="K336" s="60">
        <f>E336*G336</f>
        <v>12.32</v>
      </c>
      <c r="L336" s="60">
        <f>K336*D336</f>
        <v>12.32</v>
      </c>
    </row>
    <row r="337" spans="1:13">
      <c r="A337" s="62"/>
      <c r="B337" s="483" t="s">
        <v>482</v>
      </c>
      <c r="C337" s="483"/>
      <c r="D337" s="60">
        <v>1</v>
      </c>
      <c r="E337" s="60">
        <v>5.3</v>
      </c>
      <c r="F337" s="47"/>
      <c r="G337" s="60">
        <v>3.9</v>
      </c>
      <c r="H337" s="47"/>
      <c r="I337" s="47"/>
      <c r="J337" s="47"/>
      <c r="K337" s="60">
        <f>E337*G337</f>
        <v>20.669999999999998</v>
      </c>
      <c r="L337" s="60">
        <f>K337*D337</f>
        <v>20.669999999999998</v>
      </c>
    </row>
    <row r="338" spans="1:13" ht="15.75" thickBot="1">
      <c r="A338" s="82"/>
      <c r="B338" s="83"/>
      <c r="C338" s="83"/>
      <c r="D338" s="83"/>
      <c r="E338" s="83"/>
      <c r="F338" s="83"/>
      <c r="G338" s="84"/>
      <c r="H338" s="83"/>
      <c r="I338" s="83"/>
      <c r="J338" s="83"/>
      <c r="K338" s="83"/>
      <c r="L338" s="83"/>
    </row>
    <row r="339" spans="1:13" ht="21.6" customHeight="1">
      <c r="A339" s="79" t="s">
        <v>58</v>
      </c>
      <c r="B339" s="484" t="str">
        <f>BM_15!B58</f>
        <v>TRAMA DE MADEIRA COMPOSTA POR RIPAS, CAIBROS E TERÇAS PARA TELHADOS DE ATÉ 2 ÁGUAS PARA TELHA DE ENCAIXE DE CERÂMICA OU DE CONCRETO, INCLUSO TRANSPORTE VERTICAL. AF_07/2019</v>
      </c>
      <c r="C339" s="485"/>
      <c r="D339" s="485"/>
      <c r="E339" s="485"/>
      <c r="F339" s="485"/>
      <c r="G339" s="485"/>
      <c r="H339" s="485"/>
      <c r="I339" s="485"/>
      <c r="J339" s="485"/>
      <c r="K339" s="485"/>
      <c r="L339" s="35"/>
      <c r="M339" s="80"/>
    </row>
    <row r="340" spans="1:13">
      <c r="A340" s="62"/>
      <c r="B340" s="47"/>
      <c r="C340" s="47"/>
      <c r="D340" s="47"/>
      <c r="E340" s="47"/>
      <c r="F340" s="47"/>
      <c r="G340" s="69"/>
      <c r="H340" s="47"/>
      <c r="I340" s="47"/>
      <c r="J340" s="47"/>
      <c r="K340" s="61" t="s">
        <v>479</v>
      </c>
      <c r="L340" s="59">
        <f>SUM(L341:L344)</f>
        <v>150.02999999999997</v>
      </c>
    </row>
    <row r="341" spans="1:13">
      <c r="A341" s="62"/>
      <c r="B341" s="483" t="s">
        <v>480</v>
      </c>
      <c r="C341" s="483"/>
      <c r="D341" s="60">
        <v>1</v>
      </c>
      <c r="E341" s="60">
        <v>8.6</v>
      </c>
      <c r="F341" s="60"/>
      <c r="G341" s="60">
        <v>13.2</v>
      </c>
      <c r="H341" s="60"/>
      <c r="I341" s="60"/>
      <c r="J341" s="60"/>
      <c r="K341" s="60">
        <f>E341*G341</f>
        <v>113.52</v>
      </c>
      <c r="L341" s="60">
        <f>K341*D341</f>
        <v>113.52</v>
      </c>
    </row>
    <row r="342" spans="1:13">
      <c r="A342" s="62"/>
      <c r="B342" s="483" t="s">
        <v>470</v>
      </c>
      <c r="C342" s="483"/>
      <c r="D342" s="60">
        <v>1</v>
      </c>
      <c r="E342" s="60">
        <v>1.6</v>
      </c>
      <c r="F342" s="60"/>
      <c r="G342" s="60">
        <v>2.2000000000000002</v>
      </c>
      <c r="H342" s="60"/>
      <c r="I342" s="60"/>
      <c r="J342" s="60"/>
      <c r="K342" s="60">
        <f>E342*G342</f>
        <v>3.5200000000000005</v>
      </c>
      <c r="L342" s="60">
        <f>K342*D342</f>
        <v>3.5200000000000005</v>
      </c>
    </row>
    <row r="343" spans="1:13">
      <c r="A343" s="62"/>
      <c r="B343" s="483" t="s">
        <v>481</v>
      </c>
      <c r="C343" s="483"/>
      <c r="D343" s="60">
        <v>1</v>
      </c>
      <c r="E343" s="60">
        <v>4.4000000000000004</v>
      </c>
      <c r="F343" s="60"/>
      <c r="G343" s="60">
        <v>2.8</v>
      </c>
      <c r="H343" s="60"/>
      <c r="I343" s="60"/>
      <c r="J343" s="60"/>
      <c r="K343" s="60">
        <f>E343*G343</f>
        <v>12.32</v>
      </c>
      <c r="L343" s="60">
        <f>K343*D343</f>
        <v>12.32</v>
      </c>
    </row>
    <row r="344" spans="1:13">
      <c r="A344" s="62"/>
      <c r="B344" s="483" t="s">
        <v>482</v>
      </c>
      <c r="C344" s="483"/>
      <c r="D344" s="60">
        <v>1</v>
      </c>
      <c r="E344" s="60">
        <v>5.3</v>
      </c>
      <c r="F344" s="47"/>
      <c r="G344" s="60">
        <v>3.9</v>
      </c>
      <c r="H344" s="47"/>
      <c r="I344" s="47"/>
      <c r="J344" s="47"/>
      <c r="K344" s="60">
        <f>E344*G344</f>
        <v>20.669999999999998</v>
      </c>
      <c r="L344" s="60">
        <f>K344*D344</f>
        <v>20.669999999999998</v>
      </c>
    </row>
    <row r="345" spans="1:13">
      <c r="A345" s="82"/>
      <c r="B345" s="83"/>
      <c r="C345" s="83"/>
      <c r="D345" s="83"/>
      <c r="E345" s="83"/>
      <c r="F345" s="83"/>
      <c r="G345" s="84"/>
      <c r="H345" s="83"/>
      <c r="I345" s="83"/>
      <c r="J345" s="83"/>
      <c r="K345" s="83"/>
      <c r="L345" s="83"/>
    </row>
    <row r="346" spans="1:13" ht="14.45" customHeight="1" thickBot="1"/>
    <row r="347" spans="1:13" ht="15.75" thickBot="1">
      <c r="A347" s="79">
        <f>BM_15!A93</f>
        <v>0</v>
      </c>
      <c r="B347" s="488">
        <f>BM_15!B93</f>
        <v>0</v>
      </c>
      <c r="C347" s="489"/>
      <c r="D347" s="489"/>
      <c r="E347" s="489"/>
      <c r="F347" s="489"/>
      <c r="G347" s="489"/>
      <c r="H347" s="489"/>
      <c r="I347" s="489"/>
      <c r="J347" s="489"/>
      <c r="K347" s="489"/>
      <c r="L347" s="35"/>
      <c r="M347" s="80"/>
    </row>
    <row r="348" spans="1:13" ht="21.6" customHeight="1" thickBot="1">
      <c r="A348" s="70" t="str">
        <f>BM_15!A94</f>
        <v>6.3</v>
      </c>
      <c r="B348" s="486" t="str">
        <f>BM_15!B94</f>
        <v>FERRAGENS</v>
      </c>
      <c r="C348" s="487"/>
      <c r="D348" s="487"/>
      <c r="E348" s="487"/>
      <c r="F348" s="487"/>
      <c r="G348" s="487"/>
      <c r="H348" s="487"/>
      <c r="I348" s="487"/>
      <c r="J348" s="487"/>
      <c r="K348" s="487"/>
      <c r="L348" s="52"/>
      <c r="M348" s="36"/>
    </row>
    <row r="349" spans="1:13">
      <c r="L349" s="45"/>
    </row>
    <row r="350" spans="1:13">
      <c r="B350" s="37"/>
      <c r="C350" s="37"/>
      <c r="D350" s="37"/>
      <c r="E350" s="37"/>
      <c r="F350" s="38" t="s">
        <v>462</v>
      </c>
      <c r="G350" s="37"/>
      <c r="H350" s="38" t="s">
        <v>462</v>
      </c>
      <c r="I350" s="37"/>
      <c r="J350" s="37"/>
      <c r="K350" s="46" t="s">
        <v>453</v>
      </c>
      <c r="L350" s="68">
        <f>SUM(L353:L377)</f>
        <v>736.73</v>
      </c>
    </row>
    <row r="351" spans="1:13">
      <c r="B351" s="37"/>
      <c r="C351" s="37"/>
      <c r="D351" s="37"/>
      <c r="E351" s="37"/>
      <c r="F351" s="38"/>
      <c r="G351" s="37"/>
      <c r="H351" s="38"/>
      <c r="I351" s="37"/>
      <c r="J351" s="37"/>
      <c r="K351" s="46" t="s">
        <v>454</v>
      </c>
      <c r="L351" s="68">
        <v>231.18</v>
      </c>
    </row>
    <row r="352" spans="1:13">
      <c r="B352" s="37"/>
      <c r="C352" s="37"/>
      <c r="D352" s="37"/>
      <c r="E352" s="37"/>
      <c r="F352" s="38"/>
      <c r="G352" s="37"/>
      <c r="H352" s="38"/>
      <c r="I352" s="37"/>
      <c r="J352" s="37"/>
      <c r="K352" s="46" t="s">
        <v>479</v>
      </c>
      <c r="L352" s="68">
        <f>L350-L351</f>
        <v>505.55</v>
      </c>
    </row>
    <row r="353" spans="2:12">
      <c r="B353" s="393" t="s">
        <v>434</v>
      </c>
      <c r="C353" s="393"/>
      <c r="D353" s="37">
        <v>1</v>
      </c>
      <c r="E353" s="37">
        <v>5.2</v>
      </c>
      <c r="F353" s="37"/>
      <c r="G353" s="37">
        <v>5.6</v>
      </c>
      <c r="H353" s="37"/>
      <c r="I353" s="37"/>
      <c r="J353" s="37"/>
      <c r="K353" s="37">
        <f>(E353*G353)+(F353*H353)</f>
        <v>29.119999999999997</v>
      </c>
      <c r="L353" s="38">
        <f t="shared" ref="L353:L377" si="18">K353*D353</f>
        <v>29.119999999999997</v>
      </c>
    </row>
    <row r="354" spans="2:12">
      <c r="B354" s="393" t="s">
        <v>435</v>
      </c>
      <c r="C354" s="393"/>
      <c r="D354" s="37">
        <v>1</v>
      </c>
      <c r="E354" s="37">
        <v>5.2</v>
      </c>
      <c r="F354" s="37"/>
      <c r="G354" s="37">
        <v>5.6</v>
      </c>
      <c r="H354" s="37"/>
      <c r="I354" s="37"/>
      <c r="J354" s="37"/>
      <c r="K354" s="37">
        <f t="shared" ref="K354:K377" si="19">(E354*G354)+(F354*H354)</f>
        <v>29.119999999999997</v>
      </c>
      <c r="L354" s="38">
        <f t="shared" si="18"/>
        <v>29.119999999999997</v>
      </c>
    </row>
    <row r="355" spans="2:12">
      <c r="B355" s="393" t="s">
        <v>436</v>
      </c>
      <c r="C355" s="393"/>
      <c r="D355" s="37">
        <v>1</v>
      </c>
      <c r="E355" s="37">
        <v>5.2</v>
      </c>
      <c r="F355" s="37"/>
      <c r="G355" s="37">
        <v>5.6</v>
      </c>
      <c r="H355" s="37"/>
      <c r="I355" s="37"/>
      <c r="J355" s="37"/>
      <c r="K355" s="37">
        <f t="shared" si="19"/>
        <v>29.119999999999997</v>
      </c>
      <c r="L355" s="38">
        <f t="shared" si="18"/>
        <v>29.119999999999997</v>
      </c>
    </row>
    <row r="356" spans="2:12">
      <c r="B356" s="393" t="s">
        <v>436</v>
      </c>
      <c r="C356" s="393"/>
      <c r="D356" s="37">
        <v>1</v>
      </c>
      <c r="E356" s="37">
        <v>5.2</v>
      </c>
      <c r="F356" s="37"/>
      <c r="G356" s="37">
        <v>5.6</v>
      </c>
      <c r="H356" s="37"/>
      <c r="I356" s="37"/>
      <c r="J356" s="37"/>
      <c r="K356" s="37">
        <f t="shared" si="19"/>
        <v>29.119999999999997</v>
      </c>
      <c r="L356" s="38">
        <f t="shared" si="18"/>
        <v>29.119999999999997</v>
      </c>
    </row>
    <row r="357" spans="2:12">
      <c r="B357" s="393" t="s">
        <v>460</v>
      </c>
      <c r="C357" s="393"/>
      <c r="D357" s="37">
        <v>1</v>
      </c>
      <c r="E357" s="37">
        <v>2</v>
      </c>
      <c r="F357" s="37"/>
      <c r="G357" s="37">
        <v>20</v>
      </c>
      <c r="H357" s="37"/>
      <c r="I357" s="37"/>
      <c r="J357" s="37"/>
      <c r="K357" s="37">
        <f t="shared" si="19"/>
        <v>40</v>
      </c>
      <c r="L357" s="38">
        <f t="shared" si="18"/>
        <v>40</v>
      </c>
    </row>
    <row r="358" spans="2:12">
      <c r="B358" s="492" t="s">
        <v>439</v>
      </c>
      <c r="C358" s="492"/>
      <c r="D358" s="71">
        <v>1</v>
      </c>
      <c r="E358" s="71">
        <v>2</v>
      </c>
      <c r="F358" s="72"/>
      <c r="G358" s="71">
        <v>34.700000000000003</v>
      </c>
      <c r="H358" s="72"/>
      <c r="I358" s="72"/>
      <c r="J358" s="72"/>
      <c r="K358" s="37">
        <f t="shared" si="19"/>
        <v>69.400000000000006</v>
      </c>
      <c r="L358" s="38">
        <f t="shared" si="18"/>
        <v>69.400000000000006</v>
      </c>
    </row>
    <row r="359" spans="2:12">
      <c r="B359" s="75"/>
      <c r="C359" s="76"/>
      <c r="D359" s="71"/>
      <c r="E359" s="71"/>
      <c r="F359" s="72"/>
      <c r="G359" s="71"/>
      <c r="H359" s="72"/>
      <c r="I359" s="72"/>
      <c r="J359" s="72"/>
      <c r="K359" s="37">
        <f t="shared" si="19"/>
        <v>0</v>
      </c>
      <c r="L359" s="38">
        <f t="shared" si="18"/>
        <v>0</v>
      </c>
    </row>
    <row r="360" spans="2:12">
      <c r="B360" s="490" t="s">
        <v>444</v>
      </c>
      <c r="C360" s="491"/>
      <c r="D360" s="37">
        <v>1</v>
      </c>
      <c r="E360" s="37">
        <v>4.3</v>
      </c>
      <c r="F360" s="38"/>
      <c r="G360" s="37">
        <v>3</v>
      </c>
      <c r="H360" s="38"/>
      <c r="I360" s="38"/>
      <c r="J360" s="38"/>
      <c r="K360" s="37">
        <f t="shared" si="19"/>
        <v>12.899999999999999</v>
      </c>
      <c r="L360" s="38">
        <f t="shared" si="18"/>
        <v>12.899999999999999</v>
      </c>
    </row>
    <row r="361" spans="2:12">
      <c r="B361" s="490" t="s">
        <v>450</v>
      </c>
      <c r="C361" s="491"/>
      <c r="D361" s="37">
        <v>1</v>
      </c>
      <c r="E361" s="37">
        <v>8.6999999999999993</v>
      </c>
      <c r="F361" s="38"/>
      <c r="G361" s="37">
        <v>6</v>
      </c>
      <c r="H361" s="38"/>
      <c r="I361" s="38"/>
      <c r="J361" s="38"/>
      <c r="K361" s="37">
        <f t="shared" si="19"/>
        <v>52.199999999999996</v>
      </c>
      <c r="L361" s="38">
        <f t="shared" si="18"/>
        <v>52.199999999999996</v>
      </c>
    </row>
    <row r="362" spans="2:12">
      <c r="B362" s="490" t="s">
        <v>455</v>
      </c>
      <c r="C362" s="491"/>
      <c r="D362" s="37">
        <v>1</v>
      </c>
      <c r="E362" s="37">
        <v>7.5</v>
      </c>
      <c r="F362" s="38"/>
      <c r="G362" s="37">
        <v>4</v>
      </c>
      <c r="H362" s="38"/>
      <c r="I362" s="38"/>
      <c r="J362" s="38"/>
      <c r="K362" s="37">
        <f t="shared" si="19"/>
        <v>30</v>
      </c>
      <c r="L362" s="38">
        <f t="shared" si="18"/>
        <v>30</v>
      </c>
    </row>
    <row r="363" spans="2:12">
      <c r="B363" s="490" t="s">
        <v>443</v>
      </c>
      <c r="C363" s="491"/>
      <c r="D363" s="37">
        <v>1</v>
      </c>
      <c r="E363" s="37">
        <v>14.6</v>
      </c>
      <c r="F363" s="38"/>
      <c r="G363" s="37">
        <v>2.7</v>
      </c>
      <c r="H363" s="38"/>
      <c r="I363" s="38"/>
      <c r="J363" s="38"/>
      <c r="K363" s="37">
        <f t="shared" si="19"/>
        <v>39.42</v>
      </c>
      <c r="L363" s="38">
        <f t="shared" si="18"/>
        <v>39.42</v>
      </c>
    </row>
    <row r="364" spans="2:12">
      <c r="B364" s="490" t="s">
        <v>442</v>
      </c>
      <c r="C364" s="491"/>
      <c r="D364" s="37">
        <v>1</v>
      </c>
      <c r="E364" s="37">
        <v>6.3</v>
      </c>
      <c r="F364" s="38">
        <v>3.9</v>
      </c>
      <c r="G364" s="37">
        <v>3.9</v>
      </c>
      <c r="H364" s="38">
        <v>1.4</v>
      </c>
      <c r="I364" s="38"/>
      <c r="J364" s="38"/>
      <c r="K364" s="37">
        <f t="shared" si="19"/>
        <v>30.03</v>
      </c>
      <c r="L364" s="38">
        <f t="shared" si="18"/>
        <v>30.03</v>
      </c>
    </row>
    <row r="365" spans="2:12">
      <c r="B365" s="490" t="s">
        <v>441</v>
      </c>
      <c r="C365" s="491"/>
      <c r="D365" s="37">
        <v>1</v>
      </c>
      <c r="E365" s="37">
        <v>6.3</v>
      </c>
      <c r="F365" s="38"/>
      <c r="G365" s="37">
        <v>3.9</v>
      </c>
      <c r="H365" s="38"/>
      <c r="I365" s="38"/>
      <c r="J365" s="38"/>
      <c r="K365" s="37">
        <f t="shared" si="19"/>
        <v>24.57</v>
      </c>
      <c r="L365" s="38">
        <f t="shared" si="18"/>
        <v>24.57</v>
      </c>
    </row>
    <row r="366" spans="2:12">
      <c r="B366" s="490" t="s">
        <v>456</v>
      </c>
      <c r="C366" s="491"/>
      <c r="D366" s="37">
        <v>1</v>
      </c>
      <c r="E366" s="37">
        <v>3.2</v>
      </c>
      <c r="F366" s="38"/>
      <c r="G366" s="37">
        <v>3.5</v>
      </c>
      <c r="H366" s="38"/>
      <c r="I366" s="38"/>
      <c r="J366" s="38"/>
      <c r="K366" s="37">
        <f t="shared" si="19"/>
        <v>11.200000000000001</v>
      </c>
      <c r="L366" s="38">
        <f t="shared" si="18"/>
        <v>11.200000000000001</v>
      </c>
    </row>
    <row r="367" spans="2:12">
      <c r="B367" s="490" t="s">
        <v>457</v>
      </c>
      <c r="C367" s="491"/>
      <c r="D367" s="37">
        <v>1</v>
      </c>
      <c r="E367" s="37">
        <v>5</v>
      </c>
      <c r="F367" s="38"/>
      <c r="G367" s="37">
        <v>4.2</v>
      </c>
      <c r="H367" s="38"/>
      <c r="I367" s="38"/>
      <c r="J367" s="38"/>
      <c r="K367" s="37">
        <f t="shared" si="19"/>
        <v>21</v>
      </c>
      <c r="L367" s="38">
        <f t="shared" si="18"/>
        <v>21</v>
      </c>
    </row>
    <row r="368" spans="2:12">
      <c r="B368" s="490" t="s">
        <v>446</v>
      </c>
      <c r="C368" s="491"/>
      <c r="D368" s="37">
        <v>1</v>
      </c>
      <c r="E368" s="37">
        <v>3.5</v>
      </c>
      <c r="F368" s="38">
        <v>1.5</v>
      </c>
      <c r="G368" s="37">
        <v>3</v>
      </c>
      <c r="H368" s="38">
        <v>1.6</v>
      </c>
      <c r="I368" s="38"/>
      <c r="J368" s="38"/>
      <c r="K368" s="37">
        <f t="shared" si="19"/>
        <v>12.9</v>
      </c>
      <c r="L368" s="38">
        <f t="shared" si="18"/>
        <v>12.9</v>
      </c>
    </row>
    <row r="369" spans="1:13">
      <c r="B369" s="490" t="s">
        <v>452</v>
      </c>
      <c r="C369" s="491"/>
      <c r="D369" s="37">
        <v>1</v>
      </c>
      <c r="E369" s="37">
        <v>4.2</v>
      </c>
      <c r="F369" s="38"/>
      <c r="G369" s="37">
        <v>3.1</v>
      </c>
      <c r="H369" s="38"/>
      <c r="I369" s="38"/>
      <c r="J369" s="38"/>
      <c r="K369" s="37">
        <f t="shared" si="19"/>
        <v>13.020000000000001</v>
      </c>
      <c r="L369" s="38">
        <f t="shared" si="18"/>
        <v>13.020000000000001</v>
      </c>
    </row>
    <row r="370" spans="1:13">
      <c r="B370" s="490" t="s">
        <v>458</v>
      </c>
      <c r="C370" s="491"/>
      <c r="D370" s="37">
        <v>1</v>
      </c>
      <c r="E370" s="37">
        <v>7</v>
      </c>
      <c r="F370" s="38"/>
      <c r="G370" s="37">
        <v>4.5999999999999996</v>
      </c>
      <c r="H370" s="38"/>
      <c r="I370" s="38"/>
      <c r="J370" s="38"/>
      <c r="K370" s="37">
        <f t="shared" si="19"/>
        <v>32.199999999999996</v>
      </c>
      <c r="L370" s="38">
        <f t="shared" si="18"/>
        <v>32.199999999999996</v>
      </c>
    </row>
    <row r="371" spans="1:13">
      <c r="B371" s="490" t="s">
        <v>459</v>
      </c>
      <c r="C371" s="491"/>
      <c r="D371" s="37">
        <v>1</v>
      </c>
      <c r="E371" s="37">
        <v>3.7</v>
      </c>
      <c r="F371" s="38"/>
      <c r="G371" s="37">
        <v>4.2</v>
      </c>
      <c r="H371" s="38"/>
      <c r="I371" s="38"/>
      <c r="J371" s="38"/>
      <c r="K371" s="37">
        <f t="shared" si="19"/>
        <v>15.540000000000001</v>
      </c>
      <c r="L371" s="38">
        <f t="shared" si="18"/>
        <v>15.540000000000001</v>
      </c>
    </row>
    <row r="372" spans="1:13">
      <c r="B372" s="490" t="s">
        <v>448</v>
      </c>
      <c r="C372" s="491"/>
      <c r="D372" s="37">
        <v>1</v>
      </c>
      <c r="E372" s="37">
        <v>34.700000000000003</v>
      </c>
      <c r="F372" s="38"/>
      <c r="G372" s="37">
        <v>1.9</v>
      </c>
      <c r="H372" s="38"/>
      <c r="I372" s="38"/>
      <c r="J372" s="38"/>
      <c r="K372" s="37">
        <f t="shared" si="19"/>
        <v>65.930000000000007</v>
      </c>
      <c r="L372" s="38">
        <f t="shared" si="18"/>
        <v>65.930000000000007</v>
      </c>
    </row>
    <row r="373" spans="1:13">
      <c r="B373" s="490" t="s">
        <v>461</v>
      </c>
      <c r="C373" s="491"/>
      <c r="D373" s="37">
        <v>1</v>
      </c>
      <c r="E373" s="37">
        <v>3.5</v>
      </c>
      <c r="F373" s="38"/>
      <c r="G373" s="37">
        <v>2.7</v>
      </c>
      <c r="H373" s="38"/>
      <c r="I373" s="38"/>
      <c r="J373" s="38"/>
      <c r="K373" s="37">
        <f t="shared" si="19"/>
        <v>9.4500000000000011</v>
      </c>
      <c r="L373" s="38">
        <f t="shared" si="18"/>
        <v>9.4500000000000011</v>
      </c>
    </row>
    <row r="374" spans="1:13">
      <c r="B374" s="490" t="s">
        <v>447</v>
      </c>
      <c r="C374" s="491"/>
      <c r="D374" s="37">
        <v>1</v>
      </c>
      <c r="E374" s="37">
        <v>3.4</v>
      </c>
      <c r="F374" s="38">
        <v>2.2000000000000002</v>
      </c>
      <c r="G374" s="37">
        <v>3.1</v>
      </c>
      <c r="H374" s="38">
        <v>1</v>
      </c>
      <c r="I374" s="38"/>
      <c r="J374" s="38"/>
      <c r="K374" s="37">
        <f t="shared" si="19"/>
        <v>12.739999999999998</v>
      </c>
      <c r="L374" s="38">
        <f t="shared" si="18"/>
        <v>12.739999999999998</v>
      </c>
    </row>
    <row r="375" spans="1:13">
      <c r="B375" s="490" t="s">
        <v>451</v>
      </c>
      <c r="C375" s="491"/>
      <c r="D375" s="37">
        <v>1</v>
      </c>
      <c r="E375" s="37">
        <v>2.2000000000000002</v>
      </c>
      <c r="F375" s="38"/>
      <c r="G375" s="37">
        <v>1</v>
      </c>
      <c r="H375" s="38"/>
      <c r="I375" s="38"/>
      <c r="J375" s="38"/>
      <c r="K375" s="37">
        <f t="shared" si="19"/>
        <v>2.2000000000000002</v>
      </c>
      <c r="L375" s="38">
        <f t="shared" si="18"/>
        <v>2.2000000000000002</v>
      </c>
    </row>
    <row r="376" spans="1:13">
      <c r="B376" s="490" t="s">
        <v>451</v>
      </c>
      <c r="C376" s="491"/>
      <c r="D376" s="37">
        <v>1</v>
      </c>
      <c r="E376" s="37">
        <v>5.9</v>
      </c>
      <c r="F376" s="38"/>
      <c r="G376" s="37">
        <v>4.5</v>
      </c>
      <c r="H376" s="38"/>
      <c r="I376" s="38"/>
      <c r="J376" s="38"/>
      <c r="K376" s="37">
        <f t="shared" si="19"/>
        <v>26.55</v>
      </c>
      <c r="L376" s="38">
        <f t="shared" si="18"/>
        <v>26.55</v>
      </c>
    </row>
    <row r="377" spans="1:13">
      <c r="B377" s="490" t="s">
        <v>437</v>
      </c>
      <c r="C377" s="491"/>
      <c r="D377" s="37">
        <v>1</v>
      </c>
      <c r="E377" s="37">
        <v>15</v>
      </c>
      <c r="F377" s="38"/>
      <c r="G377" s="37">
        <v>6.6</v>
      </c>
      <c r="H377" s="38"/>
      <c r="I377" s="38"/>
      <c r="J377" s="38"/>
      <c r="K377" s="37">
        <f t="shared" si="19"/>
        <v>99</v>
      </c>
      <c r="L377" s="38">
        <f t="shared" si="18"/>
        <v>99</v>
      </c>
    </row>
    <row r="378" spans="1:13">
      <c r="B378" s="41"/>
      <c r="C378" s="41"/>
      <c r="D378" s="41"/>
      <c r="E378" s="41"/>
      <c r="F378" s="42"/>
      <c r="G378" s="41"/>
      <c r="H378" s="42"/>
      <c r="I378" s="42"/>
      <c r="J378" s="42"/>
      <c r="K378" s="41"/>
      <c r="L378" s="42"/>
    </row>
    <row r="379" spans="1:13" ht="15.75" thickBot="1"/>
    <row r="380" spans="1:13" ht="15.75" thickBot="1">
      <c r="A380" s="79" t="s">
        <v>128</v>
      </c>
      <c r="B380" s="488" t="str">
        <f>BM_15!B131</f>
        <v>CAIXA ENTERRADA HIDRÁULICA RETANGULAR EM ALVENARIA COM TIJOLOS CERÂMICOS MACIÇOS, DIMENSÕES INTERNAS: 0,6X0,6X0,6 M PARA REDE DE ESGOTO. AF_12/2020</v>
      </c>
      <c r="C380" s="489"/>
      <c r="D380" s="489"/>
      <c r="E380" s="489"/>
      <c r="F380" s="489"/>
      <c r="G380" s="489"/>
      <c r="H380" s="489"/>
      <c r="I380" s="489"/>
      <c r="J380" s="489"/>
      <c r="K380" s="489"/>
      <c r="L380" s="35"/>
      <c r="M380" s="80"/>
    </row>
    <row r="381" spans="1:13" ht="15.75" thickBot="1">
      <c r="A381" s="70" t="str">
        <f>BM_15!A132</f>
        <v>9.1.18</v>
      </c>
      <c r="B381" s="486" t="str">
        <f>BM_15!B132</f>
        <v>TUBO PVC, SERIE NORMAL, ESGOTO PREDIAL, DN 150 MM, FORNECIDO E INSTALADO EM SUBCOLETOR AÉREO DE ESGOTO SANITÁRIO. AF_12/2014</v>
      </c>
      <c r="C381" s="487"/>
      <c r="D381" s="487"/>
      <c r="E381" s="487"/>
      <c r="F381" s="487"/>
      <c r="G381" s="487"/>
      <c r="H381" s="487"/>
      <c r="I381" s="487"/>
      <c r="J381" s="487"/>
      <c r="K381" s="487"/>
      <c r="L381" s="52"/>
      <c r="M381" s="36"/>
    </row>
    <row r="383" spans="1:13">
      <c r="B383" s="482" t="s">
        <v>463</v>
      </c>
      <c r="C383" s="482"/>
      <c r="L383" s="43">
        <v>23</v>
      </c>
    </row>
    <row r="384" spans="1:13" ht="15.75" thickBot="1"/>
    <row r="385" spans="1:13" ht="15.75" thickBot="1">
      <c r="A385" s="70" t="str">
        <f>BM_15!A133</f>
        <v>9.1.19</v>
      </c>
      <c r="B385" s="486" t="str">
        <f>BM_15!B133</f>
        <v>TUBO PVC, SERIE NORMAL, ESGOTO PREDIAL, DN 75 MM, FORNECIDO E INSTALADO EM RAMAL DE DESCARGA OU RAMAL DE ESGOTO SANITÁRIO. AF_12/2014</v>
      </c>
      <c r="C385" s="487"/>
      <c r="D385" s="487"/>
      <c r="E385" s="487"/>
      <c r="F385" s="487"/>
      <c r="G385" s="487"/>
      <c r="H385" s="487"/>
      <c r="I385" s="487"/>
      <c r="J385" s="487"/>
      <c r="K385" s="487"/>
      <c r="L385" s="52"/>
      <c r="M385" s="36"/>
    </row>
    <row r="387" spans="1:13">
      <c r="B387" s="482" t="s">
        <v>463</v>
      </c>
      <c r="C387" s="482"/>
      <c r="L387" s="43">
        <v>166</v>
      </c>
    </row>
    <row r="388" spans="1:13" ht="15.75" thickBot="1"/>
    <row r="389" spans="1:13" ht="24.6" customHeight="1" thickBot="1">
      <c r="A389" s="70" t="str">
        <f>BM_15!A134</f>
        <v>9.1.20</v>
      </c>
      <c r="B389" s="486" t="str">
        <f>BM_15!B134</f>
        <v>Caixa sifonada em pvc, 150 x150 x50 mm, com tampa cega, acabamento branco, akros ou similar.</v>
      </c>
      <c r="C389" s="487"/>
      <c r="D389" s="487"/>
      <c r="E389" s="487"/>
      <c r="F389" s="487"/>
      <c r="G389" s="487"/>
      <c r="H389" s="487"/>
      <c r="I389" s="487"/>
      <c r="J389" s="487"/>
      <c r="K389" s="487"/>
      <c r="L389" s="52"/>
      <c r="M389" s="36"/>
    </row>
    <row r="390" spans="1:13">
      <c r="L390" s="85">
        <f>SUM(L391:L415)</f>
        <v>231.9</v>
      </c>
    </row>
    <row r="391" spans="1:13" ht="23.45" customHeight="1">
      <c r="B391" s="482" t="s">
        <v>464</v>
      </c>
      <c r="C391" s="482"/>
      <c r="D391" s="44">
        <v>1</v>
      </c>
      <c r="E391" s="44">
        <v>7.8</v>
      </c>
      <c r="F391" s="44"/>
      <c r="G391" s="44"/>
      <c r="H391" s="44"/>
      <c r="I391" s="44"/>
      <c r="J391" s="44"/>
      <c r="K391" s="44"/>
      <c r="L391" s="44">
        <f>D391*E391</f>
        <v>7.8</v>
      </c>
    </row>
    <row r="392" spans="1:13">
      <c r="B392" s="482" t="s">
        <v>438</v>
      </c>
      <c r="C392" s="482"/>
      <c r="D392" s="44">
        <v>1</v>
      </c>
      <c r="E392" s="44">
        <v>6.5</v>
      </c>
      <c r="F392" s="44"/>
      <c r="G392" s="44"/>
      <c r="H392" s="44"/>
      <c r="I392" s="44"/>
      <c r="J392" s="44"/>
      <c r="K392" s="44"/>
      <c r="L392" s="44">
        <f t="shared" ref="L392:L415" si="20">D392*E392</f>
        <v>6.5</v>
      </c>
    </row>
    <row r="393" spans="1:13">
      <c r="B393" s="482" t="s">
        <v>436</v>
      </c>
      <c r="C393" s="482"/>
      <c r="D393" s="44">
        <v>1</v>
      </c>
      <c r="E393" s="44">
        <v>13.3</v>
      </c>
      <c r="F393" s="44"/>
      <c r="G393" s="44"/>
      <c r="H393" s="44"/>
      <c r="I393" s="44"/>
      <c r="J393" s="44"/>
      <c r="K393" s="44"/>
      <c r="L393" s="44">
        <f t="shared" si="20"/>
        <v>13.3</v>
      </c>
    </row>
    <row r="394" spans="1:13">
      <c r="B394" s="482" t="s">
        <v>465</v>
      </c>
      <c r="C394" s="482"/>
      <c r="D394" s="44">
        <v>1</v>
      </c>
      <c r="E394" s="44">
        <v>13.3</v>
      </c>
      <c r="F394" s="44"/>
      <c r="G394" s="44"/>
      <c r="H394" s="44"/>
      <c r="I394" s="44"/>
      <c r="J394" s="44"/>
      <c r="K394" s="44"/>
      <c r="L394" s="44">
        <f t="shared" si="20"/>
        <v>13.3</v>
      </c>
    </row>
    <row r="395" spans="1:13">
      <c r="B395" s="482" t="s">
        <v>476</v>
      </c>
      <c r="C395" s="482"/>
      <c r="D395" s="44">
        <v>1</v>
      </c>
      <c r="E395" s="44"/>
      <c r="F395" s="44"/>
      <c r="G395" s="44"/>
      <c r="H395" s="44"/>
      <c r="I395" s="44"/>
      <c r="J395" s="44"/>
      <c r="K395" s="44"/>
      <c r="L395" s="44">
        <f t="shared" si="20"/>
        <v>0</v>
      </c>
    </row>
    <row r="396" spans="1:13">
      <c r="B396" s="482" t="s">
        <v>466</v>
      </c>
      <c r="C396" s="482"/>
      <c r="D396" s="44">
        <v>1</v>
      </c>
      <c r="E396" s="44"/>
      <c r="F396" s="44"/>
      <c r="G396" s="44"/>
      <c r="H396" s="44"/>
      <c r="I396" s="44"/>
      <c r="J396" s="44"/>
      <c r="K396" s="44"/>
      <c r="L396" s="44">
        <f t="shared" si="20"/>
        <v>0</v>
      </c>
    </row>
    <row r="397" spans="1:13">
      <c r="B397" s="482" t="s">
        <v>467</v>
      </c>
      <c r="C397" s="482"/>
      <c r="D397" s="44">
        <v>1</v>
      </c>
      <c r="E397" s="44">
        <v>2.1</v>
      </c>
      <c r="F397" s="44"/>
      <c r="G397" s="44"/>
      <c r="H397" s="44"/>
      <c r="I397" s="44"/>
      <c r="J397" s="44"/>
      <c r="K397" s="44"/>
      <c r="L397" s="44">
        <f t="shared" si="20"/>
        <v>2.1</v>
      </c>
    </row>
    <row r="398" spans="1:13">
      <c r="B398" s="482" t="s">
        <v>468</v>
      </c>
      <c r="C398" s="482"/>
      <c r="D398" s="44">
        <v>1</v>
      </c>
      <c r="E398" s="44">
        <v>6.8</v>
      </c>
      <c r="F398" s="44"/>
      <c r="G398" s="44"/>
      <c r="H398" s="44"/>
      <c r="I398" s="44"/>
      <c r="J398" s="44"/>
      <c r="K398" s="44"/>
      <c r="L398" s="44">
        <f t="shared" si="20"/>
        <v>6.8</v>
      </c>
    </row>
    <row r="399" spans="1:13">
      <c r="B399" s="482" t="s">
        <v>469</v>
      </c>
      <c r="C399" s="482"/>
      <c r="D399" s="44">
        <v>1</v>
      </c>
      <c r="E399" s="44">
        <v>3.6</v>
      </c>
      <c r="F399" s="44"/>
      <c r="G399" s="44"/>
      <c r="H399" s="44"/>
      <c r="I399" s="44"/>
      <c r="J399" s="44"/>
      <c r="K399" s="44"/>
      <c r="L399" s="44">
        <f t="shared" si="20"/>
        <v>3.6</v>
      </c>
    </row>
    <row r="400" spans="1:13">
      <c r="B400" s="482" t="s">
        <v>467</v>
      </c>
      <c r="C400" s="482"/>
      <c r="D400" s="44">
        <v>1</v>
      </c>
      <c r="E400" s="44">
        <v>2.6</v>
      </c>
      <c r="F400" s="44"/>
      <c r="G400" s="44"/>
      <c r="H400" s="44"/>
      <c r="I400" s="44"/>
      <c r="J400" s="44"/>
      <c r="K400" s="44"/>
      <c r="L400" s="44">
        <f t="shared" si="20"/>
        <v>2.6</v>
      </c>
    </row>
    <row r="401" spans="2:12">
      <c r="B401" s="482" t="s">
        <v>444</v>
      </c>
      <c r="C401" s="482"/>
      <c r="D401" s="44">
        <v>1</v>
      </c>
      <c r="E401" s="44">
        <v>2.2999999999999998</v>
      </c>
      <c r="F401" s="44"/>
      <c r="G401" s="44"/>
      <c r="H401" s="44"/>
      <c r="I401" s="44"/>
      <c r="J401" s="44"/>
      <c r="K401" s="44"/>
      <c r="L401" s="44">
        <f t="shared" si="20"/>
        <v>2.2999999999999998</v>
      </c>
    </row>
    <row r="402" spans="2:12">
      <c r="B402" s="482" t="s">
        <v>470</v>
      </c>
      <c r="C402" s="482"/>
      <c r="D402" s="44">
        <v>1</v>
      </c>
      <c r="E402" s="44">
        <v>11</v>
      </c>
      <c r="F402" s="44"/>
      <c r="G402" s="44"/>
      <c r="H402" s="44"/>
      <c r="I402" s="44"/>
      <c r="J402" s="44"/>
      <c r="K402" s="44"/>
      <c r="L402" s="44">
        <f t="shared" si="20"/>
        <v>11</v>
      </c>
    </row>
    <row r="403" spans="2:12">
      <c r="B403" s="482" t="s">
        <v>477</v>
      </c>
      <c r="C403" s="482"/>
      <c r="D403" s="44">
        <v>1</v>
      </c>
      <c r="E403" s="44">
        <v>22</v>
      </c>
      <c r="F403" s="44"/>
      <c r="G403" s="44"/>
      <c r="H403" s="44"/>
      <c r="I403" s="44"/>
      <c r="J403" s="44"/>
      <c r="K403" s="44"/>
      <c r="L403" s="44">
        <f t="shared" si="20"/>
        <v>22</v>
      </c>
    </row>
    <row r="404" spans="2:12">
      <c r="B404" s="482" t="s">
        <v>471</v>
      </c>
      <c r="C404" s="482"/>
      <c r="D404" s="44">
        <v>1</v>
      </c>
      <c r="E404" s="44">
        <v>4</v>
      </c>
      <c r="F404" s="44"/>
      <c r="G404" s="44"/>
      <c r="H404" s="44"/>
      <c r="I404" s="44"/>
      <c r="J404" s="44"/>
      <c r="K404" s="44"/>
      <c r="L404" s="44">
        <f t="shared" si="20"/>
        <v>4</v>
      </c>
    </row>
    <row r="405" spans="2:12">
      <c r="B405" s="482" t="s">
        <v>440</v>
      </c>
      <c r="C405" s="482"/>
      <c r="D405" s="44">
        <v>1</v>
      </c>
      <c r="E405" s="44">
        <v>16</v>
      </c>
      <c r="F405" s="44"/>
      <c r="G405" s="44"/>
      <c r="H405" s="44"/>
      <c r="I405" s="44"/>
      <c r="J405" s="44"/>
      <c r="K405" s="44"/>
      <c r="L405" s="44">
        <f t="shared" si="20"/>
        <v>16</v>
      </c>
    </row>
    <row r="406" spans="2:12">
      <c r="B406" s="482" t="s">
        <v>472</v>
      </c>
      <c r="C406" s="482"/>
      <c r="D406" s="44">
        <v>1</v>
      </c>
      <c r="E406" s="44">
        <v>4.5</v>
      </c>
      <c r="F406" s="44"/>
      <c r="G406" s="44"/>
      <c r="H406" s="44"/>
      <c r="I406" s="44"/>
      <c r="J406" s="44"/>
      <c r="K406" s="44"/>
      <c r="L406" s="44">
        <f t="shared" si="20"/>
        <v>4.5</v>
      </c>
    </row>
    <row r="407" spans="2:12">
      <c r="B407" s="482" t="s">
        <v>445</v>
      </c>
      <c r="C407" s="482"/>
      <c r="D407" s="44">
        <v>1</v>
      </c>
      <c r="E407" s="44">
        <v>4</v>
      </c>
      <c r="F407" s="44"/>
      <c r="G407" s="44"/>
      <c r="H407" s="44"/>
      <c r="I407" s="44"/>
      <c r="J407" s="44"/>
      <c r="K407" s="44"/>
      <c r="L407" s="44">
        <f t="shared" si="20"/>
        <v>4</v>
      </c>
    </row>
    <row r="408" spans="2:12">
      <c r="B408" s="482" t="s">
        <v>473</v>
      </c>
      <c r="C408" s="482"/>
      <c r="D408" s="44">
        <v>1</v>
      </c>
      <c r="E408" s="44">
        <v>8.5</v>
      </c>
      <c r="F408" s="44"/>
      <c r="G408" s="44"/>
      <c r="H408" s="44"/>
      <c r="I408" s="44"/>
      <c r="J408" s="44"/>
      <c r="K408" s="44"/>
      <c r="L408" s="44">
        <f t="shared" si="20"/>
        <v>8.5</v>
      </c>
    </row>
    <row r="409" spans="2:12">
      <c r="B409" s="482" t="s">
        <v>449</v>
      </c>
      <c r="C409" s="482"/>
      <c r="D409" s="44">
        <v>1</v>
      </c>
      <c r="E409" s="44">
        <v>5.6</v>
      </c>
      <c r="F409" s="44"/>
      <c r="G409" s="44"/>
      <c r="H409" s="44"/>
      <c r="I409" s="44"/>
      <c r="J409" s="44"/>
      <c r="K409" s="44"/>
      <c r="L409" s="44">
        <f t="shared" si="20"/>
        <v>5.6</v>
      </c>
    </row>
    <row r="410" spans="2:12">
      <c r="B410" s="482" t="s">
        <v>478</v>
      </c>
      <c r="C410" s="482"/>
      <c r="D410" s="44">
        <v>1</v>
      </c>
      <c r="E410" s="44">
        <v>13</v>
      </c>
      <c r="F410" s="44"/>
      <c r="G410" s="44"/>
      <c r="H410" s="44"/>
      <c r="I410" s="44"/>
      <c r="J410" s="44"/>
      <c r="K410" s="44"/>
      <c r="L410" s="44">
        <f t="shared" si="20"/>
        <v>13</v>
      </c>
    </row>
    <row r="411" spans="2:12">
      <c r="B411" s="482" t="s">
        <v>452</v>
      </c>
      <c r="C411" s="482"/>
      <c r="D411" s="44">
        <v>1</v>
      </c>
      <c r="E411" s="44">
        <v>28</v>
      </c>
      <c r="F411" s="44"/>
      <c r="G411" s="44"/>
      <c r="H411" s="44"/>
      <c r="I411" s="44"/>
      <c r="J411" s="44"/>
      <c r="K411" s="44"/>
      <c r="L411" s="44">
        <f t="shared" si="20"/>
        <v>28</v>
      </c>
    </row>
    <row r="412" spans="2:12">
      <c r="B412" s="482" t="s">
        <v>474</v>
      </c>
      <c r="C412" s="482"/>
      <c r="D412" s="44">
        <v>1</v>
      </c>
      <c r="E412" s="44">
        <v>29</v>
      </c>
      <c r="F412" s="44"/>
      <c r="G412" s="44"/>
      <c r="H412" s="44"/>
      <c r="I412" s="44"/>
      <c r="J412" s="44"/>
      <c r="K412" s="44"/>
      <c r="L412" s="44">
        <f t="shared" si="20"/>
        <v>29</v>
      </c>
    </row>
    <row r="413" spans="2:12">
      <c r="B413" s="482" t="s">
        <v>475</v>
      </c>
      <c r="C413" s="482"/>
      <c r="D413" s="44">
        <v>1</v>
      </c>
      <c r="E413" s="44">
        <v>13</v>
      </c>
      <c r="F413" s="44"/>
      <c r="G413" s="44"/>
      <c r="H413" s="44"/>
      <c r="I413" s="44"/>
      <c r="J413" s="44"/>
      <c r="K413" s="44"/>
      <c r="L413" s="44">
        <f t="shared" si="20"/>
        <v>13</v>
      </c>
    </row>
    <row r="414" spans="2:12">
      <c r="B414" s="482" t="s">
        <v>468</v>
      </c>
      <c r="C414" s="482"/>
      <c r="D414" s="44">
        <v>1</v>
      </c>
      <c r="E414" s="44">
        <v>11</v>
      </c>
      <c r="F414" s="44"/>
      <c r="G414" s="44"/>
      <c r="H414" s="44"/>
      <c r="I414" s="44"/>
      <c r="J414" s="44"/>
      <c r="K414" s="44"/>
      <c r="L414" s="44">
        <f t="shared" si="20"/>
        <v>11</v>
      </c>
    </row>
    <row r="415" spans="2:12">
      <c r="B415" s="482" t="s">
        <v>469</v>
      </c>
      <c r="C415" s="482"/>
      <c r="D415" s="44">
        <v>1</v>
      </c>
      <c r="E415" s="44">
        <v>4</v>
      </c>
      <c r="F415" s="44"/>
      <c r="G415" s="44"/>
      <c r="H415" s="44"/>
      <c r="I415" s="44"/>
      <c r="J415" s="44"/>
      <c r="K415" s="44"/>
      <c r="L415" s="44">
        <f t="shared" si="20"/>
        <v>4</v>
      </c>
    </row>
    <row r="416" spans="2:12" ht="15.75" thickBot="1">
      <c r="B416" s="482"/>
      <c r="C416" s="482"/>
    </row>
    <row r="417" spans="1:13" ht="15.75" thickBot="1">
      <c r="A417" s="70" t="str">
        <f>BM_15!A135</f>
        <v>9.1.21</v>
      </c>
      <c r="B417" s="486" t="str">
        <f>BM_15!B135</f>
        <v>JOELHO 45 GRAUS, PVC, SERIE NORMAL, ESGOTO PREDIAL, DN 75 MM, JUNTA ELÁSTICA, FORNECIDO E INSTALADO EM RAMAL DE DESCARGA OU RAMAL DE ESGOTO SANITÁRIO. AF_12/2014</v>
      </c>
      <c r="C417" s="487"/>
      <c r="D417" s="487"/>
      <c r="E417" s="487"/>
      <c r="F417" s="487"/>
      <c r="G417" s="487"/>
      <c r="H417" s="487"/>
      <c r="I417" s="487"/>
      <c r="J417" s="487"/>
      <c r="K417" s="487"/>
      <c r="L417" s="52"/>
      <c r="M417" s="36"/>
    </row>
    <row r="418" spans="1:13">
      <c r="B418" s="482"/>
      <c r="C418" s="482"/>
      <c r="L418" s="45">
        <f>SUM(L419:L438)</f>
        <v>22</v>
      </c>
    </row>
    <row r="419" spans="1:13">
      <c r="B419" s="482" t="s">
        <v>464</v>
      </c>
      <c r="C419" s="482"/>
      <c r="D419" s="44">
        <v>1</v>
      </c>
      <c r="E419" s="44">
        <v>1</v>
      </c>
      <c r="L419" s="81">
        <f>E419*D419</f>
        <v>1</v>
      </c>
    </row>
    <row r="420" spans="1:13">
      <c r="B420" s="482" t="s">
        <v>436</v>
      </c>
      <c r="C420" s="482"/>
      <c r="D420" s="44">
        <v>1</v>
      </c>
      <c r="E420" s="44">
        <v>2</v>
      </c>
      <c r="L420" s="81">
        <f t="shared" ref="L420:L438" si="21">E420*D420</f>
        <v>2</v>
      </c>
    </row>
    <row r="421" spans="1:13">
      <c r="B421" s="482" t="s">
        <v>465</v>
      </c>
      <c r="C421" s="482"/>
      <c r="D421" s="44">
        <v>1</v>
      </c>
      <c r="E421" s="44">
        <v>2</v>
      </c>
      <c r="L421" s="81">
        <f t="shared" si="21"/>
        <v>2</v>
      </c>
    </row>
    <row r="422" spans="1:13">
      <c r="B422" s="482" t="s">
        <v>468</v>
      </c>
      <c r="C422" s="482"/>
      <c r="D422" s="44">
        <v>1</v>
      </c>
      <c r="E422" s="44">
        <v>1</v>
      </c>
      <c r="L422" s="81">
        <f t="shared" si="21"/>
        <v>1</v>
      </c>
    </row>
    <row r="423" spans="1:13">
      <c r="B423" s="482" t="s">
        <v>467</v>
      </c>
      <c r="C423" s="482"/>
      <c r="D423" s="44">
        <v>1</v>
      </c>
      <c r="E423" s="44">
        <v>1</v>
      </c>
      <c r="L423" s="81">
        <f t="shared" si="21"/>
        <v>1</v>
      </c>
    </row>
    <row r="424" spans="1:13">
      <c r="B424" s="482" t="s">
        <v>444</v>
      </c>
      <c r="C424" s="482"/>
      <c r="D424" s="44">
        <v>1</v>
      </c>
      <c r="E424" s="44">
        <v>1</v>
      </c>
      <c r="L424" s="81">
        <f t="shared" si="21"/>
        <v>1</v>
      </c>
    </row>
    <row r="425" spans="1:13" ht="21" customHeight="1">
      <c r="B425" s="482" t="s">
        <v>470</v>
      </c>
      <c r="C425" s="482"/>
      <c r="D425" s="44">
        <v>1</v>
      </c>
      <c r="E425" s="44">
        <v>1</v>
      </c>
      <c r="L425" s="81">
        <f t="shared" si="21"/>
        <v>1</v>
      </c>
    </row>
    <row r="426" spans="1:13">
      <c r="B426" s="482" t="s">
        <v>477</v>
      </c>
      <c r="C426" s="482"/>
      <c r="D426" s="44">
        <v>1</v>
      </c>
      <c r="E426" s="44">
        <v>1</v>
      </c>
      <c r="L426" s="81">
        <f t="shared" si="21"/>
        <v>1</v>
      </c>
    </row>
    <row r="427" spans="1:13">
      <c r="B427" s="482" t="s">
        <v>471</v>
      </c>
      <c r="C427" s="482"/>
      <c r="D427" s="44">
        <v>1</v>
      </c>
      <c r="E427" s="44">
        <v>1</v>
      </c>
      <c r="L427" s="81">
        <f t="shared" si="21"/>
        <v>1</v>
      </c>
    </row>
    <row r="428" spans="1:13">
      <c r="B428" s="482" t="s">
        <v>440</v>
      </c>
      <c r="C428" s="482"/>
      <c r="D428" s="44">
        <v>1</v>
      </c>
      <c r="E428" s="44">
        <v>1</v>
      </c>
      <c r="L428" s="81">
        <f t="shared" si="21"/>
        <v>1</v>
      </c>
    </row>
    <row r="429" spans="1:13">
      <c r="B429" s="482" t="s">
        <v>472</v>
      </c>
      <c r="C429" s="482"/>
      <c r="D429" s="44">
        <v>1</v>
      </c>
      <c r="E429" s="44">
        <v>1</v>
      </c>
      <c r="L429" s="81">
        <f t="shared" si="21"/>
        <v>1</v>
      </c>
    </row>
    <row r="430" spans="1:13">
      <c r="B430" s="482" t="s">
        <v>445</v>
      </c>
      <c r="C430" s="482"/>
      <c r="D430" s="44">
        <v>1</v>
      </c>
      <c r="E430" s="44">
        <v>1</v>
      </c>
      <c r="L430" s="81">
        <f t="shared" si="21"/>
        <v>1</v>
      </c>
    </row>
    <row r="431" spans="1:13">
      <c r="B431" s="482" t="s">
        <v>473</v>
      </c>
      <c r="C431" s="482"/>
      <c r="D431" s="44">
        <v>1</v>
      </c>
      <c r="E431" s="44">
        <v>1</v>
      </c>
      <c r="L431" s="81">
        <f t="shared" si="21"/>
        <v>1</v>
      </c>
    </row>
    <row r="432" spans="1:13">
      <c r="B432" s="482" t="s">
        <v>449</v>
      </c>
      <c r="C432" s="482"/>
      <c r="D432" s="44">
        <v>1</v>
      </c>
      <c r="E432" s="44">
        <v>1</v>
      </c>
      <c r="L432" s="81">
        <f t="shared" si="21"/>
        <v>1</v>
      </c>
    </row>
    <row r="433" spans="1:13">
      <c r="B433" s="482" t="s">
        <v>478</v>
      </c>
      <c r="C433" s="482"/>
      <c r="D433" s="44">
        <v>1</v>
      </c>
      <c r="E433" s="44">
        <v>1</v>
      </c>
      <c r="L433" s="81">
        <f t="shared" si="21"/>
        <v>1</v>
      </c>
    </row>
    <row r="434" spans="1:13">
      <c r="B434" s="482" t="s">
        <v>452</v>
      </c>
      <c r="C434" s="482"/>
      <c r="D434" s="44">
        <v>1</v>
      </c>
      <c r="E434" s="44">
        <v>1</v>
      </c>
      <c r="L434" s="81">
        <f t="shared" si="21"/>
        <v>1</v>
      </c>
    </row>
    <row r="435" spans="1:13">
      <c r="B435" s="482" t="s">
        <v>474</v>
      </c>
      <c r="C435" s="482"/>
      <c r="D435" s="44">
        <v>1</v>
      </c>
      <c r="E435" s="44">
        <v>1</v>
      </c>
      <c r="L435" s="81">
        <f t="shared" si="21"/>
        <v>1</v>
      </c>
    </row>
    <row r="436" spans="1:13">
      <c r="B436" s="482" t="s">
        <v>475</v>
      </c>
      <c r="C436" s="482"/>
      <c r="D436" s="44">
        <v>1</v>
      </c>
      <c r="E436" s="44">
        <v>1</v>
      </c>
      <c r="L436" s="81">
        <f t="shared" si="21"/>
        <v>1</v>
      </c>
    </row>
    <row r="437" spans="1:13">
      <c r="B437" s="482" t="s">
        <v>468</v>
      </c>
      <c r="C437" s="482"/>
      <c r="D437" s="44">
        <v>1</v>
      </c>
      <c r="E437" s="44">
        <v>1</v>
      </c>
      <c r="L437" s="81">
        <f t="shared" si="21"/>
        <v>1</v>
      </c>
    </row>
    <row r="438" spans="1:13">
      <c r="B438" s="482" t="s">
        <v>469</v>
      </c>
      <c r="C438" s="482"/>
      <c r="D438" s="44">
        <v>1</v>
      </c>
      <c r="E438" s="44">
        <v>1</v>
      </c>
      <c r="L438" s="81">
        <f t="shared" si="21"/>
        <v>1</v>
      </c>
    </row>
    <row r="439" spans="1:13" ht="14.45" customHeight="1" thickBot="1">
      <c r="B439" s="482"/>
      <c r="C439" s="482"/>
    </row>
    <row r="440" spans="1:13" ht="15.75" thickBot="1">
      <c r="A440" s="70" t="str">
        <f>BM_15!A136</f>
        <v>9.1.22</v>
      </c>
      <c r="B440" s="486" t="str">
        <f>BM_15!B136</f>
        <v>JUNÇÃO SIMPLES, PVC, SERIE NORMAL, ESGOTO PREDIAL, DN 50 X 50 MM, JUNTA ELÁSTICA, FORNECIDO E INSTALADO EM RAMAL DE DESCARGA OU RAMAL DE ESGOTO SANITÁRIO. AF_12/2014</v>
      </c>
      <c r="C440" s="487"/>
      <c r="D440" s="487"/>
      <c r="E440" s="487"/>
      <c r="F440" s="487"/>
      <c r="G440" s="487"/>
      <c r="H440" s="487"/>
      <c r="I440" s="487"/>
      <c r="J440" s="487"/>
      <c r="K440" s="487"/>
      <c r="L440" s="52"/>
      <c r="M440" s="36"/>
    </row>
    <row r="441" spans="1:13">
      <c r="B441" s="482"/>
      <c r="C441" s="482"/>
    </row>
    <row r="442" spans="1:13">
      <c r="B442" s="482" t="s">
        <v>463</v>
      </c>
      <c r="C442" s="482"/>
      <c r="L442" s="43">
        <v>1</v>
      </c>
    </row>
    <row r="443" spans="1:13" ht="15.75" thickBot="1">
      <c r="B443" s="482"/>
      <c r="C443" s="482"/>
    </row>
    <row r="444" spans="1:13" ht="15.75" thickBot="1">
      <c r="A444" s="70" t="str">
        <f>BM_15!A137</f>
        <v>9.1.23</v>
      </c>
      <c r="B444" s="486" t="str">
        <f>BM_15!B140</f>
        <v>Caixa de espuma em alvenaria 40x40x50cm - Rer 01.</v>
      </c>
      <c r="C444" s="487"/>
      <c r="D444" s="487"/>
      <c r="E444" s="487"/>
      <c r="F444" s="487"/>
      <c r="G444" s="487"/>
      <c r="H444" s="487"/>
      <c r="I444" s="487"/>
      <c r="J444" s="487"/>
      <c r="K444" s="487"/>
      <c r="L444" s="52"/>
      <c r="M444" s="36"/>
    </row>
    <row r="445" spans="1:13">
      <c r="B445" s="482"/>
      <c r="C445" s="482"/>
    </row>
    <row r="446" spans="1:13">
      <c r="B446" s="482" t="s">
        <v>463</v>
      </c>
      <c r="C446" s="482"/>
      <c r="L446" s="43">
        <v>1</v>
      </c>
    </row>
    <row r="447" spans="1:13" ht="15.75" thickBot="1">
      <c r="B447" s="482"/>
      <c r="C447" s="482"/>
    </row>
    <row r="448" spans="1:13" ht="26.45" customHeight="1" thickBot="1">
      <c r="A448" s="70" t="str">
        <f>BM_15!A138</f>
        <v>9.1.24</v>
      </c>
      <c r="B448" s="486" t="str">
        <f>BM_15!B138</f>
        <v>LUVA SIMPLES, PVC, SERIE NORMAL, ESGOTO PREDIAL, DN 100 MM, JUNTA ELÁSTICA, FORNECIDO E INSTALADO EM RAMAL DE DESCARGA OU RAMAL DE ESGOTO SANITÁRIO. AF_12/2014</v>
      </c>
      <c r="C448" s="487"/>
      <c r="D448" s="487"/>
      <c r="E448" s="487"/>
      <c r="F448" s="487"/>
      <c r="G448" s="487"/>
      <c r="H448" s="487"/>
      <c r="I448" s="487"/>
      <c r="J448" s="487"/>
      <c r="K448" s="487"/>
      <c r="L448" s="52"/>
      <c r="M448" s="36"/>
    </row>
    <row r="449" spans="2:12">
      <c r="B449" s="482"/>
      <c r="C449" s="482"/>
      <c r="L449" s="45">
        <f>SUM(L450:L473)</f>
        <v>67</v>
      </c>
    </row>
    <row r="450" spans="2:12">
      <c r="B450" s="482" t="s">
        <v>464</v>
      </c>
      <c r="C450" s="482"/>
      <c r="D450" s="44">
        <v>1</v>
      </c>
      <c r="E450" s="44">
        <v>2</v>
      </c>
      <c r="L450" s="44">
        <f>D450*E450</f>
        <v>2</v>
      </c>
    </row>
    <row r="451" spans="2:12">
      <c r="B451" s="482" t="s">
        <v>438</v>
      </c>
      <c r="C451" s="482"/>
      <c r="D451" s="44">
        <v>1</v>
      </c>
      <c r="E451" s="44">
        <v>1</v>
      </c>
      <c r="L451" s="44">
        <f t="shared" ref="L451:L473" si="22">D451*E451</f>
        <v>1</v>
      </c>
    </row>
    <row r="452" spans="2:12">
      <c r="B452" s="482" t="s">
        <v>436</v>
      </c>
      <c r="C452" s="482"/>
      <c r="D452" s="44">
        <v>1</v>
      </c>
      <c r="E452" s="44">
        <v>4</v>
      </c>
      <c r="L452" s="44">
        <f t="shared" si="22"/>
        <v>4</v>
      </c>
    </row>
    <row r="453" spans="2:12">
      <c r="B453" s="482" t="s">
        <v>465</v>
      </c>
      <c r="C453" s="482"/>
      <c r="D453" s="44">
        <v>1</v>
      </c>
      <c r="E453" s="44">
        <v>4</v>
      </c>
      <c r="L453" s="44">
        <f t="shared" si="22"/>
        <v>4</v>
      </c>
    </row>
    <row r="454" spans="2:12">
      <c r="B454" s="482" t="s">
        <v>466</v>
      </c>
      <c r="C454" s="482"/>
      <c r="D454" s="44">
        <v>1</v>
      </c>
      <c r="E454" s="44">
        <v>1</v>
      </c>
      <c r="L454" s="44">
        <f t="shared" si="22"/>
        <v>1</v>
      </c>
    </row>
    <row r="455" spans="2:12">
      <c r="B455" s="482" t="s">
        <v>467</v>
      </c>
      <c r="C455" s="482"/>
      <c r="D455" s="44">
        <v>1</v>
      </c>
      <c r="E455" s="44">
        <v>1</v>
      </c>
      <c r="L455" s="44">
        <f t="shared" si="22"/>
        <v>1</v>
      </c>
    </row>
    <row r="456" spans="2:12">
      <c r="B456" s="482" t="s">
        <v>468</v>
      </c>
      <c r="C456" s="482"/>
      <c r="D456" s="44">
        <v>1</v>
      </c>
      <c r="E456" s="44">
        <v>2</v>
      </c>
      <c r="L456" s="44">
        <f t="shared" si="22"/>
        <v>2</v>
      </c>
    </row>
    <row r="457" spans="2:12">
      <c r="B457" s="482" t="s">
        <v>469</v>
      </c>
      <c r="C457" s="482"/>
      <c r="D457" s="44">
        <v>1</v>
      </c>
      <c r="E457" s="44">
        <v>2</v>
      </c>
      <c r="L457" s="44">
        <f t="shared" si="22"/>
        <v>2</v>
      </c>
    </row>
    <row r="458" spans="2:12">
      <c r="B458" s="482" t="s">
        <v>467</v>
      </c>
      <c r="C458" s="482"/>
      <c r="D458" s="44">
        <v>1</v>
      </c>
      <c r="E458" s="44">
        <v>1</v>
      </c>
      <c r="L458" s="44">
        <f t="shared" si="22"/>
        <v>1</v>
      </c>
    </row>
    <row r="459" spans="2:12">
      <c r="B459" s="482" t="s">
        <v>444</v>
      </c>
      <c r="C459" s="482"/>
      <c r="D459" s="44">
        <v>1</v>
      </c>
      <c r="E459" s="44">
        <v>1</v>
      </c>
      <c r="L459" s="44">
        <f t="shared" si="22"/>
        <v>1</v>
      </c>
    </row>
    <row r="460" spans="2:12">
      <c r="B460" s="482" t="s">
        <v>470</v>
      </c>
      <c r="C460" s="482"/>
      <c r="D460" s="44">
        <v>1</v>
      </c>
      <c r="E460" s="44">
        <v>2</v>
      </c>
      <c r="L460" s="44">
        <f t="shared" si="22"/>
        <v>2</v>
      </c>
    </row>
    <row r="461" spans="2:12">
      <c r="B461" s="482" t="s">
        <v>477</v>
      </c>
      <c r="C461" s="482"/>
      <c r="D461" s="44">
        <v>1</v>
      </c>
      <c r="E461" s="44">
        <v>5</v>
      </c>
      <c r="L461" s="44">
        <f t="shared" si="22"/>
        <v>5</v>
      </c>
    </row>
    <row r="462" spans="2:12">
      <c r="B462" s="482" t="s">
        <v>471</v>
      </c>
      <c r="C462" s="482"/>
      <c r="D462" s="44">
        <v>1</v>
      </c>
      <c r="E462" s="44">
        <v>1</v>
      </c>
      <c r="L462" s="44">
        <f t="shared" si="22"/>
        <v>1</v>
      </c>
    </row>
    <row r="463" spans="2:12">
      <c r="B463" s="482" t="s">
        <v>440</v>
      </c>
      <c r="C463" s="482"/>
      <c r="D463" s="44">
        <v>1</v>
      </c>
      <c r="E463" s="44">
        <v>4</v>
      </c>
      <c r="L463" s="44">
        <f t="shared" si="22"/>
        <v>4</v>
      </c>
    </row>
    <row r="464" spans="2:12">
      <c r="B464" s="482" t="s">
        <v>472</v>
      </c>
      <c r="C464" s="482"/>
      <c r="D464" s="44">
        <v>1</v>
      </c>
      <c r="E464" s="44">
        <v>1</v>
      </c>
      <c r="L464" s="44">
        <f t="shared" si="22"/>
        <v>1</v>
      </c>
    </row>
    <row r="465" spans="1:13">
      <c r="B465" s="482" t="s">
        <v>445</v>
      </c>
      <c r="C465" s="482"/>
      <c r="D465" s="44">
        <v>1</v>
      </c>
      <c r="E465" s="44">
        <v>1</v>
      </c>
      <c r="L465" s="44">
        <f t="shared" si="22"/>
        <v>1</v>
      </c>
    </row>
    <row r="466" spans="1:13">
      <c r="B466" s="482" t="s">
        <v>473</v>
      </c>
      <c r="C466" s="482"/>
      <c r="D466" s="44">
        <v>1</v>
      </c>
      <c r="E466" s="44">
        <v>3</v>
      </c>
      <c r="L466" s="44">
        <f t="shared" si="22"/>
        <v>3</v>
      </c>
    </row>
    <row r="467" spans="1:13">
      <c r="B467" s="482" t="s">
        <v>449</v>
      </c>
      <c r="C467" s="482"/>
      <c r="D467" s="44">
        <v>1</v>
      </c>
      <c r="E467" s="44">
        <v>1</v>
      </c>
      <c r="L467" s="44">
        <f t="shared" si="22"/>
        <v>1</v>
      </c>
    </row>
    <row r="468" spans="1:13">
      <c r="B468" s="482" t="s">
        <v>478</v>
      </c>
      <c r="C468" s="482"/>
      <c r="D468" s="44">
        <v>1</v>
      </c>
      <c r="E468" s="44">
        <v>6</v>
      </c>
      <c r="L468" s="44">
        <f t="shared" si="22"/>
        <v>6</v>
      </c>
    </row>
    <row r="469" spans="1:13">
      <c r="B469" s="482" t="s">
        <v>452</v>
      </c>
      <c r="C469" s="482"/>
      <c r="D469" s="44">
        <v>1</v>
      </c>
      <c r="E469" s="44">
        <v>5</v>
      </c>
      <c r="L469" s="44">
        <f t="shared" si="22"/>
        <v>5</v>
      </c>
    </row>
    <row r="470" spans="1:13" ht="25.9" customHeight="1">
      <c r="B470" s="482" t="s">
        <v>474</v>
      </c>
      <c r="C470" s="482"/>
      <c r="D470" s="44">
        <v>1</v>
      </c>
      <c r="E470" s="44">
        <v>6</v>
      </c>
      <c r="L470" s="44">
        <f t="shared" si="22"/>
        <v>6</v>
      </c>
    </row>
    <row r="471" spans="1:13">
      <c r="B471" s="482" t="s">
        <v>475</v>
      </c>
      <c r="C471" s="482"/>
      <c r="D471" s="44">
        <v>1</v>
      </c>
      <c r="E471" s="44">
        <v>5</v>
      </c>
      <c r="L471" s="44">
        <f t="shared" si="22"/>
        <v>5</v>
      </c>
    </row>
    <row r="472" spans="1:13">
      <c r="B472" s="482" t="s">
        <v>468</v>
      </c>
      <c r="C472" s="482"/>
      <c r="D472" s="44">
        <v>1</v>
      </c>
      <c r="E472" s="44">
        <v>5</v>
      </c>
      <c r="L472" s="44">
        <f t="shared" si="22"/>
        <v>5</v>
      </c>
    </row>
    <row r="473" spans="1:13">
      <c r="B473" s="482" t="s">
        <v>469</v>
      </c>
      <c r="C473" s="482"/>
      <c r="D473" s="44">
        <v>1</v>
      </c>
      <c r="E473" s="44">
        <v>3</v>
      </c>
      <c r="L473" s="44">
        <f t="shared" si="22"/>
        <v>3</v>
      </c>
    </row>
    <row r="474" spans="1:13" ht="15.75" thickBot="1">
      <c r="B474" s="482"/>
      <c r="C474" s="482"/>
    </row>
    <row r="475" spans="1:13" ht="14.45" customHeight="1" thickBot="1">
      <c r="A475" s="70" t="str">
        <f>BM_15!A139</f>
        <v>9.1.25</v>
      </c>
      <c r="B475" s="486" t="str">
        <f>BM_15!B139</f>
        <v>LUVA SIMPLES, PVC, SERIE NORMAL, ESGOTO PREDIAL, DN 50 MM, JUNTA ELÁSTICA, FORNECIDO E INSTALADO EM RAMAL DE DESCARGA OU RAMAL DE ESGOTO SANITÁRIO. AF_12/2014</v>
      </c>
      <c r="C475" s="487"/>
      <c r="D475" s="487"/>
      <c r="E475" s="487"/>
      <c r="F475" s="487"/>
      <c r="G475" s="487"/>
      <c r="H475" s="487"/>
      <c r="I475" s="487"/>
      <c r="J475" s="487"/>
      <c r="K475" s="487"/>
      <c r="L475" s="52"/>
      <c r="M475" s="36"/>
    </row>
    <row r="476" spans="1:13">
      <c r="B476" s="482"/>
      <c r="C476" s="482"/>
    </row>
    <row r="477" spans="1:13">
      <c r="B477" s="482" t="s">
        <v>463</v>
      </c>
      <c r="C477" s="482"/>
      <c r="L477" s="43">
        <v>1</v>
      </c>
    </row>
    <row r="478" spans="1:13" ht="15.75" thickBot="1"/>
    <row r="479" spans="1:13" ht="18" customHeight="1" thickBot="1">
      <c r="A479" s="70" t="str">
        <f>BM_15!A140</f>
        <v>9.1.26</v>
      </c>
      <c r="B479" s="486" t="str">
        <f>BM_15!B140</f>
        <v>Caixa de espuma em alvenaria 40x40x50cm - Rer 01.</v>
      </c>
      <c r="C479" s="487"/>
      <c r="D479" s="487"/>
      <c r="E479" s="487"/>
      <c r="F479" s="487"/>
      <c r="G479" s="487"/>
      <c r="H479" s="487"/>
      <c r="I479" s="487"/>
      <c r="J479" s="487"/>
      <c r="K479" s="487"/>
      <c r="L479" s="52"/>
      <c r="M479" s="36"/>
    </row>
    <row r="481" spans="1:13">
      <c r="B481" s="482" t="s">
        <v>463</v>
      </c>
      <c r="C481" s="482"/>
      <c r="L481" s="43">
        <v>4</v>
      </c>
    </row>
    <row r="482" spans="1:13" ht="15.75" thickBot="1"/>
    <row r="483" spans="1:13" ht="15.75" thickBot="1">
      <c r="A483" s="70" t="str">
        <f>BM_15!A141</f>
        <v>9.1.27</v>
      </c>
      <c r="B483" s="486" t="str">
        <f>BM_15!B141</f>
        <v>CAIXA DE GORDURA SIMPLES (CAPACIDADE: 36L), RETANGULAR, EM ALVENARIA COM TIJOLOS CERÂMICOS MACIÇOS, DIMENSÕES INTERNAS = 0,2X0,4 M, ALTURA INTERNA = 0,8 M. AF_12/2020</v>
      </c>
      <c r="C483" s="487"/>
      <c r="D483" s="487"/>
      <c r="E483" s="487"/>
      <c r="F483" s="487"/>
      <c r="G483" s="487"/>
      <c r="H483" s="487"/>
      <c r="I483" s="487"/>
      <c r="J483" s="487"/>
      <c r="K483" s="487"/>
      <c r="L483" s="52"/>
      <c r="M483" s="36"/>
    </row>
    <row r="484" spans="1:13">
      <c r="L484" s="45">
        <f>SUM(L485:L506)</f>
        <v>46</v>
      </c>
    </row>
    <row r="485" spans="1:13">
      <c r="B485" s="482" t="s">
        <v>464</v>
      </c>
      <c r="C485" s="482"/>
      <c r="D485" s="44">
        <v>1</v>
      </c>
      <c r="E485" s="44">
        <v>2</v>
      </c>
      <c r="L485" s="44">
        <f>D485*E485</f>
        <v>2</v>
      </c>
    </row>
    <row r="486" spans="1:13">
      <c r="B486" s="482" t="s">
        <v>438</v>
      </c>
      <c r="C486" s="482"/>
      <c r="D486" s="44">
        <v>1</v>
      </c>
      <c r="E486" s="44">
        <v>1</v>
      </c>
      <c r="L486" s="44">
        <f t="shared" ref="L486:L506" si="23">D486*E486</f>
        <v>1</v>
      </c>
    </row>
    <row r="487" spans="1:13">
      <c r="B487" s="482" t="s">
        <v>436</v>
      </c>
      <c r="C487" s="482"/>
      <c r="D487" s="44">
        <v>1</v>
      </c>
      <c r="E487" s="44">
        <v>3</v>
      </c>
      <c r="L487" s="44">
        <f t="shared" si="23"/>
        <v>3</v>
      </c>
    </row>
    <row r="488" spans="1:13">
      <c r="B488" s="482" t="s">
        <v>465</v>
      </c>
      <c r="C488" s="482"/>
      <c r="D488" s="44">
        <v>1</v>
      </c>
      <c r="E488" s="44">
        <v>3</v>
      </c>
      <c r="L488" s="44">
        <f t="shared" si="23"/>
        <v>3</v>
      </c>
    </row>
    <row r="489" spans="1:13">
      <c r="B489" s="482" t="s">
        <v>468</v>
      </c>
      <c r="C489" s="482"/>
      <c r="D489" s="44">
        <v>1</v>
      </c>
      <c r="E489" s="44">
        <v>1</v>
      </c>
      <c r="L489" s="44">
        <f t="shared" si="23"/>
        <v>1</v>
      </c>
    </row>
    <row r="490" spans="1:13">
      <c r="B490" s="482" t="s">
        <v>469</v>
      </c>
      <c r="C490" s="482"/>
      <c r="D490" s="44">
        <v>1</v>
      </c>
      <c r="E490" s="44">
        <v>1</v>
      </c>
      <c r="L490" s="44">
        <f t="shared" si="23"/>
        <v>1</v>
      </c>
    </row>
    <row r="491" spans="1:13">
      <c r="B491" s="482" t="s">
        <v>467</v>
      </c>
      <c r="C491" s="482"/>
      <c r="D491" s="44">
        <v>1</v>
      </c>
      <c r="E491" s="44">
        <v>1</v>
      </c>
      <c r="L491" s="44">
        <f t="shared" si="23"/>
        <v>1</v>
      </c>
    </row>
    <row r="492" spans="1:13">
      <c r="B492" s="482" t="s">
        <v>444</v>
      </c>
      <c r="C492" s="482"/>
      <c r="D492" s="44">
        <v>1</v>
      </c>
      <c r="E492" s="44">
        <v>1</v>
      </c>
      <c r="L492" s="44">
        <f t="shared" si="23"/>
        <v>1</v>
      </c>
    </row>
    <row r="493" spans="1:13">
      <c r="B493" s="482" t="s">
        <v>470</v>
      </c>
      <c r="C493" s="482"/>
      <c r="D493" s="44">
        <v>1</v>
      </c>
      <c r="E493" s="44">
        <v>2</v>
      </c>
      <c r="L493" s="44">
        <f t="shared" si="23"/>
        <v>2</v>
      </c>
    </row>
    <row r="494" spans="1:13">
      <c r="B494" s="482" t="s">
        <v>477</v>
      </c>
      <c r="C494" s="482"/>
      <c r="D494" s="44">
        <v>1</v>
      </c>
      <c r="E494" s="44">
        <v>3</v>
      </c>
      <c r="L494" s="44">
        <f t="shared" si="23"/>
        <v>3</v>
      </c>
    </row>
    <row r="495" spans="1:13">
      <c r="B495" s="482" t="s">
        <v>471</v>
      </c>
      <c r="C495" s="482"/>
      <c r="D495" s="44">
        <v>1</v>
      </c>
      <c r="E495" s="44">
        <v>1</v>
      </c>
      <c r="L495" s="44">
        <f t="shared" si="23"/>
        <v>1</v>
      </c>
    </row>
    <row r="496" spans="1:13">
      <c r="B496" s="482" t="s">
        <v>440</v>
      </c>
      <c r="C496" s="482"/>
      <c r="D496" s="44">
        <v>1</v>
      </c>
      <c r="E496" s="44">
        <v>2</v>
      </c>
      <c r="L496" s="44">
        <f t="shared" si="23"/>
        <v>2</v>
      </c>
    </row>
    <row r="497" spans="1:13">
      <c r="B497" s="482" t="s">
        <v>472</v>
      </c>
      <c r="C497" s="482"/>
      <c r="D497" s="44">
        <v>1</v>
      </c>
      <c r="E497" s="44">
        <v>1</v>
      </c>
      <c r="L497" s="44">
        <f t="shared" si="23"/>
        <v>1</v>
      </c>
    </row>
    <row r="498" spans="1:13">
      <c r="B498" s="482" t="s">
        <v>445</v>
      </c>
      <c r="C498" s="482"/>
      <c r="D498" s="44">
        <v>1</v>
      </c>
      <c r="E498" s="44">
        <v>1</v>
      </c>
      <c r="L498" s="44">
        <f t="shared" si="23"/>
        <v>1</v>
      </c>
    </row>
    <row r="499" spans="1:13">
      <c r="B499" s="482" t="s">
        <v>473</v>
      </c>
      <c r="C499" s="482"/>
      <c r="D499" s="44">
        <v>1</v>
      </c>
      <c r="E499" s="44">
        <v>2</v>
      </c>
      <c r="L499" s="44">
        <f t="shared" si="23"/>
        <v>2</v>
      </c>
    </row>
    <row r="500" spans="1:13">
      <c r="B500" s="482" t="s">
        <v>449</v>
      </c>
      <c r="C500" s="482"/>
      <c r="D500" s="44">
        <v>1</v>
      </c>
      <c r="E500" s="44">
        <v>1</v>
      </c>
      <c r="L500" s="44">
        <f t="shared" si="23"/>
        <v>1</v>
      </c>
    </row>
    <row r="501" spans="1:13">
      <c r="B501" s="482" t="s">
        <v>478</v>
      </c>
      <c r="C501" s="482"/>
      <c r="D501" s="44">
        <v>1</v>
      </c>
      <c r="E501" s="44">
        <v>4</v>
      </c>
      <c r="L501" s="44">
        <f t="shared" si="23"/>
        <v>4</v>
      </c>
    </row>
    <row r="502" spans="1:13">
      <c r="B502" s="482" t="s">
        <v>452</v>
      </c>
      <c r="C502" s="482"/>
      <c r="D502" s="44">
        <v>1</v>
      </c>
      <c r="E502" s="44">
        <v>4</v>
      </c>
      <c r="L502" s="44">
        <f t="shared" si="23"/>
        <v>4</v>
      </c>
    </row>
    <row r="503" spans="1:13">
      <c r="B503" s="482" t="s">
        <v>474</v>
      </c>
      <c r="C503" s="482"/>
      <c r="D503" s="44">
        <v>1</v>
      </c>
      <c r="E503" s="44">
        <v>4</v>
      </c>
      <c r="L503" s="44">
        <f t="shared" si="23"/>
        <v>4</v>
      </c>
    </row>
    <row r="504" spans="1:13">
      <c r="B504" s="482" t="s">
        <v>475</v>
      </c>
      <c r="C504" s="482"/>
      <c r="D504" s="44">
        <v>1</v>
      </c>
      <c r="E504" s="44">
        <v>3</v>
      </c>
      <c r="L504" s="44">
        <f t="shared" si="23"/>
        <v>3</v>
      </c>
    </row>
    <row r="505" spans="1:13">
      <c r="B505" s="482" t="s">
        <v>468</v>
      </c>
      <c r="C505" s="482"/>
      <c r="D505" s="44">
        <v>1</v>
      </c>
      <c r="E505" s="44">
        <v>3</v>
      </c>
      <c r="L505" s="44">
        <f t="shared" si="23"/>
        <v>3</v>
      </c>
    </row>
    <row r="506" spans="1:13">
      <c r="B506" s="482" t="s">
        <v>469</v>
      </c>
      <c r="C506" s="482"/>
      <c r="D506" s="44">
        <v>1</v>
      </c>
      <c r="E506" s="44">
        <v>2</v>
      </c>
      <c r="L506" s="44">
        <f t="shared" si="23"/>
        <v>2</v>
      </c>
    </row>
    <row r="508" spans="1:13" ht="15.75" thickBot="1"/>
    <row r="509" spans="1:13" ht="24" customHeight="1" thickBot="1">
      <c r="A509" s="70" t="str">
        <f>BM_15!A142</f>
        <v>9.1.28</v>
      </c>
      <c r="B509" s="486" t="str">
        <f>BM_15!B142</f>
        <v>REDUÇÃO EXCÊNTRICA, PVC, SERIE R, ÁGUA PLUVIAL, DN 75 X 50 MM, JUNTA ELÁSTICA, FORNECIDO E INSTALADO EM RAMAL DE ENCAMINHAMENTO. AF_12/2014</v>
      </c>
      <c r="C509" s="487"/>
      <c r="D509" s="487"/>
      <c r="E509" s="487"/>
      <c r="F509" s="487"/>
      <c r="G509" s="487"/>
      <c r="H509" s="487"/>
      <c r="I509" s="487"/>
      <c r="J509" s="487"/>
      <c r="K509" s="487"/>
      <c r="L509" s="52"/>
      <c r="M509" s="36"/>
    </row>
    <row r="511" spans="1:13">
      <c r="B511" s="482" t="s">
        <v>463</v>
      </c>
      <c r="C511" s="482"/>
      <c r="L511" s="43">
        <v>49</v>
      </c>
    </row>
    <row r="512" spans="1:13" ht="15.75" thickBot="1"/>
    <row r="513" spans="1:13" ht="23.45" customHeight="1" thickBot="1">
      <c r="A513" s="70" t="str">
        <f>BM_15!A144</f>
        <v>9.2</v>
      </c>
      <c r="B513" s="486">
        <f>BM_15!B143</f>
        <v>0</v>
      </c>
      <c r="C513" s="487"/>
      <c r="D513" s="487"/>
      <c r="E513" s="487"/>
      <c r="F513" s="487"/>
      <c r="G513" s="487"/>
      <c r="H513" s="487"/>
      <c r="I513" s="487"/>
      <c r="J513" s="487"/>
      <c r="K513" s="487"/>
      <c r="L513" s="52"/>
      <c r="M513" s="36"/>
    </row>
    <row r="515" spans="1:13">
      <c r="B515" s="482" t="s">
        <v>463</v>
      </c>
      <c r="C515" s="482"/>
      <c r="L515" s="86">
        <v>3</v>
      </c>
    </row>
    <row r="516" spans="1:13" ht="15.75" thickBot="1"/>
    <row r="517" spans="1:13" ht="25.15" customHeight="1" thickBot="1">
      <c r="A517" s="70" t="str">
        <f>BM_15!A145</f>
        <v>9.2.1</v>
      </c>
      <c r="B517" s="486" t="str">
        <f>BM_15!B145</f>
        <v>TUBO, PVC, SOLDÁVEL, DN 60MM, INSTALADO EM PRUMADA DE ÁGUA - FORNECIMENTO E INSTALAÇÃO. AF_12/2014</v>
      </c>
      <c r="C517" s="487"/>
      <c r="D517" s="487"/>
      <c r="E517" s="487"/>
      <c r="F517" s="487"/>
      <c r="G517" s="487"/>
      <c r="H517" s="487"/>
      <c r="I517" s="487"/>
      <c r="J517" s="487"/>
      <c r="K517" s="487"/>
      <c r="L517" s="52"/>
      <c r="M517" s="36"/>
    </row>
    <row r="518" spans="1:13">
      <c r="B518" s="482"/>
      <c r="C518" s="482"/>
      <c r="L518" s="45">
        <f>SUM(L519:L543)</f>
        <v>63</v>
      </c>
    </row>
    <row r="519" spans="1:13">
      <c r="B519" s="482" t="s">
        <v>464</v>
      </c>
      <c r="C519" s="482"/>
      <c r="D519" s="44">
        <v>1</v>
      </c>
      <c r="E519" s="44">
        <v>2</v>
      </c>
      <c r="L519" s="44">
        <f>D519*E519</f>
        <v>2</v>
      </c>
    </row>
    <row r="520" spans="1:13">
      <c r="B520" s="482" t="s">
        <v>438</v>
      </c>
      <c r="C520" s="482"/>
      <c r="D520" s="44">
        <v>1</v>
      </c>
      <c r="E520" s="44">
        <v>1</v>
      </c>
      <c r="L520" s="44">
        <f t="shared" ref="L520:L543" si="24">D520*E520</f>
        <v>1</v>
      </c>
    </row>
    <row r="521" spans="1:13" ht="14.45" customHeight="1">
      <c r="B521" s="482" t="s">
        <v>436</v>
      </c>
      <c r="C521" s="482"/>
      <c r="D521" s="44">
        <v>1</v>
      </c>
      <c r="E521" s="44">
        <v>4</v>
      </c>
      <c r="L521" s="44">
        <f t="shared" si="24"/>
        <v>4</v>
      </c>
    </row>
    <row r="522" spans="1:13">
      <c r="B522" s="482" t="s">
        <v>465</v>
      </c>
      <c r="C522" s="482"/>
      <c r="D522" s="44">
        <v>1</v>
      </c>
      <c r="E522" s="44">
        <v>4</v>
      </c>
      <c r="L522" s="44">
        <f t="shared" si="24"/>
        <v>4</v>
      </c>
    </row>
    <row r="523" spans="1:13">
      <c r="B523" s="482" t="s">
        <v>476</v>
      </c>
      <c r="C523" s="482"/>
      <c r="D523" s="44">
        <v>1</v>
      </c>
      <c r="E523" s="44"/>
      <c r="L523" s="44">
        <f t="shared" si="24"/>
        <v>0</v>
      </c>
    </row>
    <row r="524" spans="1:13">
      <c r="B524" s="482" t="s">
        <v>466</v>
      </c>
      <c r="C524" s="482"/>
      <c r="D524" s="44">
        <v>1</v>
      </c>
      <c r="E524" s="44">
        <v>1</v>
      </c>
      <c r="L524" s="44">
        <f t="shared" si="24"/>
        <v>1</v>
      </c>
    </row>
    <row r="525" spans="1:13">
      <c r="B525" s="482" t="s">
        <v>467</v>
      </c>
      <c r="C525" s="482"/>
      <c r="D525" s="44">
        <v>1</v>
      </c>
      <c r="E525" s="44">
        <v>1</v>
      </c>
      <c r="L525" s="44">
        <f t="shared" si="24"/>
        <v>1</v>
      </c>
    </row>
    <row r="526" spans="1:13">
      <c r="B526" s="482" t="s">
        <v>468</v>
      </c>
      <c r="C526" s="482"/>
      <c r="D526" s="44">
        <v>1</v>
      </c>
      <c r="E526" s="44">
        <v>2</v>
      </c>
      <c r="L526" s="44">
        <f t="shared" si="24"/>
        <v>2</v>
      </c>
    </row>
    <row r="527" spans="1:13">
      <c r="B527" s="482" t="s">
        <v>469</v>
      </c>
      <c r="C527" s="482"/>
      <c r="D527" s="44">
        <v>1</v>
      </c>
      <c r="E527" s="44">
        <v>2</v>
      </c>
      <c r="L527" s="44">
        <f t="shared" si="24"/>
        <v>2</v>
      </c>
    </row>
    <row r="528" spans="1:13">
      <c r="B528" s="482" t="s">
        <v>467</v>
      </c>
      <c r="C528" s="482"/>
      <c r="D528" s="44">
        <v>1</v>
      </c>
      <c r="E528" s="44">
        <v>1</v>
      </c>
      <c r="L528" s="44">
        <f t="shared" si="24"/>
        <v>1</v>
      </c>
    </row>
    <row r="529" spans="2:12">
      <c r="B529" s="482" t="s">
        <v>444</v>
      </c>
      <c r="C529" s="482"/>
      <c r="D529" s="44">
        <v>1</v>
      </c>
      <c r="E529" s="44">
        <v>1</v>
      </c>
      <c r="L529" s="44">
        <f t="shared" si="24"/>
        <v>1</v>
      </c>
    </row>
    <row r="530" spans="2:12">
      <c r="B530" s="482" t="s">
        <v>470</v>
      </c>
      <c r="C530" s="482"/>
      <c r="D530" s="44">
        <v>1</v>
      </c>
      <c r="E530" s="44">
        <v>2</v>
      </c>
      <c r="L530" s="44">
        <f t="shared" si="24"/>
        <v>2</v>
      </c>
    </row>
    <row r="531" spans="2:12">
      <c r="B531" s="482" t="s">
        <v>477</v>
      </c>
      <c r="C531" s="482"/>
      <c r="D531" s="44">
        <v>1</v>
      </c>
      <c r="E531" s="44">
        <v>5</v>
      </c>
      <c r="L531" s="44">
        <f t="shared" si="24"/>
        <v>5</v>
      </c>
    </row>
    <row r="532" spans="2:12">
      <c r="B532" s="482" t="s">
        <v>471</v>
      </c>
      <c r="C532" s="482"/>
      <c r="D532" s="44">
        <v>1</v>
      </c>
      <c r="E532" s="44">
        <v>1</v>
      </c>
      <c r="L532" s="44">
        <f t="shared" si="24"/>
        <v>1</v>
      </c>
    </row>
    <row r="533" spans="2:12">
      <c r="B533" s="482" t="s">
        <v>440</v>
      </c>
      <c r="C533" s="482"/>
      <c r="D533" s="44">
        <v>1</v>
      </c>
      <c r="E533" s="44">
        <v>4</v>
      </c>
      <c r="L533" s="44">
        <f t="shared" si="24"/>
        <v>4</v>
      </c>
    </row>
    <row r="534" spans="2:12">
      <c r="B534" s="482" t="s">
        <v>472</v>
      </c>
      <c r="C534" s="482"/>
      <c r="D534" s="44">
        <v>1</v>
      </c>
      <c r="E534" s="44">
        <v>1</v>
      </c>
      <c r="L534" s="44">
        <f t="shared" si="24"/>
        <v>1</v>
      </c>
    </row>
    <row r="535" spans="2:12">
      <c r="B535" s="482" t="s">
        <v>445</v>
      </c>
      <c r="C535" s="482"/>
      <c r="D535" s="44">
        <v>1</v>
      </c>
      <c r="E535" s="44">
        <v>1</v>
      </c>
      <c r="L535" s="44">
        <f t="shared" si="24"/>
        <v>1</v>
      </c>
    </row>
    <row r="536" spans="2:12">
      <c r="B536" s="482" t="s">
        <v>473</v>
      </c>
      <c r="C536" s="482"/>
      <c r="D536" s="44">
        <v>1</v>
      </c>
      <c r="E536" s="44">
        <v>3</v>
      </c>
      <c r="L536" s="44">
        <f t="shared" si="24"/>
        <v>3</v>
      </c>
    </row>
    <row r="537" spans="2:12">
      <c r="B537" s="482" t="s">
        <v>449</v>
      </c>
      <c r="C537" s="482"/>
      <c r="D537" s="44">
        <v>1</v>
      </c>
      <c r="E537" s="44">
        <v>1</v>
      </c>
      <c r="L537" s="44">
        <f t="shared" si="24"/>
        <v>1</v>
      </c>
    </row>
    <row r="538" spans="2:12">
      <c r="B538" s="482" t="s">
        <v>478</v>
      </c>
      <c r="C538" s="482"/>
      <c r="D538" s="44">
        <v>1</v>
      </c>
      <c r="E538" s="44">
        <v>5</v>
      </c>
      <c r="L538" s="44">
        <f t="shared" si="24"/>
        <v>5</v>
      </c>
    </row>
    <row r="539" spans="2:12">
      <c r="B539" s="482" t="s">
        <v>452</v>
      </c>
      <c r="C539" s="482"/>
      <c r="D539" s="44">
        <v>1</v>
      </c>
      <c r="E539" s="44">
        <v>4</v>
      </c>
      <c r="L539" s="44">
        <f t="shared" si="24"/>
        <v>4</v>
      </c>
    </row>
    <row r="540" spans="2:12">
      <c r="B540" s="482" t="s">
        <v>474</v>
      </c>
      <c r="C540" s="482"/>
      <c r="D540" s="44">
        <v>1</v>
      </c>
      <c r="E540" s="44">
        <v>5</v>
      </c>
      <c r="L540" s="44">
        <f t="shared" si="24"/>
        <v>5</v>
      </c>
    </row>
    <row r="541" spans="2:12">
      <c r="B541" s="482" t="s">
        <v>475</v>
      </c>
      <c r="C541" s="482"/>
      <c r="D541" s="44">
        <v>1</v>
      </c>
      <c r="E541" s="44">
        <v>4</v>
      </c>
      <c r="L541" s="44">
        <f t="shared" si="24"/>
        <v>4</v>
      </c>
    </row>
    <row r="542" spans="2:12">
      <c r="B542" s="482" t="s">
        <v>468</v>
      </c>
      <c r="C542" s="482"/>
      <c r="D542" s="44">
        <v>1</v>
      </c>
      <c r="E542" s="44">
        <v>5</v>
      </c>
      <c r="L542" s="44">
        <f t="shared" si="24"/>
        <v>5</v>
      </c>
    </row>
    <row r="543" spans="2:12">
      <c r="B543" s="482" t="s">
        <v>469</v>
      </c>
      <c r="C543" s="482"/>
      <c r="D543" s="44">
        <v>1</v>
      </c>
      <c r="E543" s="44">
        <v>3</v>
      </c>
      <c r="L543" s="44">
        <f t="shared" si="24"/>
        <v>3</v>
      </c>
    </row>
    <row r="544" spans="2:12" ht="15.75" thickBot="1"/>
    <row r="545" spans="1:13" ht="15.75" thickBot="1">
      <c r="A545" s="70" t="str">
        <f>BM_15!A146</f>
        <v>9.2.2</v>
      </c>
      <c r="B545" s="486" t="str">
        <f>BM_15!B146</f>
        <v>TUBO, PVC, SOLDÁVEL, DN 50MM, INSTALADO EM PRUMADA DE ÁGUA - FORNECIMENTO E INSTALAÇÃO. AF_12/2014</v>
      </c>
      <c r="C545" s="487"/>
      <c r="D545" s="487"/>
      <c r="E545" s="487"/>
      <c r="F545" s="487"/>
      <c r="G545" s="487"/>
      <c r="H545" s="487"/>
      <c r="I545" s="487"/>
      <c r="J545" s="487"/>
      <c r="K545" s="487"/>
      <c r="L545" s="52"/>
      <c r="M545" s="36"/>
    </row>
    <row r="547" spans="1:13">
      <c r="B547" s="482" t="s">
        <v>463</v>
      </c>
      <c r="C547" s="482"/>
      <c r="L547" s="43">
        <v>1</v>
      </c>
    </row>
    <row r="548" spans="1:13" ht="15.75" thickBot="1"/>
    <row r="549" spans="1:13" ht="22.9" customHeight="1" thickBot="1">
      <c r="A549" s="70" t="str">
        <f>BM_15!A147</f>
        <v>9.2.3</v>
      </c>
      <c r="B549" s="486" t="str">
        <f>BM_15!B147</f>
        <v>TUBO, PVC, SOLDÁVEL, DN 25MM, INSTALADO EM RAMAL OU SUB-RAMAL DE ÁGUA - FORNECIMENTO E INSTALAÇÃO. AF_12/2014</v>
      </c>
      <c r="C549" s="487"/>
      <c r="D549" s="487"/>
      <c r="E549" s="487"/>
      <c r="F549" s="487"/>
      <c r="G549" s="487"/>
      <c r="H549" s="487"/>
      <c r="I549" s="487"/>
      <c r="J549" s="487"/>
      <c r="K549" s="487"/>
      <c r="L549" s="52"/>
      <c r="M549" s="36"/>
    </row>
    <row r="551" spans="1:13">
      <c r="B551" s="482" t="s">
        <v>463</v>
      </c>
      <c r="C551" s="482"/>
      <c r="L551" s="43">
        <v>1</v>
      </c>
    </row>
    <row r="552" spans="1:13" ht="15.75" thickBot="1"/>
    <row r="553" spans="1:13" ht="21" customHeight="1" thickBot="1">
      <c r="A553" s="70" t="str">
        <f>BM_15!A148</f>
        <v>9.2.4</v>
      </c>
      <c r="B553" s="486" t="str">
        <f>BM_15!B148</f>
        <v>ADAPTADOR CURTO COM BOLSA E ROSCA PARA REGISTRO, PVC, SOLDÁVEL, DN 25MM X 3/4, INSTALADO EM RAMAL OU SUB-RAMAL DE ÁGUA - FORNECIMENTO E INSTALAÇÃO. AF_12/2014</v>
      </c>
      <c r="C553" s="487"/>
      <c r="D553" s="487"/>
      <c r="E553" s="487"/>
      <c r="F553" s="487"/>
      <c r="G553" s="487"/>
      <c r="H553" s="487"/>
      <c r="I553" s="487"/>
      <c r="J553" s="487"/>
      <c r="K553" s="487"/>
      <c r="L553" s="52"/>
      <c r="M553" s="36"/>
    </row>
    <row r="555" spans="1:13">
      <c r="B555" s="482"/>
      <c r="C555" s="482"/>
      <c r="L555" s="43">
        <v>7</v>
      </c>
    </row>
    <row r="557" spans="1:13" ht="15.75" thickBot="1"/>
    <row r="558" spans="1:13" ht="15.75" thickBot="1">
      <c r="A558" s="70" t="str">
        <f>BM_15!A149</f>
        <v>9.2.5</v>
      </c>
      <c r="B558" s="486" t="str">
        <f>BM_15!B149</f>
        <v>LUVA DE REDUÇÃO, PVC, SOLDÁVEL, DN 60MM X 50MM, INSTALADO EM PRUMADA DE ÁGUA - FORNECIMENTO E INSTALAÇÃO. AF_12/2014</v>
      </c>
      <c r="C558" s="487"/>
      <c r="D558" s="487"/>
      <c r="E558" s="487"/>
      <c r="F558" s="487"/>
      <c r="G558" s="487"/>
      <c r="H558" s="487"/>
      <c r="I558" s="487"/>
      <c r="J558" s="487"/>
      <c r="K558" s="487"/>
      <c r="L558" s="52"/>
      <c r="M558" s="36"/>
    </row>
    <row r="560" spans="1:13">
      <c r="B560" s="482" t="s">
        <v>463</v>
      </c>
      <c r="C560" s="482"/>
      <c r="L560" s="43">
        <v>1</v>
      </c>
    </row>
    <row r="562" spans="1:13" ht="15.75" thickBot="1"/>
    <row r="563" spans="1:13" ht="24" customHeight="1" thickBot="1">
      <c r="A563" s="70" t="str">
        <f>BM_15!A150</f>
        <v>9.2.6</v>
      </c>
      <c r="B563" s="486" t="str">
        <f>BM_15!B150</f>
        <v>LUVA DE REDUÇÃO, PVC, SOLDÁVEL, DN 50MM X 25MM, INSTALADO EM PRUMADA DE ÁGUA   FORNECIMENTO E INSTALAÇÃO. AF_12/2014</v>
      </c>
      <c r="C563" s="487"/>
      <c r="D563" s="487"/>
      <c r="E563" s="487"/>
      <c r="F563" s="487"/>
      <c r="G563" s="487"/>
      <c r="H563" s="487"/>
      <c r="I563" s="487"/>
      <c r="J563" s="487"/>
      <c r="K563" s="487"/>
      <c r="L563" s="52"/>
      <c r="M563" s="36"/>
    </row>
    <row r="564" spans="1:13">
      <c r="L564" s="45">
        <f>SUM(L565:L586)</f>
        <v>35</v>
      </c>
    </row>
    <row r="565" spans="1:13">
      <c r="B565" s="482" t="s">
        <v>464</v>
      </c>
      <c r="C565" s="482"/>
      <c r="D565" s="44">
        <v>1</v>
      </c>
      <c r="E565" s="44">
        <v>2</v>
      </c>
      <c r="L565" s="43">
        <f>D565*E565</f>
        <v>2</v>
      </c>
    </row>
    <row r="566" spans="1:13">
      <c r="B566" s="482" t="s">
        <v>438</v>
      </c>
      <c r="C566" s="482"/>
      <c r="D566" s="44">
        <v>1</v>
      </c>
      <c r="E566" s="44">
        <v>1</v>
      </c>
      <c r="L566" s="43">
        <f t="shared" ref="L566:L586" si="25">D566*E566</f>
        <v>1</v>
      </c>
    </row>
    <row r="567" spans="1:13">
      <c r="B567" s="482" t="s">
        <v>436</v>
      </c>
      <c r="C567" s="482"/>
      <c r="D567" s="44">
        <v>1</v>
      </c>
      <c r="E567" s="44">
        <v>2</v>
      </c>
      <c r="L567" s="43">
        <f t="shared" si="25"/>
        <v>2</v>
      </c>
    </row>
    <row r="568" spans="1:13">
      <c r="B568" s="482" t="s">
        <v>465</v>
      </c>
      <c r="C568" s="482"/>
      <c r="D568" s="44">
        <v>1</v>
      </c>
      <c r="E568" s="44">
        <v>2</v>
      </c>
      <c r="L568" s="43">
        <f t="shared" si="25"/>
        <v>2</v>
      </c>
    </row>
    <row r="569" spans="1:13">
      <c r="B569" s="482" t="s">
        <v>468</v>
      </c>
      <c r="C569" s="482"/>
      <c r="D569" s="44">
        <v>1</v>
      </c>
      <c r="E569" s="44">
        <v>1</v>
      </c>
      <c r="L569" s="43">
        <f t="shared" si="25"/>
        <v>1</v>
      </c>
    </row>
    <row r="570" spans="1:13">
      <c r="B570" s="482" t="s">
        <v>469</v>
      </c>
      <c r="C570" s="482"/>
      <c r="D570" s="44">
        <v>1</v>
      </c>
      <c r="E570" s="44">
        <v>1</v>
      </c>
      <c r="L570" s="43">
        <f t="shared" si="25"/>
        <v>1</v>
      </c>
    </row>
    <row r="571" spans="1:13">
      <c r="B571" s="482" t="s">
        <v>467</v>
      </c>
      <c r="C571" s="482"/>
      <c r="D571" s="44">
        <v>1</v>
      </c>
      <c r="E571" s="44">
        <v>1</v>
      </c>
      <c r="L571" s="43">
        <f t="shared" si="25"/>
        <v>1</v>
      </c>
    </row>
    <row r="572" spans="1:13">
      <c r="B572" s="482" t="s">
        <v>444</v>
      </c>
      <c r="C572" s="482"/>
      <c r="D572" s="44">
        <v>1</v>
      </c>
      <c r="E572" s="44">
        <v>1</v>
      </c>
      <c r="L572" s="43">
        <f t="shared" si="25"/>
        <v>1</v>
      </c>
    </row>
    <row r="573" spans="1:13">
      <c r="B573" s="482" t="s">
        <v>470</v>
      </c>
      <c r="C573" s="482"/>
      <c r="D573" s="44">
        <v>1</v>
      </c>
      <c r="E573" s="44">
        <v>2</v>
      </c>
      <c r="L573" s="43">
        <f t="shared" si="25"/>
        <v>2</v>
      </c>
    </row>
    <row r="574" spans="1:13" ht="15" customHeight="1">
      <c r="B574" s="482" t="s">
        <v>477</v>
      </c>
      <c r="C574" s="482"/>
      <c r="D574" s="44">
        <v>1</v>
      </c>
      <c r="E574" s="44">
        <v>2</v>
      </c>
      <c r="L574" s="43">
        <f t="shared" si="25"/>
        <v>2</v>
      </c>
    </row>
    <row r="575" spans="1:13" ht="29.45" customHeight="1">
      <c r="B575" s="482" t="s">
        <v>471</v>
      </c>
      <c r="C575" s="482"/>
      <c r="D575" s="44">
        <v>1</v>
      </c>
      <c r="E575" s="44">
        <v>1</v>
      </c>
      <c r="L575" s="43">
        <f t="shared" si="25"/>
        <v>1</v>
      </c>
    </row>
    <row r="576" spans="1:13">
      <c r="B576" s="482" t="s">
        <v>440</v>
      </c>
      <c r="C576" s="482"/>
      <c r="D576" s="44">
        <v>1</v>
      </c>
      <c r="E576" s="44">
        <v>1</v>
      </c>
      <c r="L576" s="43">
        <f t="shared" si="25"/>
        <v>1</v>
      </c>
    </row>
    <row r="577" spans="1:13">
      <c r="B577" s="482" t="s">
        <v>472</v>
      </c>
      <c r="C577" s="482"/>
      <c r="D577" s="44">
        <v>1</v>
      </c>
      <c r="E577" s="44">
        <v>1</v>
      </c>
      <c r="L577" s="43">
        <f t="shared" si="25"/>
        <v>1</v>
      </c>
    </row>
    <row r="578" spans="1:13">
      <c r="B578" s="482" t="s">
        <v>445</v>
      </c>
      <c r="C578" s="482"/>
      <c r="D578" s="44">
        <v>1</v>
      </c>
      <c r="E578" s="44">
        <v>1</v>
      </c>
      <c r="L578" s="43">
        <f t="shared" si="25"/>
        <v>1</v>
      </c>
    </row>
    <row r="579" spans="1:13">
      <c r="B579" s="482" t="s">
        <v>473</v>
      </c>
      <c r="C579" s="482"/>
      <c r="D579" s="44">
        <v>1</v>
      </c>
      <c r="E579" s="44">
        <v>2</v>
      </c>
      <c r="L579" s="43">
        <f t="shared" si="25"/>
        <v>2</v>
      </c>
    </row>
    <row r="580" spans="1:13">
      <c r="B580" s="482" t="s">
        <v>449</v>
      </c>
      <c r="C580" s="482"/>
      <c r="D580" s="44">
        <v>1</v>
      </c>
      <c r="E580" s="44">
        <v>1</v>
      </c>
      <c r="L580" s="43">
        <f t="shared" si="25"/>
        <v>1</v>
      </c>
    </row>
    <row r="581" spans="1:13">
      <c r="B581" s="482" t="s">
        <v>478</v>
      </c>
      <c r="C581" s="482"/>
      <c r="D581" s="44">
        <v>1</v>
      </c>
      <c r="E581" s="44">
        <v>2</v>
      </c>
      <c r="L581" s="43">
        <f t="shared" si="25"/>
        <v>2</v>
      </c>
    </row>
    <row r="582" spans="1:13">
      <c r="B582" s="482" t="s">
        <v>452</v>
      </c>
      <c r="C582" s="482"/>
      <c r="D582" s="44">
        <v>1</v>
      </c>
      <c r="E582" s="44">
        <v>2</v>
      </c>
      <c r="L582" s="43">
        <f t="shared" si="25"/>
        <v>2</v>
      </c>
    </row>
    <row r="583" spans="1:13">
      <c r="B583" s="482" t="s">
        <v>474</v>
      </c>
      <c r="C583" s="482"/>
      <c r="D583" s="44">
        <v>1</v>
      </c>
      <c r="E583" s="44">
        <v>3</v>
      </c>
      <c r="L583" s="43">
        <f t="shared" si="25"/>
        <v>3</v>
      </c>
    </row>
    <row r="584" spans="1:13">
      <c r="B584" s="482" t="s">
        <v>475</v>
      </c>
      <c r="C584" s="482"/>
      <c r="D584" s="44">
        <v>1</v>
      </c>
      <c r="E584" s="44">
        <v>2</v>
      </c>
      <c r="L584" s="43">
        <f t="shared" si="25"/>
        <v>2</v>
      </c>
    </row>
    <row r="585" spans="1:13">
      <c r="B585" s="482" t="s">
        <v>468</v>
      </c>
      <c r="C585" s="482"/>
      <c r="D585" s="44">
        <v>1</v>
      </c>
      <c r="E585" s="44">
        <v>2</v>
      </c>
      <c r="L585" s="43">
        <f t="shared" si="25"/>
        <v>2</v>
      </c>
    </row>
    <row r="586" spans="1:13">
      <c r="B586" s="482" t="s">
        <v>469</v>
      </c>
      <c r="C586" s="482"/>
      <c r="D586" s="44">
        <v>1</v>
      </c>
      <c r="E586" s="44">
        <v>2</v>
      </c>
      <c r="L586" s="43">
        <f t="shared" si="25"/>
        <v>2</v>
      </c>
    </row>
    <row r="587" spans="1:13" ht="15.75" thickBot="1"/>
    <row r="588" spans="1:13" ht="27" customHeight="1" thickBot="1">
      <c r="A588" s="70" t="str">
        <f>BM_15!A151</f>
        <v>9.2.7</v>
      </c>
      <c r="B588" s="486" t="str">
        <f>BM_15!B151</f>
        <v>JOELHO 90 GRAUS COM BUCHA DE LATÃO, PVC, SOLDÁVEL, DN 25MM, X 1/2 INSTALADO EM RAMAL OU SUB-RAMAL DE ÁGUA - FORNECIMENTO E INSTALAÇÃO. AF_12/2014</v>
      </c>
      <c r="C588" s="487"/>
      <c r="D588" s="487"/>
      <c r="E588" s="487"/>
      <c r="F588" s="487"/>
      <c r="G588" s="487"/>
      <c r="H588" s="487"/>
      <c r="I588" s="487"/>
      <c r="J588" s="487"/>
      <c r="K588" s="487"/>
      <c r="L588" s="52"/>
      <c r="M588" s="36"/>
    </row>
    <row r="590" spans="1:13">
      <c r="B590" s="482" t="s">
        <v>463</v>
      </c>
      <c r="C590" s="482"/>
      <c r="L590" s="43">
        <v>32</v>
      </c>
    </row>
    <row r="591" spans="1:13" ht="15.75" thickBot="1"/>
    <row r="592" spans="1:13" ht="15.75" thickBot="1">
      <c r="A592" s="70" t="str">
        <f>BM_15!A152</f>
        <v>9.2.8</v>
      </c>
      <c r="B592" s="486" t="str">
        <f>BM_15!B152</f>
        <v>Joelho de 90º pvc rígido soldável c/ bucha de latão, d=20mmx1/2".</v>
      </c>
      <c r="C592" s="487"/>
      <c r="D592" s="487"/>
      <c r="E592" s="487"/>
      <c r="F592" s="487"/>
      <c r="G592" s="487"/>
      <c r="H592" s="487"/>
      <c r="I592" s="487"/>
      <c r="J592" s="487"/>
      <c r="K592" s="487"/>
      <c r="L592" s="52"/>
      <c r="M592" s="36"/>
    </row>
    <row r="594" spans="1:13">
      <c r="B594" s="482" t="s">
        <v>463</v>
      </c>
      <c r="C594" s="482"/>
      <c r="L594" s="43">
        <v>2</v>
      </c>
    </row>
    <row r="596" spans="1:13" ht="15.75" thickBot="1"/>
    <row r="597" spans="1:13" ht="23.45" customHeight="1" thickBot="1">
      <c r="A597" s="70" t="str">
        <f>BM_15!A153</f>
        <v>9.2.9</v>
      </c>
      <c r="B597" s="486" t="str">
        <f>BM_15!B153</f>
        <v>JOELHO 90 GRAUS, PVC, SOLDÁVEL, DN 60MM, INSTALADO EM PRUMADA DE ÁGUA - FORNECIMENTO E INSTALAÇÃO. AF_12/2014</v>
      </c>
      <c r="C597" s="487"/>
      <c r="D597" s="487"/>
      <c r="E597" s="487"/>
      <c r="F597" s="487"/>
      <c r="G597" s="487"/>
      <c r="H597" s="487"/>
      <c r="I597" s="487"/>
      <c r="J597" s="487"/>
      <c r="K597" s="487"/>
      <c r="L597" s="52"/>
      <c r="M597" s="36"/>
    </row>
    <row r="598" spans="1:13">
      <c r="L598" s="45">
        <f>SUM(L599:L622)</f>
        <v>25</v>
      </c>
    </row>
    <row r="599" spans="1:13">
      <c r="B599" s="482" t="s">
        <v>464</v>
      </c>
      <c r="C599" s="482"/>
      <c r="D599" s="44">
        <v>1</v>
      </c>
      <c r="E599">
        <v>1</v>
      </c>
      <c r="L599" s="81">
        <f>D599*E599</f>
        <v>1</v>
      </c>
    </row>
    <row r="600" spans="1:13">
      <c r="B600" s="482" t="s">
        <v>438</v>
      </c>
      <c r="C600" s="482"/>
      <c r="D600" s="44">
        <v>1</v>
      </c>
      <c r="L600" s="81">
        <f t="shared" ref="L600:L622" si="26">D600*E600</f>
        <v>0</v>
      </c>
    </row>
    <row r="601" spans="1:13">
      <c r="B601" s="482" t="s">
        <v>436</v>
      </c>
      <c r="C601" s="482"/>
      <c r="D601" s="44">
        <v>1</v>
      </c>
      <c r="E601">
        <v>1</v>
      </c>
      <c r="L601" s="81">
        <f t="shared" si="26"/>
        <v>1</v>
      </c>
    </row>
    <row r="602" spans="1:13">
      <c r="B602" s="482" t="s">
        <v>465</v>
      </c>
      <c r="C602" s="482"/>
      <c r="D602" s="44">
        <v>1</v>
      </c>
      <c r="E602">
        <v>1</v>
      </c>
      <c r="L602" s="81">
        <f t="shared" si="26"/>
        <v>1</v>
      </c>
    </row>
    <row r="603" spans="1:13">
      <c r="B603" s="482" t="s">
        <v>466</v>
      </c>
      <c r="C603" s="482"/>
      <c r="D603" s="44">
        <v>1</v>
      </c>
      <c r="L603" s="81">
        <f t="shared" si="26"/>
        <v>0</v>
      </c>
    </row>
    <row r="604" spans="1:13">
      <c r="B604" s="482" t="s">
        <v>467</v>
      </c>
      <c r="C604" s="482"/>
      <c r="D604" s="44">
        <v>1</v>
      </c>
      <c r="E604">
        <v>1</v>
      </c>
      <c r="L604" s="81">
        <f t="shared" si="26"/>
        <v>1</v>
      </c>
    </row>
    <row r="605" spans="1:13">
      <c r="B605" s="482" t="s">
        <v>468</v>
      </c>
      <c r="C605" s="482"/>
      <c r="D605" s="44">
        <v>1</v>
      </c>
      <c r="E605">
        <v>1</v>
      </c>
      <c r="L605" s="81">
        <f t="shared" si="26"/>
        <v>1</v>
      </c>
    </row>
    <row r="606" spans="1:13">
      <c r="B606" s="482" t="s">
        <v>469</v>
      </c>
      <c r="C606" s="482"/>
      <c r="D606" s="44">
        <v>1</v>
      </c>
      <c r="E606">
        <v>1</v>
      </c>
      <c r="L606" s="81">
        <f t="shared" si="26"/>
        <v>1</v>
      </c>
    </row>
    <row r="607" spans="1:13">
      <c r="B607" s="482" t="s">
        <v>467</v>
      </c>
      <c r="C607" s="482"/>
      <c r="D607" s="44">
        <v>1</v>
      </c>
      <c r="E607">
        <v>1</v>
      </c>
      <c r="L607" s="81">
        <f t="shared" si="26"/>
        <v>1</v>
      </c>
    </row>
    <row r="608" spans="1:13">
      <c r="B608" s="482" t="s">
        <v>444</v>
      </c>
      <c r="C608" s="482"/>
      <c r="D608" s="44">
        <v>1</v>
      </c>
      <c r="E608">
        <v>1</v>
      </c>
      <c r="L608" s="81">
        <f t="shared" si="26"/>
        <v>1</v>
      </c>
    </row>
    <row r="609" spans="1:13">
      <c r="B609" s="482" t="s">
        <v>470</v>
      </c>
      <c r="C609" s="482"/>
      <c r="D609" s="44">
        <v>1</v>
      </c>
      <c r="E609">
        <v>1</v>
      </c>
      <c r="L609" s="81">
        <f t="shared" si="26"/>
        <v>1</v>
      </c>
    </row>
    <row r="610" spans="1:13" ht="31.15" customHeight="1">
      <c r="B610" s="482" t="s">
        <v>477</v>
      </c>
      <c r="C610" s="482"/>
      <c r="D610" s="44">
        <v>1</v>
      </c>
      <c r="E610">
        <v>2</v>
      </c>
      <c r="L610" s="81">
        <f t="shared" si="26"/>
        <v>2</v>
      </c>
    </row>
    <row r="611" spans="1:13" ht="15" customHeight="1">
      <c r="B611" s="482" t="s">
        <v>471</v>
      </c>
      <c r="C611" s="482"/>
      <c r="D611" s="44">
        <v>1</v>
      </c>
      <c r="E611">
        <v>1</v>
      </c>
      <c r="L611" s="81">
        <f t="shared" si="26"/>
        <v>1</v>
      </c>
    </row>
    <row r="612" spans="1:13" ht="12.6" customHeight="1">
      <c r="B612" s="482" t="s">
        <v>440</v>
      </c>
      <c r="C612" s="482"/>
      <c r="D612" s="44">
        <v>1</v>
      </c>
      <c r="E612">
        <v>1</v>
      </c>
      <c r="L612" s="81">
        <f t="shared" si="26"/>
        <v>1</v>
      </c>
    </row>
    <row r="613" spans="1:13">
      <c r="B613" s="482" t="s">
        <v>472</v>
      </c>
      <c r="C613" s="482"/>
      <c r="D613" s="44">
        <v>1</v>
      </c>
      <c r="E613">
        <v>1</v>
      </c>
      <c r="L613" s="81">
        <f t="shared" si="26"/>
        <v>1</v>
      </c>
    </row>
    <row r="614" spans="1:13">
      <c r="B614" s="482" t="s">
        <v>445</v>
      </c>
      <c r="C614" s="482"/>
      <c r="D614" s="44">
        <v>1</v>
      </c>
      <c r="E614">
        <v>1</v>
      </c>
      <c r="L614" s="81">
        <f t="shared" si="26"/>
        <v>1</v>
      </c>
    </row>
    <row r="615" spans="1:13">
      <c r="B615" s="482" t="s">
        <v>473</v>
      </c>
      <c r="C615" s="482"/>
      <c r="D615" s="44">
        <v>1</v>
      </c>
      <c r="E615">
        <v>1</v>
      </c>
      <c r="L615" s="81">
        <f t="shared" si="26"/>
        <v>1</v>
      </c>
    </row>
    <row r="616" spans="1:13">
      <c r="B616" s="482" t="s">
        <v>449</v>
      </c>
      <c r="C616" s="482"/>
      <c r="D616" s="44">
        <v>1</v>
      </c>
      <c r="E616">
        <v>1</v>
      </c>
      <c r="L616" s="81">
        <f t="shared" si="26"/>
        <v>1</v>
      </c>
    </row>
    <row r="617" spans="1:13">
      <c r="B617" s="482" t="s">
        <v>478</v>
      </c>
      <c r="C617" s="482"/>
      <c r="D617" s="44">
        <v>1</v>
      </c>
      <c r="E617">
        <v>2</v>
      </c>
      <c r="L617" s="81">
        <f t="shared" si="26"/>
        <v>2</v>
      </c>
    </row>
    <row r="618" spans="1:13">
      <c r="B618" s="482" t="s">
        <v>452</v>
      </c>
      <c r="C618" s="482"/>
      <c r="D618" s="44">
        <v>1</v>
      </c>
      <c r="E618">
        <v>2</v>
      </c>
      <c r="L618" s="81">
        <f t="shared" si="26"/>
        <v>2</v>
      </c>
    </row>
    <row r="619" spans="1:13">
      <c r="B619" s="482" t="s">
        <v>474</v>
      </c>
      <c r="C619" s="482"/>
      <c r="D619" s="44">
        <v>1</v>
      </c>
      <c r="E619">
        <v>1</v>
      </c>
      <c r="L619" s="81">
        <f t="shared" si="26"/>
        <v>1</v>
      </c>
    </row>
    <row r="620" spans="1:13" ht="33.6" customHeight="1">
      <c r="B620" s="482" t="s">
        <v>475</v>
      </c>
      <c r="C620" s="482"/>
      <c r="D620" s="44">
        <v>1</v>
      </c>
      <c r="E620">
        <v>1</v>
      </c>
      <c r="L620" s="81">
        <f t="shared" si="26"/>
        <v>1</v>
      </c>
    </row>
    <row r="621" spans="1:13">
      <c r="B621" s="482" t="s">
        <v>468</v>
      </c>
      <c r="C621" s="482"/>
      <c r="D621" s="44">
        <v>1</v>
      </c>
      <c r="E621">
        <v>1</v>
      </c>
      <c r="L621" s="81">
        <f t="shared" si="26"/>
        <v>1</v>
      </c>
    </row>
    <row r="622" spans="1:13">
      <c r="B622" s="482" t="s">
        <v>469</v>
      </c>
      <c r="C622" s="482"/>
      <c r="D622" s="44">
        <v>1</v>
      </c>
      <c r="E622">
        <v>1</v>
      </c>
      <c r="L622" s="81">
        <f t="shared" si="26"/>
        <v>1</v>
      </c>
    </row>
    <row r="623" spans="1:13" ht="15.75" thickBot="1"/>
    <row r="624" spans="1:13" ht="24" customHeight="1" thickBot="1">
      <c r="A624" s="70" t="str">
        <f>BM_15!A154</f>
        <v>9.2.10</v>
      </c>
      <c r="B624" s="486" t="str">
        <f>BM_15!B154</f>
        <v>JOELHO 90 GRAUS, PVC, SOLDÁVEL, DN 25MM, INSTALADO EM RAMAL DE DISTRIBUIÇÃO DE ÁGUA - FORNECIMENTO E INSTALAÇÃO. AF_12/2014</v>
      </c>
      <c r="C624" s="487"/>
      <c r="D624" s="487"/>
      <c r="E624" s="487"/>
      <c r="F624" s="487"/>
      <c r="G624" s="487"/>
      <c r="H624" s="487"/>
      <c r="I624" s="487"/>
      <c r="J624" s="487"/>
      <c r="K624" s="487"/>
      <c r="L624" s="52"/>
      <c r="M624" s="36"/>
    </row>
    <row r="625" spans="2:12">
      <c r="L625" s="45">
        <f>SUM(L626:L628)</f>
        <v>3</v>
      </c>
    </row>
    <row r="626" spans="2:12" ht="24" customHeight="1">
      <c r="B626" s="482" t="s">
        <v>436</v>
      </c>
      <c r="C626" s="482"/>
      <c r="D626" s="44">
        <v>1</v>
      </c>
      <c r="E626" s="43">
        <v>1</v>
      </c>
      <c r="L626" s="81">
        <f>E626*D626</f>
        <v>1</v>
      </c>
    </row>
    <row r="627" spans="2:12">
      <c r="B627" s="482" t="s">
        <v>465</v>
      </c>
      <c r="C627" s="482"/>
      <c r="D627" s="44">
        <v>1</v>
      </c>
      <c r="E627" s="43">
        <v>1</v>
      </c>
      <c r="L627" s="81">
        <f t="shared" ref="L627:L628" si="27">E627*D627</f>
        <v>1</v>
      </c>
    </row>
    <row r="628" spans="2:12">
      <c r="B628" s="482" t="s">
        <v>452</v>
      </c>
      <c r="C628" s="482"/>
      <c r="D628" s="44">
        <v>1</v>
      </c>
      <c r="E628" s="43">
        <v>1</v>
      </c>
      <c r="L628" s="81">
        <f t="shared" si="27"/>
        <v>1</v>
      </c>
    </row>
    <row r="634" spans="2:12" ht="24.6" customHeight="1"/>
    <row r="728" ht="45" customHeight="1"/>
    <row r="743" ht="23.45" customHeight="1"/>
    <row r="837" ht="28.15" customHeight="1"/>
    <row r="858" ht="27" customHeight="1"/>
    <row r="886" ht="20.45" customHeight="1"/>
    <row r="909" ht="21" customHeight="1"/>
    <row r="913" ht="24.6" customHeight="1"/>
    <row r="917" ht="27.6" customHeight="1"/>
    <row r="949" ht="30" customHeight="1"/>
    <row r="953" ht="25.15" customHeight="1"/>
    <row r="982" ht="27" customHeight="1"/>
    <row r="988" ht="20.45" customHeight="1"/>
    <row r="992" ht="23.45" customHeight="1"/>
    <row r="1038" ht="27" customHeight="1"/>
    <row r="1067" ht="24" customHeight="1"/>
    <row r="1072" ht="29.45" customHeight="1"/>
    <row r="1099" ht="25.9" customHeight="1"/>
  </sheetData>
  <protectedRanges>
    <protectedRange sqref="L7" name="Intervalo1_1"/>
    <protectedRange sqref="L10:L11 L350:L352 L330 L597 L563 L588 L592 L13:L15 L624 L347:L348 L380:L381 L385 L389 L417 L440 L444 L448 L475 L479 L483 L509 L513 L517 L545 L549 L553 L558 L332 L339" name="Intervalo1_1_2"/>
    <protectedRange sqref="L12 L43" name="Intervalo1_1_1_3"/>
    <protectedRange sqref="L16:L42 L353:L378 L44 L70 L112 L174:L327 L120" name="Intervalo1_1_2_1"/>
    <protectedRange sqref="L45:L69" name="Intervalo1_1_2_2"/>
    <protectedRange sqref="L94:L104 L106:L111 L72:L92" name="Intervalo1_1_2_3"/>
    <protectedRange sqref="L71 L93 L105" name="Intervalo1_1_1_3_1"/>
    <protectedRange sqref="L113:L119" name="Intervalo1_1_2_4"/>
    <protectedRange sqref="L121:L122 L124:L136 L138:L150 L160 L152:L155 L162:L173" name="Intervalo1_1_2_5"/>
    <protectedRange sqref="L161 L123 L151 L137" name="Intervalo1_1_1_3_2"/>
  </protectedRanges>
  <mergeCells count="405">
    <mergeCell ref="B153:C153"/>
    <mergeCell ref="B154:C154"/>
    <mergeCell ref="B155:C155"/>
    <mergeCell ref="B168:C168"/>
    <mergeCell ref="B169:C169"/>
    <mergeCell ref="B170:C170"/>
    <mergeCell ref="B171:C171"/>
    <mergeCell ref="B172:C172"/>
    <mergeCell ref="B173:C173"/>
    <mergeCell ref="B156:C156"/>
    <mergeCell ref="B158:C158"/>
    <mergeCell ref="B159:C159"/>
    <mergeCell ref="B161:K161"/>
    <mergeCell ref="B163:C163"/>
    <mergeCell ref="B164:C164"/>
    <mergeCell ref="B165:C165"/>
    <mergeCell ref="B166:C166"/>
    <mergeCell ref="B167:C167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1:K151"/>
    <mergeCell ref="B131:C131"/>
    <mergeCell ref="B132:C132"/>
    <mergeCell ref="B133:C133"/>
    <mergeCell ref="B134:C134"/>
    <mergeCell ref="B135:C135"/>
    <mergeCell ref="B137:K137"/>
    <mergeCell ref="B139:C139"/>
    <mergeCell ref="B140:C140"/>
    <mergeCell ref="B141:C141"/>
    <mergeCell ref="B119:C119"/>
    <mergeCell ref="B121:K121"/>
    <mergeCell ref="B123:K123"/>
    <mergeCell ref="B125:C125"/>
    <mergeCell ref="B126:C126"/>
    <mergeCell ref="B127:C127"/>
    <mergeCell ref="B128:C128"/>
    <mergeCell ref="B129:C129"/>
    <mergeCell ref="B130:C130"/>
    <mergeCell ref="B108:C108"/>
    <mergeCell ref="B109:C109"/>
    <mergeCell ref="B110:C110"/>
    <mergeCell ref="B111:C111"/>
    <mergeCell ref="B113:K113"/>
    <mergeCell ref="B115:C115"/>
    <mergeCell ref="B116:C116"/>
    <mergeCell ref="B117:C117"/>
    <mergeCell ref="B118:C118"/>
    <mergeCell ref="B97:C97"/>
    <mergeCell ref="B98:C98"/>
    <mergeCell ref="B99:C99"/>
    <mergeCell ref="B100:C100"/>
    <mergeCell ref="B101:C101"/>
    <mergeCell ref="B102:C102"/>
    <mergeCell ref="B103:C103"/>
    <mergeCell ref="B105:K105"/>
    <mergeCell ref="B107:C107"/>
    <mergeCell ref="B86:C86"/>
    <mergeCell ref="B87:C87"/>
    <mergeCell ref="B88:C88"/>
    <mergeCell ref="B89:C89"/>
    <mergeCell ref="B90:C90"/>
    <mergeCell ref="B91:C91"/>
    <mergeCell ref="B93:K93"/>
    <mergeCell ref="B95:C95"/>
    <mergeCell ref="B96:C9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37:C37"/>
    <mergeCell ref="B38:C38"/>
    <mergeCell ref="B40:C40"/>
    <mergeCell ref="B347:K347"/>
    <mergeCell ref="B348:K348"/>
    <mergeCell ref="B43:K43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9:C69"/>
    <mergeCell ref="B71:K71"/>
    <mergeCell ref="B73:C73"/>
    <mergeCell ref="B74:C74"/>
    <mergeCell ref="B75:C75"/>
    <mergeCell ref="B76:C76"/>
    <mergeCell ref="B367:C367"/>
    <mergeCell ref="B368:C368"/>
    <mergeCell ref="B369:C369"/>
    <mergeCell ref="B370:C370"/>
    <mergeCell ref="B373:C373"/>
    <mergeCell ref="B374:C374"/>
    <mergeCell ref="B375:C375"/>
    <mergeCell ref="B376:C376"/>
    <mergeCell ref="B353:C353"/>
    <mergeCell ref="B355:C355"/>
    <mergeCell ref="B10:K10"/>
    <mergeCell ref="B11:K11"/>
    <mergeCell ref="B12:K12"/>
    <mergeCell ref="B16:C16"/>
    <mergeCell ref="B547:C547"/>
    <mergeCell ref="B342:C342"/>
    <mergeCell ref="B343:C343"/>
    <mergeCell ref="B377:C377"/>
    <mergeCell ref="B330:K330"/>
    <mergeCell ref="B332:K332"/>
    <mergeCell ref="B334:C334"/>
    <mergeCell ref="B335:C335"/>
    <mergeCell ref="B477:C477"/>
    <mergeCell ref="B354:C354"/>
    <mergeCell ref="B356:C356"/>
    <mergeCell ref="B357:C357"/>
    <mergeCell ref="B358:C358"/>
    <mergeCell ref="B360:C360"/>
    <mergeCell ref="B361:C361"/>
    <mergeCell ref="B362:C362"/>
    <mergeCell ref="B363:C363"/>
    <mergeCell ref="B364:C364"/>
    <mergeCell ref="B365:C365"/>
    <mergeCell ref="B366:C366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A7:A8"/>
    <mergeCell ref="B7:C8"/>
    <mergeCell ref="D7:D8"/>
    <mergeCell ref="E7:J7"/>
    <mergeCell ref="K7:L7"/>
    <mergeCell ref="B17:C17"/>
    <mergeCell ref="B18:C18"/>
    <mergeCell ref="B19:C19"/>
    <mergeCell ref="B20:C20"/>
    <mergeCell ref="B21:C21"/>
    <mergeCell ref="B23:C23"/>
    <mergeCell ref="B24:C24"/>
    <mergeCell ref="B25:C25"/>
    <mergeCell ref="B32:C32"/>
    <mergeCell ref="B26:C26"/>
    <mergeCell ref="B30:C30"/>
    <mergeCell ref="B31:C31"/>
    <mergeCell ref="B34:C34"/>
    <mergeCell ref="B35:C35"/>
    <mergeCell ref="B33:C33"/>
    <mergeCell ref="B344:C344"/>
    <mergeCell ref="B372:C372"/>
    <mergeCell ref="B27:C27"/>
    <mergeCell ref="B28:C28"/>
    <mergeCell ref="B29:C29"/>
    <mergeCell ref="B39:C39"/>
    <mergeCell ref="B336:C336"/>
    <mergeCell ref="B371:C3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36:C36"/>
    <mergeCell ref="B380:K380"/>
    <mergeCell ref="B381:K381"/>
    <mergeCell ref="B383:C383"/>
    <mergeCell ref="B385:K385"/>
    <mergeCell ref="B387:C387"/>
    <mergeCell ref="B389:K389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20:C420"/>
    <mergeCell ref="B421:C421"/>
    <mergeCell ref="B422:C422"/>
    <mergeCell ref="B423:C423"/>
    <mergeCell ref="B412:C412"/>
    <mergeCell ref="B413:C413"/>
    <mergeCell ref="B414:C414"/>
    <mergeCell ref="B415:C415"/>
    <mergeCell ref="B416:C416"/>
    <mergeCell ref="B418:C418"/>
    <mergeCell ref="B419:C419"/>
    <mergeCell ref="B417:K417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1:C441"/>
    <mergeCell ref="B440:K44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42:C442"/>
    <mergeCell ref="B443:C443"/>
    <mergeCell ref="B445:C445"/>
    <mergeCell ref="B446:C446"/>
    <mergeCell ref="B447:C447"/>
    <mergeCell ref="B449:C449"/>
    <mergeCell ref="B450:C450"/>
    <mergeCell ref="B444:K444"/>
    <mergeCell ref="B448:K44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6:C476"/>
    <mergeCell ref="B475:K475"/>
    <mergeCell ref="B479:K479"/>
    <mergeCell ref="B481:C481"/>
    <mergeCell ref="B483:K483"/>
    <mergeCell ref="B509:K509"/>
    <mergeCell ref="B513:K513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11:C511"/>
    <mergeCell ref="B528:C528"/>
    <mergeCell ref="B529:C529"/>
    <mergeCell ref="B501:C501"/>
    <mergeCell ref="B502:C502"/>
    <mergeCell ref="B503:C503"/>
    <mergeCell ref="B504:C504"/>
    <mergeCell ref="B505:C505"/>
    <mergeCell ref="B506:C506"/>
    <mergeCell ref="B517:K517"/>
    <mergeCell ref="B519:C519"/>
    <mergeCell ref="B520:C520"/>
    <mergeCell ref="B515:C515"/>
    <mergeCell ref="B539:C539"/>
    <mergeCell ref="B540:C540"/>
    <mergeCell ref="B541:C541"/>
    <mergeCell ref="B542:C542"/>
    <mergeCell ref="B543:C543"/>
    <mergeCell ref="B518:C518"/>
    <mergeCell ref="B545:K545"/>
    <mergeCell ref="B549:K54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21:C521"/>
    <mergeCell ref="B522:C522"/>
    <mergeCell ref="B523:C523"/>
    <mergeCell ref="B524:C524"/>
    <mergeCell ref="B525:C525"/>
    <mergeCell ref="B526:C526"/>
    <mergeCell ref="B527:C527"/>
    <mergeCell ref="B553:K553"/>
    <mergeCell ref="B558:K558"/>
    <mergeCell ref="B563:K563"/>
    <mergeCell ref="B565:C565"/>
    <mergeCell ref="B566:C566"/>
    <mergeCell ref="B567:C567"/>
    <mergeCell ref="B568:C568"/>
    <mergeCell ref="B569:C569"/>
    <mergeCell ref="B570:C570"/>
    <mergeCell ref="B555:C555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8:K588"/>
    <mergeCell ref="B592:K592"/>
    <mergeCell ref="B611:C611"/>
    <mergeCell ref="B612:C612"/>
    <mergeCell ref="B613:C613"/>
    <mergeCell ref="B614:C614"/>
    <mergeCell ref="B597:K597"/>
    <mergeCell ref="B599:C599"/>
    <mergeCell ref="B600:C600"/>
    <mergeCell ref="B601:C601"/>
    <mergeCell ref="B602:C602"/>
    <mergeCell ref="B603:C603"/>
    <mergeCell ref="B604:C604"/>
    <mergeCell ref="B605:C605"/>
    <mergeCell ref="B626:C626"/>
    <mergeCell ref="B627:C627"/>
    <mergeCell ref="B628:C628"/>
    <mergeCell ref="B337:C337"/>
    <mergeCell ref="B339:K339"/>
    <mergeCell ref="B341:C341"/>
    <mergeCell ref="B551:C551"/>
    <mergeCell ref="B560:C560"/>
    <mergeCell ref="B590:C590"/>
    <mergeCell ref="B594:C59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4:K624"/>
    <mergeCell ref="B606:C606"/>
    <mergeCell ref="B607:C607"/>
    <mergeCell ref="B608:C608"/>
    <mergeCell ref="B609:C609"/>
    <mergeCell ref="B610:C610"/>
  </mergeCells>
  <phoneticPr fontId="1" type="noConversion"/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813"/>
  <sheetViews>
    <sheetView topLeftCell="A112" zoomScaleNormal="100" zoomScaleSheetLayoutView="100" workbookViewId="0">
      <selection activeCell="A12" sqref="A12:M41"/>
    </sheetView>
  </sheetViews>
  <sheetFormatPr defaultRowHeight="15"/>
  <cols>
    <col min="1" max="1" width="8.85546875" style="57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40" bestFit="1" customWidth="1"/>
  </cols>
  <sheetData>
    <row r="1" spans="1:13" ht="16.5" thickBot="1">
      <c r="A1" s="409"/>
      <c r="B1" s="410"/>
      <c r="C1" s="415" t="s">
        <v>409</v>
      </c>
      <c r="D1" s="416"/>
      <c r="E1" s="416"/>
      <c r="F1" s="416"/>
      <c r="G1" s="416"/>
      <c r="H1" s="416"/>
      <c r="I1" s="416"/>
      <c r="J1" s="416"/>
      <c r="K1" s="416"/>
      <c r="L1" s="416"/>
      <c r="M1" s="417"/>
    </row>
    <row r="2" spans="1:13">
      <c r="A2" s="411"/>
      <c r="B2" s="412"/>
      <c r="C2" s="418" t="s">
        <v>410</v>
      </c>
      <c r="D2" s="419"/>
      <c r="E2" s="419"/>
      <c r="F2" s="419"/>
      <c r="G2" s="420"/>
      <c r="H2" s="418" t="s">
        <v>411</v>
      </c>
      <c r="I2" s="419"/>
      <c r="J2" s="419"/>
      <c r="K2" s="419"/>
      <c r="L2" s="419"/>
      <c r="M2" s="420"/>
    </row>
    <row r="3" spans="1:13" ht="15.75" thickBot="1">
      <c r="A3" s="411"/>
      <c r="B3" s="412"/>
      <c r="C3" s="421" t="s">
        <v>431</v>
      </c>
      <c r="D3" s="422"/>
      <c r="E3" s="422"/>
      <c r="F3" s="422"/>
      <c r="G3" s="423"/>
      <c r="H3" s="424" t="s">
        <v>412</v>
      </c>
      <c r="I3" s="425"/>
      <c r="J3" s="425"/>
      <c r="K3" s="425"/>
      <c r="L3" s="425"/>
      <c r="M3" s="426"/>
    </row>
    <row r="4" spans="1:13">
      <c r="A4" s="411"/>
      <c r="B4" s="412"/>
      <c r="C4" s="418" t="s">
        <v>413</v>
      </c>
      <c r="D4" s="419"/>
      <c r="E4" s="419"/>
      <c r="F4" s="419"/>
      <c r="G4" s="420"/>
      <c r="H4" s="427" t="s">
        <v>414</v>
      </c>
      <c r="I4" s="428"/>
      <c r="J4" s="428"/>
      <c r="K4" s="429"/>
      <c r="L4" s="28"/>
      <c r="M4" s="29"/>
    </row>
    <row r="5" spans="1:13" ht="15.75" thickBot="1">
      <c r="A5" s="413"/>
      <c r="B5" s="414"/>
      <c r="C5" s="430" t="s">
        <v>432</v>
      </c>
      <c r="D5" s="431"/>
      <c r="E5" s="431"/>
      <c r="F5" s="431"/>
      <c r="G5" s="432"/>
      <c r="H5" s="433"/>
      <c r="I5" s="434"/>
      <c r="J5" s="434"/>
      <c r="K5" s="435"/>
      <c r="L5" s="30"/>
      <c r="M5" s="31"/>
    </row>
    <row r="6" spans="1:13" ht="15.75" thickBot="1">
      <c r="A6" s="56"/>
      <c r="B6" s="32"/>
      <c r="C6" s="32"/>
      <c r="D6" s="32"/>
      <c r="E6" s="32"/>
      <c r="F6" s="32"/>
      <c r="G6" s="58"/>
      <c r="H6" s="32"/>
      <c r="I6" s="32"/>
      <c r="J6" s="32"/>
      <c r="K6" s="32"/>
      <c r="L6" s="32"/>
      <c r="M6" s="33"/>
    </row>
    <row r="7" spans="1:13">
      <c r="A7" s="396" t="s">
        <v>415</v>
      </c>
      <c r="B7" s="398" t="s">
        <v>416</v>
      </c>
      <c r="C7" s="399"/>
      <c r="D7" s="402" t="s">
        <v>417</v>
      </c>
      <c r="E7" s="404" t="s">
        <v>418</v>
      </c>
      <c r="F7" s="405"/>
      <c r="G7" s="405"/>
      <c r="H7" s="405"/>
      <c r="I7" s="405"/>
      <c r="J7" s="406"/>
      <c r="K7" s="404" t="s">
        <v>419</v>
      </c>
      <c r="L7" s="406"/>
      <c r="M7" s="407" t="s">
        <v>420</v>
      </c>
    </row>
    <row r="8" spans="1:13" ht="15.75" thickBot="1">
      <c r="A8" s="494"/>
      <c r="B8" s="495"/>
      <c r="C8" s="496"/>
      <c r="D8" s="497"/>
      <c r="E8" s="34" t="s">
        <v>421</v>
      </c>
      <c r="F8" s="34" t="s">
        <v>422</v>
      </c>
      <c r="G8" s="34" t="s">
        <v>423</v>
      </c>
      <c r="H8" s="34" t="s">
        <v>424</v>
      </c>
      <c r="I8" s="34" t="s">
        <v>425</v>
      </c>
      <c r="J8" s="34" t="s">
        <v>426</v>
      </c>
      <c r="K8" s="34" t="s">
        <v>427</v>
      </c>
      <c r="L8" s="34" t="s">
        <v>428</v>
      </c>
      <c r="M8" s="493"/>
    </row>
    <row r="9" spans="1:13" ht="15.75" thickBot="1"/>
    <row r="10" spans="1:13" ht="14.45" customHeight="1" thickBot="1">
      <c r="A10" s="51"/>
      <c r="B10" s="486" t="s">
        <v>333</v>
      </c>
      <c r="C10" s="487"/>
      <c r="D10" s="487"/>
      <c r="E10" s="487"/>
      <c r="F10" s="487"/>
      <c r="G10" s="487"/>
      <c r="H10" s="487"/>
      <c r="I10" s="487"/>
      <c r="J10" s="487"/>
      <c r="K10" s="487"/>
      <c r="L10" s="52"/>
      <c r="M10" s="36"/>
    </row>
    <row r="11" spans="1:13">
      <c r="A11" s="53"/>
      <c r="B11" s="498"/>
      <c r="C11" s="499"/>
      <c r="D11" s="499"/>
      <c r="E11" s="499"/>
      <c r="F11" s="499"/>
      <c r="G11" s="499"/>
      <c r="H11" s="499"/>
      <c r="I11" s="499"/>
      <c r="J11" s="499"/>
      <c r="K11" s="500"/>
      <c r="L11" s="54"/>
      <c r="M11" s="38"/>
    </row>
    <row r="12" spans="1:13">
      <c r="A12" s="77" t="s">
        <v>4</v>
      </c>
      <c r="B12" s="501" t="str">
        <f>[6]BM_05!B21</f>
        <v>Demolição de piso de alta resistência</v>
      </c>
      <c r="C12" s="501"/>
      <c r="D12" s="501"/>
      <c r="E12" s="501"/>
      <c r="F12" s="501"/>
      <c r="G12" s="501"/>
      <c r="H12" s="501"/>
      <c r="I12" s="501"/>
      <c r="J12" s="501"/>
      <c r="K12" s="501"/>
      <c r="L12" s="78"/>
      <c r="M12" s="55" t="s">
        <v>429</v>
      </c>
    </row>
    <row r="13" spans="1:13">
      <c r="A13" s="37"/>
      <c r="B13" s="37"/>
      <c r="C13" s="37"/>
      <c r="D13" s="37"/>
      <c r="E13" s="37"/>
      <c r="F13" s="38" t="s">
        <v>462</v>
      </c>
      <c r="G13" s="37"/>
      <c r="H13" s="38" t="s">
        <v>462</v>
      </c>
      <c r="I13" s="37"/>
      <c r="J13" s="37"/>
      <c r="K13" s="46" t="s">
        <v>453</v>
      </c>
      <c r="L13" s="68">
        <f>SUM(L16:L40)</f>
        <v>736.73</v>
      </c>
      <c r="M13" s="38"/>
    </row>
    <row r="14" spans="1:13">
      <c r="A14" s="37"/>
      <c r="B14" s="37"/>
      <c r="C14" s="37"/>
      <c r="D14" s="37"/>
      <c r="E14" s="37"/>
      <c r="F14" s="38"/>
      <c r="G14" s="37"/>
      <c r="H14" s="38"/>
      <c r="I14" s="37"/>
      <c r="J14" s="37"/>
      <c r="K14" s="46" t="s">
        <v>454</v>
      </c>
      <c r="L14" s="68">
        <v>608.61</v>
      </c>
      <c r="M14" s="38"/>
    </row>
    <row r="15" spans="1:13">
      <c r="A15" s="37"/>
      <c r="B15" s="37"/>
      <c r="C15" s="37"/>
      <c r="D15" s="37"/>
      <c r="E15" s="37"/>
      <c r="F15" s="38"/>
      <c r="G15" s="37"/>
      <c r="H15" s="38"/>
      <c r="I15" s="37"/>
      <c r="J15" s="37"/>
      <c r="K15" s="46" t="s">
        <v>479</v>
      </c>
      <c r="L15" s="68">
        <f>L13-L14</f>
        <v>128.12</v>
      </c>
      <c r="M15" s="38"/>
    </row>
    <row r="16" spans="1:13">
      <c r="A16" s="37"/>
      <c r="B16" s="393" t="s">
        <v>434</v>
      </c>
      <c r="C16" s="393"/>
      <c r="D16" s="37">
        <v>1</v>
      </c>
      <c r="E16" s="37">
        <v>5.2</v>
      </c>
      <c r="F16" s="37"/>
      <c r="G16" s="37">
        <v>5.6</v>
      </c>
      <c r="H16" s="37"/>
      <c r="I16" s="37"/>
      <c r="J16" s="37"/>
      <c r="K16" s="37">
        <f>(E16*G16)+(F16*H16)</f>
        <v>29.119999999999997</v>
      </c>
      <c r="L16" s="38">
        <f t="shared" ref="L16:L40" si="0">K16*D16</f>
        <v>29.119999999999997</v>
      </c>
      <c r="M16" s="38"/>
    </row>
    <row r="17" spans="1:13">
      <c r="A17" s="37"/>
      <c r="B17" s="393" t="s">
        <v>435</v>
      </c>
      <c r="C17" s="393"/>
      <c r="D17" s="37">
        <v>1</v>
      </c>
      <c r="E17" s="37">
        <v>5.2</v>
      </c>
      <c r="F17" s="37"/>
      <c r="G17" s="37">
        <v>5.6</v>
      </c>
      <c r="H17" s="37"/>
      <c r="I17" s="37"/>
      <c r="J17" s="37"/>
      <c r="K17" s="37">
        <f t="shared" ref="K17:K40" si="1">(E17*G17)+(F17*H17)</f>
        <v>29.119999999999997</v>
      </c>
      <c r="L17" s="38">
        <f t="shared" si="0"/>
        <v>29.119999999999997</v>
      </c>
      <c r="M17" s="38"/>
    </row>
    <row r="18" spans="1:13">
      <c r="A18" s="37"/>
      <c r="B18" s="393" t="s">
        <v>436</v>
      </c>
      <c r="C18" s="393"/>
      <c r="D18" s="37">
        <v>1</v>
      </c>
      <c r="E18" s="37">
        <v>5.2</v>
      </c>
      <c r="F18" s="37"/>
      <c r="G18" s="37">
        <v>5.6</v>
      </c>
      <c r="H18" s="37"/>
      <c r="I18" s="37"/>
      <c r="J18" s="37"/>
      <c r="K18" s="37">
        <f t="shared" si="1"/>
        <v>29.119999999999997</v>
      </c>
      <c r="L18" s="38">
        <f t="shared" si="0"/>
        <v>29.119999999999997</v>
      </c>
      <c r="M18" s="38"/>
    </row>
    <row r="19" spans="1:13">
      <c r="A19" s="37"/>
      <c r="B19" s="393" t="s">
        <v>436</v>
      </c>
      <c r="C19" s="393"/>
      <c r="D19" s="37">
        <v>1</v>
      </c>
      <c r="E19" s="37">
        <v>5.2</v>
      </c>
      <c r="F19" s="37"/>
      <c r="G19" s="37">
        <v>5.6</v>
      </c>
      <c r="H19" s="37"/>
      <c r="I19" s="37"/>
      <c r="J19" s="37"/>
      <c r="K19" s="37">
        <f t="shared" si="1"/>
        <v>29.119999999999997</v>
      </c>
      <c r="L19" s="38">
        <f t="shared" si="0"/>
        <v>29.119999999999997</v>
      </c>
      <c r="M19" s="38"/>
    </row>
    <row r="20" spans="1:13">
      <c r="A20" s="37"/>
      <c r="B20" s="393" t="s">
        <v>460</v>
      </c>
      <c r="C20" s="393"/>
      <c r="D20" s="37">
        <v>1</v>
      </c>
      <c r="E20" s="37">
        <v>2</v>
      </c>
      <c r="F20" s="37"/>
      <c r="G20" s="37">
        <v>20</v>
      </c>
      <c r="H20" s="37"/>
      <c r="I20" s="37"/>
      <c r="J20" s="37"/>
      <c r="K20" s="37">
        <f t="shared" si="1"/>
        <v>40</v>
      </c>
      <c r="L20" s="38">
        <f t="shared" si="0"/>
        <v>40</v>
      </c>
      <c r="M20" s="38"/>
    </row>
    <row r="21" spans="1:13" s="42" customFormat="1" ht="14.45" customHeight="1">
      <c r="A21" s="71"/>
      <c r="B21" s="492" t="s">
        <v>439</v>
      </c>
      <c r="C21" s="492"/>
      <c r="D21" s="71">
        <v>1</v>
      </c>
      <c r="E21" s="71">
        <v>2</v>
      </c>
      <c r="F21" s="72"/>
      <c r="G21" s="71">
        <v>34.700000000000003</v>
      </c>
      <c r="H21" s="72"/>
      <c r="I21" s="72"/>
      <c r="J21" s="72"/>
      <c r="K21" s="37">
        <f t="shared" si="1"/>
        <v>69.400000000000006</v>
      </c>
      <c r="L21" s="38">
        <f t="shared" si="0"/>
        <v>69.400000000000006</v>
      </c>
    </row>
    <row r="22" spans="1:13" s="42" customFormat="1" ht="14.45" customHeight="1">
      <c r="A22" s="71"/>
      <c r="B22" s="75"/>
      <c r="C22" s="76"/>
      <c r="D22" s="71"/>
      <c r="E22" s="71"/>
      <c r="F22" s="72"/>
      <c r="G22" s="71"/>
      <c r="H22" s="72"/>
      <c r="I22" s="72"/>
      <c r="J22" s="72"/>
      <c r="K22" s="37">
        <f t="shared" si="1"/>
        <v>0</v>
      </c>
      <c r="L22" s="38">
        <f t="shared" si="0"/>
        <v>0</v>
      </c>
    </row>
    <row r="23" spans="1:13" s="42" customFormat="1" ht="14.45" customHeight="1">
      <c r="A23" s="37"/>
      <c r="B23" s="490" t="s">
        <v>444</v>
      </c>
      <c r="C23" s="491"/>
      <c r="D23" s="37">
        <v>1</v>
      </c>
      <c r="E23" s="37">
        <v>4.3</v>
      </c>
      <c r="F23" s="38"/>
      <c r="G23" s="37">
        <v>3</v>
      </c>
      <c r="H23" s="38"/>
      <c r="I23" s="38"/>
      <c r="J23" s="38"/>
      <c r="K23" s="37">
        <f t="shared" si="1"/>
        <v>12.899999999999999</v>
      </c>
      <c r="L23" s="38">
        <f t="shared" si="0"/>
        <v>12.899999999999999</v>
      </c>
      <c r="M23" s="38"/>
    </row>
    <row r="24" spans="1:13" s="42" customFormat="1" ht="14.45" customHeight="1">
      <c r="A24" s="37"/>
      <c r="B24" s="490" t="s">
        <v>450</v>
      </c>
      <c r="C24" s="491"/>
      <c r="D24" s="37">
        <v>1</v>
      </c>
      <c r="E24" s="37">
        <v>8.6999999999999993</v>
      </c>
      <c r="F24" s="38"/>
      <c r="G24" s="37">
        <v>6</v>
      </c>
      <c r="H24" s="38"/>
      <c r="I24" s="38"/>
      <c r="J24" s="38"/>
      <c r="K24" s="37">
        <f t="shared" si="1"/>
        <v>52.199999999999996</v>
      </c>
      <c r="L24" s="38">
        <f t="shared" si="0"/>
        <v>52.199999999999996</v>
      </c>
      <c r="M24" s="38"/>
    </row>
    <row r="25" spans="1:13" s="42" customFormat="1" ht="14.45" customHeight="1">
      <c r="A25" s="37"/>
      <c r="B25" s="490" t="s">
        <v>455</v>
      </c>
      <c r="C25" s="491"/>
      <c r="D25" s="37">
        <v>1</v>
      </c>
      <c r="E25" s="37">
        <v>7.5</v>
      </c>
      <c r="F25" s="38"/>
      <c r="G25" s="37">
        <v>4</v>
      </c>
      <c r="H25" s="38"/>
      <c r="I25" s="38"/>
      <c r="J25" s="38"/>
      <c r="K25" s="37">
        <f t="shared" si="1"/>
        <v>30</v>
      </c>
      <c r="L25" s="38">
        <f t="shared" si="0"/>
        <v>30</v>
      </c>
      <c r="M25" s="38"/>
    </row>
    <row r="26" spans="1:13" s="42" customFormat="1" ht="14.45" customHeight="1">
      <c r="A26" s="37"/>
      <c r="B26" s="490" t="s">
        <v>443</v>
      </c>
      <c r="C26" s="491"/>
      <c r="D26" s="37">
        <v>1</v>
      </c>
      <c r="E26" s="37">
        <v>14.6</v>
      </c>
      <c r="F26" s="38"/>
      <c r="G26" s="37">
        <v>2.7</v>
      </c>
      <c r="H26" s="38"/>
      <c r="I26" s="38"/>
      <c r="J26" s="38"/>
      <c r="K26" s="37">
        <f t="shared" si="1"/>
        <v>39.42</v>
      </c>
      <c r="L26" s="38">
        <f t="shared" si="0"/>
        <v>39.42</v>
      </c>
      <c r="M26" s="38"/>
    </row>
    <row r="27" spans="1:13" s="42" customFormat="1" ht="14.45" customHeight="1">
      <c r="A27" s="37"/>
      <c r="B27" s="490" t="s">
        <v>442</v>
      </c>
      <c r="C27" s="491"/>
      <c r="D27" s="37">
        <v>1</v>
      </c>
      <c r="E27" s="37">
        <v>6.3</v>
      </c>
      <c r="F27" s="38">
        <v>3.9</v>
      </c>
      <c r="G27" s="37">
        <v>3.9</v>
      </c>
      <c r="H27" s="38">
        <v>1.4</v>
      </c>
      <c r="I27" s="38"/>
      <c r="J27" s="38"/>
      <c r="K27" s="37">
        <f t="shared" si="1"/>
        <v>30.03</v>
      </c>
      <c r="L27" s="38">
        <f t="shared" si="0"/>
        <v>30.03</v>
      </c>
      <c r="M27" s="38"/>
    </row>
    <row r="28" spans="1:13" s="42" customFormat="1" ht="14.45" customHeight="1">
      <c r="A28" s="37"/>
      <c r="B28" s="490" t="s">
        <v>441</v>
      </c>
      <c r="C28" s="491"/>
      <c r="D28" s="37">
        <v>1</v>
      </c>
      <c r="E28" s="37">
        <v>6.3</v>
      </c>
      <c r="F28" s="38"/>
      <c r="G28" s="37">
        <v>3.9</v>
      </c>
      <c r="H28" s="38"/>
      <c r="I28" s="38"/>
      <c r="J28" s="38"/>
      <c r="K28" s="37">
        <f t="shared" si="1"/>
        <v>24.57</v>
      </c>
      <c r="L28" s="38">
        <f t="shared" si="0"/>
        <v>24.57</v>
      </c>
      <c r="M28" s="38"/>
    </row>
    <row r="29" spans="1:13" s="42" customFormat="1" ht="14.45" customHeight="1">
      <c r="A29" s="37"/>
      <c r="B29" s="490" t="s">
        <v>456</v>
      </c>
      <c r="C29" s="491"/>
      <c r="D29" s="37">
        <v>1</v>
      </c>
      <c r="E29" s="37">
        <v>3.2</v>
      </c>
      <c r="F29" s="38"/>
      <c r="G29" s="37">
        <v>3.5</v>
      </c>
      <c r="H29" s="38"/>
      <c r="I29" s="38"/>
      <c r="J29" s="38"/>
      <c r="K29" s="37">
        <f t="shared" si="1"/>
        <v>11.200000000000001</v>
      </c>
      <c r="L29" s="38">
        <f t="shared" si="0"/>
        <v>11.200000000000001</v>
      </c>
      <c r="M29" s="38"/>
    </row>
    <row r="30" spans="1:13" s="42" customFormat="1" ht="14.45" customHeight="1">
      <c r="A30" s="37"/>
      <c r="B30" s="490" t="s">
        <v>457</v>
      </c>
      <c r="C30" s="491"/>
      <c r="D30" s="37">
        <v>1</v>
      </c>
      <c r="E30" s="37">
        <v>5</v>
      </c>
      <c r="F30" s="38"/>
      <c r="G30" s="37">
        <v>4.2</v>
      </c>
      <c r="H30" s="38"/>
      <c r="I30" s="38"/>
      <c r="J30" s="38"/>
      <c r="K30" s="37">
        <f t="shared" si="1"/>
        <v>21</v>
      </c>
      <c r="L30" s="38">
        <f t="shared" si="0"/>
        <v>21</v>
      </c>
      <c r="M30" s="38"/>
    </row>
    <row r="31" spans="1:13" s="42" customFormat="1" ht="14.45" customHeight="1">
      <c r="A31" s="37"/>
      <c r="B31" s="490" t="s">
        <v>446</v>
      </c>
      <c r="C31" s="491"/>
      <c r="D31" s="37">
        <v>1</v>
      </c>
      <c r="E31" s="37">
        <v>3.5</v>
      </c>
      <c r="F31" s="38">
        <v>1.5</v>
      </c>
      <c r="G31" s="37">
        <v>3</v>
      </c>
      <c r="H31" s="38">
        <v>1.6</v>
      </c>
      <c r="I31" s="38"/>
      <c r="J31" s="38"/>
      <c r="K31" s="37">
        <f t="shared" si="1"/>
        <v>12.9</v>
      </c>
      <c r="L31" s="38">
        <f t="shared" si="0"/>
        <v>12.9</v>
      </c>
      <c r="M31" s="38"/>
    </row>
    <row r="32" spans="1:13" s="42" customFormat="1" ht="14.45" customHeight="1">
      <c r="A32" s="37"/>
      <c r="B32" s="490" t="s">
        <v>452</v>
      </c>
      <c r="C32" s="491"/>
      <c r="D32" s="37">
        <v>1</v>
      </c>
      <c r="E32" s="37">
        <v>4.2</v>
      </c>
      <c r="F32" s="38"/>
      <c r="G32" s="37">
        <v>3.1</v>
      </c>
      <c r="H32" s="38"/>
      <c r="I32" s="38"/>
      <c r="J32" s="38"/>
      <c r="K32" s="37">
        <f t="shared" si="1"/>
        <v>13.020000000000001</v>
      </c>
      <c r="L32" s="38">
        <f t="shared" si="0"/>
        <v>13.020000000000001</v>
      </c>
      <c r="M32" s="38"/>
    </row>
    <row r="33" spans="1:13" s="42" customFormat="1" ht="14.45" customHeight="1">
      <c r="A33" s="37"/>
      <c r="B33" s="490" t="s">
        <v>458</v>
      </c>
      <c r="C33" s="491"/>
      <c r="D33" s="37">
        <v>1</v>
      </c>
      <c r="E33" s="37">
        <v>7</v>
      </c>
      <c r="F33" s="38"/>
      <c r="G33" s="37">
        <v>4.5999999999999996</v>
      </c>
      <c r="H33" s="38"/>
      <c r="I33" s="38"/>
      <c r="J33" s="38"/>
      <c r="K33" s="37">
        <f t="shared" si="1"/>
        <v>32.199999999999996</v>
      </c>
      <c r="L33" s="38">
        <f t="shared" si="0"/>
        <v>32.199999999999996</v>
      </c>
      <c r="M33" s="38"/>
    </row>
    <row r="34" spans="1:13" s="42" customFormat="1" ht="14.45" customHeight="1">
      <c r="A34" s="37"/>
      <c r="B34" s="490" t="s">
        <v>459</v>
      </c>
      <c r="C34" s="491"/>
      <c r="D34" s="37">
        <v>1</v>
      </c>
      <c r="E34" s="37">
        <v>3.7</v>
      </c>
      <c r="F34" s="38"/>
      <c r="G34" s="37">
        <v>4.2</v>
      </c>
      <c r="H34" s="38"/>
      <c r="I34" s="38"/>
      <c r="J34" s="38"/>
      <c r="K34" s="37">
        <f t="shared" si="1"/>
        <v>15.540000000000001</v>
      </c>
      <c r="L34" s="38">
        <f t="shared" si="0"/>
        <v>15.540000000000001</v>
      </c>
      <c r="M34" s="38"/>
    </row>
    <row r="35" spans="1:13" s="42" customFormat="1" ht="14.45" customHeight="1">
      <c r="A35" s="37"/>
      <c r="B35" s="490" t="s">
        <v>448</v>
      </c>
      <c r="C35" s="491"/>
      <c r="D35" s="37">
        <v>1</v>
      </c>
      <c r="E35" s="37">
        <v>34.700000000000003</v>
      </c>
      <c r="F35" s="38"/>
      <c r="G35" s="37">
        <v>1.9</v>
      </c>
      <c r="H35" s="38"/>
      <c r="I35" s="38"/>
      <c r="J35" s="38"/>
      <c r="K35" s="37">
        <f t="shared" si="1"/>
        <v>65.930000000000007</v>
      </c>
      <c r="L35" s="38">
        <f t="shared" si="0"/>
        <v>65.930000000000007</v>
      </c>
      <c r="M35" s="38"/>
    </row>
    <row r="36" spans="1:13" s="42" customFormat="1" ht="14.45" customHeight="1">
      <c r="A36" s="37"/>
      <c r="B36" s="490" t="s">
        <v>461</v>
      </c>
      <c r="C36" s="491"/>
      <c r="D36" s="37">
        <v>1</v>
      </c>
      <c r="E36" s="37">
        <v>3.5</v>
      </c>
      <c r="F36" s="38"/>
      <c r="G36" s="37">
        <v>2.7</v>
      </c>
      <c r="H36" s="38"/>
      <c r="I36" s="38"/>
      <c r="J36" s="38"/>
      <c r="K36" s="37">
        <f t="shared" si="1"/>
        <v>9.4500000000000011</v>
      </c>
      <c r="L36" s="38">
        <f t="shared" si="0"/>
        <v>9.4500000000000011</v>
      </c>
      <c r="M36" s="38"/>
    </row>
    <row r="37" spans="1:13" s="42" customFormat="1" ht="14.45" customHeight="1">
      <c r="A37" s="37"/>
      <c r="B37" s="490" t="s">
        <v>447</v>
      </c>
      <c r="C37" s="491"/>
      <c r="D37" s="37">
        <v>1</v>
      </c>
      <c r="E37" s="37">
        <v>3.4</v>
      </c>
      <c r="F37" s="38">
        <v>2.2000000000000002</v>
      </c>
      <c r="G37" s="37">
        <v>3.1</v>
      </c>
      <c r="H37" s="38">
        <v>1</v>
      </c>
      <c r="I37" s="38"/>
      <c r="J37" s="38"/>
      <c r="K37" s="37">
        <f t="shared" si="1"/>
        <v>12.739999999999998</v>
      </c>
      <c r="L37" s="38">
        <f t="shared" si="0"/>
        <v>12.739999999999998</v>
      </c>
      <c r="M37" s="38"/>
    </row>
    <row r="38" spans="1:13" s="42" customFormat="1" ht="14.45" customHeight="1">
      <c r="A38" s="37"/>
      <c r="B38" s="490" t="s">
        <v>451</v>
      </c>
      <c r="C38" s="491"/>
      <c r="D38" s="37">
        <v>1</v>
      </c>
      <c r="E38" s="37">
        <v>2.2000000000000002</v>
      </c>
      <c r="F38" s="38"/>
      <c r="G38" s="37">
        <v>1</v>
      </c>
      <c r="H38" s="38"/>
      <c r="I38" s="38"/>
      <c r="J38" s="38"/>
      <c r="K38" s="37">
        <f t="shared" si="1"/>
        <v>2.2000000000000002</v>
      </c>
      <c r="L38" s="38">
        <f t="shared" si="0"/>
        <v>2.2000000000000002</v>
      </c>
      <c r="M38" s="38"/>
    </row>
    <row r="39" spans="1:13" s="42" customFormat="1" ht="14.45" customHeight="1">
      <c r="A39" s="37"/>
      <c r="B39" s="490" t="s">
        <v>451</v>
      </c>
      <c r="C39" s="491"/>
      <c r="D39" s="37">
        <v>1</v>
      </c>
      <c r="E39" s="37">
        <v>5.9</v>
      </c>
      <c r="F39" s="38"/>
      <c r="G39" s="37">
        <v>4.5</v>
      </c>
      <c r="H39" s="38"/>
      <c r="I39" s="38"/>
      <c r="J39" s="38"/>
      <c r="K39" s="37">
        <f t="shared" si="1"/>
        <v>26.55</v>
      </c>
      <c r="L39" s="38">
        <f t="shared" si="0"/>
        <v>26.55</v>
      </c>
      <c r="M39" s="38"/>
    </row>
    <row r="40" spans="1:13" s="42" customFormat="1" ht="14.45" customHeight="1">
      <c r="A40" s="37"/>
      <c r="B40" s="490" t="s">
        <v>437</v>
      </c>
      <c r="C40" s="491"/>
      <c r="D40" s="37">
        <v>1</v>
      </c>
      <c r="E40" s="37">
        <v>15</v>
      </c>
      <c r="F40" s="38"/>
      <c r="G40" s="37">
        <v>6.6</v>
      </c>
      <c r="H40" s="38"/>
      <c r="I40" s="38"/>
      <c r="J40" s="38"/>
      <c r="K40" s="37">
        <f t="shared" si="1"/>
        <v>99</v>
      </c>
      <c r="L40" s="38">
        <f t="shared" si="0"/>
        <v>99</v>
      </c>
      <c r="M40" s="38"/>
    </row>
    <row r="41" spans="1:13" s="42" customFormat="1" ht="14.45" customHeight="1">
      <c r="A41" s="37"/>
      <c r="B41" s="73"/>
      <c r="C41" s="74"/>
      <c r="D41" s="37"/>
      <c r="E41" s="37"/>
      <c r="F41" s="38"/>
      <c r="G41" s="37"/>
      <c r="H41" s="38"/>
      <c r="I41" s="38"/>
      <c r="J41" s="38"/>
      <c r="K41" s="37"/>
      <c r="L41" s="38"/>
      <c r="M41" s="38"/>
    </row>
    <row r="42" spans="1:13" ht="15" customHeight="1">
      <c r="D42" s="44"/>
      <c r="E42" s="44"/>
      <c r="F42" s="44"/>
      <c r="G42" s="44"/>
      <c r="H42" s="44"/>
      <c r="I42" s="44"/>
      <c r="J42" s="44"/>
      <c r="K42" s="44"/>
      <c r="L42" s="44"/>
    </row>
    <row r="43" spans="1:13" ht="15.75" thickBot="1"/>
    <row r="44" spans="1:13">
      <c r="A44" s="79">
        <f>[6]BM_05!A51</f>
        <v>5</v>
      </c>
      <c r="B44" s="488" t="str">
        <f>[6]BM_05!B51</f>
        <v>COBERTURAS E PROTEÇÕES</v>
      </c>
      <c r="C44" s="489"/>
      <c r="D44" s="489"/>
      <c r="E44" s="489"/>
      <c r="F44" s="489"/>
      <c r="G44" s="489"/>
      <c r="H44" s="489"/>
      <c r="I44" s="489"/>
      <c r="J44" s="489"/>
      <c r="K44" s="489"/>
      <c r="L44" s="35"/>
      <c r="M44" s="80"/>
    </row>
    <row r="45" spans="1:13" ht="25.15" customHeight="1" thickBot="1">
      <c r="I45" s="41"/>
    </row>
    <row r="46" spans="1:13" ht="24.6" customHeight="1">
      <c r="A46" s="79" t="str">
        <f>[6]BM_05!A52</f>
        <v>5.1</v>
      </c>
      <c r="B46" s="484" t="str">
        <f>[6]BM_05!B52</f>
        <v>TRAMA DE MADEIRA COMPOSTA POR RIPAS, CAIBROS E TERÇAS PARA TELHADOS DE ATÉ 2 ÁGUAS PARA TELHA DE ENCAIXE DE CERÂMICA OU DE CONCRETO, INCLUSO TRANSPORTE VERTICAL. AF_07/2019</v>
      </c>
      <c r="C46" s="485"/>
      <c r="D46" s="485"/>
      <c r="E46" s="485"/>
      <c r="F46" s="485"/>
      <c r="G46" s="485"/>
      <c r="H46" s="485"/>
      <c r="I46" s="485"/>
      <c r="J46" s="485"/>
      <c r="K46" s="485"/>
      <c r="L46" s="35"/>
      <c r="M46" s="80"/>
    </row>
    <row r="47" spans="1:13">
      <c r="A47" s="62"/>
      <c r="B47" s="47"/>
      <c r="C47" s="47"/>
      <c r="D47" s="47"/>
      <c r="E47" s="47"/>
      <c r="F47" s="47"/>
      <c r="G47" s="69"/>
      <c r="H47" s="47"/>
      <c r="I47" s="47"/>
      <c r="J47" s="47"/>
      <c r="K47" s="61" t="s">
        <v>479</v>
      </c>
      <c r="L47" s="59">
        <f>SUM(L48:L51)</f>
        <v>150.02999999999997</v>
      </c>
    </row>
    <row r="48" spans="1:13">
      <c r="A48" s="62"/>
      <c r="B48" s="483" t="s">
        <v>480</v>
      </c>
      <c r="C48" s="483"/>
      <c r="D48" s="60">
        <v>1</v>
      </c>
      <c r="E48" s="60">
        <v>8.6</v>
      </c>
      <c r="F48" s="60"/>
      <c r="G48" s="60">
        <v>13.2</v>
      </c>
      <c r="H48" s="60"/>
      <c r="I48" s="60"/>
      <c r="J48" s="60"/>
      <c r="K48" s="60">
        <f>E48*G48</f>
        <v>113.52</v>
      </c>
      <c r="L48" s="60">
        <f>K48*D48</f>
        <v>113.52</v>
      </c>
    </row>
    <row r="49" spans="1:13">
      <c r="A49" s="62"/>
      <c r="B49" s="483" t="s">
        <v>470</v>
      </c>
      <c r="C49" s="483"/>
      <c r="D49" s="60">
        <v>1</v>
      </c>
      <c r="E49" s="60">
        <v>1.6</v>
      </c>
      <c r="F49" s="60"/>
      <c r="G49" s="60">
        <v>2.2000000000000002</v>
      </c>
      <c r="H49" s="60"/>
      <c r="I49" s="60"/>
      <c r="J49" s="60"/>
      <c r="K49" s="60">
        <f>E49*G49</f>
        <v>3.5200000000000005</v>
      </c>
      <c r="L49" s="60">
        <f>K49*D49</f>
        <v>3.5200000000000005</v>
      </c>
    </row>
    <row r="50" spans="1:13">
      <c r="A50" s="62"/>
      <c r="B50" s="483" t="s">
        <v>481</v>
      </c>
      <c r="C50" s="483"/>
      <c r="D50" s="60">
        <v>1</v>
      </c>
      <c r="E50" s="60">
        <v>4.4000000000000004</v>
      </c>
      <c r="F50" s="60"/>
      <c r="G50" s="60">
        <v>2.8</v>
      </c>
      <c r="H50" s="60"/>
      <c r="I50" s="60"/>
      <c r="J50" s="60"/>
      <c r="K50" s="60">
        <f>E50*G50</f>
        <v>12.32</v>
      </c>
      <c r="L50" s="60">
        <f>K50*D50</f>
        <v>12.32</v>
      </c>
    </row>
    <row r="51" spans="1:13">
      <c r="A51" s="62"/>
      <c r="B51" s="483" t="s">
        <v>482</v>
      </c>
      <c r="C51" s="483"/>
      <c r="D51" s="60">
        <v>1</v>
      </c>
      <c r="E51" s="60">
        <v>5.3</v>
      </c>
      <c r="F51" s="47"/>
      <c r="G51" s="60">
        <v>3.9</v>
      </c>
      <c r="H51" s="47"/>
      <c r="I51" s="47"/>
      <c r="J51" s="47"/>
      <c r="K51" s="60">
        <f>E51*G51</f>
        <v>20.669999999999998</v>
      </c>
      <c r="L51" s="60">
        <f>K51*D51</f>
        <v>20.669999999999998</v>
      </c>
    </row>
    <row r="52" spans="1:13" ht="15.75" thickBot="1">
      <c r="A52" s="82"/>
      <c r="B52" s="83"/>
      <c r="C52" s="83"/>
      <c r="D52" s="83"/>
      <c r="E52" s="83"/>
      <c r="F52" s="83"/>
      <c r="G52" s="84"/>
      <c r="H52" s="83"/>
      <c r="I52" s="83"/>
      <c r="J52" s="83"/>
      <c r="K52" s="83"/>
      <c r="L52" s="83"/>
    </row>
    <row r="53" spans="1:13" ht="21.6" customHeight="1">
      <c r="A53" s="79" t="s">
        <v>58</v>
      </c>
      <c r="B53" s="484" t="str">
        <f>[6]BM_05!B53</f>
        <v>TELHAMENTO COM TELHA CERÂMICA CAPA-CANAL, TIPO COLONIAL, COM ATÉ 2 ÁGUAS, INCLUSO TRANSPORTE VERTICAL. AF_07/2019</v>
      </c>
      <c r="C53" s="485"/>
      <c r="D53" s="485"/>
      <c r="E53" s="485"/>
      <c r="F53" s="485"/>
      <c r="G53" s="485"/>
      <c r="H53" s="485"/>
      <c r="I53" s="485"/>
      <c r="J53" s="485"/>
      <c r="K53" s="485"/>
      <c r="L53" s="35"/>
      <c r="M53" s="80"/>
    </row>
    <row r="54" spans="1:13">
      <c r="A54" s="62"/>
      <c r="B54" s="47"/>
      <c r="C54" s="47"/>
      <c r="D54" s="47"/>
      <c r="E54" s="47"/>
      <c r="F54" s="47"/>
      <c r="G54" s="69"/>
      <c r="H54" s="47"/>
      <c r="I54" s="47"/>
      <c r="J54" s="47"/>
      <c r="K54" s="61" t="s">
        <v>479</v>
      </c>
      <c r="L54" s="59">
        <f>SUM(L55:L58)</f>
        <v>150.02999999999997</v>
      </c>
    </row>
    <row r="55" spans="1:13">
      <c r="A55" s="62"/>
      <c r="B55" s="483" t="s">
        <v>480</v>
      </c>
      <c r="C55" s="483"/>
      <c r="D55" s="60">
        <v>1</v>
      </c>
      <c r="E55" s="60">
        <v>8.6</v>
      </c>
      <c r="F55" s="60"/>
      <c r="G55" s="60">
        <v>13.2</v>
      </c>
      <c r="H55" s="60"/>
      <c r="I55" s="60"/>
      <c r="J55" s="60"/>
      <c r="K55" s="60">
        <f>E55*G55</f>
        <v>113.52</v>
      </c>
      <c r="L55" s="60">
        <f>K55*D55</f>
        <v>113.52</v>
      </c>
    </row>
    <row r="56" spans="1:13">
      <c r="A56" s="62"/>
      <c r="B56" s="483" t="s">
        <v>470</v>
      </c>
      <c r="C56" s="483"/>
      <c r="D56" s="60">
        <v>1</v>
      </c>
      <c r="E56" s="60">
        <v>1.6</v>
      </c>
      <c r="F56" s="60"/>
      <c r="G56" s="60">
        <v>2.2000000000000002</v>
      </c>
      <c r="H56" s="60"/>
      <c r="I56" s="60"/>
      <c r="J56" s="60"/>
      <c r="K56" s="60">
        <f>E56*G56</f>
        <v>3.5200000000000005</v>
      </c>
      <c r="L56" s="60">
        <f>K56*D56</f>
        <v>3.5200000000000005</v>
      </c>
    </row>
    <row r="57" spans="1:13">
      <c r="A57" s="62"/>
      <c r="B57" s="483" t="s">
        <v>481</v>
      </c>
      <c r="C57" s="483"/>
      <c r="D57" s="60">
        <v>1</v>
      </c>
      <c r="E57" s="60">
        <v>4.4000000000000004</v>
      </c>
      <c r="F57" s="60"/>
      <c r="G57" s="60">
        <v>2.8</v>
      </c>
      <c r="H57" s="60"/>
      <c r="I57" s="60"/>
      <c r="J57" s="60"/>
      <c r="K57" s="60">
        <f>E57*G57</f>
        <v>12.32</v>
      </c>
      <c r="L57" s="60">
        <f>K57*D57</f>
        <v>12.32</v>
      </c>
    </row>
    <row r="58" spans="1:13">
      <c r="A58" s="62"/>
      <c r="B58" s="483" t="s">
        <v>482</v>
      </c>
      <c r="C58" s="483"/>
      <c r="D58" s="60">
        <v>1</v>
      </c>
      <c r="E58" s="60">
        <v>5.3</v>
      </c>
      <c r="F58" s="47"/>
      <c r="G58" s="60">
        <v>3.9</v>
      </c>
      <c r="H58" s="47"/>
      <c r="I58" s="47"/>
      <c r="J58" s="47"/>
      <c r="K58" s="60">
        <f>E58*G58</f>
        <v>20.669999999999998</v>
      </c>
      <c r="L58" s="60">
        <f>K58*D58</f>
        <v>20.669999999999998</v>
      </c>
    </row>
    <row r="59" spans="1:13">
      <c r="A59" s="82"/>
      <c r="B59" s="83"/>
      <c r="C59" s="83"/>
      <c r="D59" s="83"/>
      <c r="E59" s="83"/>
      <c r="F59" s="83"/>
      <c r="G59" s="84"/>
      <c r="H59" s="83"/>
      <c r="I59" s="83"/>
      <c r="J59" s="83"/>
      <c r="K59" s="83"/>
      <c r="L59" s="83"/>
    </row>
    <row r="60" spans="1:13" ht="14.45" customHeight="1" thickBot="1"/>
    <row r="61" spans="1:13" ht="15.75" thickBot="1">
      <c r="A61" s="79">
        <f>[6]BM_05!A83</f>
        <v>8</v>
      </c>
      <c r="B61" s="488" t="str">
        <f>[6]BM_05!B83</f>
        <v>PAVIMENTAÇÃO</v>
      </c>
      <c r="C61" s="489"/>
      <c r="D61" s="489"/>
      <c r="E61" s="489"/>
      <c r="F61" s="489"/>
      <c r="G61" s="489"/>
      <c r="H61" s="489"/>
      <c r="I61" s="489"/>
      <c r="J61" s="489"/>
      <c r="K61" s="489"/>
      <c r="L61" s="35"/>
      <c r="M61" s="80"/>
    </row>
    <row r="62" spans="1:13" ht="21.6" customHeight="1" thickBot="1">
      <c r="A62" s="70" t="str">
        <f>[6]BM_05!A84</f>
        <v>8.1</v>
      </c>
      <c r="B62" s="486" t="str">
        <f>[6]BM_05!B84</f>
        <v>CONTRAPISO EM ARGAMASSA TRAÇO 1:4 (CIMENTO E AREIA), PREPARO MECÂNICO COM BETONEIRA 400 L, APLICADO EM ÁREAS SECAS SOBRE LAJE, ADERIDO, ACABAMENTO NÃO REFORÇADO, ESPESSURA 2CM. AF_07/2021</v>
      </c>
      <c r="C62" s="487"/>
      <c r="D62" s="487"/>
      <c r="E62" s="487"/>
      <c r="F62" s="487"/>
      <c r="G62" s="487"/>
      <c r="H62" s="487"/>
      <c r="I62" s="487"/>
      <c r="J62" s="487"/>
      <c r="K62" s="487"/>
      <c r="L62" s="52"/>
      <c r="M62" s="36"/>
    </row>
    <row r="63" spans="1:13">
      <c r="L63" s="45"/>
    </row>
    <row r="64" spans="1:13">
      <c r="B64" s="37"/>
      <c r="C64" s="37"/>
      <c r="D64" s="37"/>
      <c r="E64" s="37"/>
      <c r="F64" s="38" t="s">
        <v>462</v>
      </c>
      <c r="G64" s="37"/>
      <c r="H64" s="38" t="s">
        <v>462</v>
      </c>
      <c r="I64" s="37"/>
      <c r="J64" s="37"/>
      <c r="K64" s="46" t="s">
        <v>453</v>
      </c>
      <c r="L64" s="68">
        <f>SUM(L67:L91)</f>
        <v>736.73</v>
      </c>
    </row>
    <row r="65" spans="2:12">
      <c r="B65" s="37"/>
      <c r="C65" s="37"/>
      <c r="D65" s="37"/>
      <c r="E65" s="37"/>
      <c r="F65" s="38"/>
      <c r="G65" s="37"/>
      <c r="H65" s="38"/>
      <c r="I65" s="37"/>
      <c r="J65" s="37"/>
      <c r="K65" s="46" t="s">
        <v>454</v>
      </c>
      <c r="L65" s="68">
        <v>231.18</v>
      </c>
    </row>
    <row r="66" spans="2:12">
      <c r="B66" s="37"/>
      <c r="C66" s="37"/>
      <c r="D66" s="37"/>
      <c r="E66" s="37"/>
      <c r="F66" s="38"/>
      <c r="G66" s="37"/>
      <c r="H66" s="38"/>
      <c r="I66" s="37"/>
      <c r="J66" s="37"/>
      <c r="K66" s="46" t="s">
        <v>479</v>
      </c>
      <c r="L66" s="68">
        <f>L64-L65</f>
        <v>505.55</v>
      </c>
    </row>
    <row r="67" spans="2:12">
      <c r="B67" s="393" t="s">
        <v>434</v>
      </c>
      <c r="C67" s="393"/>
      <c r="D67" s="37">
        <v>1</v>
      </c>
      <c r="E67" s="37">
        <v>5.2</v>
      </c>
      <c r="F67" s="37"/>
      <c r="G67" s="37">
        <v>5.6</v>
      </c>
      <c r="H67" s="37"/>
      <c r="I67" s="37"/>
      <c r="J67" s="37"/>
      <c r="K67" s="37">
        <f>(E67*G67)+(F67*H67)</f>
        <v>29.119999999999997</v>
      </c>
      <c r="L67" s="38">
        <f t="shared" ref="L67:L91" si="2">K67*D67</f>
        <v>29.119999999999997</v>
      </c>
    </row>
    <row r="68" spans="2:12">
      <c r="B68" s="393" t="s">
        <v>435</v>
      </c>
      <c r="C68" s="393"/>
      <c r="D68" s="37">
        <v>1</v>
      </c>
      <c r="E68" s="37">
        <v>5.2</v>
      </c>
      <c r="F68" s="37"/>
      <c r="G68" s="37">
        <v>5.6</v>
      </c>
      <c r="H68" s="37"/>
      <c r="I68" s="37"/>
      <c r="J68" s="37"/>
      <c r="K68" s="37">
        <f t="shared" ref="K68:K91" si="3">(E68*G68)+(F68*H68)</f>
        <v>29.119999999999997</v>
      </c>
      <c r="L68" s="38">
        <f t="shared" si="2"/>
        <v>29.119999999999997</v>
      </c>
    </row>
    <row r="69" spans="2:12">
      <c r="B69" s="393" t="s">
        <v>436</v>
      </c>
      <c r="C69" s="393"/>
      <c r="D69" s="37">
        <v>1</v>
      </c>
      <c r="E69" s="37">
        <v>5.2</v>
      </c>
      <c r="F69" s="37"/>
      <c r="G69" s="37">
        <v>5.6</v>
      </c>
      <c r="H69" s="37"/>
      <c r="I69" s="37"/>
      <c r="J69" s="37"/>
      <c r="K69" s="37">
        <f t="shared" si="3"/>
        <v>29.119999999999997</v>
      </c>
      <c r="L69" s="38">
        <f t="shared" si="2"/>
        <v>29.119999999999997</v>
      </c>
    </row>
    <row r="70" spans="2:12">
      <c r="B70" s="393" t="s">
        <v>436</v>
      </c>
      <c r="C70" s="393"/>
      <c r="D70" s="37">
        <v>1</v>
      </c>
      <c r="E70" s="37">
        <v>5.2</v>
      </c>
      <c r="F70" s="37"/>
      <c r="G70" s="37">
        <v>5.6</v>
      </c>
      <c r="H70" s="37"/>
      <c r="I70" s="37"/>
      <c r="J70" s="37"/>
      <c r="K70" s="37">
        <f t="shared" si="3"/>
        <v>29.119999999999997</v>
      </c>
      <c r="L70" s="38">
        <f t="shared" si="2"/>
        <v>29.119999999999997</v>
      </c>
    </row>
    <row r="71" spans="2:12">
      <c r="B71" s="393" t="s">
        <v>460</v>
      </c>
      <c r="C71" s="393"/>
      <c r="D71" s="37">
        <v>1</v>
      </c>
      <c r="E71" s="37">
        <v>2</v>
      </c>
      <c r="F71" s="37"/>
      <c r="G71" s="37">
        <v>20</v>
      </c>
      <c r="H71" s="37"/>
      <c r="I71" s="37"/>
      <c r="J71" s="37"/>
      <c r="K71" s="37">
        <f t="shared" si="3"/>
        <v>40</v>
      </c>
      <c r="L71" s="38">
        <f t="shared" si="2"/>
        <v>40</v>
      </c>
    </row>
    <row r="72" spans="2:12">
      <c r="B72" s="492" t="s">
        <v>439</v>
      </c>
      <c r="C72" s="492"/>
      <c r="D72" s="71">
        <v>1</v>
      </c>
      <c r="E72" s="71">
        <v>2</v>
      </c>
      <c r="F72" s="72"/>
      <c r="G72" s="71">
        <v>34.700000000000003</v>
      </c>
      <c r="H72" s="72"/>
      <c r="I72" s="72"/>
      <c r="J72" s="72"/>
      <c r="K72" s="37">
        <f t="shared" si="3"/>
        <v>69.400000000000006</v>
      </c>
      <c r="L72" s="38">
        <f t="shared" si="2"/>
        <v>69.400000000000006</v>
      </c>
    </row>
    <row r="73" spans="2:12">
      <c r="B73" s="75"/>
      <c r="C73" s="76"/>
      <c r="D73" s="71"/>
      <c r="E73" s="71"/>
      <c r="F73" s="72"/>
      <c r="G73" s="71"/>
      <c r="H73" s="72"/>
      <c r="I73" s="72"/>
      <c r="J73" s="72"/>
      <c r="K73" s="37">
        <f t="shared" si="3"/>
        <v>0</v>
      </c>
      <c r="L73" s="38">
        <f t="shared" si="2"/>
        <v>0</v>
      </c>
    </row>
    <row r="74" spans="2:12">
      <c r="B74" s="490" t="s">
        <v>444</v>
      </c>
      <c r="C74" s="491"/>
      <c r="D74" s="37">
        <v>1</v>
      </c>
      <c r="E74" s="37">
        <v>4.3</v>
      </c>
      <c r="F74" s="38"/>
      <c r="G74" s="37">
        <v>3</v>
      </c>
      <c r="H74" s="38"/>
      <c r="I74" s="38"/>
      <c r="J74" s="38"/>
      <c r="K74" s="37">
        <f t="shared" si="3"/>
        <v>12.899999999999999</v>
      </c>
      <c r="L74" s="38">
        <f t="shared" si="2"/>
        <v>12.899999999999999</v>
      </c>
    </row>
    <row r="75" spans="2:12">
      <c r="B75" s="490" t="s">
        <v>450</v>
      </c>
      <c r="C75" s="491"/>
      <c r="D75" s="37">
        <v>1</v>
      </c>
      <c r="E75" s="37">
        <v>8.6999999999999993</v>
      </c>
      <c r="F75" s="38"/>
      <c r="G75" s="37">
        <v>6</v>
      </c>
      <c r="H75" s="38"/>
      <c r="I75" s="38"/>
      <c r="J75" s="38"/>
      <c r="K75" s="37">
        <f t="shared" si="3"/>
        <v>52.199999999999996</v>
      </c>
      <c r="L75" s="38">
        <f t="shared" si="2"/>
        <v>52.199999999999996</v>
      </c>
    </row>
    <row r="76" spans="2:12">
      <c r="B76" s="490" t="s">
        <v>455</v>
      </c>
      <c r="C76" s="491"/>
      <c r="D76" s="37">
        <v>1</v>
      </c>
      <c r="E76" s="37">
        <v>7.5</v>
      </c>
      <c r="F76" s="38"/>
      <c r="G76" s="37">
        <v>4</v>
      </c>
      <c r="H76" s="38"/>
      <c r="I76" s="38"/>
      <c r="J76" s="38"/>
      <c r="K76" s="37">
        <f t="shared" si="3"/>
        <v>30</v>
      </c>
      <c r="L76" s="38">
        <f t="shared" si="2"/>
        <v>30</v>
      </c>
    </row>
    <row r="77" spans="2:12">
      <c r="B77" s="490" t="s">
        <v>443</v>
      </c>
      <c r="C77" s="491"/>
      <c r="D77" s="37">
        <v>1</v>
      </c>
      <c r="E77" s="37">
        <v>14.6</v>
      </c>
      <c r="F77" s="38"/>
      <c r="G77" s="37">
        <v>2.7</v>
      </c>
      <c r="H77" s="38"/>
      <c r="I77" s="38"/>
      <c r="J77" s="38"/>
      <c r="K77" s="37">
        <f t="shared" si="3"/>
        <v>39.42</v>
      </c>
      <c r="L77" s="38">
        <f t="shared" si="2"/>
        <v>39.42</v>
      </c>
    </row>
    <row r="78" spans="2:12">
      <c r="B78" s="490" t="s">
        <v>442</v>
      </c>
      <c r="C78" s="491"/>
      <c r="D78" s="37">
        <v>1</v>
      </c>
      <c r="E78" s="37">
        <v>6.3</v>
      </c>
      <c r="F78" s="38">
        <v>3.9</v>
      </c>
      <c r="G78" s="37">
        <v>3.9</v>
      </c>
      <c r="H78" s="38">
        <v>1.4</v>
      </c>
      <c r="I78" s="38"/>
      <c r="J78" s="38"/>
      <c r="K78" s="37">
        <f t="shared" si="3"/>
        <v>30.03</v>
      </c>
      <c r="L78" s="38">
        <f t="shared" si="2"/>
        <v>30.03</v>
      </c>
    </row>
    <row r="79" spans="2:12">
      <c r="B79" s="490" t="s">
        <v>441</v>
      </c>
      <c r="C79" s="491"/>
      <c r="D79" s="37">
        <v>1</v>
      </c>
      <c r="E79" s="37">
        <v>6.3</v>
      </c>
      <c r="F79" s="38"/>
      <c r="G79" s="37">
        <v>3.9</v>
      </c>
      <c r="H79" s="38"/>
      <c r="I79" s="38"/>
      <c r="J79" s="38"/>
      <c r="K79" s="37">
        <f t="shared" si="3"/>
        <v>24.57</v>
      </c>
      <c r="L79" s="38">
        <f t="shared" si="2"/>
        <v>24.57</v>
      </c>
    </row>
    <row r="80" spans="2:12">
      <c r="B80" s="490" t="s">
        <v>456</v>
      </c>
      <c r="C80" s="491"/>
      <c r="D80" s="37">
        <v>1</v>
      </c>
      <c r="E80" s="37">
        <v>3.2</v>
      </c>
      <c r="F80" s="38"/>
      <c r="G80" s="37">
        <v>3.5</v>
      </c>
      <c r="H80" s="38"/>
      <c r="I80" s="38"/>
      <c r="J80" s="38"/>
      <c r="K80" s="37">
        <f t="shared" si="3"/>
        <v>11.200000000000001</v>
      </c>
      <c r="L80" s="38">
        <f t="shared" si="2"/>
        <v>11.200000000000001</v>
      </c>
    </row>
    <row r="81" spans="1:13">
      <c r="B81" s="490" t="s">
        <v>457</v>
      </c>
      <c r="C81" s="491"/>
      <c r="D81" s="37">
        <v>1</v>
      </c>
      <c r="E81" s="37">
        <v>5</v>
      </c>
      <c r="F81" s="38"/>
      <c r="G81" s="37">
        <v>4.2</v>
      </c>
      <c r="H81" s="38"/>
      <c r="I81" s="38"/>
      <c r="J81" s="38"/>
      <c r="K81" s="37">
        <f t="shared" si="3"/>
        <v>21</v>
      </c>
      <c r="L81" s="38">
        <f t="shared" si="2"/>
        <v>21</v>
      </c>
    </row>
    <row r="82" spans="1:13">
      <c r="B82" s="490" t="s">
        <v>446</v>
      </c>
      <c r="C82" s="491"/>
      <c r="D82" s="37">
        <v>1</v>
      </c>
      <c r="E82" s="37">
        <v>3.5</v>
      </c>
      <c r="F82" s="38">
        <v>1.5</v>
      </c>
      <c r="G82" s="37">
        <v>3</v>
      </c>
      <c r="H82" s="38">
        <v>1.6</v>
      </c>
      <c r="I82" s="38"/>
      <c r="J82" s="38"/>
      <c r="K82" s="37">
        <f t="shared" si="3"/>
        <v>12.9</v>
      </c>
      <c r="L82" s="38">
        <f t="shared" si="2"/>
        <v>12.9</v>
      </c>
    </row>
    <row r="83" spans="1:13">
      <c r="B83" s="490" t="s">
        <v>452</v>
      </c>
      <c r="C83" s="491"/>
      <c r="D83" s="37">
        <v>1</v>
      </c>
      <c r="E83" s="37">
        <v>4.2</v>
      </c>
      <c r="F83" s="38"/>
      <c r="G83" s="37">
        <v>3.1</v>
      </c>
      <c r="H83" s="38"/>
      <c r="I83" s="38"/>
      <c r="J83" s="38"/>
      <c r="K83" s="37">
        <f t="shared" si="3"/>
        <v>13.020000000000001</v>
      </c>
      <c r="L83" s="38">
        <f t="shared" si="2"/>
        <v>13.020000000000001</v>
      </c>
    </row>
    <row r="84" spans="1:13">
      <c r="B84" s="490" t="s">
        <v>458</v>
      </c>
      <c r="C84" s="491"/>
      <c r="D84" s="37">
        <v>1</v>
      </c>
      <c r="E84" s="37">
        <v>7</v>
      </c>
      <c r="F84" s="38"/>
      <c r="G84" s="37">
        <v>4.5999999999999996</v>
      </c>
      <c r="H84" s="38"/>
      <c r="I84" s="38"/>
      <c r="J84" s="38"/>
      <c r="K84" s="37">
        <f t="shared" si="3"/>
        <v>32.199999999999996</v>
      </c>
      <c r="L84" s="38">
        <f t="shared" si="2"/>
        <v>32.199999999999996</v>
      </c>
    </row>
    <row r="85" spans="1:13">
      <c r="B85" s="490" t="s">
        <v>459</v>
      </c>
      <c r="C85" s="491"/>
      <c r="D85" s="37">
        <v>1</v>
      </c>
      <c r="E85" s="37">
        <v>3.7</v>
      </c>
      <c r="F85" s="38"/>
      <c r="G85" s="37">
        <v>4.2</v>
      </c>
      <c r="H85" s="38"/>
      <c r="I85" s="38"/>
      <c r="J85" s="38"/>
      <c r="K85" s="37">
        <f t="shared" si="3"/>
        <v>15.540000000000001</v>
      </c>
      <c r="L85" s="38">
        <f t="shared" si="2"/>
        <v>15.540000000000001</v>
      </c>
    </row>
    <row r="86" spans="1:13">
      <c r="B86" s="490" t="s">
        <v>448</v>
      </c>
      <c r="C86" s="491"/>
      <c r="D86" s="37">
        <v>1</v>
      </c>
      <c r="E86" s="37">
        <v>34.700000000000003</v>
      </c>
      <c r="F86" s="38"/>
      <c r="G86" s="37">
        <v>1.9</v>
      </c>
      <c r="H86" s="38"/>
      <c r="I86" s="38"/>
      <c r="J86" s="38"/>
      <c r="K86" s="37">
        <f t="shared" si="3"/>
        <v>65.930000000000007</v>
      </c>
      <c r="L86" s="38">
        <f t="shared" si="2"/>
        <v>65.930000000000007</v>
      </c>
    </row>
    <row r="87" spans="1:13">
      <c r="B87" s="490" t="s">
        <v>461</v>
      </c>
      <c r="C87" s="491"/>
      <c r="D87" s="37">
        <v>1</v>
      </c>
      <c r="E87" s="37">
        <v>3.5</v>
      </c>
      <c r="F87" s="38"/>
      <c r="G87" s="37">
        <v>2.7</v>
      </c>
      <c r="H87" s="38"/>
      <c r="I87" s="38"/>
      <c r="J87" s="38"/>
      <c r="K87" s="37">
        <f t="shared" si="3"/>
        <v>9.4500000000000011</v>
      </c>
      <c r="L87" s="38">
        <f t="shared" si="2"/>
        <v>9.4500000000000011</v>
      </c>
    </row>
    <row r="88" spans="1:13">
      <c r="B88" s="490" t="s">
        <v>447</v>
      </c>
      <c r="C88" s="491"/>
      <c r="D88" s="37">
        <v>1</v>
      </c>
      <c r="E88" s="37">
        <v>3.4</v>
      </c>
      <c r="F88" s="38">
        <v>2.2000000000000002</v>
      </c>
      <c r="G88" s="37">
        <v>3.1</v>
      </c>
      <c r="H88" s="38">
        <v>1</v>
      </c>
      <c r="I88" s="38"/>
      <c r="J88" s="38"/>
      <c r="K88" s="37">
        <f t="shared" si="3"/>
        <v>12.739999999999998</v>
      </c>
      <c r="L88" s="38">
        <f t="shared" si="2"/>
        <v>12.739999999999998</v>
      </c>
    </row>
    <row r="89" spans="1:13">
      <c r="B89" s="490" t="s">
        <v>451</v>
      </c>
      <c r="C89" s="491"/>
      <c r="D89" s="37">
        <v>1</v>
      </c>
      <c r="E89" s="37">
        <v>2.2000000000000002</v>
      </c>
      <c r="F89" s="38"/>
      <c r="G89" s="37">
        <v>1</v>
      </c>
      <c r="H89" s="38"/>
      <c r="I89" s="38"/>
      <c r="J89" s="38"/>
      <c r="K89" s="37">
        <f t="shared" si="3"/>
        <v>2.2000000000000002</v>
      </c>
      <c r="L89" s="38">
        <f t="shared" si="2"/>
        <v>2.2000000000000002</v>
      </c>
    </row>
    <row r="90" spans="1:13">
      <c r="B90" s="490" t="s">
        <v>451</v>
      </c>
      <c r="C90" s="491"/>
      <c r="D90" s="37">
        <v>1</v>
      </c>
      <c r="E90" s="37">
        <v>5.9</v>
      </c>
      <c r="F90" s="38"/>
      <c r="G90" s="37">
        <v>4.5</v>
      </c>
      <c r="H90" s="38"/>
      <c r="I90" s="38"/>
      <c r="J90" s="38"/>
      <c r="K90" s="37">
        <f t="shared" si="3"/>
        <v>26.55</v>
      </c>
      <c r="L90" s="38">
        <f t="shared" si="2"/>
        <v>26.55</v>
      </c>
    </row>
    <row r="91" spans="1:13">
      <c r="B91" s="490" t="s">
        <v>437</v>
      </c>
      <c r="C91" s="491"/>
      <c r="D91" s="37">
        <v>1</v>
      </c>
      <c r="E91" s="37">
        <v>15</v>
      </c>
      <c r="F91" s="38"/>
      <c r="G91" s="37">
        <v>6.6</v>
      </c>
      <c r="H91" s="38"/>
      <c r="I91" s="38"/>
      <c r="J91" s="38"/>
      <c r="K91" s="37">
        <f t="shared" si="3"/>
        <v>99</v>
      </c>
      <c r="L91" s="38">
        <f t="shared" si="2"/>
        <v>99</v>
      </c>
    </row>
    <row r="92" spans="1:13">
      <c r="B92" s="41"/>
      <c r="C92" s="41"/>
      <c r="D92" s="41"/>
      <c r="E92" s="41"/>
      <c r="F92" s="42"/>
      <c r="G92" s="41"/>
      <c r="H92" s="42"/>
      <c r="I92" s="42"/>
      <c r="J92" s="42"/>
      <c r="K92" s="41"/>
      <c r="L92" s="42"/>
    </row>
    <row r="93" spans="1:13" ht="15.75" thickBot="1"/>
    <row r="94" spans="1:13" ht="15.75" thickBot="1">
      <c r="A94" s="79" t="s">
        <v>128</v>
      </c>
      <c r="B94" s="488" t="str">
        <f>[6]BM_05!B120</f>
        <v>SISTEMA PREDIAL DE ÁGUA FRIA - NBR 5626</v>
      </c>
      <c r="C94" s="489"/>
      <c r="D94" s="489"/>
      <c r="E94" s="489"/>
      <c r="F94" s="489"/>
      <c r="G94" s="489"/>
      <c r="H94" s="489"/>
      <c r="I94" s="489"/>
      <c r="J94" s="489"/>
      <c r="K94" s="489"/>
      <c r="L94" s="35"/>
      <c r="M94" s="80"/>
    </row>
    <row r="95" spans="1:13" ht="15.75" thickBot="1">
      <c r="A95" s="70" t="str">
        <f>[6]BM_05!A121</f>
        <v>9.2.1</v>
      </c>
      <c r="B95" s="486" t="str">
        <f>[6]BM_05!B121</f>
        <v>TUBO, PVC, SOLDÁVEL, DN 60MM, INSTALADO EM PRUMADA DE ÁGUA - FORNECIMENTO E INSTALAÇÃO. AF_12/2014</v>
      </c>
      <c r="C95" s="487"/>
      <c r="D95" s="487"/>
      <c r="E95" s="487"/>
      <c r="F95" s="487"/>
      <c r="G95" s="487"/>
      <c r="H95" s="487"/>
      <c r="I95" s="487"/>
      <c r="J95" s="487"/>
      <c r="K95" s="487"/>
      <c r="L95" s="52"/>
      <c r="M95" s="36"/>
    </row>
    <row r="97" spans="1:13">
      <c r="B97" s="482" t="s">
        <v>463</v>
      </c>
      <c r="C97" s="482"/>
      <c r="L97" s="43">
        <v>23</v>
      </c>
    </row>
    <row r="98" spans="1:13" ht="15.75" thickBot="1"/>
    <row r="99" spans="1:13" ht="15.75" thickBot="1">
      <c r="A99" s="70" t="str">
        <f>[6]BM_05!A122</f>
        <v>9.2.2</v>
      </c>
      <c r="B99" s="486" t="str">
        <f>[6]BM_05!B122</f>
        <v>TUBO, PVC, SOLDÁVEL, DN 50MM, INSTALADO EM PRUMADA DE ÁGUA - FORNECIMENTO E INSTALAÇÃO. AF_12/2014</v>
      </c>
      <c r="C99" s="487"/>
      <c r="D99" s="487"/>
      <c r="E99" s="487"/>
      <c r="F99" s="487"/>
      <c r="G99" s="487"/>
      <c r="H99" s="487"/>
      <c r="I99" s="487"/>
      <c r="J99" s="487"/>
      <c r="K99" s="487"/>
      <c r="L99" s="52"/>
      <c r="M99" s="36"/>
    </row>
    <row r="101" spans="1:13">
      <c r="B101" s="482" t="s">
        <v>463</v>
      </c>
      <c r="C101" s="482"/>
      <c r="L101" s="43">
        <v>166</v>
      </c>
    </row>
    <row r="102" spans="1:13" ht="15.75" thickBot="1"/>
    <row r="103" spans="1:13" ht="24.6" customHeight="1" thickBot="1">
      <c r="A103" s="70" t="str">
        <f>[6]BM_05!A123</f>
        <v>9.2.3</v>
      </c>
      <c r="B103" s="486" t="str">
        <f>[6]BM_05!B123</f>
        <v>TUBO, PVC, SOLDÁVEL, DN 25MM, INSTALADO EM RAMAL OU SUB-RAMAL DE ÁGUA - FORNECIMENTO E INSTALAÇÃO. AF_12/2014</v>
      </c>
      <c r="C103" s="487"/>
      <c r="D103" s="487"/>
      <c r="E103" s="487"/>
      <c r="F103" s="487"/>
      <c r="G103" s="487"/>
      <c r="H103" s="487"/>
      <c r="I103" s="487"/>
      <c r="J103" s="487"/>
      <c r="K103" s="487"/>
      <c r="L103" s="52"/>
      <c r="M103" s="36"/>
    </row>
    <row r="104" spans="1:13">
      <c r="L104" s="85">
        <f>SUM(L105:L129)</f>
        <v>231.9</v>
      </c>
    </row>
    <row r="105" spans="1:13" ht="23.45" customHeight="1">
      <c r="B105" s="482" t="s">
        <v>464</v>
      </c>
      <c r="C105" s="482"/>
      <c r="D105" s="44">
        <v>1</v>
      </c>
      <c r="E105" s="44">
        <v>7.8</v>
      </c>
      <c r="F105" s="44"/>
      <c r="G105" s="44"/>
      <c r="H105" s="44"/>
      <c r="I105" s="44"/>
      <c r="J105" s="44"/>
      <c r="K105" s="44"/>
      <c r="L105" s="44">
        <f>D105*E105</f>
        <v>7.8</v>
      </c>
    </row>
    <row r="106" spans="1:13">
      <c r="B106" s="482" t="s">
        <v>438</v>
      </c>
      <c r="C106" s="482"/>
      <c r="D106" s="44">
        <v>1</v>
      </c>
      <c r="E106" s="44">
        <v>6.5</v>
      </c>
      <c r="F106" s="44"/>
      <c r="G106" s="44"/>
      <c r="H106" s="44"/>
      <c r="I106" s="44"/>
      <c r="J106" s="44"/>
      <c r="K106" s="44"/>
      <c r="L106" s="44">
        <f t="shared" ref="L106:L129" si="4">D106*E106</f>
        <v>6.5</v>
      </c>
    </row>
    <row r="107" spans="1:13">
      <c r="B107" s="482" t="s">
        <v>436</v>
      </c>
      <c r="C107" s="482"/>
      <c r="D107" s="44">
        <v>1</v>
      </c>
      <c r="E107" s="44">
        <v>13.3</v>
      </c>
      <c r="F107" s="44"/>
      <c r="G107" s="44"/>
      <c r="H107" s="44"/>
      <c r="I107" s="44"/>
      <c r="J107" s="44"/>
      <c r="K107" s="44"/>
      <c r="L107" s="44">
        <f t="shared" si="4"/>
        <v>13.3</v>
      </c>
    </row>
    <row r="108" spans="1:13">
      <c r="B108" s="482" t="s">
        <v>465</v>
      </c>
      <c r="C108" s="482"/>
      <c r="D108" s="44">
        <v>1</v>
      </c>
      <c r="E108" s="44">
        <v>13.3</v>
      </c>
      <c r="F108" s="44"/>
      <c r="G108" s="44"/>
      <c r="H108" s="44"/>
      <c r="I108" s="44"/>
      <c r="J108" s="44"/>
      <c r="K108" s="44"/>
      <c r="L108" s="44">
        <f t="shared" si="4"/>
        <v>13.3</v>
      </c>
    </row>
    <row r="109" spans="1:13">
      <c r="B109" s="482" t="s">
        <v>476</v>
      </c>
      <c r="C109" s="482"/>
      <c r="D109" s="44">
        <v>1</v>
      </c>
      <c r="E109" s="44"/>
      <c r="F109" s="44"/>
      <c r="G109" s="44"/>
      <c r="H109" s="44"/>
      <c r="I109" s="44"/>
      <c r="J109" s="44"/>
      <c r="K109" s="44"/>
      <c r="L109" s="44">
        <f t="shared" si="4"/>
        <v>0</v>
      </c>
    </row>
    <row r="110" spans="1:13">
      <c r="B110" s="482" t="s">
        <v>466</v>
      </c>
      <c r="C110" s="482"/>
      <c r="D110" s="44">
        <v>1</v>
      </c>
      <c r="E110" s="44"/>
      <c r="F110" s="44"/>
      <c r="G110" s="44"/>
      <c r="H110" s="44"/>
      <c r="I110" s="44"/>
      <c r="J110" s="44"/>
      <c r="K110" s="44"/>
      <c r="L110" s="44">
        <f t="shared" si="4"/>
        <v>0</v>
      </c>
    </row>
    <row r="111" spans="1:13">
      <c r="B111" s="482" t="s">
        <v>467</v>
      </c>
      <c r="C111" s="482"/>
      <c r="D111" s="44">
        <v>1</v>
      </c>
      <c r="E111" s="44">
        <v>2.1</v>
      </c>
      <c r="F111" s="44"/>
      <c r="G111" s="44"/>
      <c r="H111" s="44"/>
      <c r="I111" s="44"/>
      <c r="J111" s="44"/>
      <c r="K111" s="44"/>
      <c r="L111" s="44">
        <f t="shared" si="4"/>
        <v>2.1</v>
      </c>
    </row>
    <row r="112" spans="1:13">
      <c r="B112" s="482" t="s">
        <v>468</v>
      </c>
      <c r="C112" s="482"/>
      <c r="D112" s="44">
        <v>1</v>
      </c>
      <c r="E112" s="44">
        <v>6.8</v>
      </c>
      <c r="F112" s="44"/>
      <c r="G112" s="44"/>
      <c r="H112" s="44"/>
      <c r="I112" s="44"/>
      <c r="J112" s="44"/>
      <c r="K112" s="44"/>
      <c r="L112" s="44">
        <f t="shared" si="4"/>
        <v>6.8</v>
      </c>
    </row>
    <row r="113" spans="2:12">
      <c r="B113" s="482" t="s">
        <v>469</v>
      </c>
      <c r="C113" s="482"/>
      <c r="D113" s="44">
        <v>1</v>
      </c>
      <c r="E113" s="44">
        <v>3.6</v>
      </c>
      <c r="F113" s="44"/>
      <c r="G113" s="44"/>
      <c r="H113" s="44"/>
      <c r="I113" s="44"/>
      <c r="J113" s="44"/>
      <c r="K113" s="44"/>
      <c r="L113" s="44">
        <f t="shared" si="4"/>
        <v>3.6</v>
      </c>
    </row>
    <row r="114" spans="2:12">
      <c r="B114" s="482" t="s">
        <v>467</v>
      </c>
      <c r="C114" s="482"/>
      <c r="D114" s="44">
        <v>1</v>
      </c>
      <c r="E114" s="44">
        <v>2.6</v>
      </c>
      <c r="F114" s="44"/>
      <c r="G114" s="44"/>
      <c r="H114" s="44"/>
      <c r="I114" s="44"/>
      <c r="J114" s="44"/>
      <c r="K114" s="44"/>
      <c r="L114" s="44">
        <f t="shared" si="4"/>
        <v>2.6</v>
      </c>
    </row>
    <row r="115" spans="2:12">
      <c r="B115" s="482" t="s">
        <v>444</v>
      </c>
      <c r="C115" s="482"/>
      <c r="D115" s="44">
        <v>1</v>
      </c>
      <c r="E115" s="44">
        <v>2.2999999999999998</v>
      </c>
      <c r="F115" s="44"/>
      <c r="G115" s="44"/>
      <c r="H115" s="44"/>
      <c r="I115" s="44"/>
      <c r="J115" s="44"/>
      <c r="K115" s="44"/>
      <c r="L115" s="44">
        <f t="shared" si="4"/>
        <v>2.2999999999999998</v>
      </c>
    </row>
    <row r="116" spans="2:12">
      <c r="B116" s="482" t="s">
        <v>470</v>
      </c>
      <c r="C116" s="482"/>
      <c r="D116" s="44">
        <v>1</v>
      </c>
      <c r="E116" s="44">
        <v>11</v>
      </c>
      <c r="F116" s="44"/>
      <c r="G116" s="44"/>
      <c r="H116" s="44"/>
      <c r="I116" s="44"/>
      <c r="J116" s="44"/>
      <c r="K116" s="44"/>
      <c r="L116" s="44">
        <f t="shared" si="4"/>
        <v>11</v>
      </c>
    </row>
    <row r="117" spans="2:12">
      <c r="B117" s="482" t="s">
        <v>477</v>
      </c>
      <c r="C117" s="482"/>
      <c r="D117" s="44">
        <v>1</v>
      </c>
      <c r="E117" s="44">
        <v>22</v>
      </c>
      <c r="F117" s="44"/>
      <c r="G117" s="44"/>
      <c r="H117" s="44"/>
      <c r="I117" s="44"/>
      <c r="J117" s="44"/>
      <c r="K117" s="44"/>
      <c r="L117" s="44">
        <f t="shared" si="4"/>
        <v>22</v>
      </c>
    </row>
    <row r="118" spans="2:12">
      <c r="B118" s="482" t="s">
        <v>471</v>
      </c>
      <c r="C118" s="482"/>
      <c r="D118" s="44">
        <v>1</v>
      </c>
      <c r="E118" s="44">
        <v>4</v>
      </c>
      <c r="F118" s="44"/>
      <c r="G118" s="44"/>
      <c r="H118" s="44"/>
      <c r="I118" s="44"/>
      <c r="J118" s="44"/>
      <c r="K118" s="44"/>
      <c r="L118" s="44">
        <f t="shared" si="4"/>
        <v>4</v>
      </c>
    </row>
    <row r="119" spans="2:12">
      <c r="B119" s="482" t="s">
        <v>440</v>
      </c>
      <c r="C119" s="482"/>
      <c r="D119" s="44">
        <v>1</v>
      </c>
      <c r="E119" s="44">
        <v>16</v>
      </c>
      <c r="F119" s="44"/>
      <c r="G119" s="44"/>
      <c r="H119" s="44"/>
      <c r="I119" s="44"/>
      <c r="J119" s="44"/>
      <c r="K119" s="44"/>
      <c r="L119" s="44">
        <f t="shared" si="4"/>
        <v>16</v>
      </c>
    </row>
    <row r="120" spans="2:12">
      <c r="B120" s="482" t="s">
        <v>472</v>
      </c>
      <c r="C120" s="482"/>
      <c r="D120" s="44">
        <v>1</v>
      </c>
      <c r="E120" s="44">
        <v>4.5</v>
      </c>
      <c r="F120" s="44"/>
      <c r="G120" s="44"/>
      <c r="H120" s="44"/>
      <c r="I120" s="44"/>
      <c r="J120" s="44"/>
      <c r="K120" s="44"/>
      <c r="L120" s="44">
        <f t="shared" si="4"/>
        <v>4.5</v>
      </c>
    </row>
    <row r="121" spans="2:12">
      <c r="B121" s="482" t="s">
        <v>445</v>
      </c>
      <c r="C121" s="482"/>
      <c r="D121" s="44">
        <v>1</v>
      </c>
      <c r="E121" s="44">
        <v>4</v>
      </c>
      <c r="F121" s="44"/>
      <c r="G121" s="44"/>
      <c r="H121" s="44"/>
      <c r="I121" s="44"/>
      <c r="J121" s="44"/>
      <c r="K121" s="44"/>
      <c r="L121" s="44">
        <f t="shared" si="4"/>
        <v>4</v>
      </c>
    </row>
    <row r="122" spans="2:12">
      <c r="B122" s="482" t="s">
        <v>473</v>
      </c>
      <c r="C122" s="482"/>
      <c r="D122" s="44">
        <v>1</v>
      </c>
      <c r="E122" s="44">
        <v>8.5</v>
      </c>
      <c r="F122" s="44"/>
      <c r="G122" s="44"/>
      <c r="H122" s="44"/>
      <c r="I122" s="44"/>
      <c r="J122" s="44"/>
      <c r="K122" s="44"/>
      <c r="L122" s="44">
        <f t="shared" si="4"/>
        <v>8.5</v>
      </c>
    </row>
    <row r="123" spans="2:12">
      <c r="B123" s="482" t="s">
        <v>449</v>
      </c>
      <c r="C123" s="482"/>
      <c r="D123" s="44">
        <v>1</v>
      </c>
      <c r="E123" s="44">
        <v>5.6</v>
      </c>
      <c r="F123" s="44"/>
      <c r="G123" s="44"/>
      <c r="H123" s="44"/>
      <c r="I123" s="44"/>
      <c r="J123" s="44"/>
      <c r="K123" s="44"/>
      <c r="L123" s="44">
        <f t="shared" si="4"/>
        <v>5.6</v>
      </c>
    </row>
    <row r="124" spans="2:12">
      <c r="B124" s="482" t="s">
        <v>478</v>
      </c>
      <c r="C124" s="482"/>
      <c r="D124" s="44">
        <v>1</v>
      </c>
      <c r="E124" s="44">
        <v>13</v>
      </c>
      <c r="F124" s="44"/>
      <c r="G124" s="44"/>
      <c r="H124" s="44"/>
      <c r="I124" s="44"/>
      <c r="J124" s="44"/>
      <c r="K124" s="44"/>
      <c r="L124" s="44">
        <f t="shared" si="4"/>
        <v>13</v>
      </c>
    </row>
    <row r="125" spans="2:12">
      <c r="B125" s="482" t="s">
        <v>452</v>
      </c>
      <c r="C125" s="482"/>
      <c r="D125" s="44">
        <v>1</v>
      </c>
      <c r="E125" s="44">
        <v>28</v>
      </c>
      <c r="F125" s="44"/>
      <c r="G125" s="44"/>
      <c r="H125" s="44"/>
      <c r="I125" s="44"/>
      <c r="J125" s="44"/>
      <c r="K125" s="44"/>
      <c r="L125" s="44">
        <f t="shared" si="4"/>
        <v>28</v>
      </c>
    </row>
    <row r="126" spans="2:12">
      <c r="B126" s="482" t="s">
        <v>474</v>
      </c>
      <c r="C126" s="482"/>
      <c r="D126" s="44">
        <v>1</v>
      </c>
      <c r="E126" s="44">
        <v>29</v>
      </c>
      <c r="F126" s="44"/>
      <c r="G126" s="44"/>
      <c r="H126" s="44"/>
      <c r="I126" s="44"/>
      <c r="J126" s="44"/>
      <c r="K126" s="44"/>
      <c r="L126" s="44">
        <f t="shared" si="4"/>
        <v>29</v>
      </c>
    </row>
    <row r="127" spans="2:12">
      <c r="B127" s="482" t="s">
        <v>475</v>
      </c>
      <c r="C127" s="482"/>
      <c r="D127" s="44">
        <v>1</v>
      </c>
      <c r="E127" s="44">
        <v>13</v>
      </c>
      <c r="F127" s="44"/>
      <c r="G127" s="44"/>
      <c r="H127" s="44"/>
      <c r="I127" s="44"/>
      <c r="J127" s="44"/>
      <c r="K127" s="44"/>
      <c r="L127" s="44">
        <f t="shared" si="4"/>
        <v>13</v>
      </c>
    </row>
    <row r="128" spans="2:12">
      <c r="B128" s="482" t="s">
        <v>468</v>
      </c>
      <c r="C128" s="482"/>
      <c r="D128" s="44">
        <v>1</v>
      </c>
      <c r="E128" s="44">
        <v>11</v>
      </c>
      <c r="F128" s="44"/>
      <c r="G128" s="44"/>
      <c r="H128" s="44"/>
      <c r="I128" s="44"/>
      <c r="J128" s="44"/>
      <c r="K128" s="44"/>
      <c r="L128" s="44">
        <f t="shared" si="4"/>
        <v>11</v>
      </c>
    </row>
    <row r="129" spans="1:13">
      <c r="B129" s="482" t="s">
        <v>469</v>
      </c>
      <c r="C129" s="482"/>
      <c r="D129" s="44">
        <v>1</v>
      </c>
      <c r="E129" s="44">
        <v>4</v>
      </c>
      <c r="F129" s="44"/>
      <c r="G129" s="44"/>
      <c r="H129" s="44"/>
      <c r="I129" s="44"/>
      <c r="J129" s="44"/>
      <c r="K129" s="44"/>
      <c r="L129" s="44">
        <f t="shared" si="4"/>
        <v>4</v>
      </c>
    </row>
    <row r="130" spans="1:13" ht="15.75" thickBot="1">
      <c r="B130" s="482"/>
      <c r="C130" s="482"/>
    </row>
    <row r="131" spans="1:13" ht="15.75" thickBot="1">
      <c r="A131" s="70" t="str">
        <f>[6]BM_05!A124</f>
        <v>9.2.4</v>
      </c>
      <c r="B131" s="486" t="str">
        <f>[6]BM_05!B124</f>
        <v>ADAPTADOR CURTO COM BOLSA E ROSCA PARA REGISTRO, PVC, SOLDÁVEL, DN 25MM X 3/4, INSTALADO EM RAMAL OU SUB-RAMAL DE ÁGUA - FORNECIMENTO E INSTALAÇÃO. AF_12/2014</v>
      </c>
      <c r="C131" s="487"/>
      <c r="D131" s="487"/>
      <c r="E131" s="487"/>
      <c r="F131" s="487"/>
      <c r="G131" s="487"/>
      <c r="H131" s="487"/>
      <c r="I131" s="487"/>
      <c r="J131" s="487"/>
      <c r="K131" s="487"/>
      <c r="L131" s="52"/>
      <c r="M131" s="36"/>
    </row>
    <row r="132" spans="1:13">
      <c r="B132" s="482"/>
      <c r="C132" s="482"/>
      <c r="L132" s="45">
        <f>SUM(L133:L152)</f>
        <v>22</v>
      </c>
    </row>
    <row r="133" spans="1:13">
      <c r="B133" s="482" t="s">
        <v>464</v>
      </c>
      <c r="C133" s="482"/>
      <c r="D133" s="44">
        <v>1</v>
      </c>
      <c r="E133" s="44">
        <v>1</v>
      </c>
      <c r="L133" s="81">
        <f>E133*D133</f>
        <v>1</v>
      </c>
    </row>
    <row r="134" spans="1:13">
      <c r="B134" s="482" t="s">
        <v>436</v>
      </c>
      <c r="C134" s="482"/>
      <c r="D134" s="44">
        <v>1</v>
      </c>
      <c r="E134" s="44">
        <v>2</v>
      </c>
      <c r="L134" s="81">
        <f t="shared" ref="L134:L152" si="5">E134*D134</f>
        <v>2</v>
      </c>
    </row>
    <row r="135" spans="1:13">
      <c r="B135" s="482" t="s">
        <v>465</v>
      </c>
      <c r="C135" s="482"/>
      <c r="D135" s="44">
        <v>1</v>
      </c>
      <c r="E135" s="44">
        <v>2</v>
      </c>
      <c r="L135" s="81">
        <f t="shared" si="5"/>
        <v>2</v>
      </c>
    </row>
    <row r="136" spans="1:13">
      <c r="B136" s="482" t="s">
        <v>468</v>
      </c>
      <c r="C136" s="482"/>
      <c r="D136" s="44">
        <v>1</v>
      </c>
      <c r="E136" s="44">
        <v>1</v>
      </c>
      <c r="L136" s="81">
        <f t="shared" si="5"/>
        <v>1</v>
      </c>
    </row>
    <row r="137" spans="1:13">
      <c r="B137" s="482" t="s">
        <v>467</v>
      </c>
      <c r="C137" s="482"/>
      <c r="D137" s="44">
        <v>1</v>
      </c>
      <c r="E137" s="44">
        <v>1</v>
      </c>
      <c r="L137" s="81">
        <f t="shared" si="5"/>
        <v>1</v>
      </c>
    </row>
    <row r="138" spans="1:13">
      <c r="B138" s="482" t="s">
        <v>444</v>
      </c>
      <c r="C138" s="482"/>
      <c r="D138" s="44">
        <v>1</v>
      </c>
      <c r="E138" s="44">
        <v>1</v>
      </c>
      <c r="L138" s="81">
        <f t="shared" si="5"/>
        <v>1</v>
      </c>
    </row>
    <row r="139" spans="1:13" ht="21" customHeight="1">
      <c r="B139" s="482" t="s">
        <v>470</v>
      </c>
      <c r="C139" s="482"/>
      <c r="D139" s="44">
        <v>1</v>
      </c>
      <c r="E139" s="44">
        <v>1</v>
      </c>
      <c r="L139" s="81">
        <f t="shared" si="5"/>
        <v>1</v>
      </c>
    </row>
    <row r="140" spans="1:13">
      <c r="B140" s="482" t="s">
        <v>477</v>
      </c>
      <c r="C140" s="482"/>
      <c r="D140" s="44">
        <v>1</v>
      </c>
      <c r="E140" s="44">
        <v>1</v>
      </c>
      <c r="L140" s="81">
        <f t="shared" si="5"/>
        <v>1</v>
      </c>
    </row>
    <row r="141" spans="1:13">
      <c r="B141" s="482" t="s">
        <v>471</v>
      </c>
      <c r="C141" s="482"/>
      <c r="D141" s="44">
        <v>1</v>
      </c>
      <c r="E141" s="44">
        <v>1</v>
      </c>
      <c r="L141" s="81">
        <f t="shared" si="5"/>
        <v>1</v>
      </c>
    </row>
    <row r="142" spans="1:13">
      <c r="B142" s="482" t="s">
        <v>440</v>
      </c>
      <c r="C142" s="482"/>
      <c r="D142" s="44">
        <v>1</v>
      </c>
      <c r="E142" s="44">
        <v>1</v>
      </c>
      <c r="L142" s="81">
        <f t="shared" si="5"/>
        <v>1</v>
      </c>
    </row>
    <row r="143" spans="1:13">
      <c r="B143" s="482" t="s">
        <v>472</v>
      </c>
      <c r="C143" s="482"/>
      <c r="D143" s="44">
        <v>1</v>
      </c>
      <c r="E143" s="44">
        <v>1</v>
      </c>
      <c r="L143" s="81">
        <f t="shared" si="5"/>
        <v>1</v>
      </c>
    </row>
    <row r="144" spans="1:13">
      <c r="B144" s="482" t="s">
        <v>445</v>
      </c>
      <c r="C144" s="482"/>
      <c r="D144" s="44">
        <v>1</v>
      </c>
      <c r="E144" s="44">
        <v>1</v>
      </c>
      <c r="L144" s="81">
        <f t="shared" si="5"/>
        <v>1</v>
      </c>
    </row>
    <row r="145" spans="1:13">
      <c r="B145" s="482" t="s">
        <v>473</v>
      </c>
      <c r="C145" s="482"/>
      <c r="D145" s="44">
        <v>1</v>
      </c>
      <c r="E145" s="44">
        <v>1</v>
      </c>
      <c r="L145" s="81">
        <f t="shared" si="5"/>
        <v>1</v>
      </c>
    </row>
    <row r="146" spans="1:13">
      <c r="B146" s="482" t="s">
        <v>449</v>
      </c>
      <c r="C146" s="482"/>
      <c r="D146" s="44">
        <v>1</v>
      </c>
      <c r="E146" s="44">
        <v>1</v>
      </c>
      <c r="L146" s="81">
        <f t="shared" si="5"/>
        <v>1</v>
      </c>
    </row>
    <row r="147" spans="1:13">
      <c r="B147" s="482" t="s">
        <v>478</v>
      </c>
      <c r="C147" s="482"/>
      <c r="D147" s="44">
        <v>1</v>
      </c>
      <c r="E147" s="44">
        <v>1</v>
      </c>
      <c r="L147" s="81">
        <f t="shared" si="5"/>
        <v>1</v>
      </c>
    </row>
    <row r="148" spans="1:13">
      <c r="B148" s="482" t="s">
        <v>452</v>
      </c>
      <c r="C148" s="482"/>
      <c r="D148" s="44">
        <v>1</v>
      </c>
      <c r="E148" s="44">
        <v>1</v>
      </c>
      <c r="L148" s="81">
        <f t="shared" si="5"/>
        <v>1</v>
      </c>
    </row>
    <row r="149" spans="1:13">
      <c r="B149" s="482" t="s">
        <v>474</v>
      </c>
      <c r="C149" s="482"/>
      <c r="D149" s="44">
        <v>1</v>
      </c>
      <c r="E149" s="44">
        <v>1</v>
      </c>
      <c r="L149" s="81">
        <f t="shared" si="5"/>
        <v>1</v>
      </c>
    </row>
    <row r="150" spans="1:13">
      <c r="B150" s="482" t="s">
        <v>475</v>
      </c>
      <c r="C150" s="482"/>
      <c r="D150" s="44">
        <v>1</v>
      </c>
      <c r="E150" s="44">
        <v>1</v>
      </c>
      <c r="L150" s="81">
        <f t="shared" si="5"/>
        <v>1</v>
      </c>
    </row>
    <row r="151" spans="1:13">
      <c r="B151" s="482" t="s">
        <v>468</v>
      </c>
      <c r="C151" s="482"/>
      <c r="D151" s="44">
        <v>1</v>
      </c>
      <c r="E151" s="44">
        <v>1</v>
      </c>
      <c r="L151" s="81">
        <f t="shared" si="5"/>
        <v>1</v>
      </c>
    </row>
    <row r="152" spans="1:13">
      <c r="B152" s="482" t="s">
        <v>469</v>
      </c>
      <c r="C152" s="482"/>
      <c r="D152" s="44">
        <v>1</v>
      </c>
      <c r="E152" s="44">
        <v>1</v>
      </c>
      <c r="L152" s="81">
        <f t="shared" si="5"/>
        <v>1</v>
      </c>
    </row>
    <row r="153" spans="1:13" ht="14.45" customHeight="1" thickBot="1">
      <c r="B153" s="482"/>
      <c r="C153" s="482"/>
    </row>
    <row r="154" spans="1:13" ht="15.75" thickBot="1">
      <c r="A154" s="70" t="str">
        <f>[6]BM_05!A125</f>
        <v>9.2.5</v>
      </c>
      <c r="B154" s="486" t="str">
        <f>[6]BM_05!B125</f>
        <v>LUVA DE REDUÇÃO, PVC, SOLDÁVEL, DN 60MM X 50MM, INSTALADO EM PRUMADA DE ÁGUA - FORNECIMENTO E INSTALAÇÃO. AF_12/2014</v>
      </c>
      <c r="C154" s="487"/>
      <c r="D154" s="487"/>
      <c r="E154" s="487"/>
      <c r="F154" s="487"/>
      <c r="G154" s="487"/>
      <c r="H154" s="487"/>
      <c r="I154" s="487"/>
      <c r="J154" s="487"/>
      <c r="K154" s="487"/>
      <c r="L154" s="52"/>
      <c r="M154" s="36"/>
    </row>
    <row r="155" spans="1:13">
      <c r="B155" s="482"/>
      <c r="C155" s="482"/>
    </row>
    <row r="156" spans="1:13">
      <c r="B156" s="482" t="s">
        <v>463</v>
      </c>
      <c r="C156" s="482"/>
      <c r="L156" s="43">
        <v>1</v>
      </c>
    </row>
    <row r="157" spans="1:13" ht="15.75" thickBot="1">
      <c r="B157" s="482"/>
      <c r="C157" s="482"/>
    </row>
    <row r="158" spans="1:13" ht="15.75" thickBot="1">
      <c r="A158" s="70" t="str">
        <f>[6]BM_05!A126</f>
        <v>9.2.6</v>
      </c>
      <c r="B158" s="486" t="str">
        <f>[6]BM_05!B129</f>
        <v>JOELHO 90 GRAUS, PVC, SOLDÁVEL, DN 60MM, INSTALADO EM PRUMADA DE ÁGUA - FORNECIMENTO E INSTALAÇÃO. AF_12/2014</v>
      </c>
      <c r="C158" s="487"/>
      <c r="D158" s="487"/>
      <c r="E158" s="487"/>
      <c r="F158" s="487"/>
      <c r="G158" s="487"/>
      <c r="H158" s="487"/>
      <c r="I158" s="487"/>
      <c r="J158" s="487"/>
      <c r="K158" s="487"/>
      <c r="L158" s="52"/>
      <c r="M158" s="36"/>
    </row>
    <row r="159" spans="1:13">
      <c r="B159" s="482"/>
      <c r="C159" s="482"/>
    </row>
    <row r="160" spans="1:13">
      <c r="B160" s="482" t="s">
        <v>463</v>
      </c>
      <c r="C160" s="482"/>
      <c r="L160" s="43">
        <v>1</v>
      </c>
    </row>
    <row r="161" spans="1:13" ht="15.75" thickBot="1">
      <c r="B161" s="482"/>
      <c r="C161" s="482"/>
    </row>
    <row r="162" spans="1:13" ht="26.45" customHeight="1" thickBot="1">
      <c r="A162" s="70" t="str">
        <f>[6]BM_05!A127</f>
        <v>9.2.7</v>
      </c>
      <c r="B162" s="486" t="str">
        <f>[6]BM_05!B127</f>
        <v>JOELHO 90 GRAUS COM BUCHA DE LATÃO, PVC, SOLDÁVEL, DN 25MM, X 1/2 INSTALADO EM RAMAL OU SUB-RAMAL DE ÁGUA - FORNECIMENTO E INSTALAÇÃO. AF_12/2014</v>
      </c>
      <c r="C162" s="487"/>
      <c r="D162" s="487"/>
      <c r="E162" s="487"/>
      <c r="F162" s="487"/>
      <c r="G162" s="487"/>
      <c r="H162" s="487"/>
      <c r="I162" s="487"/>
      <c r="J162" s="487"/>
      <c r="K162" s="487"/>
      <c r="L162" s="52"/>
      <c r="M162" s="36"/>
    </row>
    <row r="163" spans="1:13">
      <c r="B163" s="482"/>
      <c r="C163" s="482"/>
      <c r="L163" s="45">
        <f>SUM(L164:L187)</f>
        <v>67</v>
      </c>
    </row>
    <row r="164" spans="1:13">
      <c r="B164" s="482" t="s">
        <v>464</v>
      </c>
      <c r="C164" s="482"/>
      <c r="D164" s="44">
        <v>1</v>
      </c>
      <c r="E164" s="44">
        <v>2</v>
      </c>
      <c r="L164" s="44">
        <f>D164*E164</f>
        <v>2</v>
      </c>
    </row>
    <row r="165" spans="1:13">
      <c r="B165" s="482" t="s">
        <v>438</v>
      </c>
      <c r="C165" s="482"/>
      <c r="D165" s="44">
        <v>1</v>
      </c>
      <c r="E165" s="44">
        <v>1</v>
      </c>
      <c r="L165" s="44">
        <f t="shared" ref="L165:L187" si="6">D165*E165</f>
        <v>1</v>
      </c>
    </row>
    <row r="166" spans="1:13">
      <c r="B166" s="482" t="s">
        <v>436</v>
      </c>
      <c r="C166" s="482"/>
      <c r="D166" s="44">
        <v>1</v>
      </c>
      <c r="E166" s="44">
        <v>4</v>
      </c>
      <c r="L166" s="44">
        <f t="shared" si="6"/>
        <v>4</v>
      </c>
    </row>
    <row r="167" spans="1:13">
      <c r="B167" s="482" t="s">
        <v>465</v>
      </c>
      <c r="C167" s="482"/>
      <c r="D167" s="44">
        <v>1</v>
      </c>
      <c r="E167" s="44">
        <v>4</v>
      </c>
      <c r="L167" s="44">
        <f t="shared" si="6"/>
        <v>4</v>
      </c>
    </row>
    <row r="168" spans="1:13">
      <c r="B168" s="482" t="s">
        <v>466</v>
      </c>
      <c r="C168" s="482"/>
      <c r="D168" s="44">
        <v>1</v>
      </c>
      <c r="E168" s="44">
        <v>1</v>
      </c>
      <c r="L168" s="44">
        <f t="shared" si="6"/>
        <v>1</v>
      </c>
    </row>
    <row r="169" spans="1:13">
      <c r="B169" s="482" t="s">
        <v>467</v>
      </c>
      <c r="C169" s="482"/>
      <c r="D169" s="44">
        <v>1</v>
      </c>
      <c r="E169" s="44">
        <v>1</v>
      </c>
      <c r="L169" s="44">
        <f t="shared" si="6"/>
        <v>1</v>
      </c>
    </row>
    <row r="170" spans="1:13">
      <c r="B170" s="482" t="s">
        <v>468</v>
      </c>
      <c r="C170" s="482"/>
      <c r="D170" s="44">
        <v>1</v>
      </c>
      <c r="E170" s="44">
        <v>2</v>
      </c>
      <c r="L170" s="44">
        <f t="shared" si="6"/>
        <v>2</v>
      </c>
    </row>
    <row r="171" spans="1:13">
      <c r="B171" s="482" t="s">
        <v>469</v>
      </c>
      <c r="C171" s="482"/>
      <c r="D171" s="44">
        <v>1</v>
      </c>
      <c r="E171" s="44">
        <v>2</v>
      </c>
      <c r="L171" s="44">
        <f t="shared" si="6"/>
        <v>2</v>
      </c>
    </row>
    <row r="172" spans="1:13">
      <c r="B172" s="482" t="s">
        <v>467</v>
      </c>
      <c r="C172" s="482"/>
      <c r="D172" s="44">
        <v>1</v>
      </c>
      <c r="E172" s="44">
        <v>1</v>
      </c>
      <c r="L172" s="44">
        <f t="shared" si="6"/>
        <v>1</v>
      </c>
    </row>
    <row r="173" spans="1:13">
      <c r="B173" s="482" t="s">
        <v>444</v>
      </c>
      <c r="C173" s="482"/>
      <c r="D173" s="44">
        <v>1</v>
      </c>
      <c r="E173" s="44">
        <v>1</v>
      </c>
      <c r="L173" s="44">
        <f t="shared" si="6"/>
        <v>1</v>
      </c>
    </row>
    <row r="174" spans="1:13">
      <c r="B174" s="482" t="s">
        <v>470</v>
      </c>
      <c r="C174" s="482"/>
      <c r="D174" s="44">
        <v>1</v>
      </c>
      <c r="E174" s="44">
        <v>2</v>
      </c>
      <c r="L174" s="44">
        <f t="shared" si="6"/>
        <v>2</v>
      </c>
    </row>
    <row r="175" spans="1:13">
      <c r="B175" s="482" t="s">
        <v>477</v>
      </c>
      <c r="C175" s="482"/>
      <c r="D175" s="44">
        <v>1</v>
      </c>
      <c r="E175" s="44">
        <v>5</v>
      </c>
      <c r="L175" s="44">
        <f t="shared" si="6"/>
        <v>5</v>
      </c>
    </row>
    <row r="176" spans="1:13">
      <c r="B176" s="482" t="s">
        <v>471</v>
      </c>
      <c r="C176" s="482"/>
      <c r="D176" s="44">
        <v>1</v>
      </c>
      <c r="E176" s="44">
        <v>1</v>
      </c>
      <c r="L176" s="44">
        <f t="shared" si="6"/>
        <v>1</v>
      </c>
    </row>
    <row r="177" spans="1:13">
      <c r="B177" s="482" t="s">
        <v>440</v>
      </c>
      <c r="C177" s="482"/>
      <c r="D177" s="44">
        <v>1</v>
      </c>
      <c r="E177" s="44">
        <v>4</v>
      </c>
      <c r="L177" s="44">
        <f t="shared" si="6"/>
        <v>4</v>
      </c>
    </row>
    <row r="178" spans="1:13">
      <c r="B178" s="482" t="s">
        <v>472</v>
      </c>
      <c r="C178" s="482"/>
      <c r="D178" s="44">
        <v>1</v>
      </c>
      <c r="E178" s="44">
        <v>1</v>
      </c>
      <c r="L178" s="44">
        <f t="shared" si="6"/>
        <v>1</v>
      </c>
    </row>
    <row r="179" spans="1:13">
      <c r="B179" s="482" t="s">
        <v>445</v>
      </c>
      <c r="C179" s="482"/>
      <c r="D179" s="44">
        <v>1</v>
      </c>
      <c r="E179" s="44">
        <v>1</v>
      </c>
      <c r="L179" s="44">
        <f t="shared" si="6"/>
        <v>1</v>
      </c>
    </row>
    <row r="180" spans="1:13">
      <c r="B180" s="482" t="s">
        <v>473</v>
      </c>
      <c r="C180" s="482"/>
      <c r="D180" s="44">
        <v>1</v>
      </c>
      <c r="E180" s="44">
        <v>3</v>
      </c>
      <c r="L180" s="44">
        <f t="shared" si="6"/>
        <v>3</v>
      </c>
    </row>
    <row r="181" spans="1:13">
      <c r="B181" s="482" t="s">
        <v>449</v>
      </c>
      <c r="C181" s="482"/>
      <c r="D181" s="44">
        <v>1</v>
      </c>
      <c r="E181" s="44">
        <v>1</v>
      </c>
      <c r="L181" s="44">
        <f t="shared" si="6"/>
        <v>1</v>
      </c>
    </row>
    <row r="182" spans="1:13">
      <c r="B182" s="482" t="s">
        <v>478</v>
      </c>
      <c r="C182" s="482"/>
      <c r="D182" s="44">
        <v>1</v>
      </c>
      <c r="E182" s="44">
        <v>6</v>
      </c>
      <c r="L182" s="44">
        <f t="shared" si="6"/>
        <v>6</v>
      </c>
    </row>
    <row r="183" spans="1:13">
      <c r="B183" s="482" t="s">
        <v>452</v>
      </c>
      <c r="C183" s="482"/>
      <c r="D183" s="44">
        <v>1</v>
      </c>
      <c r="E183" s="44">
        <v>5</v>
      </c>
      <c r="L183" s="44">
        <f t="shared" si="6"/>
        <v>5</v>
      </c>
    </row>
    <row r="184" spans="1:13" ht="25.9" customHeight="1">
      <c r="B184" s="482" t="s">
        <v>474</v>
      </c>
      <c r="C184" s="482"/>
      <c r="D184" s="44">
        <v>1</v>
      </c>
      <c r="E184" s="44">
        <v>6</v>
      </c>
      <c r="L184" s="44">
        <f t="shared" si="6"/>
        <v>6</v>
      </c>
    </row>
    <row r="185" spans="1:13">
      <c r="B185" s="482" t="s">
        <v>475</v>
      </c>
      <c r="C185" s="482"/>
      <c r="D185" s="44">
        <v>1</v>
      </c>
      <c r="E185" s="44">
        <v>5</v>
      </c>
      <c r="L185" s="44">
        <f t="shared" si="6"/>
        <v>5</v>
      </c>
    </row>
    <row r="186" spans="1:13">
      <c r="B186" s="482" t="s">
        <v>468</v>
      </c>
      <c r="C186" s="482"/>
      <c r="D186" s="44">
        <v>1</v>
      </c>
      <c r="E186" s="44">
        <v>5</v>
      </c>
      <c r="L186" s="44">
        <f t="shared" si="6"/>
        <v>5</v>
      </c>
    </row>
    <row r="187" spans="1:13">
      <c r="B187" s="482" t="s">
        <v>469</v>
      </c>
      <c r="C187" s="482"/>
      <c r="D187" s="44">
        <v>1</v>
      </c>
      <c r="E187" s="44">
        <v>3</v>
      </c>
      <c r="L187" s="44">
        <f t="shared" si="6"/>
        <v>3</v>
      </c>
    </row>
    <row r="188" spans="1:13" ht="15.75" thickBot="1">
      <c r="B188" s="482"/>
      <c r="C188" s="482"/>
    </row>
    <row r="189" spans="1:13" ht="14.45" customHeight="1" thickBot="1">
      <c r="A189" s="70" t="str">
        <f>[6]BM_05!A128</f>
        <v>9.2.8</v>
      </c>
      <c r="B189" s="486" t="str">
        <f>[6]BM_05!B128</f>
        <v>Joelho de 90º pvc rígido soldável c/ bucha de latão, d=20mmx1/2".</v>
      </c>
      <c r="C189" s="487"/>
      <c r="D189" s="487"/>
      <c r="E189" s="487"/>
      <c r="F189" s="487"/>
      <c r="G189" s="487"/>
      <c r="H189" s="487"/>
      <c r="I189" s="487"/>
      <c r="J189" s="487"/>
      <c r="K189" s="487"/>
      <c r="L189" s="52"/>
      <c r="M189" s="36"/>
    </row>
    <row r="190" spans="1:13">
      <c r="B190" s="482"/>
      <c r="C190" s="482"/>
    </row>
    <row r="191" spans="1:13">
      <c r="B191" s="482" t="s">
        <v>463</v>
      </c>
      <c r="C191" s="482"/>
      <c r="L191" s="43">
        <v>1</v>
      </c>
    </row>
    <row r="192" spans="1:13" ht="15.75" thickBot="1"/>
    <row r="193" spans="1:13" ht="18" customHeight="1" thickBot="1">
      <c r="A193" s="70" t="str">
        <f>[6]BM_05!A129</f>
        <v>9.2.9</v>
      </c>
      <c r="B193" s="486" t="str">
        <f>[6]BM_05!B129</f>
        <v>JOELHO 90 GRAUS, PVC, SOLDÁVEL, DN 60MM, INSTALADO EM PRUMADA DE ÁGUA - FORNECIMENTO E INSTALAÇÃO. AF_12/2014</v>
      </c>
      <c r="C193" s="487"/>
      <c r="D193" s="487"/>
      <c r="E193" s="487"/>
      <c r="F193" s="487"/>
      <c r="G193" s="487"/>
      <c r="H193" s="487"/>
      <c r="I193" s="487"/>
      <c r="J193" s="487"/>
      <c r="K193" s="487"/>
      <c r="L193" s="52"/>
      <c r="M193" s="36"/>
    </row>
    <row r="195" spans="1:13">
      <c r="B195" s="482" t="s">
        <v>463</v>
      </c>
      <c r="C195" s="482"/>
      <c r="L195" s="43">
        <v>4</v>
      </c>
    </row>
    <row r="196" spans="1:13" ht="15.75" thickBot="1"/>
    <row r="197" spans="1:13" ht="15.75" thickBot="1">
      <c r="A197" s="70" t="str">
        <f>[6]BM_05!A130</f>
        <v>9.2.10</v>
      </c>
      <c r="B197" s="486" t="str">
        <f>[6]BM_05!B130</f>
        <v>JOELHO 90 GRAUS, PVC, SOLDÁVEL, DN 25MM, INSTALADO EM RAMAL DE DISTRIBUIÇÃO DE ÁGUA - FORNECIMENTO E INSTALAÇÃO. AF_12/2014</v>
      </c>
      <c r="C197" s="487"/>
      <c r="D197" s="487"/>
      <c r="E197" s="487"/>
      <c r="F197" s="487"/>
      <c r="G197" s="487"/>
      <c r="H197" s="487"/>
      <c r="I197" s="487"/>
      <c r="J197" s="487"/>
      <c r="K197" s="487"/>
      <c r="L197" s="52"/>
      <c r="M197" s="36"/>
    </row>
    <row r="198" spans="1:13">
      <c r="L198" s="45">
        <f>SUM(L199:L220)</f>
        <v>46</v>
      </c>
    </row>
    <row r="199" spans="1:13">
      <c r="B199" s="482" t="s">
        <v>464</v>
      </c>
      <c r="C199" s="482"/>
      <c r="D199" s="44">
        <v>1</v>
      </c>
      <c r="E199" s="44">
        <v>2</v>
      </c>
      <c r="L199" s="44">
        <f>D199*E199</f>
        <v>2</v>
      </c>
    </row>
    <row r="200" spans="1:13">
      <c r="B200" s="482" t="s">
        <v>438</v>
      </c>
      <c r="C200" s="482"/>
      <c r="D200" s="44">
        <v>1</v>
      </c>
      <c r="E200" s="44">
        <v>1</v>
      </c>
      <c r="L200" s="44">
        <f t="shared" ref="L200:L220" si="7">D200*E200</f>
        <v>1</v>
      </c>
    </row>
    <row r="201" spans="1:13">
      <c r="B201" s="482" t="s">
        <v>436</v>
      </c>
      <c r="C201" s="482"/>
      <c r="D201" s="44">
        <v>1</v>
      </c>
      <c r="E201" s="44">
        <v>3</v>
      </c>
      <c r="L201" s="44">
        <f t="shared" si="7"/>
        <v>3</v>
      </c>
    </row>
    <row r="202" spans="1:13">
      <c r="B202" s="482" t="s">
        <v>465</v>
      </c>
      <c r="C202" s="482"/>
      <c r="D202" s="44">
        <v>1</v>
      </c>
      <c r="E202" s="44">
        <v>3</v>
      </c>
      <c r="L202" s="44">
        <f t="shared" si="7"/>
        <v>3</v>
      </c>
    </row>
    <row r="203" spans="1:13">
      <c r="B203" s="482" t="s">
        <v>468</v>
      </c>
      <c r="C203" s="482"/>
      <c r="D203" s="44">
        <v>1</v>
      </c>
      <c r="E203" s="44">
        <v>1</v>
      </c>
      <c r="L203" s="44">
        <f t="shared" si="7"/>
        <v>1</v>
      </c>
    </row>
    <row r="204" spans="1:13">
      <c r="B204" s="482" t="s">
        <v>469</v>
      </c>
      <c r="C204" s="482"/>
      <c r="D204" s="44">
        <v>1</v>
      </c>
      <c r="E204" s="44">
        <v>1</v>
      </c>
      <c r="L204" s="44">
        <f t="shared" si="7"/>
        <v>1</v>
      </c>
    </row>
    <row r="205" spans="1:13">
      <c r="B205" s="482" t="s">
        <v>467</v>
      </c>
      <c r="C205" s="482"/>
      <c r="D205" s="44">
        <v>1</v>
      </c>
      <c r="E205" s="44">
        <v>1</v>
      </c>
      <c r="L205" s="44">
        <f t="shared" si="7"/>
        <v>1</v>
      </c>
    </row>
    <row r="206" spans="1:13">
      <c r="B206" s="482" t="s">
        <v>444</v>
      </c>
      <c r="C206" s="482"/>
      <c r="D206" s="44">
        <v>1</v>
      </c>
      <c r="E206" s="44">
        <v>1</v>
      </c>
      <c r="L206" s="44">
        <f t="shared" si="7"/>
        <v>1</v>
      </c>
    </row>
    <row r="207" spans="1:13">
      <c r="B207" s="482" t="s">
        <v>470</v>
      </c>
      <c r="C207" s="482"/>
      <c r="D207" s="44">
        <v>1</v>
      </c>
      <c r="E207" s="44">
        <v>2</v>
      </c>
      <c r="L207" s="44">
        <f t="shared" si="7"/>
        <v>2</v>
      </c>
    </row>
    <row r="208" spans="1:13">
      <c r="B208" s="482" t="s">
        <v>477</v>
      </c>
      <c r="C208" s="482"/>
      <c r="D208" s="44">
        <v>1</v>
      </c>
      <c r="E208" s="44">
        <v>3</v>
      </c>
      <c r="L208" s="44">
        <f t="shared" si="7"/>
        <v>3</v>
      </c>
    </row>
    <row r="209" spans="1:13">
      <c r="B209" s="482" t="s">
        <v>471</v>
      </c>
      <c r="C209" s="482"/>
      <c r="D209" s="44">
        <v>1</v>
      </c>
      <c r="E209" s="44">
        <v>1</v>
      </c>
      <c r="L209" s="44">
        <f t="shared" si="7"/>
        <v>1</v>
      </c>
    </row>
    <row r="210" spans="1:13">
      <c r="B210" s="482" t="s">
        <v>440</v>
      </c>
      <c r="C210" s="482"/>
      <c r="D210" s="44">
        <v>1</v>
      </c>
      <c r="E210" s="44">
        <v>2</v>
      </c>
      <c r="L210" s="44">
        <f t="shared" si="7"/>
        <v>2</v>
      </c>
    </row>
    <row r="211" spans="1:13">
      <c r="B211" s="482" t="s">
        <v>472</v>
      </c>
      <c r="C211" s="482"/>
      <c r="D211" s="44">
        <v>1</v>
      </c>
      <c r="E211" s="44">
        <v>1</v>
      </c>
      <c r="L211" s="44">
        <f t="shared" si="7"/>
        <v>1</v>
      </c>
    </row>
    <row r="212" spans="1:13">
      <c r="B212" s="482" t="s">
        <v>445</v>
      </c>
      <c r="C212" s="482"/>
      <c r="D212" s="44">
        <v>1</v>
      </c>
      <c r="E212" s="44">
        <v>1</v>
      </c>
      <c r="L212" s="44">
        <f t="shared" si="7"/>
        <v>1</v>
      </c>
    </row>
    <row r="213" spans="1:13">
      <c r="B213" s="482" t="s">
        <v>473</v>
      </c>
      <c r="C213" s="482"/>
      <c r="D213" s="44">
        <v>1</v>
      </c>
      <c r="E213" s="44">
        <v>2</v>
      </c>
      <c r="L213" s="44">
        <f t="shared" si="7"/>
        <v>2</v>
      </c>
    </row>
    <row r="214" spans="1:13">
      <c r="B214" s="482" t="s">
        <v>449</v>
      </c>
      <c r="C214" s="482"/>
      <c r="D214" s="44">
        <v>1</v>
      </c>
      <c r="E214" s="44">
        <v>1</v>
      </c>
      <c r="L214" s="44">
        <f t="shared" si="7"/>
        <v>1</v>
      </c>
    </row>
    <row r="215" spans="1:13">
      <c r="B215" s="482" t="s">
        <v>478</v>
      </c>
      <c r="C215" s="482"/>
      <c r="D215" s="44">
        <v>1</v>
      </c>
      <c r="E215" s="44">
        <v>4</v>
      </c>
      <c r="L215" s="44">
        <f t="shared" si="7"/>
        <v>4</v>
      </c>
    </row>
    <row r="216" spans="1:13">
      <c r="B216" s="482" t="s">
        <v>452</v>
      </c>
      <c r="C216" s="482"/>
      <c r="D216" s="44">
        <v>1</v>
      </c>
      <c r="E216" s="44">
        <v>4</v>
      </c>
      <c r="L216" s="44">
        <f t="shared" si="7"/>
        <v>4</v>
      </c>
    </row>
    <row r="217" spans="1:13">
      <c r="B217" s="482" t="s">
        <v>474</v>
      </c>
      <c r="C217" s="482"/>
      <c r="D217" s="44">
        <v>1</v>
      </c>
      <c r="E217" s="44">
        <v>4</v>
      </c>
      <c r="L217" s="44">
        <f t="shared" si="7"/>
        <v>4</v>
      </c>
    </row>
    <row r="218" spans="1:13">
      <c r="B218" s="482" t="s">
        <v>475</v>
      </c>
      <c r="C218" s="482"/>
      <c r="D218" s="44">
        <v>1</v>
      </c>
      <c r="E218" s="44">
        <v>3</v>
      </c>
      <c r="L218" s="44">
        <f t="shared" si="7"/>
        <v>3</v>
      </c>
    </row>
    <row r="219" spans="1:13">
      <c r="B219" s="482" t="s">
        <v>468</v>
      </c>
      <c r="C219" s="482"/>
      <c r="D219" s="44">
        <v>1</v>
      </c>
      <c r="E219" s="44">
        <v>3</v>
      </c>
      <c r="L219" s="44">
        <f t="shared" si="7"/>
        <v>3</v>
      </c>
    </row>
    <row r="220" spans="1:13">
      <c r="B220" s="482" t="s">
        <v>469</v>
      </c>
      <c r="C220" s="482"/>
      <c r="D220" s="44">
        <v>1</v>
      </c>
      <c r="E220" s="44">
        <v>2</v>
      </c>
      <c r="L220" s="44">
        <f t="shared" si="7"/>
        <v>2</v>
      </c>
    </row>
    <row r="222" spans="1:13" ht="15.75" thickBot="1"/>
    <row r="223" spans="1:13" ht="24" customHeight="1" thickBot="1">
      <c r="A223" s="70" t="str">
        <f>[6]BM_05!A131</f>
        <v>9.2.11</v>
      </c>
      <c r="B223" s="486" t="str">
        <f>[6]BM_05!B131</f>
        <v>JOELHO 90 GRAUS, PVC, SOLDÁVEL, DN 50MM, INSTALADO EM PRUMADA DE ÁGUA - FORNECIMENTO E INSTALAÇÃO. AF_12/2014</v>
      </c>
      <c r="C223" s="487"/>
      <c r="D223" s="487"/>
      <c r="E223" s="487"/>
      <c r="F223" s="487"/>
      <c r="G223" s="487"/>
      <c r="H223" s="487"/>
      <c r="I223" s="487"/>
      <c r="J223" s="487"/>
      <c r="K223" s="487"/>
      <c r="L223" s="52"/>
      <c r="M223" s="36"/>
    </row>
    <row r="225" spans="1:13">
      <c r="B225" s="482" t="s">
        <v>463</v>
      </c>
      <c r="C225" s="482"/>
      <c r="L225" s="43">
        <v>49</v>
      </c>
    </row>
    <row r="226" spans="1:13" ht="15.75" thickBot="1"/>
    <row r="227" spans="1:13" ht="23.45" customHeight="1" thickBot="1">
      <c r="A227" s="70" t="str">
        <f>[6]BM_05!A133</f>
        <v>9.2.13</v>
      </c>
      <c r="B227" s="486" t="str">
        <f>[6]BM_05!B132</f>
        <v>JOELHO 90 GRAUS, PVC, SOLDÁVEL, DN 20MM, INSTALADO EM RAMAL DE DISTRIBUIÇÃO DE ÁGUA - FORNECIMENTO E INSTALAÇÃO. AF_12/2014</v>
      </c>
      <c r="C227" s="487"/>
      <c r="D227" s="487"/>
      <c r="E227" s="487"/>
      <c r="F227" s="487"/>
      <c r="G227" s="487"/>
      <c r="H227" s="487"/>
      <c r="I227" s="487"/>
      <c r="J227" s="487"/>
      <c r="K227" s="487"/>
      <c r="L227" s="52"/>
      <c r="M227" s="36"/>
    </row>
    <row r="229" spans="1:13">
      <c r="B229" s="482" t="s">
        <v>463</v>
      </c>
      <c r="C229" s="482"/>
      <c r="L229" s="86">
        <v>3</v>
      </c>
    </row>
    <row r="230" spans="1:13" ht="15.75" thickBot="1"/>
    <row r="231" spans="1:13" ht="25.15" customHeight="1" thickBot="1">
      <c r="A231" s="70" t="str">
        <f>[6]BM_05!A134</f>
        <v>9.2.14</v>
      </c>
      <c r="B231" s="486" t="str">
        <f>[6]BM_05!B134</f>
        <v>LUVA, PVC, SOLDÁVEL, DN 25MM, INSTALADO EM RAMAL OU SUB-RAMAL DE ÁGUA - FORNECIMENTO E INSTALAÇÃO. AF_12/2014</v>
      </c>
      <c r="C231" s="487"/>
      <c r="D231" s="487"/>
      <c r="E231" s="487"/>
      <c r="F231" s="487"/>
      <c r="G231" s="487"/>
      <c r="H231" s="487"/>
      <c r="I231" s="487"/>
      <c r="J231" s="487"/>
      <c r="K231" s="487"/>
      <c r="L231" s="52"/>
      <c r="M231" s="36"/>
    </row>
    <row r="232" spans="1:13">
      <c r="B232" s="482"/>
      <c r="C232" s="482"/>
      <c r="L232" s="45">
        <f>SUM(L233:L257)</f>
        <v>63</v>
      </c>
    </row>
    <row r="233" spans="1:13">
      <c r="B233" s="482" t="s">
        <v>464</v>
      </c>
      <c r="C233" s="482"/>
      <c r="D233" s="44">
        <v>1</v>
      </c>
      <c r="E233" s="44">
        <v>2</v>
      </c>
      <c r="L233" s="44">
        <f>D233*E233</f>
        <v>2</v>
      </c>
    </row>
    <row r="234" spans="1:13">
      <c r="B234" s="482" t="s">
        <v>438</v>
      </c>
      <c r="C234" s="482"/>
      <c r="D234" s="44">
        <v>1</v>
      </c>
      <c r="E234" s="44">
        <v>1</v>
      </c>
      <c r="L234" s="44">
        <f t="shared" ref="L234:L257" si="8">D234*E234</f>
        <v>1</v>
      </c>
    </row>
    <row r="235" spans="1:13" ht="14.45" customHeight="1">
      <c r="B235" s="482" t="s">
        <v>436</v>
      </c>
      <c r="C235" s="482"/>
      <c r="D235" s="44">
        <v>1</v>
      </c>
      <c r="E235" s="44">
        <v>4</v>
      </c>
      <c r="L235" s="44">
        <f t="shared" si="8"/>
        <v>4</v>
      </c>
    </row>
    <row r="236" spans="1:13">
      <c r="B236" s="482" t="s">
        <v>465</v>
      </c>
      <c r="C236" s="482"/>
      <c r="D236" s="44">
        <v>1</v>
      </c>
      <c r="E236" s="44">
        <v>4</v>
      </c>
      <c r="L236" s="44">
        <f t="shared" si="8"/>
        <v>4</v>
      </c>
    </row>
    <row r="237" spans="1:13">
      <c r="B237" s="482" t="s">
        <v>476</v>
      </c>
      <c r="C237" s="482"/>
      <c r="D237" s="44">
        <v>1</v>
      </c>
      <c r="E237" s="44"/>
      <c r="L237" s="44">
        <f t="shared" si="8"/>
        <v>0</v>
      </c>
    </row>
    <row r="238" spans="1:13">
      <c r="B238" s="482" t="s">
        <v>466</v>
      </c>
      <c r="C238" s="482"/>
      <c r="D238" s="44">
        <v>1</v>
      </c>
      <c r="E238" s="44">
        <v>1</v>
      </c>
      <c r="L238" s="44">
        <f t="shared" si="8"/>
        <v>1</v>
      </c>
    </row>
    <row r="239" spans="1:13">
      <c r="B239" s="482" t="s">
        <v>467</v>
      </c>
      <c r="C239" s="482"/>
      <c r="D239" s="44">
        <v>1</v>
      </c>
      <c r="E239" s="44">
        <v>1</v>
      </c>
      <c r="L239" s="44">
        <f t="shared" si="8"/>
        <v>1</v>
      </c>
    </row>
    <row r="240" spans="1:13">
      <c r="B240" s="482" t="s">
        <v>468</v>
      </c>
      <c r="C240" s="482"/>
      <c r="D240" s="44">
        <v>1</v>
      </c>
      <c r="E240" s="44">
        <v>2</v>
      </c>
      <c r="L240" s="44">
        <f t="shared" si="8"/>
        <v>2</v>
      </c>
    </row>
    <row r="241" spans="2:12">
      <c r="B241" s="482" t="s">
        <v>469</v>
      </c>
      <c r="C241" s="482"/>
      <c r="D241" s="44">
        <v>1</v>
      </c>
      <c r="E241" s="44">
        <v>2</v>
      </c>
      <c r="L241" s="44">
        <f t="shared" si="8"/>
        <v>2</v>
      </c>
    </row>
    <row r="242" spans="2:12">
      <c r="B242" s="482" t="s">
        <v>467</v>
      </c>
      <c r="C242" s="482"/>
      <c r="D242" s="44">
        <v>1</v>
      </c>
      <c r="E242" s="44">
        <v>1</v>
      </c>
      <c r="L242" s="44">
        <f t="shared" si="8"/>
        <v>1</v>
      </c>
    </row>
    <row r="243" spans="2:12">
      <c r="B243" s="482" t="s">
        <v>444</v>
      </c>
      <c r="C243" s="482"/>
      <c r="D243" s="44">
        <v>1</v>
      </c>
      <c r="E243" s="44">
        <v>1</v>
      </c>
      <c r="L243" s="44">
        <f t="shared" si="8"/>
        <v>1</v>
      </c>
    </row>
    <row r="244" spans="2:12">
      <c r="B244" s="482" t="s">
        <v>470</v>
      </c>
      <c r="C244" s="482"/>
      <c r="D244" s="44">
        <v>1</v>
      </c>
      <c r="E244" s="44">
        <v>2</v>
      </c>
      <c r="L244" s="44">
        <f t="shared" si="8"/>
        <v>2</v>
      </c>
    </row>
    <row r="245" spans="2:12">
      <c r="B245" s="482" t="s">
        <v>477</v>
      </c>
      <c r="C245" s="482"/>
      <c r="D245" s="44">
        <v>1</v>
      </c>
      <c r="E245" s="44">
        <v>5</v>
      </c>
      <c r="L245" s="44">
        <f t="shared" si="8"/>
        <v>5</v>
      </c>
    </row>
    <row r="246" spans="2:12">
      <c r="B246" s="482" t="s">
        <v>471</v>
      </c>
      <c r="C246" s="482"/>
      <c r="D246" s="44">
        <v>1</v>
      </c>
      <c r="E246" s="44">
        <v>1</v>
      </c>
      <c r="L246" s="44">
        <f t="shared" si="8"/>
        <v>1</v>
      </c>
    </row>
    <row r="247" spans="2:12">
      <c r="B247" s="482" t="s">
        <v>440</v>
      </c>
      <c r="C247" s="482"/>
      <c r="D247" s="44">
        <v>1</v>
      </c>
      <c r="E247" s="44">
        <v>4</v>
      </c>
      <c r="L247" s="44">
        <f t="shared" si="8"/>
        <v>4</v>
      </c>
    </row>
    <row r="248" spans="2:12">
      <c r="B248" s="482" t="s">
        <v>472</v>
      </c>
      <c r="C248" s="482"/>
      <c r="D248" s="44">
        <v>1</v>
      </c>
      <c r="E248" s="44">
        <v>1</v>
      </c>
      <c r="L248" s="44">
        <f t="shared" si="8"/>
        <v>1</v>
      </c>
    </row>
    <row r="249" spans="2:12">
      <c r="B249" s="482" t="s">
        <v>445</v>
      </c>
      <c r="C249" s="482"/>
      <c r="D249" s="44">
        <v>1</v>
      </c>
      <c r="E249" s="44">
        <v>1</v>
      </c>
      <c r="L249" s="44">
        <f t="shared" si="8"/>
        <v>1</v>
      </c>
    </row>
    <row r="250" spans="2:12">
      <c r="B250" s="482" t="s">
        <v>473</v>
      </c>
      <c r="C250" s="482"/>
      <c r="D250" s="44">
        <v>1</v>
      </c>
      <c r="E250" s="44">
        <v>3</v>
      </c>
      <c r="L250" s="44">
        <f t="shared" si="8"/>
        <v>3</v>
      </c>
    </row>
    <row r="251" spans="2:12">
      <c r="B251" s="482" t="s">
        <v>449</v>
      </c>
      <c r="C251" s="482"/>
      <c r="D251" s="44">
        <v>1</v>
      </c>
      <c r="E251" s="44">
        <v>1</v>
      </c>
      <c r="L251" s="44">
        <f t="shared" si="8"/>
        <v>1</v>
      </c>
    </row>
    <row r="252" spans="2:12">
      <c r="B252" s="482" t="s">
        <v>478</v>
      </c>
      <c r="C252" s="482"/>
      <c r="D252" s="44">
        <v>1</v>
      </c>
      <c r="E252" s="44">
        <v>5</v>
      </c>
      <c r="L252" s="44">
        <f t="shared" si="8"/>
        <v>5</v>
      </c>
    </row>
    <row r="253" spans="2:12">
      <c r="B253" s="482" t="s">
        <v>452</v>
      </c>
      <c r="C253" s="482"/>
      <c r="D253" s="44">
        <v>1</v>
      </c>
      <c r="E253" s="44">
        <v>4</v>
      </c>
      <c r="L253" s="44">
        <f t="shared" si="8"/>
        <v>4</v>
      </c>
    </row>
    <row r="254" spans="2:12">
      <c r="B254" s="482" t="s">
        <v>474</v>
      </c>
      <c r="C254" s="482"/>
      <c r="D254" s="44">
        <v>1</v>
      </c>
      <c r="E254" s="44">
        <v>5</v>
      </c>
      <c r="L254" s="44">
        <f t="shared" si="8"/>
        <v>5</v>
      </c>
    </row>
    <row r="255" spans="2:12">
      <c r="B255" s="482" t="s">
        <v>475</v>
      </c>
      <c r="C255" s="482"/>
      <c r="D255" s="44">
        <v>1</v>
      </c>
      <c r="E255" s="44">
        <v>4</v>
      </c>
      <c r="L255" s="44">
        <f t="shared" si="8"/>
        <v>4</v>
      </c>
    </row>
    <row r="256" spans="2:12">
      <c r="B256" s="482" t="s">
        <v>468</v>
      </c>
      <c r="C256" s="482"/>
      <c r="D256" s="44">
        <v>1</v>
      </c>
      <c r="E256" s="44">
        <v>5</v>
      </c>
      <c r="L256" s="44">
        <f t="shared" si="8"/>
        <v>5</v>
      </c>
    </row>
    <row r="257" spans="1:13">
      <c r="B257" s="482" t="s">
        <v>469</v>
      </c>
      <c r="C257" s="482"/>
      <c r="D257" s="44">
        <v>1</v>
      </c>
      <c r="E257" s="44">
        <v>3</v>
      </c>
      <c r="L257" s="44">
        <f t="shared" si="8"/>
        <v>3</v>
      </c>
    </row>
    <row r="258" spans="1:13" ht="15.75" thickBot="1"/>
    <row r="259" spans="1:13" ht="15.75" thickBot="1">
      <c r="A259" s="70" t="str">
        <f>[6]BM_05!A135</f>
        <v>9.2.15</v>
      </c>
      <c r="B259" s="486" t="str">
        <f>[6]BM_05!B135</f>
        <v>LUVA, PVC, SOLDÁVEL, DN 60MM, INSTALADO EM PRUMADA DE ÁGUA - FORNECIMENTO E INSTALAÇÃO. AF_12/2014</v>
      </c>
      <c r="C259" s="487"/>
      <c r="D259" s="487"/>
      <c r="E259" s="487"/>
      <c r="F259" s="487"/>
      <c r="G259" s="487"/>
      <c r="H259" s="487"/>
      <c r="I259" s="487"/>
      <c r="J259" s="487"/>
      <c r="K259" s="487"/>
      <c r="L259" s="52"/>
      <c r="M259" s="36"/>
    </row>
    <row r="261" spans="1:13">
      <c r="B261" s="482" t="s">
        <v>463</v>
      </c>
      <c r="C261" s="482"/>
      <c r="L261" s="43">
        <v>1</v>
      </c>
    </row>
    <row r="262" spans="1:13" ht="15.75" thickBot="1"/>
    <row r="263" spans="1:13" ht="22.9" customHeight="1" thickBot="1">
      <c r="A263" s="70" t="str">
        <f>[6]BM_05!A136</f>
        <v>9.2.16</v>
      </c>
      <c r="B263" s="486" t="str">
        <f>[6]BM_05!B136</f>
        <v>LUVA, PVC, SOLDÁVEL, DN 20MM, INSTALADO EM RAMAL OU SUB-RAMAL DE ÁGUA - FORNECIMENTO E INSTALAÇÃO. AF_12/2014</v>
      </c>
      <c r="C263" s="487"/>
      <c r="D263" s="487"/>
      <c r="E263" s="487"/>
      <c r="F263" s="487"/>
      <c r="G263" s="487"/>
      <c r="H263" s="487"/>
      <c r="I263" s="487"/>
      <c r="J263" s="487"/>
      <c r="K263" s="487"/>
      <c r="L263" s="52"/>
      <c r="M263" s="36"/>
    </row>
    <row r="265" spans="1:13">
      <c r="B265" s="482" t="s">
        <v>463</v>
      </c>
      <c r="C265" s="482"/>
      <c r="L265" s="43">
        <v>1</v>
      </c>
    </row>
    <row r="266" spans="1:13" ht="15.75" thickBot="1"/>
    <row r="267" spans="1:13" ht="21" customHeight="1" thickBot="1">
      <c r="A267" s="70" t="str">
        <f>[6]BM_05!A137</f>
        <v>9.2.17</v>
      </c>
      <c r="B267" s="486" t="str">
        <f>[6]BM_05!B137</f>
        <v>TÊ COM BUCHA DE LATÃO NA BOLSA CENTRAL, PVC, SOLDÁVEL, DN 25MM X 1/2, INSTALADO EM RAMAL OU SUB-RAMAL DE ÁGUA - FORNECIMENTO E INSTALAÇÃO. AF_12/2014</v>
      </c>
      <c r="C267" s="487"/>
      <c r="D267" s="487"/>
      <c r="E267" s="487"/>
      <c r="F267" s="487"/>
      <c r="G267" s="487"/>
      <c r="H267" s="487"/>
      <c r="I267" s="487"/>
      <c r="J267" s="487"/>
      <c r="K267" s="487"/>
      <c r="L267" s="52"/>
      <c r="M267" s="36"/>
    </row>
    <row r="269" spans="1:13">
      <c r="B269" s="482"/>
      <c r="C269" s="482"/>
      <c r="L269" s="43">
        <v>7</v>
      </c>
    </row>
    <row r="271" spans="1:13" ht="15.75" thickBot="1"/>
    <row r="272" spans="1:13" ht="15.75" thickBot="1">
      <c r="A272" s="70" t="str">
        <f>[6]BM_05!A138</f>
        <v>9.2.18</v>
      </c>
      <c r="B272" s="486" t="str">
        <f>[6]BM_05!B138</f>
        <v>TE, PVC, SOLDÁVEL, DN 60MM, INSTALADO EM PRUMADA DE ÁGUA - FORNECIMENTO E INSTALAÇÃO. AF_12/2014</v>
      </c>
      <c r="C272" s="487"/>
      <c r="D272" s="487"/>
      <c r="E272" s="487"/>
      <c r="F272" s="487"/>
      <c r="G272" s="487"/>
      <c r="H272" s="487"/>
      <c r="I272" s="487"/>
      <c r="J272" s="487"/>
      <c r="K272" s="487"/>
      <c r="L272" s="52"/>
      <c r="M272" s="36"/>
    </row>
    <row r="274" spans="1:13">
      <c r="B274" s="482" t="s">
        <v>463</v>
      </c>
      <c r="C274" s="482"/>
      <c r="L274" s="43">
        <v>1</v>
      </c>
    </row>
    <row r="276" spans="1:13" ht="15.75" thickBot="1"/>
    <row r="277" spans="1:13" ht="24" customHeight="1" thickBot="1">
      <c r="A277" s="70" t="str">
        <f>[6]BM_05!A139</f>
        <v>9.2.19</v>
      </c>
      <c r="B277" s="486" t="str">
        <f>[6]BM_05!B139</f>
        <v>TE, PVC, SOLDÁVEL, DN 25MM, INSTALADO EM RAMAL DE DISTRIBUIÇÃO DE ÁGUA - FORNECIMENTO E INSTALAÇÃO. AF_12/2014</v>
      </c>
      <c r="C277" s="487"/>
      <c r="D277" s="487"/>
      <c r="E277" s="487"/>
      <c r="F277" s="487"/>
      <c r="G277" s="487"/>
      <c r="H277" s="487"/>
      <c r="I277" s="487"/>
      <c r="J277" s="487"/>
      <c r="K277" s="487"/>
      <c r="L277" s="52"/>
      <c r="M277" s="36"/>
    </row>
    <row r="278" spans="1:13">
      <c r="L278" s="45">
        <f>SUM(L279:L300)</f>
        <v>35</v>
      </c>
    </row>
    <row r="279" spans="1:13">
      <c r="B279" s="482" t="s">
        <v>464</v>
      </c>
      <c r="C279" s="482"/>
      <c r="D279" s="44">
        <v>1</v>
      </c>
      <c r="E279" s="44">
        <v>2</v>
      </c>
      <c r="L279" s="43">
        <f>D279*E279</f>
        <v>2</v>
      </c>
    </row>
    <row r="280" spans="1:13">
      <c r="B280" s="482" t="s">
        <v>438</v>
      </c>
      <c r="C280" s="482"/>
      <c r="D280" s="44">
        <v>1</v>
      </c>
      <c r="E280" s="44">
        <v>1</v>
      </c>
      <c r="L280" s="43">
        <f t="shared" ref="L280:L300" si="9">D280*E280</f>
        <v>1</v>
      </c>
    </row>
    <row r="281" spans="1:13">
      <c r="B281" s="482" t="s">
        <v>436</v>
      </c>
      <c r="C281" s="482"/>
      <c r="D281" s="44">
        <v>1</v>
      </c>
      <c r="E281" s="44">
        <v>2</v>
      </c>
      <c r="L281" s="43">
        <f t="shared" si="9"/>
        <v>2</v>
      </c>
    </row>
    <row r="282" spans="1:13">
      <c r="B282" s="482" t="s">
        <v>465</v>
      </c>
      <c r="C282" s="482"/>
      <c r="D282" s="44">
        <v>1</v>
      </c>
      <c r="E282" s="44">
        <v>2</v>
      </c>
      <c r="L282" s="43">
        <f t="shared" si="9"/>
        <v>2</v>
      </c>
    </row>
    <row r="283" spans="1:13">
      <c r="B283" s="482" t="s">
        <v>468</v>
      </c>
      <c r="C283" s="482"/>
      <c r="D283" s="44">
        <v>1</v>
      </c>
      <c r="E283" s="44">
        <v>1</v>
      </c>
      <c r="L283" s="43">
        <f t="shared" si="9"/>
        <v>1</v>
      </c>
    </row>
    <row r="284" spans="1:13">
      <c r="B284" s="482" t="s">
        <v>469</v>
      </c>
      <c r="C284" s="482"/>
      <c r="D284" s="44">
        <v>1</v>
      </c>
      <c r="E284" s="44">
        <v>1</v>
      </c>
      <c r="L284" s="43">
        <f t="shared" si="9"/>
        <v>1</v>
      </c>
    </row>
    <row r="285" spans="1:13">
      <c r="B285" s="482" t="s">
        <v>467</v>
      </c>
      <c r="C285" s="482"/>
      <c r="D285" s="44">
        <v>1</v>
      </c>
      <c r="E285" s="44">
        <v>1</v>
      </c>
      <c r="L285" s="43">
        <f t="shared" si="9"/>
        <v>1</v>
      </c>
    </row>
    <row r="286" spans="1:13">
      <c r="B286" s="482" t="s">
        <v>444</v>
      </c>
      <c r="C286" s="482"/>
      <c r="D286" s="44">
        <v>1</v>
      </c>
      <c r="E286" s="44">
        <v>1</v>
      </c>
      <c r="L286" s="43">
        <f t="shared" si="9"/>
        <v>1</v>
      </c>
    </row>
    <row r="287" spans="1:13">
      <c r="B287" s="482" t="s">
        <v>470</v>
      </c>
      <c r="C287" s="482"/>
      <c r="D287" s="44">
        <v>1</v>
      </c>
      <c r="E287" s="44">
        <v>2</v>
      </c>
      <c r="L287" s="43">
        <f t="shared" si="9"/>
        <v>2</v>
      </c>
    </row>
    <row r="288" spans="1:13" ht="15" customHeight="1">
      <c r="B288" s="482" t="s">
        <v>477</v>
      </c>
      <c r="C288" s="482"/>
      <c r="D288" s="44">
        <v>1</v>
      </c>
      <c r="E288" s="44">
        <v>2</v>
      </c>
      <c r="L288" s="43">
        <f t="shared" si="9"/>
        <v>2</v>
      </c>
    </row>
    <row r="289" spans="1:13" ht="29.45" customHeight="1">
      <c r="B289" s="482" t="s">
        <v>471</v>
      </c>
      <c r="C289" s="482"/>
      <c r="D289" s="44">
        <v>1</v>
      </c>
      <c r="E289" s="44">
        <v>1</v>
      </c>
      <c r="L289" s="43">
        <f t="shared" si="9"/>
        <v>1</v>
      </c>
    </row>
    <row r="290" spans="1:13">
      <c r="B290" s="482" t="s">
        <v>440</v>
      </c>
      <c r="C290" s="482"/>
      <c r="D290" s="44">
        <v>1</v>
      </c>
      <c r="E290" s="44">
        <v>1</v>
      </c>
      <c r="L290" s="43">
        <f t="shared" si="9"/>
        <v>1</v>
      </c>
    </row>
    <row r="291" spans="1:13">
      <c r="B291" s="482" t="s">
        <v>472</v>
      </c>
      <c r="C291" s="482"/>
      <c r="D291" s="44">
        <v>1</v>
      </c>
      <c r="E291" s="44">
        <v>1</v>
      </c>
      <c r="L291" s="43">
        <f t="shared" si="9"/>
        <v>1</v>
      </c>
    </row>
    <row r="292" spans="1:13">
      <c r="B292" s="482" t="s">
        <v>445</v>
      </c>
      <c r="C292" s="482"/>
      <c r="D292" s="44">
        <v>1</v>
      </c>
      <c r="E292" s="44">
        <v>1</v>
      </c>
      <c r="L292" s="43">
        <f t="shared" si="9"/>
        <v>1</v>
      </c>
    </row>
    <row r="293" spans="1:13">
      <c r="B293" s="482" t="s">
        <v>473</v>
      </c>
      <c r="C293" s="482"/>
      <c r="D293" s="44">
        <v>1</v>
      </c>
      <c r="E293" s="44">
        <v>2</v>
      </c>
      <c r="L293" s="43">
        <f t="shared" si="9"/>
        <v>2</v>
      </c>
    </row>
    <row r="294" spans="1:13">
      <c r="B294" s="482" t="s">
        <v>449</v>
      </c>
      <c r="C294" s="482"/>
      <c r="D294" s="44">
        <v>1</v>
      </c>
      <c r="E294" s="44">
        <v>1</v>
      </c>
      <c r="L294" s="43">
        <f t="shared" si="9"/>
        <v>1</v>
      </c>
    </row>
    <row r="295" spans="1:13">
      <c r="B295" s="482" t="s">
        <v>478</v>
      </c>
      <c r="C295" s="482"/>
      <c r="D295" s="44">
        <v>1</v>
      </c>
      <c r="E295" s="44">
        <v>2</v>
      </c>
      <c r="L295" s="43">
        <f t="shared" si="9"/>
        <v>2</v>
      </c>
    </row>
    <row r="296" spans="1:13">
      <c r="B296" s="482" t="s">
        <v>452</v>
      </c>
      <c r="C296" s="482"/>
      <c r="D296" s="44">
        <v>1</v>
      </c>
      <c r="E296" s="44">
        <v>2</v>
      </c>
      <c r="L296" s="43">
        <f t="shared" si="9"/>
        <v>2</v>
      </c>
    </row>
    <row r="297" spans="1:13">
      <c r="B297" s="482" t="s">
        <v>474</v>
      </c>
      <c r="C297" s="482"/>
      <c r="D297" s="44">
        <v>1</v>
      </c>
      <c r="E297" s="44">
        <v>3</v>
      </c>
      <c r="L297" s="43">
        <f t="shared" si="9"/>
        <v>3</v>
      </c>
    </row>
    <row r="298" spans="1:13">
      <c r="B298" s="482" t="s">
        <v>475</v>
      </c>
      <c r="C298" s="482"/>
      <c r="D298" s="44">
        <v>1</v>
      </c>
      <c r="E298" s="44">
        <v>2</v>
      </c>
      <c r="L298" s="43">
        <f t="shared" si="9"/>
        <v>2</v>
      </c>
    </row>
    <row r="299" spans="1:13">
      <c r="B299" s="482" t="s">
        <v>468</v>
      </c>
      <c r="C299" s="482"/>
      <c r="D299" s="44">
        <v>1</v>
      </c>
      <c r="E299" s="44">
        <v>2</v>
      </c>
      <c r="L299" s="43">
        <f t="shared" si="9"/>
        <v>2</v>
      </c>
    </row>
    <row r="300" spans="1:13">
      <c r="B300" s="482" t="s">
        <v>469</v>
      </c>
      <c r="C300" s="482"/>
      <c r="D300" s="44">
        <v>1</v>
      </c>
      <c r="E300" s="44">
        <v>2</v>
      </c>
      <c r="L300" s="43">
        <f t="shared" si="9"/>
        <v>2</v>
      </c>
    </row>
    <row r="301" spans="1:13" ht="15.75" thickBot="1"/>
    <row r="302" spans="1:13" ht="27" customHeight="1" thickBot="1">
      <c r="A302" s="70" t="str">
        <f>[6]BM_05!A140</f>
        <v>9.2.20</v>
      </c>
      <c r="B302" s="486" t="str">
        <f>[6]BM_05!B140</f>
        <v>TE, PVC, SOLDÁVEL, DN 50MM, INSTALADO EM PRUMADA DE ÁGUA - FORNECIMENTO E INSTALAÇÃO. AF_12/2014</v>
      </c>
      <c r="C302" s="487"/>
      <c r="D302" s="487"/>
      <c r="E302" s="487"/>
      <c r="F302" s="487"/>
      <c r="G302" s="487"/>
      <c r="H302" s="487"/>
      <c r="I302" s="487"/>
      <c r="J302" s="487"/>
      <c r="K302" s="487"/>
      <c r="L302" s="52"/>
      <c r="M302" s="36"/>
    </row>
    <row r="304" spans="1:13">
      <c r="B304" s="482" t="s">
        <v>463</v>
      </c>
      <c r="C304" s="482"/>
      <c r="L304" s="43">
        <v>32</v>
      </c>
    </row>
    <row r="305" spans="1:13" ht="15.75" thickBot="1"/>
    <row r="306" spans="1:13" ht="15.75" thickBot="1">
      <c r="A306" s="70" t="str">
        <f>[6]BM_05!A141</f>
        <v>9.2.21</v>
      </c>
      <c r="B306" s="486" t="str">
        <f>[6]BM_05!B141</f>
        <v>REGISTRO DE GAVETA BRUTO, LATÃO, ROSCÁVEL, 1 1/2", COM ACABAMENTO E CANOPLA CROMADOS - FORNECIMENTO E INSTALAÇÃO. AF_08/2021</v>
      </c>
      <c r="C306" s="487"/>
      <c r="D306" s="487"/>
      <c r="E306" s="487"/>
      <c r="F306" s="487"/>
      <c r="G306" s="487"/>
      <c r="H306" s="487"/>
      <c r="I306" s="487"/>
      <c r="J306" s="487"/>
      <c r="K306" s="487"/>
      <c r="L306" s="52"/>
      <c r="M306" s="36"/>
    </row>
    <row r="308" spans="1:13">
      <c r="B308" s="482" t="s">
        <v>463</v>
      </c>
      <c r="C308" s="482"/>
      <c r="L308" s="43">
        <v>2</v>
      </c>
    </row>
    <row r="310" spans="1:13" ht="15.75" thickBot="1"/>
    <row r="311" spans="1:13" ht="23.45" customHeight="1" thickBot="1">
      <c r="A311" s="70" t="str">
        <f>[6]BM_05!A142</f>
        <v>9.2.22</v>
      </c>
      <c r="B311" s="486" t="str">
        <f>[6]BM_05!B142</f>
        <v>REGISTRO DE GAVETA BRUTO, LATÃO, ROSCÁVEL, 3/4", COM ACABAMENTO E CANOPLA CROMADOS - FORNECIMENTO E INSTALAÇÃO. AF_08/2021</v>
      </c>
      <c r="C311" s="487"/>
      <c r="D311" s="487"/>
      <c r="E311" s="487"/>
      <c r="F311" s="487"/>
      <c r="G311" s="487"/>
      <c r="H311" s="487"/>
      <c r="I311" s="487"/>
      <c r="J311" s="487"/>
      <c r="K311" s="487"/>
      <c r="L311" s="52"/>
      <c r="M311" s="36"/>
    </row>
    <row r="312" spans="1:13">
      <c r="L312" s="45">
        <f>SUM(L313:L336)</f>
        <v>25</v>
      </c>
    </row>
    <row r="313" spans="1:13">
      <c r="B313" s="482" t="s">
        <v>464</v>
      </c>
      <c r="C313" s="482"/>
      <c r="D313" s="44">
        <v>1</v>
      </c>
      <c r="E313">
        <v>1</v>
      </c>
      <c r="L313" s="81">
        <f>D313*E313</f>
        <v>1</v>
      </c>
    </row>
    <row r="314" spans="1:13">
      <c r="B314" s="482" t="s">
        <v>438</v>
      </c>
      <c r="C314" s="482"/>
      <c r="D314" s="44">
        <v>1</v>
      </c>
      <c r="L314" s="81">
        <f t="shared" ref="L314:L336" si="10">D314*E314</f>
        <v>0</v>
      </c>
    </row>
    <row r="315" spans="1:13">
      <c r="B315" s="482" t="s">
        <v>436</v>
      </c>
      <c r="C315" s="482"/>
      <c r="D315" s="44">
        <v>1</v>
      </c>
      <c r="E315">
        <v>1</v>
      </c>
      <c r="L315" s="81">
        <f t="shared" si="10"/>
        <v>1</v>
      </c>
    </row>
    <row r="316" spans="1:13">
      <c r="B316" s="482" t="s">
        <v>465</v>
      </c>
      <c r="C316" s="482"/>
      <c r="D316" s="44">
        <v>1</v>
      </c>
      <c r="E316">
        <v>1</v>
      </c>
      <c r="L316" s="81">
        <f t="shared" si="10"/>
        <v>1</v>
      </c>
    </row>
    <row r="317" spans="1:13">
      <c r="B317" s="482" t="s">
        <v>466</v>
      </c>
      <c r="C317" s="482"/>
      <c r="D317" s="44">
        <v>1</v>
      </c>
      <c r="L317" s="81">
        <f t="shared" si="10"/>
        <v>0</v>
      </c>
    </row>
    <row r="318" spans="1:13">
      <c r="B318" s="482" t="s">
        <v>467</v>
      </c>
      <c r="C318" s="482"/>
      <c r="D318" s="44">
        <v>1</v>
      </c>
      <c r="E318">
        <v>1</v>
      </c>
      <c r="L318" s="81">
        <f t="shared" si="10"/>
        <v>1</v>
      </c>
    </row>
    <row r="319" spans="1:13">
      <c r="B319" s="482" t="s">
        <v>468</v>
      </c>
      <c r="C319" s="482"/>
      <c r="D319" s="44">
        <v>1</v>
      </c>
      <c r="E319">
        <v>1</v>
      </c>
      <c r="L319" s="81">
        <f t="shared" si="10"/>
        <v>1</v>
      </c>
    </row>
    <row r="320" spans="1:13">
      <c r="B320" s="482" t="s">
        <v>469</v>
      </c>
      <c r="C320" s="482"/>
      <c r="D320" s="44">
        <v>1</v>
      </c>
      <c r="E320">
        <v>1</v>
      </c>
      <c r="L320" s="81">
        <f t="shared" si="10"/>
        <v>1</v>
      </c>
    </row>
    <row r="321" spans="2:12">
      <c r="B321" s="482" t="s">
        <v>467</v>
      </c>
      <c r="C321" s="482"/>
      <c r="D321" s="44">
        <v>1</v>
      </c>
      <c r="E321">
        <v>1</v>
      </c>
      <c r="L321" s="81">
        <f t="shared" si="10"/>
        <v>1</v>
      </c>
    </row>
    <row r="322" spans="2:12">
      <c r="B322" s="482" t="s">
        <v>444</v>
      </c>
      <c r="C322" s="482"/>
      <c r="D322" s="44">
        <v>1</v>
      </c>
      <c r="E322">
        <v>1</v>
      </c>
      <c r="L322" s="81">
        <f t="shared" si="10"/>
        <v>1</v>
      </c>
    </row>
    <row r="323" spans="2:12">
      <c r="B323" s="482" t="s">
        <v>470</v>
      </c>
      <c r="C323" s="482"/>
      <c r="D323" s="44">
        <v>1</v>
      </c>
      <c r="E323">
        <v>1</v>
      </c>
      <c r="L323" s="81">
        <f t="shared" si="10"/>
        <v>1</v>
      </c>
    </row>
    <row r="324" spans="2:12" ht="31.15" customHeight="1">
      <c r="B324" s="482" t="s">
        <v>477</v>
      </c>
      <c r="C324" s="482"/>
      <c r="D324" s="44">
        <v>1</v>
      </c>
      <c r="E324">
        <v>2</v>
      </c>
      <c r="L324" s="81">
        <f t="shared" si="10"/>
        <v>2</v>
      </c>
    </row>
    <row r="325" spans="2:12" ht="15" customHeight="1">
      <c r="B325" s="482" t="s">
        <v>471</v>
      </c>
      <c r="C325" s="482"/>
      <c r="D325" s="44">
        <v>1</v>
      </c>
      <c r="E325">
        <v>1</v>
      </c>
      <c r="L325" s="81">
        <f t="shared" si="10"/>
        <v>1</v>
      </c>
    </row>
    <row r="326" spans="2:12" ht="12.6" customHeight="1">
      <c r="B326" s="482" t="s">
        <v>440</v>
      </c>
      <c r="C326" s="482"/>
      <c r="D326" s="44">
        <v>1</v>
      </c>
      <c r="E326">
        <v>1</v>
      </c>
      <c r="L326" s="81">
        <f t="shared" si="10"/>
        <v>1</v>
      </c>
    </row>
    <row r="327" spans="2:12">
      <c r="B327" s="482" t="s">
        <v>472</v>
      </c>
      <c r="C327" s="482"/>
      <c r="D327" s="44">
        <v>1</v>
      </c>
      <c r="E327">
        <v>1</v>
      </c>
      <c r="L327" s="81">
        <f t="shared" si="10"/>
        <v>1</v>
      </c>
    </row>
    <row r="328" spans="2:12">
      <c r="B328" s="482" t="s">
        <v>445</v>
      </c>
      <c r="C328" s="482"/>
      <c r="D328" s="44">
        <v>1</v>
      </c>
      <c r="E328">
        <v>1</v>
      </c>
      <c r="L328" s="81">
        <f t="shared" si="10"/>
        <v>1</v>
      </c>
    </row>
    <row r="329" spans="2:12">
      <c r="B329" s="482" t="s">
        <v>473</v>
      </c>
      <c r="C329" s="482"/>
      <c r="D329" s="44">
        <v>1</v>
      </c>
      <c r="E329">
        <v>1</v>
      </c>
      <c r="L329" s="81">
        <f t="shared" si="10"/>
        <v>1</v>
      </c>
    </row>
    <row r="330" spans="2:12">
      <c r="B330" s="482" t="s">
        <v>449</v>
      </c>
      <c r="C330" s="482"/>
      <c r="D330" s="44">
        <v>1</v>
      </c>
      <c r="E330">
        <v>1</v>
      </c>
      <c r="L330" s="81">
        <f t="shared" si="10"/>
        <v>1</v>
      </c>
    </row>
    <row r="331" spans="2:12">
      <c r="B331" s="482" t="s">
        <v>478</v>
      </c>
      <c r="C331" s="482"/>
      <c r="D331" s="44">
        <v>1</v>
      </c>
      <c r="E331">
        <v>2</v>
      </c>
      <c r="L331" s="81">
        <f t="shared" si="10"/>
        <v>2</v>
      </c>
    </row>
    <row r="332" spans="2:12">
      <c r="B332" s="482" t="s">
        <v>452</v>
      </c>
      <c r="C332" s="482"/>
      <c r="D332" s="44">
        <v>1</v>
      </c>
      <c r="E332">
        <v>2</v>
      </c>
      <c r="L332" s="81">
        <f t="shared" si="10"/>
        <v>2</v>
      </c>
    </row>
    <row r="333" spans="2:12">
      <c r="B333" s="482" t="s">
        <v>474</v>
      </c>
      <c r="C333" s="482"/>
      <c r="D333" s="44">
        <v>1</v>
      </c>
      <c r="E333">
        <v>1</v>
      </c>
      <c r="L333" s="81">
        <f t="shared" si="10"/>
        <v>1</v>
      </c>
    </row>
    <row r="334" spans="2:12" ht="33.6" customHeight="1">
      <c r="B334" s="482" t="s">
        <v>475</v>
      </c>
      <c r="C334" s="482"/>
      <c r="D334" s="44">
        <v>1</v>
      </c>
      <c r="E334">
        <v>1</v>
      </c>
      <c r="L334" s="81">
        <f t="shared" si="10"/>
        <v>1</v>
      </c>
    </row>
    <row r="335" spans="2:12">
      <c r="B335" s="482" t="s">
        <v>468</v>
      </c>
      <c r="C335" s="482"/>
      <c r="D335" s="44">
        <v>1</v>
      </c>
      <c r="E335">
        <v>1</v>
      </c>
      <c r="L335" s="81">
        <f t="shared" si="10"/>
        <v>1</v>
      </c>
    </row>
    <row r="336" spans="2:12">
      <c r="B336" s="482" t="s">
        <v>469</v>
      </c>
      <c r="C336" s="482"/>
      <c r="D336" s="44">
        <v>1</v>
      </c>
      <c r="E336">
        <v>1</v>
      </c>
      <c r="L336" s="81">
        <f t="shared" si="10"/>
        <v>1</v>
      </c>
    </row>
    <row r="337" spans="1:13" ht="15.75" thickBot="1"/>
    <row r="338" spans="1:13" ht="24" customHeight="1" thickBot="1">
      <c r="A338" s="70" t="str">
        <f>[6]BM_05!A143</f>
        <v>9.2.23</v>
      </c>
      <c r="B338" s="486" t="str">
        <f>[6]BM_05!B143</f>
        <v>REGISTRO DE PRESSÃO BRUTO, LATÃO, ROSCÁVEL, 3/4", COM ACABAMENTO E CANOPLA CROMADOS - FORNECIMENTO E INSTALAÇÃO. AF_08/2021</v>
      </c>
      <c r="C338" s="487"/>
      <c r="D338" s="487"/>
      <c r="E338" s="487"/>
      <c r="F338" s="487"/>
      <c r="G338" s="487"/>
      <c r="H338" s="487"/>
      <c r="I338" s="487"/>
      <c r="J338" s="487"/>
      <c r="K338" s="487"/>
      <c r="L338" s="52"/>
      <c r="M338" s="36"/>
    </row>
    <row r="339" spans="1:13">
      <c r="L339" s="45">
        <f>SUM(L340:L342)</f>
        <v>3</v>
      </c>
    </row>
    <row r="340" spans="1:13" ht="24" customHeight="1">
      <c r="B340" s="482" t="s">
        <v>436</v>
      </c>
      <c r="C340" s="482"/>
      <c r="D340" s="44">
        <v>1</v>
      </c>
      <c r="E340" s="43">
        <v>1</v>
      </c>
      <c r="L340" s="81">
        <f>E340*D340</f>
        <v>1</v>
      </c>
    </row>
    <row r="341" spans="1:13">
      <c r="B341" s="482" t="s">
        <v>465</v>
      </c>
      <c r="C341" s="482"/>
      <c r="D341" s="44">
        <v>1</v>
      </c>
      <c r="E341" s="43">
        <v>1</v>
      </c>
      <c r="L341" s="81">
        <f t="shared" ref="L341:L342" si="11">E341*D341</f>
        <v>1</v>
      </c>
    </row>
    <row r="342" spans="1:13">
      <c r="B342" s="482" t="s">
        <v>452</v>
      </c>
      <c r="C342" s="482"/>
      <c r="D342" s="44">
        <v>1</v>
      </c>
      <c r="E342" s="43">
        <v>1</v>
      </c>
      <c r="L342" s="81">
        <f t="shared" si="11"/>
        <v>1</v>
      </c>
    </row>
    <row r="348" spans="1:13" ht="24.6" customHeight="1"/>
    <row r="442" ht="45" customHeight="1"/>
    <row r="457" ht="23.45" customHeight="1"/>
    <row r="551" ht="28.15" customHeight="1"/>
    <row r="572" ht="27" customHeight="1"/>
    <row r="600" ht="20.45" customHeight="1"/>
    <row r="623" ht="21" customHeight="1"/>
    <row r="627" ht="24.6" customHeight="1"/>
    <row r="631" ht="27.6" customHeight="1"/>
    <row r="663" ht="30" customHeight="1"/>
    <row r="667" ht="25.15" customHeight="1"/>
    <row r="696" ht="27" customHeight="1"/>
    <row r="702" ht="20.45" customHeight="1"/>
    <row r="706" ht="23.45" customHeight="1"/>
    <row r="752" ht="27" customHeight="1"/>
    <row r="781" ht="24" customHeight="1"/>
    <row r="786" ht="29.45" customHeight="1"/>
    <row r="813" ht="25.9" customHeight="1"/>
  </sheetData>
  <protectedRanges>
    <protectedRange sqref="L7" name="Intervalo1_1"/>
    <protectedRange sqref="L10:L11 L64:L66 L44 L311 L277 L302 L306 L13:L15 L338 L61:L62 L94:L95 L99 L103 L131 L154 L158 L162 L189 L193 L197 L223 L227 L231 L259 L263 L267 L272 L46 L53" name="Intervalo1_1_2"/>
    <protectedRange sqref="L12" name="Intervalo1_1_1_3"/>
    <protectedRange sqref="L16:L41 L67:L92" name="Intervalo1_1_2_1"/>
  </protectedRanges>
  <mergeCells count="293">
    <mergeCell ref="B342:C342"/>
    <mergeCell ref="B334:C334"/>
    <mergeCell ref="B335:C335"/>
    <mergeCell ref="B336:C336"/>
    <mergeCell ref="B338:K338"/>
    <mergeCell ref="B340:C340"/>
    <mergeCell ref="B341:C341"/>
    <mergeCell ref="B328:C328"/>
    <mergeCell ref="B329:C329"/>
    <mergeCell ref="B330:C330"/>
    <mergeCell ref="B331:C331"/>
    <mergeCell ref="B332:C332"/>
    <mergeCell ref="B333:C333"/>
    <mergeCell ref="B322:C322"/>
    <mergeCell ref="B323:C323"/>
    <mergeCell ref="B324:C324"/>
    <mergeCell ref="B325:C325"/>
    <mergeCell ref="B326:C326"/>
    <mergeCell ref="B327:C327"/>
    <mergeCell ref="B316:C316"/>
    <mergeCell ref="B317:C317"/>
    <mergeCell ref="B318:C318"/>
    <mergeCell ref="B319:C319"/>
    <mergeCell ref="B320:C320"/>
    <mergeCell ref="B321:C321"/>
    <mergeCell ref="B306:K306"/>
    <mergeCell ref="B308:C308"/>
    <mergeCell ref="B311:K311"/>
    <mergeCell ref="B313:C313"/>
    <mergeCell ref="B314:C314"/>
    <mergeCell ref="B315:C315"/>
    <mergeCell ref="B297:C297"/>
    <mergeCell ref="B298:C298"/>
    <mergeCell ref="B299:C299"/>
    <mergeCell ref="B300:C300"/>
    <mergeCell ref="B302:K302"/>
    <mergeCell ref="B304:C304"/>
    <mergeCell ref="B291:C291"/>
    <mergeCell ref="B292:C292"/>
    <mergeCell ref="B293:C293"/>
    <mergeCell ref="B294:C294"/>
    <mergeCell ref="B295:C295"/>
    <mergeCell ref="B296:C296"/>
    <mergeCell ref="B285:C285"/>
    <mergeCell ref="B286:C286"/>
    <mergeCell ref="B287:C287"/>
    <mergeCell ref="B288:C288"/>
    <mergeCell ref="B289:C289"/>
    <mergeCell ref="B290:C290"/>
    <mergeCell ref="B279:C279"/>
    <mergeCell ref="B280:C280"/>
    <mergeCell ref="B281:C281"/>
    <mergeCell ref="B282:C282"/>
    <mergeCell ref="B283:C283"/>
    <mergeCell ref="B284:C284"/>
    <mergeCell ref="B265:C265"/>
    <mergeCell ref="B267:K267"/>
    <mergeCell ref="B269:C269"/>
    <mergeCell ref="B272:K272"/>
    <mergeCell ref="B274:C274"/>
    <mergeCell ref="B277:K277"/>
    <mergeCell ref="B255:C255"/>
    <mergeCell ref="B256:C256"/>
    <mergeCell ref="B257:C257"/>
    <mergeCell ref="B259:K259"/>
    <mergeCell ref="B261:C261"/>
    <mergeCell ref="B263:K263"/>
    <mergeCell ref="B249:C249"/>
    <mergeCell ref="B250:C250"/>
    <mergeCell ref="B251:C251"/>
    <mergeCell ref="B252:C252"/>
    <mergeCell ref="B253:C253"/>
    <mergeCell ref="B254:C254"/>
    <mergeCell ref="B243:C243"/>
    <mergeCell ref="B244:C244"/>
    <mergeCell ref="B245:C245"/>
    <mergeCell ref="B246:C246"/>
    <mergeCell ref="B247:C247"/>
    <mergeCell ref="B248:C248"/>
    <mergeCell ref="B237:C237"/>
    <mergeCell ref="B238:C238"/>
    <mergeCell ref="B239:C239"/>
    <mergeCell ref="B240:C240"/>
    <mergeCell ref="B241:C241"/>
    <mergeCell ref="B242:C242"/>
    <mergeCell ref="B231:K231"/>
    <mergeCell ref="B232:C232"/>
    <mergeCell ref="B233:C233"/>
    <mergeCell ref="B234:C234"/>
    <mergeCell ref="B235:C235"/>
    <mergeCell ref="B236:C236"/>
    <mergeCell ref="B219:C219"/>
    <mergeCell ref="B220:C220"/>
    <mergeCell ref="B223:K223"/>
    <mergeCell ref="B225:C225"/>
    <mergeCell ref="B227:K227"/>
    <mergeCell ref="B229:C229"/>
    <mergeCell ref="B213:C213"/>
    <mergeCell ref="B214:C214"/>
    <mergeCell ref="B215:C215"/>
    <mergeCell ref="B216:C216"/>
    <mergeCell ref="B217:C217"/>
    <mergeCell ref="B218:C218"/>
    <mergeCell ref="B207:C207"/>
    <mergeCell ref="B208:C208"/>
    <mergeCell ref="B209:C209"/>
    <mergeCell ref="B210:C210"/>
    <mergeCell ref="B211:C211"/>
    <mergeCell ref="B212:C212"/>
    <mergeCell ref="B201:C201"/>
    <mergeCell ref="B202:C202"/>
    <mergeCell ref="B203:C203"/>
    <mergeCell ref="B204:C204"/>
    <mergeCell ref="B205:C205"/>
    <mergeCell ref="B206:C206"/>
    <mergeCell ref="B191:C191"/>
    <mergeCell ref="B193:K193"/>
    <mergeCell ref="B195:C195"/>
    <mergeCell ref="B197:K197"/>
    <mergeCell ref="B199:C199"/>
    <mergeCell ref="B200:C200"/>
    <mergeCell ref="B185:C185"/>
    <mergeCell ref="B186:C186"/>
    <mergeCell ref="B187:C187"/>
    <mergeCell ref="B188:C188"/>
    <mergeCell ref="B189:K189"/>
    <mergeCell ref="B190:C190"/>
    <mergeCell ref="B179:C179"/>
    <mergeCell ref="B180:C180"/>
    <mergeCell ref="B181:C181"/>
    <mergeCell ref="B182:C182"/>
    <mergeCell ref="B183:C183"/>
    <mergeCell ref="B184:C184"/>
    <mergeCell ref="B173:C173"/>
    <mergeCell ref="B174:C174"/>
    <mergeCell ref="B175:C175"/>
    <mergeCell ref="B176:C176"/>
    <mergeCell ref="B177:C177"/>
    <mergeCell ref="B178:C178"/>
    <mergeCell ref="B167:C167"/>
    <mergeCell ref="B168:C168"/>
    <mergeCell ref="B169:C169"/>
    <mergeCell ref="B170:C170"/>
    <mergeCell ref="B171:C171"/>
    <mergeCell ref="B172:C172"/>
    <mergeCell ref="B161:C161"/>
    <mergeCell ref="B162:K162"/>
    <mergeCell ref="B163:C163"/>
    <mergeCell ref="B164:C164"/>
    <mergeCell ref="B165:C165"/>
    <mergeCell ref="B166:C166"/>
    <mergeCell ref="B155:C155"/>
    <mergeCell ref="B156:C156"/>
    <mergeCell ref="B157:C157"/>
    <mergeCell ref="B158:K158"/>
    <mergeCell ref="B159:C159"/>
    <mergeCell ref="B160:C160"/>
    <mergeCell ref="B149:C149"/>
    <mergeCell ref="B150:C150"/>
    <mergeCell ref="B151:C151"/>
    <mergeCell ref="B152:C152"/>
    <mergeCell ref="B153:C153"/>
    <mergeCell ref="B154:K154"/>
    <mergeCell ref="B143:C143"/>
    <mergeCell ref="B144:C144"/>
    <mergeCell ref="B145:C145"/>
    <mergeCell ref="B146:C146"/>
    <mergeCell ref="B147:C147"/>
    <mergeCell ref="B148:C148"/>
    <mergeCell ref="B137:C137"/>
    <mergeCell ref="B138:C138"/>
    <mergeCell ref="B139:C139"/>
    <mergeCell ref="B140:C140"/>
    <mergeCell ref="B141:C141"/>
    <mergeCell ref="B142:C142"/>
    <mergeCell ref="B131:K131"/>
    <mergeCell ref="B132:C132"/>
    <mergeCell ref="B133:C133"/>
    <mergeCell ref="B134:C134"/>
    <mergeCell ref="B135:C135"/>
    <mergeCell ref="B136:C136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97:C97"/>
    <mergeCell ref="B99:K99"/>
    <mergeCell ref="B101:C101"/>
    <mergeCell ref="B103:K103"/>
    <mergeCell ref="B105:C105"/>
    <mergeCell ref="B106:C106"/>
    <mergeCell ref="B88:C88"/>
    <mergeCell ref="B89:C89"/>
    <mergeCell ref="B90:C90"/>
    <mergeCell ref="B91:C91"/>
    <mergeCell ref="B94:K94"/>
    <mergeCell ref="B95:K95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69:C69"/>
    <mergeCell ref="B70:C70"/>
    <mergeCell ref="B71:C71"/>
    <mergeCell ref="B72:C72"/>
    <mergeCell ref="B74:C74"/>
    <mergeCell ref="B75:C75"/>
    <mergeCell ref="B57:C57"/>
    <mergeCell ref="B58:C58"/>
    <mergeCell ref="B61:K61"/>
    <mergeCell ref="B62:K62"/>
    <mergeCell ref="B67:C67"/>
    <mergeCell ref="B68:C68"/>
    <mergeCell ref="B49:C49"/>
    <mergeCell ref="B50:C50"/>
    <mergeCell ref="B51:C51"/>
    <mergeCell ref="B53:K53"/>
    <mergeCell ref="B55:C55"/>
    <mergeCell ref="B56:C56"/>
    <mergeCell ref="B38:C38"/>
    <mergeCell ref="B39:C39"/>
    <mergeCell ref="B40:C40"/>
    <mergeCell ref="B44:K44"/>
    <mergeCell ref="B46:K46"/>
    <mergeCell ref="B48:C48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19:C19"/>
    <mergeCell ref="B20:C20"/>
    <mergeCell ref="B21:C21"/>
    <mergeCell ref="B23:C23"/>
    <mergeCell ref="B24:C24"/>
    <mergeCell ref="B25:C25"/>
    <mergeCell ref="B10:K10"/>
    <mergeCell ref="B11:K11"/>
    <mergeCell ref="B12:K12"/>
    <mergeCell ref="B16:C16"/>
    <mergeCell ref="B17:C17"/>
    <mergeCell ref="B18:C18"/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</mergeCells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7</vt:i4>
      </vt:variant>
    </vt:vector>
  </HeadingPairs>
  <TitlesOfParts>
    <vt:vector size="19" baseType="lpstr">
      <vt:lpstr>ORÇAMENTO</vt:lpstr>
      <vt:lpstr>REPROGRAMAÇÃO</vt:lpstr>
      <vt:lpstr>BM_15</vt:lpstr>
      <vt:lpstr>MEMORIA DE CALCULO</vt:lpstr>
      <vt:lpstr>RELATORIO FOTO</vt:lpstr>
      <vt:lpstr>RELATÓRIO FOTOGRÁFICO</vt:lpstr>
      <vt:lpstr>MEM</vt:lpstr>
      <vt:lpstr>BM10</vt:lpstr>
      <vt:lpstr>BM09</vt:lpstr>
      <vt:lpstr>PLANILHA PÓS ADITIVO</vt:lpstr>
      <vt:lpstr>MEM_</vt:lpstr>
      <vt:lpstr>MEM_05</vt:lpstr>
      <vt:lpstr>BM_15!Area_de_impressao</vt:lpstr>
      <vt:lpstr>MEM_!Area_de_impressao</vt:lpstr>
      <vt:lpstr>MEM_05!Area_de_impressao</vt:lpstr>
      <vt:lpstr>'MEMORIA DE CALCULO'!Area_de_impressao</vt:lpstr>
      <vt:lpstr>'PLANILHA PÓS ADITIVO'!Area_de_impressao</vt:lpstr>
      <vt:lpstr>'RELATORIO FOTO'!Area_de_impressao</vt:lpstr>
      <vt:lpstr>'RELATÓRIO FOTOGRÁFICO'!Area_de_impressao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LAURO</dc:creator>
  <cp:lastModifiedBy>Notebook</cp:lastModifiedBy>
  <cp:lastPrinted>2024-07-17T14:44:42Z</cp:lastPrinted>
  <dcterms:created xsi:type="dcterms:W3CDTF">2015-06-05T18:19:34Z</dcterms:created>
  <dcterms:modified xsi:type="dcterms:W3CDTF">2026-09-15T14:13:00Z</dcterms:modified>
</cp:coreProperties>
</file>