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FISCALIZAÇÃO E ACOMPANHAMENTO DE OBRAS\DUPLICAÇÃO\BM 02\RETIFICADO\"/>
    </mc:Choice>
  </mc:AlternateContent>
  <bookViews>
    <workbookView xWindow="-110" yWindow="-110" windowWidth="20730" windowHeight="11760" activeTab="1"/>
  </bookViews>
  <sheets>
    <sheet name="1ª MEDIÇÃO" sheetId="1" r:id="rId1"/>
    <sheet name="2ª MEDIÇÃO" sheetId="2" r:id="rId2"/>
    <sheet name="READEQUAÇÃO" sheetId="6" r:id="rId3"/>
    <sheet name="Table 8" sheetId="3" r:id="rId4"/>
    <sheet name="Table 9" sheetId="4" r:id="rId5"/>
    <sheet name="Table 10" sheetId="5" r:id="rId6"/>
  </sheets>
  <definedNames>
    <definedName name="_xlnm.Print_Area" localSheetId="0">'1ª MEDIÇÃO'!$A$1:$O$99</definedName>
    <definedName name="_xlnm.Print_Area" localSheetId="1">'2ª MEDIÇÃO'!$A$1:$O$102</definedName>
    <definedName name="_xlnm.Print_Area" localSheetId="2">READEQUAÇÃO!$A$1:$U$100</definedName>
    <definedName name="_xlnm.Print_Area" localSheetId="5">'Table 10'!$A$1:$N$171</definedName>
    <definedName name="_xlnm.Print_Area" localSheetId="4">'Table 9'!$A$1:$N$53</definedName>
    <definedName name="_xlnm.Print_Titles" localSheetId="0">'1ª MEDIÇÃO'!$8:$11</definedName>
    <definedName name="_xlnm.Print_Titles" localSheetId="1">'2ª MEDIÇÃO'!$8:$11</definedName>
    <definedName name="_xlnm.Print_Titles" localSheetId="2">READEQUAÇÃO!$7:$10</definedName>
    <definedName name="_xlnm.Print_Titles" localSheetId="5">'Table 10'!$8:$10</definedName>
  </definedNames>
  <calcPr calcId="152511"/>
</workbook>
</file>

<file path=xl/calcChain.xml><?xml version="1.0" encoding="utf-8"?>
<calcChain xmlns="http://schemas.openxmlformats.org/spreadsheetml/2006/main">
  <c r="L110" i="2" l="1"/>
  <c r="L109" i="2"/>
  <c r="L108" i="2"/>
  <c r="L18" i="2"/>
  <c r="K18" i="2"/>
  <c r="T18" i="2"/>
  <c r="V19" i="2"/>
  <c r="X20" i="2"/>
  <c r="J17" i="2"/>
  <c r="M18" i="2"/>
  <c r="N18" i="2" s="1"/>
  <c r="H18" i="2"/>
  <c r="S25" i="2" l="1"/>
  <c r="U26" i="2" s="1"/>
  <c r="V23" i="2"/>
  <c r="O18" i="2"/>
  <c r="I15" i="6" l="1"/>
  <c r="I16" i="6"/>
  <c r="I14" i="6"/>
  <c r="I83" i="6" l="1"/>
  <c r="I84" i="6"/>
  <c r="I85" i="6"/>
  <c r="I86" i="6"/>
  <c r="O86" i="6" s="1"/>
  <c r="I87" i="6"/>
  <c r="I88" i="6"/>
  <c r="I82" i="6"/>
  <c r="I71" i="6"/>
  <c r="O71" i="6" s="1"/>
  <c r="I59" i="6"/>
  <c r="I60" i="6"/>
  <c r="I61" i="6"/>
  <c r="I62" i="6"/>
  <c r="O62" i="6" s="1"/>
  <c r="I63" i="6"/>
  <c r="O63" i="6" s="1"/>
  <c r="I64" i="6"/>
  <c r="O64" i="6" s="1"/>
  <c r="I65" i="6"/>
  <c r="O65" i="6" s="1"/>
  <c r="I66" i="6"/>
  <c r="O66" i="6" s="1"/>
  <c r="I67" i="6"/>
  <c r="O67" i="6" s="1"/>
  <c r="I58" i="6"/>
  <c r="O58" i="6" s="1"/>
  <c r="O15" i="6"/>
  <c r="I76" i="6"/>
  <c r="O76" i="6" s="1"/>
  <c r="I77" i="6"/>
  <c r="I78" i="6"/>
  <c r="I79" i="6"/>
  <c r="I80" i="6"/>
  <c r="I75" i="6"/>
  <c r="O83" i="6"/>
  <c r="O84" i="6"/>
  <c r="O85" i="6"/>
  <c r="O87" i="6"/>
  <c r="O88" i="6"/>
  <c r="O82" i="6"/>
  <c r="O77" i="6"/>
  <c r="O78" i="6"/>
  <c r="O79" i="6"/>
  <c r="O80" i="6"/>
  <c r="O75" i="6"/>
  <c r="O59" i="6"/>
  <c r="O60" i="6"/>
  <c r="O61" i="6"/>
  <c r="O16" i="6"/>
  <c r="O14" i="6"/>
  <c r="I39" i="6"/>
  <c r="O39" i="6" s="1"/>
  <c r="I40" i="6"/>
  <c r="H40" i="6" s="1"/>
  <c r="N40" i="6" s="1"/>
  <c r="I41" i="6"/>
  <c r="H41" i="6" s="1"/>
  <c r="N41" i="6" s="1"/>
  <c r="I42" i="6"/>
  <c r="H42" i="6" s="1"/>
  <c r="N42" i="6" s="1"/>
  <c r="I43" i="6"/>
  <c r="O43" i="6" s="1"/>
  <c r="I44" i="6"/>
  <c r="H44" i="6" s="1"/>
  <c r="N44" i="6" s="1"/>
  <c r="I45" i="6"/>
  <c r="H45" i="6" s="1"/>
  <c r="N45" i="6" s="1"/>
  <c r="I46" i="6"/>
  <c r="H46" i="6" s="1"/>
  <c r="N46" i="6" s="1"/>
  <c r="I38" i="6"/>
  <c r="O38" i="6" s="1"/>
  <c r="I34" i="6"/>
  <c r="O34" i="6" s="1"/>
  <c r="I35" i="6"/>
  <c r="O35" i="6" s="1"/>
  <c r="I36" i="6"/>
  <c r="H36" i="6" s="1"/>
  <c r="N36" i="6" s="1"/>
  <c r="I33" i="6"/>
  <c r="G33" i="6" s="1"/>
  <c r="M33" i="6" s="1"/>
  <c r="I21" i="6"/>
  <c r="H21" i="6" s="1"/>
  <c r="N21" i="6" s="1"/>
  <c r="I22" i="6"/>
  <c r="O22" i="6" s="1"/>
  <c r="I23" i="6"/>
  <c r="O23" i="6" s="1"/>
  <c r="I24" i="6"/>
  <c r="H24" i="6" s="1"/>
  <c r="N24" i="6" s="1"/>
  <c r="I25" i="6"/>
  <c r="H25" i="6" s="1"/>
  <c r="N25" i="6" s="1"/>
  <c r="I26" i="6"/>
  <c r="O26" i="6" s="1"/>
  <c r="I27" i="6"/>
  <c r="O27" i="6" s="1"/>
  <c r="I28" i="6"/>
  <c r="H28" i="6" s="1"/>
  <c r="N28" i="6" s="1"/>
  <c r="I29" i="6"/>
  <c r="H29" i="6" s="1"/>
  <c r="N29" i="6" s="1"/>
  <c r="I30" i="6"/>
  <c r="O30" i="6" s="1"/>
  <c r="I31" i="6"/>
  <c r="O31" i="6" s="1"/>
  <c r="I20" i="6"/>
  <c r="H20" i="6" s="1"/>
  <c r="N20" i="6" s="1"/>
  <c r="I18" i="6"/>
  <c r="H18" i="6" s="1"/>
  <c r="N18" i="6" s="1"/>
  <c r="N17" i="6" s="1"/>
  <c r="H16" i="6"/>
  <c r="N16" i="6" s="1"/>
  <c r="G15" i="6"/>
  <c r="M15" i="6" s="1"/>
  <c r="G16" i="6"/>
  <c r="M16" i="6" s="1"/>
  <c r="I56" i="6"/>
  <c r="O56" i="6" s="1"/>
  <c r="O55" i="6" s="1"/>
  <c r="I49" i="6"/>
  <c r="O49" i="6" s="1"/>
  <c r="I50" i="6"/>
  <c r="H50" i="6" s="1"/>
  <c r="N50" i="6" s="1"/>
  <c r="I51" i="6"/>
  <c r="H51" i="6" s="1"/>
  <c r="N51" i="6" s="1"/>
  <c r="I52" i="6"/>
  <c r="G52" i="6" s="1"/>
  <c r="M52" i="6" s="1"/>
  <c r="I53" i="6"/>
  <c r="O53" i="6" s="1"/>
  <c r="I48" i="6"/>
  <c r="H48" i="6" s="1"/>
  <c r="N48" i="6" s="1"/>
  <c r="R88" i="6"/>
  <c r="Q88" i="6"/>
  <c r="L88" i="6"/>
  <c r="R87" i="6"/>
  <c r="Q87" i="6"/>
  <c r="L87" i="6"/>
  <c r="R86" i="6"/>
  <c r="Q86" i="6"/>
  <c r="L86" i="6"/>
  <c r="R85" i="6"/>
  <c r="R81" i="6" s="1"/>
  <c r="Q85" i="6"/>
  <c r="L85" i="6"/>
  <c r="R84" i="6"/>
  <c r="Q84" i="6"/>
  <c r="L84" i="6"/>
  <c r="R83" i="6"/>
  <c r="Q83" i="6"/>
  <c r="L83" i="6"/>
  <c r="R82" i="6"/>
  <c r="Q82" i="6"/>
  <c r="L82" i="6"/>
  <c r="R80" i="6"/>
  <c r="Q80" i="6"/>
  <c r="L80" i="6"/>
  <c r="R79" i="6"/>
  <c r="R74" i="6" s="1"/>
  <c r="Q79" i="6"/>
  <c r="L79" i="6"/>
  <c r="R78" i="6"/>
  <c r="Q78" i="6"/>
  <c r="L78" i="6"/>
  <c r="R77" i="6"/>
  <c r="Q77" i="6"/>
  <c r="L77" i="6"/>
  <c r="R76" i="6"/>
  <c r="Q76" i="6"/>
  <c r="L76" i="6"/>
  <c r="R75" i="6"/>
  <c r="Q75" i="6"/>
  <c r="L75" i="6"/>
  <c r="Q73" i="6"/>
  <c r="S72" i="6"/>
  <c r="H72" i="6" s="1"/>
  <c r="Q72" i="6"/>
  <c r="R71" i="6"/>
  <c r="Q71" i="6"/>
  <c r="L71" i="6"/>
  <c r="R70" i="6"/>
  <c r="Q70" i="6"/>
  <c r="L70" i="6"/>
  <c r="R69" i="6"/>
  <c r="Q69" i="6"/>
  <c r="L69" i="6"/>
  <c r="L68" i="6" s="1"/>
  <c r="R67" i="6"/>
  <c r="Q67" i="6"/>
  <c r="L67" i="6"/>
  <c r="R66" i="6"/>
  <c r="Q66" i="6"/>
  <c r="L66" i="6"/>
  <c r="R65" i="6"/>
  <c r="Q65" i="6"/>
  <c r="L65" i="6"/>
  <c r="R64" i="6"/>
  <c r="Q64" i="6"/>
  <c r="L64" i="6"/>
  <c r="R63" i="6"/>
  <c r="Q63" i="6"/>
  <c r="L63" i="6"/>
  <c r="R62" i="6"/>
  <c r="Q62" i="6"/>
  <c r="L62" i="6"/>
  <c r="R61" i="6"/>
  <c r="Q61" i="6"/>
  <c r="L61" i="6"/>
  <c r="R60" i="6"/>
  <c r="Q60" i="6"/>
  <c r="L60" i="6"/>
  <c r="R59" i="6"/>
  <c r="Q59" i="6"/>
  <c r="L59" i="6"/>
  <c r="L58" i="6"/>
  <c r="S56" i="6"/>
  <c r="U56" i="6" s="1"/>
  <c r="U55" i="6" s="1"/>
  <c r="R56" i="6"/>
  <c r="R55" i="6" s="1"/>
  <c r="L56" i="6"/>
  <c r="L55" i="6" s="1"/>
  <c r="R53" i="6"/>
  <c r="Q53" i="6"/>
  <c r="L53" i="6"/>
  <c r="R52" i="6"/>
  <c r="Q52" i="6"/>
  <c r="L52" i="6"/>
  <c r="R51" i="6"/>
  <c r="Q51" i="6"/>
  <c r="L51" i="6"/>
  <c r="R50" i="6"/>
  <c r="Q50" i="6"/>
  <c r="L50" i="6"/>
  <c r="R49" i="6"/>
  <c r="Q49" i="6"/>
  <c r="L49" i="6"/>
  <c r="R48" i="6"/>
  <c r="Q48" i="6"/>
  <c r="L48" i="6"/>
  <c r="L47" i="6" s="1"/>
  <c r="R46" i="6"/>
  <c r="Q46" i="6"/>
  <c r="L46" i="6"/>
  <c r="R45" i="6"/>
  <c r="Q45" i="6"/>
  <c r="L45" i="6"/>
  <c r="R44" i="6"/>
  <c r="Q44" i="6"/>
  <c r="L44" i="6"/>
  <c r="R43" i="6"/>
  <c r="Q43" i="6"/>
  <c r="L43" i="6"/>
  <c r="R42" i="6"/>
  <c r="Q42" i="6"/>
  <c r="L42" i="6"/>
  <c r="R41" i="6"/>
  <c r="Q41" i="6"/>
  <c r="L41" i="6"/>
  <c r="R40" i="6"/>
  <c r="Q40" i="6"/>
  <c r="L40" i="6"/>
  <c r="R39" i="6"/>
  <c r="Q39" i="6"/>
  <c r="L39" i="6"/>
  <c r="R38" i="6"/>
  <c r="Q38" i="6"/>
  <c r="L38" i="6"/>
  <c r="R36" i="6"/>
  <c r="Q36" i="6"/>
  <c r="L36" i="6"/>
  <c r="L32" i="6" s="1"/>
  <c r="R35" i="6"/>
  <c r="Q35" i="6"/>
  <c r="L35" i="6"/>
  <c r="R34" i="6"/>
  <c r="Q34" i="6"/>
  <c r="L34" i="6"/>
  <c r="R33" i="6"/>
  <c r="Q33" i="6"/>
  <c r="L33" i="6"/>
  <c r="R31" i="6"/>
  <c r="Q31" i="6"/>
  <c r="L31" i="6"/>
  <c r="R30" i="6"/>
  <c r="Q30" i="6"/>
  <c r="L30" i="6"/>
  <c r="R29" i="6"/>
  <c r="Q29" i="6"/>
  <c r="L29" i="6"/>
  <c r="R28" i="6"/>
  <c r="Q28" i="6"/>
  <c r="L28" i="6"/>
  <c r="R27" i="6"/>
  <c r="Q27" i="6"/>
  <c r="L27" i="6"/>
  <c r="R26" i="6"/>
  <c r="Q26" i="6"/>
  <c r="L26" i="6"/>
  <c r="R25" i="6"/>
  <c r="Q25" i="6"/>
  <c r="L25" i="6"/>
  <c r="R24" i="6"/>
  <c r="Q24" i="6"/>
  <c r="L24" i="6"/>
  <c r="R23" i="6"/>
  <c r="Q23" i="6"/>
  <c r="L23" i="6"/>
  <c r="R22" i="6"/>
  <c r="Q22" i="6"/>
  <c r="L22" i="6"/>
  <c r="R21" i="6"/>
  <c r="Q21" i="6"/>
  <c r="L21" i="6"/>
  <c r="R20" i="6"/>
  <c r="Q20" i="6"/>
  <c r="L20" i="6"/>
  <c r="L19" i="6" s="1"/>
  <c r="R19" i="6"/>
  <c r="R18" i="6"/>
  <c r="R17" i="6" s="1"/>
  <c r="Q18" i="6"/>
  <c r="L18" i="6"/>
  <c r="L17" i="6" s="1"/>
  <c r="R16" i="6"/>
  <c r="Q16" i="6"/>
  <c r="L16" i="6"/>
  <c r="R15" i="6"/>
  <c r="Q15" i="6"/>
  <c r="L15" i="6"/>
  <c r="R14" i="6"/>
  <c r="R13" i="6" s="1"/>
  <c r="Q14" i="6"/>
  <c r="L14" i="6"/>
  <c r="L13" i="6" s="1"/>
  <c r="R47" i="6" l="1"/>
  <c r="L37" i="6"/>
  <c r="R37" i="6"/>
  <c r="L81" i="6"/>
  <c r="R32" i="6"/>
  <c r="L74" i="6"/>
  <c r="L57" i="6"/>
  <c r="H34" i="6"/>
  <c r="N34" i="6" s="1"/>
  <c r="O57" i="6"/>
  <c r="G34" i="6"/>
  <c r="M34" i="6" s="1"/>
  <c r="G18" i="6"/>
  <c r="M18" i="6" s="1"/>
  <c r="M17" i="6" s="1"/>
  <c r="G36" i="6"/>
  <c r="M36" i="6" s="1"/>
  <c r="G45" i="6"/>
  <c r="M45" i="6" s="1"/>
  <c r="G41" i="6"/>
  <c r="M41" i="6" s="1"/>
  <c r="T72" i="6"/>
  <c r="G31" i="6"/>
  <c r="M31" i="6" s="1"/>
  <c r="G27" i="6"/>
  <c r="M27" i="6" s="1"/>
  <c r="G23" i="6"/>
  <c r="M23" i="6" s="1"/>
  <c r="H31" i="6"/>
  <c r="N31" i="6" s="1"/>
  <c r="H27" i="6"/>
  <c r="N27" i="6" s="1"/>
  <c r="H23" i="6"/>
  <c r="N23" i="6" s="1"/>
  <c r="G35" i="6"/>
  <c r="M35" i="6" s="1"/>
  <c r="H35" i="6"/>
  <c r="N35" i="6" s="1"/>
  <c r="G46" i="6"/>
  <c r="M46" i="6" s="1"/>
  <c r="G42" i="6"/>
  <c r="M42" i="6" s="1"/>
  <c r="H38" i="6"/>
  <c r="N38" i="6" s="1"/>
  <c r="H43" i="6"/>
  <c r="N43" i="6" s="1"/>
  <c r="H39" i="6"/>
  <c r="N39" i="6" s="1"/>
  <c r="G51" i="6"/>
  <c r="M51" i="6" s="1"/>
  <c r="H53" i="6"/>
  <c r="N53" i="6" s="1"/>
  <c r="H49" i="6"/>
  <c r="N49" i="6" s="1"/>
  <c r="O18" i="6"/>
  <c r="O17" i="6" s="1"/>
  <c r="O29" i="6"/>
  <c r="O25" i="6"/>
  <c r="O21" i="6"/>
  <c r="O36" i="6"/>
  <c r="O46" i="6"/>
  <c r="O42" i="6"/>
  <c r="O52" i="6"/>
  <c r="G30" i="6"/>
  <c r="M30" i="6" s="1"/>
  <c r="G26" i="6"/>
  <c r="M26" i="6" s="1"/>
  <c r="G22" i="6"/>
  <c r="M22" i="6" s="1"/>
  <c r="H30" i="6"/>
  <c r="N30" i="6" s="1"/>
  <c r="H26" i="6"/>
  <c r="N26" i="6" s="1"/>
  <c r="H22" i="6"/>
  <c r="N22" i="6" s="1"/>
  <c r="G48" i="6"/>
  <c r="M48" i="6" s="1"/>
  <c r="G50" i="6"/>
  <c r="M50" i="6" s="1"/>
  <c r="H52" i="6"/>
  <c r="N52" i="6" s="1"/>
  <c r="G56" i="6"/>
  <c r="M56" i="6" s="1"/>
  <c r="M55" i="6" s="1"/>
  <c r="O20" i="6"/>
  <c r="O28" i="6"/>
  <c r="O24" i="6"/>
  <c r="O45" i="6"/>
  <c r="O41" i="6"/>
  <c r="O51" i="6"/>
  <c r="R12" i="6"/>
  <c r="L54" i="6"/>
  <c r="G29" i="6"/>
  <c r="M29" i="6" s="1"/>
  <c r="G25" i="6"/>
  <c r="M25" i="6" s="1"/>
  <c r="G21" i="6"/>
  <c r="M21" i="6" s="1"/>
  <c r="H33" i="6"/>
  <c r="N33" i="6" s="1"/>
  <c r="G44" i="6"/>
  <c r="M44" i="6" s="1"/>
  <c r="G40" i="6"/>
  <c r="M40" i="6" s="1"/>
  <c r="G53" i="6"/>
  <c r="M53" i="6" s="1"/>
  <c r="G49" i="6"/>
  <c r="M49" i="6" s="1"/>
  <c r="H56" i="6"/>
  <c r="N56" i="6" s="1"/>
  <c r="N55" i="6" s="1"/>
  <c r="O44" i="6"/>
  <c r="O40" i="6"/>
  <c r="O48" i="6"/>
  <c r="O50" i="6"/>
  <c r="O74" i="6"/>
  <c r="G20" i="6"/>
  <c r="M20" i="6" s="1"/>
  <c r="G28" i="6"/>
  <c r="M28" i="6" s="1"/>
  <c r="G24" i="6"/>
  <c r="M24" i="6" s="1"/>
  <c r="G38" i="6"/>
  <c r="M38" i="6" s="1"/>
  <c r="G43" i="6"/>
  <c r="M43" i="6" s="1"/>
  <c r="G39" i="6"/>
  <c r="M39" i="6" s="1"/>
  <c r="O33" i="6"/>
  <c r="H73" i="6"/>
  <c r="O81" i="6"/>
  <c r="O13" i="6"/>
  <c r="H15" i="6"/>
  <c r="N15" i="6" s="1"/>
  <c r="G73" i="6"/>
  <c r="G72" i="6"/>
  <c r="L12" i="6"/>
  <c r="M37" i="6" l="1"/>
  <c r="L89" i="6"/>
  <c r="O32" i="6"/>
  <c r="O47" i="6"/>
  <c r="O12" i="6" s="1"/>
  <c r="N32" i="6"/>
  <c r="O19" i="6"/>
  <c r="O37" i="6"/>
  <c r="N19" i="6"/>
  <c r="M32" i="6"/>
  <c r="N47" i="6"/>
  <c r="M19" i="6"/>
  <c r="M47" i="6"/>
  <c r="N37" i="6"/>
  <c r="H71" i="6"/>
  <c r="N71" i="6" s="1"/>
  <c r="G71" i="6"/>
  <c r="M71" i="6" s="1"/>
  <c r="G82" i="6"/>
  <c r="M82" i="6" s="1"/>
  <c r="H82" i="6"/>
  <c r="N82" i="6" s="1"/>
  <c r="G86" i="6"/>
  <c r="M86" i="6" s="1"/>
  <c r="H86" i="6"/>
  <c r="N86" i="6" s="1"/>
  <c r="H63" i="6"/>
  <c r="N63" i="6" s="1"/>
  <c r="G63" i="6"/>
  <c r="M63" i="6" s="1"/>
  <c r="G77" i="6"/>
  <c r="M77" i="6" s="1"/>
  <c r="H77" i="6"/>
  <c r="N77" i="6" s="1"/>
  <c r="G64" i="6"/>
  <c r="M64" i="6" s="1"/>
  <c r="H64" i="6"/>
  <c r="N64" i="6" s="1"/>
  <c r="G78" i="6"/>
  <c r="M78" i="6" s="1"/>
  <c r="H78" i="6"/>
  <c r="N78" i="6" s="1"/>
  <c r="H79" i="6"/>
  <c r="N79" i="6" s="1"/>
  <c r="G79" i="6"/>
  <c r="M79" i="6" s="1"/>
  <c r="H76" i="6"/>
  <c r="N76" i="6" s="1"/>
  <c r="G76" i="6"/>
  <c r="M76" i="6" s="1"/>
  <c r="H67" i="6"/>
  <c r="N67" i="6" s="1"/>
  <c r="G67" i="6"/>
  <c r="M67" i="6" s="1"/>
  <c r="G75" i="6"/>
  <c r="M75" i="6" s="1"/>
  <c r="H75" i="6"/>
  <c r="N75" i="6" s="1"/>
  <c r="H14" i="6"/>
  <c r="N14" i="6" s="1"/>
  <c r="N13" i="6" s="1"/>
  <c r="G14" i="6"/>
  <c r="M14" i="6" s="1"/>
  <c r="M13" i="6" s="1"/>
  <c r="M12" i="6" s="1"/>
  <c r="H62" i="6"/>
  <c r="N62" i="6" s="1"/>
  <c r="G62" i="6"/>
  <c r="M62" i="6" s="1"/>
  <c r="H80" i="6"/>
  <c r="N80" i="6" s="1"/>
  <c r="G80" i="6"/>
  <c r="M80" i="6" s="1"/>
  <c r="H83" i="6"/>
  <c r="N83" i="6" s="1"/>
  <c r="G83" i="6"/>
  <c r="M83" i="6" s="1"/>
  <c r="G84" i="6"/>
  <c r="M84" i="6" s="1"/>
  <c r="H84" i="6"/>
  <c r="N84" i="6" s="1"/>
  <c r="G61" i="6"/>
  <c r="M61" i="6" s="1"/>
  <c r="H61" i="6"/>
  <c r="N61" i="6" s="1"/>
  <c r="G58" i="6"/>
  <c r="M58" i="6" s="1"/>
  <c r="H58" i="6"/>
  <c r="N58" i="6" s="1"/>
  <c r="G85" i="6"/>
  <c r="M85" i="6" s="1"/>
  <c r="H85" i="6"/>
  <c r="N85" i="6" s="1"/>
  <c r="H66" i="6"/>
  <c r="N66" i="6" s="1"/>
  <c r="G66" i="6"/>
  <c r="M66" i="6" s="1"/>
  <c r="H59" i="6"/>
  <c r="N59" i="6" s="1"/>
  <c r="G59" i="6"/>
  <c r="M59" i="6" s="1"/>
  <c r="H87" i="6"/>
  <c r="N87" i="6" s="1"/>
  <c r="G87" i="6"/>
  <c r="M87" i="6" s="1"/>
  <c r="G60" i="6"/>
  <c r="M60" i="6" s="1"/>
  <c r="H60" i="6"/>
  <c r="N60" i="6" s="1"/>
  <c r="G88" i="6"/>
  <c r="M88" i="6" s="1"/>
  <c r="H88" i="6"/>
  <c r="N88" i="6" s="1"/>
  <c r="G65" i="6"/>
  <c r="M65" i="6" s="1"/>
  <c r="H65" i="6"/>
  <c r="N65" i="6" s="1"/>
  <c r="W96" i="6"/>
  <c r="P5" i="6"/>
  <c r="I32" i="2"/>
  <c r="I33" i="2"/>
  <c r="M74" i="2"/>
  <c r="K74" i="2"/>
  <c r="K132" i="5"/>
  <c r="L132" i="5" s="1"/>
  <c r="E131" i="5"/>
  <c r="K131" i="5" s="1"/>
  <c r="L131" i="5" s="1"/>
  <c r="K130" i="5"/>
  <c r="L130" i="5" s="1"/>
  <c r="F75" i="2"/>
  <c r="K75" i="2" s="1"/>
  <c r="B167" i="5"/>
  <c r="N74" i="2" l="1"/>
  <c r="N12" i="6"/>
  <c r="M74" i="6"/>
  <c r="N74" i="6"/>
  <c r="N81" i="6"/>
  <c r="M81" i="6"/>
  <c r="N57" i="6"/>
  <c r="M57" i="6"/>
  <c r="K73" i="6"/>
  <c r="K72" i="6"/>
  <c r="M129" i="5"/>
  <c r="K128" i="5"/>
  <c r="E127" i="5"/>
  <c r="K127" i="5" s="1"/>
  <c r="L127" i="5" s="1"/>
  <c r="M125" i="5" s="1"/>
  <c r="K126" i="5"/>
  <c r="O72" i="6" l="1"/>
  <c r="N72" i="6"/>
  <c r="M72" i="6"/>
  <c r="O73" i="6"/>
  <c r="N73" i="6"/>
  <c r="M73" i="6"/>
  <c r="R73" i="6"/>
  <c r="L73" i="6"/>
  <c r="R72" i="6"/>
  <c r="L72" i="6"/>
  <c r="U72" i="6"/>
  <c r="E168" i="5"/>
  <c r="M66" i="5"/>
  <c r="R68" i="6" l="1"/>
  <c r="M119" i="5"/>
  <c r="E138" i="5"/>
  <c r="K138" i="5" s="1"/>
  <c r="L138" i="5" s="1"/>
  <c r="K137" i="5"/>
  <c r="L137" i="5" s="1"/>
  <c r="E136" i="5"/>
  <c r="K136" i="5" s="1"/>
  <c r="L136" i="5" s="1"/>
  <c r="K135" i="5"/>
  <c r="L135" i="5" s="1"/>
  <c r="K134" i="5"/>
  <c r="L134" i="5" s="1"/>
  <c r="M133" i="5" l="1"/>
  <c r="E97" i="5" l="1"/>
  <c r="K97" i="5" l="1"/>
  <c r="L97" i="5" s="1"/>
  <c r="M96" i="5" s="1"/>
  <c r="E123" i="5"/>
  <c r="K165" i="5"/>
  <c r="L165" i="5" s="1"/>
  <c r="E170" i="5"/>
  <c r="K159" i="5"/>
  <c r="L159" i="5" s="1"/>
  <c r="M158" i="5" s="1"/>
  <c r="E163" i="5"/>
  <c r="K163" i="5" s="1"/>
  <c r="L163" i="5" s="1"/>
  <c r="E162" i="5"/>
  <c r="K162" i="5" s="1"/>
  <c r="L162" i="5" s="1"/>
  <c r="E161" i="5"/>
  <c r="K161" i="5" s="1"/>
  <c r="L161" i="5" s="1"/>
  <c r="K166" i="5"/>
  <c r="L166" i="5" s="1"/>
  <c r="P58" i="6" l="1"/>
  <c r="J60" i="2"/>
  <c r="M160" i="5"/>
  <c r="M164" i="5"/>
  <c r="Q58" i="6" l="1"/>
  <c r="R58" i="6"/>
  <c r="R57" i="6" s="1"/>
  <c r="R54" i="6" s="1"/>
  <c r="R89" i="6" s="1"/>
  <c r="T5" i="6" s="1"/>
  <c r="S5" i="6" s="1"/>
  <c r="G16" i="3"/>
  <c r="E15" i="5" l="1"/>
  <c r="K17" i="5"/>
  <c r="L17" i="5" s="1"/>
  <c r="M16" i="5" s="1"/>
  <c r="M18" i="5"/>
  <c r="K99" i="5"/>
  <c r="L99" i="5" s="1"/>
  <c r="M98" i="5" s="1"/>
  <c r="E114" i="5" s="1"/>
  <c r="K114" i="5" s="1"/>
  <c r="L114" i="5" s="1"/>
  <c r="M113" i="5" s="1"/>
  <c r="E109" i="5" s="1"/>
  <c r="K109" i="5" s="1"/>
  <c r="L109" i="5" s="1"/>
  <c r="K122" i="5"/>
  <c r="L122" i="5" s="1"/>
  <c r="K123" i="5"/>
  <c r="L123" i="5" s="1"/>
  <c r="K124" i="5"/>
  <c r="L124" i="5" s="1"/>
  <c r="K15" i="5" l="1"/>
  <c r="L15" i="5" s="1"/>
  <c r="M14" i="5" s="1"/>
  <c r="E16" i="3"/>
  <c r="K16" i="3" s="1"/>
  <c r="L16" i="3" s="1"/>
  <c r="E103" i="5"/>
  <c r="K103" i="5" s="1"/>
  <c r="L103" i="5" s="1"/>
  <c r="M102" i="5" s="1"/>
  <c r="E117" i="5" s="1"/>
  <c r="K117" i="5" s="1"/>
  <c r="L117" i="5" s="1"/>
  <c r="E101" i="5"/>
  <c r="M121" i="5"/>
  <c r="M58" i="2"/>
  <c r="L90" i="2"/>
  <c r="K90" i="2"/>
  <c r="I90" i="2"/>
  <c r="L89" i="2"/>
  <c r="K89" i="2"/>
  <c r="I89" i="2"/>
  <c r="L88" i="2"/>
  <c r="K88" i="2"/>
  <c r="I88" i="2"/>
  <c r="L87" i="2"/>
  <c r="K87" i="2"/>
  <c r="I87" i="2"/>
  <c r="I83" i="2" s="1"/>
  <c r="L86" i="2"/>
  <c r="K86" i="2"/>
  <c r="I86" i="2"/>
  <c r="L85" i="2"/>
  <c r="K85" i="2"/>
  <c r="I85" i="2"/>
  <c r="L84" i="2"/>
  <c r="K84" i="2"/>
  <c r="I84" i="2"/>
  <c r="L82" i="2"/>
  <c r="K82" i="2"/>
  <c r="I82" i="2"/>
  <c r="L81" i="2"/>
  <c r="K81" i="2"/>
  <c r="I81" i="2"/>
  <c r="L80" i="2"/>
  <c r="L76" i="2" s="1"/>
  <c r="K80" i="2"/>
  <c r="I80" i="2"/>
  <c r="I76" i="2" s="1"/>
  <c r="L79" i="2"/>
  <c r="K79" i="2"/>
  <c r="I79" i="2"/>
  <c r="L78" i="2"/>
  <c r="K78" i="2"/>
  <c r="I78" i="2"/>
  <c r="L77" i="2"/>
  <c r="K77" i="2"/>
  <c r="I77" i="2"/>
  <c r="L73" i="2"/>
  <c r="K73" i="2"/>
  <c r="I73" i="2"/>
  <c r="I72" i="2"/>
  <c r="I70" i="2" s="1"/>
  <c r="L71" i="2"/>
  <c r="K71" i="2"/>
  <c r="I71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I59" i="2" s="1"/>
  <c r="L60" i="2"/>
  <c r="L59" i="2" s="1"/>
  <c r="K60" i="2"/>
  <c r="I60" i="2"/>
  <c r="L58" i="2"/>
  <c r="L57" i="2" s="1"/>
  <c r="I58" i="2"/>
  <c r="I57" i="2" s="1"/>
  <c r="L55" i="2"/>
  <c r="K55" i="2"/>
  <c r="I55" i="2"/>
  <c r="L54" i="2"/>
  <c r="K54" i="2"/>
  <c r="I54" i="2"/>
  <c r="L53" i="2"/>
  <c r="K53" i="2"/>
  <c r="I53" i="2"/>
  <c r="I49" i="2" s="1"/>
  <c r="L52" i="2"/>
  <c r="L49" i="2" s="1"/>
  <c r="K52" i="2"/>
  <c r="I52" i="2"/>
  <c r="L51" i="2"/>
  <c r="K51" i="2"/>
  <c r="I51" i="2"/>
  <c r="L50" i="2"/>
  <c r="K50" i="2"/>
  <c r="I50" i="2"/>
  <c r="L48" i="2"/>
  <c r="K48" i="2"/>
  <c r="I48" i="2"/>
  <c r="L47" i="2"/>
  <c r="K47" i="2"/>
  <c r="I47" i="2"/>
  <c r="L46" i="2"/>
  <c r="K46" i="2"/>
  <c r="I46" i="2"/>
  <c r="L45" i="2"/>
  <c r="K45" i="2"/>
  <c r="I45" i="2"/>
  <c r="L44" i="2"/>
  <c r="K44" i="2"/>
  <c r="I44" i="2"/>
  <c r="L43" i="2"/>
  <c r="L39" i="2" s="1"/>
  <c r="K43" i="2"/>
  <c r="I43" i="2"/>
  <c r="L42" i="2"/>
  <c r="K42" i="2"/>
  <c r="I42" i="2"/>
  <c r="L41" i="2"/>
  <c r="K41" i="2"/>
  <c r="I41" i="2"/>
  <c r="L40" i="2"/>
  <c r="K40" i="2"/>
  <c r="I40" i="2"/>
  <c r="L38" i="2"/>
  <c r="K38" i="2"/>
  <c r="I38" i="2"/>
  <c r="L37" i="2"/>
  <c r="L34" i="2" s="1"/>
  <c r="K37" i="2"/>
  <c r="I37" i="2"/>
  <c r="I34" i="2" s="1"/>
  <c r="L36" i="2"/>
  <c r="K36" i="2"/>
  <c r="I36" i="2"/>
  <c r="L35" i="2"/>
  <c r="K35" i="2"/>
  <c r="I35" i="2"/>
  <c r="L33" i="2"/>
  <c r="K33" i="2"/>
  <c r="L32" i="2"/>
  <c r="K32" i="2"/>
  <c r="L31" i="2"/>
  <c r="K31" i="2"/>
  <c r="I31" i="2"/>
  <c r="L30" i="2"/>
  <c r="K30" i="2"/>
  <c r="I30" i="2"/>
  <c r="L29" i="2"/>
  <c r="K29" i="2"/>
  <c r="I29" i="2"/>
  <c r="L28" i="2"/>
  <c r="K28" i="2"/>
  <c r="I28" i="2"/>
  <c r="L27" i="2"/>
  <c r="K27" i="2"/>
  <c r="I27" i="2"/>
  <c r="L26" i="2"/>
  <c r="K26" i="2"/>
  <c r="I26" i="2"/>
  <c r="L25" i="2"/>
  <c r="K25" i="2"/>
  <c r="I25" i="2"/>
  <c r="L24" i="2"/>
  <c r="K24" i="2"/>
  <c r="I24" i="2"/>
  <c r="L23" i="2"/>
  <c r="K23" i="2"/>
  <c r="I23" i="2"/>
  <c r="L22" i="2"/>
  <c r="K22" i="2"/>
  <c r="I22" i="2"/>
  <c r="L20" i="2"/>
  <c r="L19" i="2" s="1"/>
  <c r="K20" i="2"/>
  <c r="I20" i="2"/>
  <c r="I19" i="2" s="1"/>
  <c r="L17" i="2"/>
  <c r="L14" i="2" s="1"/>
  <c r="K17" i="2"/>
  <c r="I17" i="2"/>
  <c r="L16" i="2"/>
  <c r="K16" i="2"/>
  <c r="I16" i="2"/>
  <c r="L15" i="2"/>
  <c r="K15" i="2"/>
  <c r="I15" i="2"/>
  <c r="O58" i="2" l="1"/>
  <c r="O57" i="2" s="1"/>
  <c r="I39" i="2"/>
  <c r="I56" i="2"/>
  <c r="I14" i="2"/>
  <c r="I21" i="2"/>
  <c r="L21" i="2"/>
  <c r="L13" i="2" s="1"/>
  <c r="E105" i="5"/>
  <c r="K105" i="5" s="1"/>
  <c r="L105" i="5" s="1"/>
  <c r="M104" i="5" s="1"/>
  <c r="E116" i="5" s="1"/>
  <c r="K116" i="5" s="1"/>
  <c r="L116" i="5" s="1"/>
  <c r="M115" i="5" s="1"/>
  <c r="E107" i="5" s="1"/>
  <c r="K107" i="5" s="1"/>
  <c r="L107" i="5" s="1"/>
  <c r="M106" i="5" s="1"/>
  <c r="K101" i="5"/>
  <c r="L101" i="5" s="1"/>
  <c r="M100" i="5" s="1"/>
  <c r="E112" i="5" s="1"/>
  <c r="K112" i="5" s="1"/>
  <c r="L112" i="5" s="1"/>
  <c r="M111" i="5" s="1"/>
  <c r="E110" i="5" s="1"/>
  <c r="K110" i="5" s="1"/>
  <c r="L110" i="5" s="1"/>
  <c r="M108" i="5" s="1"/>
  <c r="L83" i="2"/>
  <c r="I13" i="2"/>
  <c r="I91" i="2" s="1"/>
  <c r="L70" i="1"/>
  <c r="J5" i="2" l="1"/>
  <c r="J6" i="2" s="1"/>
  <c r="Q98" i="2"/>
  <c r="L16" i="1"/>
  <c r="M60" i="1"/>
  <c r="M70" i="1"/>
  <c r="N81" i="1"/>
  <c r="N47" i="1"/>
  <c r="N43" i="1"/>
  <c r="N39" i="1"/>
  <c r="N34" i="1"/>
  <c r="N25" i="1"/>
  <c r="N21" i="1"/>
  <c r="M75" i="1"/>
  <c r="M76" i="1"/>
  <c r="M77" i="1"/>
  <c r="M78" i="1"/>
  <c r="M79" i="1"/>
  <c r="M74" i="1"/>
  <c r="O79" i="1"/>
  <c r="O57" i="1"/>
  <c r="O56" i="1" s="1"/>
  <c r="O45" i="1"/>
  <c r="O41" i="1"/>
  <c r="O36" i="1"/>
  <c r="O23" i="1"/>
  <c r="M87" i="1"/>
  <c r="M86" i="1"/>
  <c r="M85" i="1"/>
  <c r="M83" i="1"/>
  <c r="M82" i="1"/>
  <c r="M81" i="1"/>
  <c r="M72" i="1"/>
  <c r="M71" i="1"/>
  <c r="M68" i="1"/>
  <c r="M67" i="1"/>
  <c r="M66" i="1"/>
  <c r="M65" i="1"/>
  <c r="M64" i="1"/>
  <c r="M63" i="1"/>
  <c r="M62" i="1"/>
  <c r="M61" i="1"/>
  <c r="M59" i="1"/>
  <c r="S58" i="6" s="1"/>
  <c r="M54" i="1"/>
  <c r="M53" i="1"/>
  <c r="M52" i="1"/>
  <c r="N52" i="1" s="1"/>
  <c r="M51" i="1"/>
  <c r="M50" i="1"/>
  <c r="O50" i="1" s="1"/>
  <c r="M49" i="1"/>
  <c r="M47" i="1"/>
  <c r="M46" i="1"/>
  <c r="M45" i="1"/>
  <c r="M44" i="1"/>
  <c r="M43" i="1"/>
  <c r="M42" i="1"/>
  <c r="M41" i="1"/>
  <c r="M40" i="1"/>
  <c r="M39" i="1"/>
  <c r="M37" i="1"/>
  <c r="M36" i="1"/>
  <c r="M35" i="1"/>
  <c r="M34" i="1"/>
  <c r="M32" i="1"/>
  <c r="M31" i="1"/>
  <c r="O31" i="1" s="1"/>
  <c r="M30" i="1"/>
  <c r="M29" i="1"/>
  <c r="N29" i="1" s="1"/>
  <c r="M28" i="1"/>
  <c r="M27" i="1"/>
  <c r="M26" i="1"/>
  <c r="M25" i="1"/>
  <c r="M24" i="1"/>
  <c r="M23" i="1"/>
  <c r="M22" i="1"/>
  <c r="M21" i="1"/>
  <c r="M19" i="1"/>
  <c r="M16" i="1"/>
  <c r="M17" i="1"/>
  <c r="L63" i="1"/>
  <c r="L64" i="1"/>
  <c r="L17" i="1"/>
  <c r="L87" i="1"/>
  <c r="L86" i="1"/>
  <c r="L85" i="1"/>
  <c r="L83" i="1"/>
  <c r="L82" i="1"/>
  <c r="L81" i="1"/>
  <c r="L79" i="1"/>
  <c r="L78" i="1"/>
  <c r="L77" i="1"/>
  <c r="L76" i="1"/>
  <c r="L75" i="1"/>
  <c r="L74" i="1"/>
  <c r="L72" i="1"/>
  <c r="L71" i="1"/>
  <c r="L69" i="1" s="1"/>
  <c r="L54" i="1"/>
  <c r="L53" i="1"/>
  <c r="L52" i="1"/>
  <c r="L51" i="1"/>
  <c r="L50" i="1"/>
  <c r="L49" i="1"/>
  <c r="L48" i="1" s="1"/>
  <c r="L47" i="1"/>
  <c r="L46" i="1"/>
  <c r="L45" i="1"/>
  <c r="L44" i="1"/>
  <c r="L43" i="1"/>
  <c r="L42" i="1"/>
  <c r="L41" i="1"/>
  <c r="L40" i="1"/>
  <c r="L39" i="1"/>
  <c r="L37" i="1"/>
  <c r="L36" i="1"/>
  <c r="L35" i="1"/>
  <c r="L34" i="1"/>
  <c r="L33" i="1" s="1"/>
  <c r="L32" i="1"/>
  <c r="L31" i="1"/>
  <c r="L30" i="1"/>
  <c r="L29" i="1"/>
  <c r="L28" i="1"/>
  <c r="L27" i="1"/>
  <c r="L26" i="1"/>
  <c r="L25" i="1"/>
  <c r="L24" i="1"/>
  <c r="L23" i="1"/>
  <c r="L22" i="1"/>
  <c r="L21" i="1"/>
  <c r="L19" i="1"/>
  <c r="L18" i="1" s="1"/>
  <c r="K87" i="1"/>
  <c r="K86" i="1"/>
  <c r="K85" i="1"/>
  <c r="K83" i="1"/>
  <c r="K82" i="1"/>
  <c r="K81" i="1"/>
  <c r="K79" i="1"/>
  <c r="K78" i="1"/>
  <c r="K77" i="1"/>
  <c r="K76" i="1"/>
  <c r="K75" i="1"/>
  <c r="K74" i="1"/>
  <c r="K72" i="1"/>
  <c r="K71" i="1"/>
  <c r="K61" i="1"/>
  <c r="K62" i="1"/>
  <c r="K63" i="1"/>
  <c r="K64" i="1"/>
  <c r="K65" i="1"/>
  <c r="K66" i="1"/>
  <c r="K67" i="1"/>
  <c r="K68" i="1"/>
  <c r="K54" i="1"/>
  <c r="K53" i="1"/>
  <c r="K52" i="1"/>
  <c r="K51" i="1"/>
  <c r="K50" i="1"/>
  <c r="K49" i="1"/>
  <c r="K47" i="1"/>
  <c r="K46" i="1"/>
  <c r="K45" i="1"/>
  <c r="K44" i="1"/>
  <c r="K43" i="1"/>
  <c r="K42" i="1"/>
  <c r="K41" i="1"/>
  <c r="K40" i="1"/>
  <c r="K39" i="1"/>
  <c r="K37" i="1"/>
  <c r="K36" i="1"/>
  <c r="K35" i="1"/>
  <c r="K34" i="1"/>
  <c r="K32" i="1"/>
  <c r="K31" i="1"/>
  <c r="K30" i="1"/>
  <c r="K29" i="1"/>
  <c r="K28" i="1"/>
  <c r="K27" i="1"/>
  <c r="K26" i="1"/>
  <c r="K25" i="1"/>
  <c r="K24" i="1"/>
  <c r="K23" i="1"/>
  <c r="K22" i="1"/>
  <c r="K21" i="1"/>
  <c r="K19" i="1"/>
  <c r="K16" i="1"/>
  <c r="K17" i="1"/>
  <c r="N85" i="1" l="1"/>
  <c r="S86" i="6"/>
  <c r="M88" i="2"/>
  <c r="N27" i="1"/>
  <c r="S26" i="6"/>
  <c r="M28" i="2"/>
  <c r="O87" i="1"/>
  <c r="S88" i="6"/>
  <c r="M90" i="2"/>
  <c r="N31" i="1"/>
  <c r="S30" i="6"/>
  <c r="M32" i="2"/>
  <c r="L20" i="1"/>
  <c r="O61" i="1"/>
  <c r="S60" i="6"/>
  <c r="M62" i="2"/>
  <c r="N16" i="1"/>
  <c r="S15" i="6"/>
  <c r="M16" i="2"/>
  <c r="N41" i="1"/>
  <c r="S40" i="6"/>
  <c r="M42" i="2"/>
  <c r="N67" i="1"/>
  <c r="S66" i="6"/>
  <c r="M68" i="2"/>
  <c r="O74" i="1"/>
  <c r="S73" i="6"/>
  <c r="S75" i="6"/>
  <c r="M75" i="2"/>
  <c r="M77" i="2"/>
  <c r="O26" i="1"/>
  <c r="S25" i="6"/>
  <c r="M27" i="2"/>
  <c r="L38" i="1"/>
  <c r="O35" i="1"/>
  <c r="O33" i="1" s="1"/>
  <c r="S34" i="6"/>
  <c r="M36" i="2"/>
  <c r="O63" i="1"/>
  <c r="S62" i="6"/>
  <c r="M64" i="2"/>
  <c r="S69" i="6"/>
  <c r="M71" i="2"/>
  <c r="N19" i="1"/>
  <c r="S18" i="6"/>
  <c r="M20" i="2"/>
  <c r="N42" i="1"/>
  <c r="S41" i="6"/>
  <c r="M43" i="2"/>
  <c r="N68" i="1"/>
  <c r="S67" i="6"/>
  <c r="M69" i="2"/>
  <c r="N79" i="1"/>
  <c r="S80" i="6"/>
  <c r="M82" i="2"/>
  <c r="O49" i="1"/>
  <c r="O48" i="1" s="1"/>
  <c r="S48" i="6"/>
  <c r="M50" i="2"/>
  <c r="O53" i="1"/>
  <c r="S52" i="6"/>
  <c r="M54" i="2"/>
  <c r="T58" i="6"/>
  <c r="U58" i="6"/>
  <c r="O34" i="1"/>
  <c r="S33" i="6"/>
  <c r="M35" i="2"/>
  <c r="N36" i="1"/>
  <c r="S35" i="6"/>
  <c r="M37" i="2"/>
  <c r="O64" i="1"/>
  <c r="S63" i="6"/>
  <c r="M65" i="2"/>
  <c r="O39" i="1"/>
  <c r="S38" i="6"/>
  <c r="M40" i="2"/>
  <c r="O17" i="1"/>
  <c r="S16" i="6"/>
  <c r="M17" i="2"/>
  <c r="O21" i="1"/>
  <c r="S20" i="6"/>
  <c r="M22" i="2"/>
  <c r="O43" i="1"/>
  <c r="S42" i="6"/>
  <c r="M44" i="2"/>
  <c r="N71" i="1"/>
  <c r="S70" i="6"/>
  <c r="N78" i="1"/>
  <c r="S79" i="6"/>
  <c r="M81" i="2"/>
  <c r="N28" i="1"/>
  <c r="S27" i="6"/>
  <c r="M29" i="2"/>
  <c r="O29" i="1"/>
  <c r="S28" i="6"/>
  <c r="M30" i="2"/>
  <c r="O30" i="1"/>
  <c r="S29" i="6"/>
  <c r="M31" i="2"/>
  <c r="O65" i="1"/>
  <c r="S64" i="6"/>
  <c r="M66" i="2"/>
  <c r="O40" i="1"/>
  <c r="S39" i="6"/>
  <c r="M41" i="2"/>
  <c r="O22" i="1"/>
  <c r="S21" i="6"/>
  <c r="M23" i="2"/>
  <c r="O44" i="1"/>
  <c r="S43" i="6"/>
  <c r="M45" i="2"/>
  <c r="O72" i="1"/>
  <c r="S71" i="6"/>
  <c r="M73" i="2"/>
  <c r="O77" i="1"/>
  <c r="S78" i="6"/>
  <c r="M80" i="2"/>
  <c r="O86" i="1"/>
  <c r="S87" i="6"/>
  <c r="M89" i="2"/>
  <c r="N54" i="1"/>
  <c r="S53" i="6"/>
  <c r="M55" i="2"/>
  <c r="N37" i="1"/>
  <c r="S36" i="6"/>
  <c r="M38" i="2"/>
  <c r="S59" i="6"/>
  <c r="M61" i="2"/>
  <c r="N23" i="1"/>
  <c r="S22" i="6"/>
  <c r="M24" i="2"/>
  <c r="N45" i="1"/>
  <c r="S44" i="6"/>
  <c r="M46" i="2"/>
  <c r="O81" i="1"/>
  <c r="S82" i="6"/>
  <c r="M84" i="2"/>
  <c r="O76" i="1"/>
  <c r="S77" i="6"/>
  <c r="M79" i="2"/>
  <c r="N50" i="1"/>
  <c r="S49" i="6"/>
  <c r="M51" i="2"/>
  <c r="N32" i="1"/>
  <c r="S31" i="6"/>
  <c r="M33" i="2"/>
  <c r="N24" i="1"/>
  <c r="S23" i="6"/>
  <c r="M25" i="2"/>
  <c r="N46" i="1"/>
  <c r="S45" i="6"/>
  <c r="M47" i="2"/>
  <c r="O82" i="1"/>
  <c r="S83" i="6"/>
  <c r="M85" i="2"/>
  <c r="O75" i="1"/>
  <c r="S76" i="6"/>
  <c r="M78" i="2"/>
  <c r="N51" i="1"/>
  <c r="S50" i="6"/>
  <c r="M52" i="2"/>
  <c r="O52" i="1"/>
  <c r="S51" i="6"/>
  <c r="M53" i="2"/>
  <c r="O27" i="1"/>
  <c r="N62" i="1"/>
  <c r="S61" i="6"/>
  <c r="M63" i="2"/>
  <c r="O54" i="1"/>
  <c r="N66" i="1"/>
  <c r="S65" i="6"/>
  <c r="M67" i="2"/>
  <c r="O25" i="1"/>
  <c r="S24" i="6"/>
  <c r="M26" i="2"/>
  <c r="O47" i="1"/>
  <c r="S46" i="6"/>
  <c r="M48" i="2"/>
  <c r="N83" i="1"/>
  <c r="S84" i="6"/>
  <c r="M86" i="2"/>
  <c r="O59" i="1"/>
  <c r="M60" i="2"/>
  <c r="H74" i="2"/>
  <c r="H75" i="2"/>
  <c r="N87" i="1"/>
  <c r="O19" i="1"/>
  <c r="O18" i="1" s="1"/>
  <c r="O24" i="1"/>
  <c r="O28" i="1"/>
  <c r="O32" i="1"/>
  <c r="O37" i="1"/>
  <c r="O42" i="1"/>
  <c r="O46" i="1"/>
  <c r="O51" i="1"/>
  <c r="O83" i="1"/>
  <c r="N22" i="1"/>
  <c r="N26" i="1"/>
  <c r="N30" i="1"/>
  <c r="N35" i="1"/>
  <c r="N40" i="1"/>
  <c r="N44" i="1"/>
  <c r="N49" i="1"/>
  <c r="N53" i="1"/>
  <c r="N77" i="1"/>
  <c r="N82" i="1"/>
  <c r="L73" i="1"/>
  <c r="O85" i="1"/>
  <c r="N76" i="1"/>
  <c r="N75" i="1"/>
  <c r="N72" i="1"/>
  <c r="O16" i="1"/>
  <c r="N59" i="1"/>
  <c r="O71" i="1"/>
  <c r="N86" i="1"/>
  <c r="N74" i="1"/>
  <c r="N64" i="1"/>
  <c r="N63" i="1"/>
  <c r="O62" i="1"/>
  <c r="N17" i="1"/>
  <c r="O68" i="1"/>
  <c r="O67" i="1"/>
  <c r="O66" i="1"/>
  <c r="N65" i="1"/>
  <c r="N61" i="1"/>
  <c r="O60" i="1"/>
  <c r="N60" i="1"/>
  <c r="K60" i="1"/>
  <c r="N70" i="1"/>
  <c r="O70" i="1"/>
  <c r="O78" i="1"/>
  <c r="K70" i="1"/>
  <c r="N75" i="2" l="1"/>
  <c r="O66" i="2"/>
  <c r="N66" i="2"/>
  <c r="T20" i="6"/>
  <c r="U20" i="6"/>
  <c r="O89" i="2"/>
  <c r="N89" i="2"/>
  <c r="N50" i="2"/>
  <c r="O50" i="2"/>
  <c r="T29" i="6"/>
  <c r="U29" i="6"/>
  <c r="O80" i="2"/>
  <c r="N80" i="2"/>
  <c r="N46" i="2"/>
  <c r="O46" i="2"/>
  <c r="O73" i="1"/>
  <c r="O65" i="2"/>
  <c r="N65" i="2"/>
  <c r="U67" i="6"/>
  <c r="T67" i="6"/>
  <c r="O81" i="2"/>
  <c r="N81" i="2"/>
  <c r="O64" i="2"/>
  <c r="N64" i="2"/>
  <c r="N86" i="2"/>
  <c r="O86" i="2"/>
  <c r="T15" i="6"/>
  <c r="U15" i="6"/>
  <c r="T16" i="6"/>
  <c r="U16" i="6"/>
  <c r="T78" i="6"/>
  <c r="U78" i="6"/>
  <c r="N25" i="2"/>
  <c r="O25" i="2"/>
  <c r="U79" i="6"/>
  <c r="T79" i="6"/>
  <c r="U35" i="6"/>
  <c r="T35" i="6"/>
  <c r="T41" i="6"/>
  <c r="U41" i="6"/>
  <c r="T73" i="6"/>
  <c r="U73" i="6"/>
  <c r="U52" i="6"/>
  <c r="T52" i="6"/>
  <c r="N17" i="2"/>
  <c r="O17" i="2"/>
  <c r="O14" i="2" s="1"/>
  <c r="T76" i="6"/>
  <c r="U76" i="6"/>
  <c r="U82" i="6"/>
  <c r="T82" i="6"/>
  <c r="N26" i="2"/>
  <c r="O26" i="2"/>
  <c r="N27" i="2"/>
  <c r="O27" i="2"/>
  <c r="N73" i="2"/>
  <c r="O73" i="2"/>
  <c r="T30" i="6"/>
  <c r="U30" i="6"/>
  <c r="O20" i="1"/>
  <c r="N90" i="2"/>
  <c r="O90" i="2"/>
  <c r="T43" i="6"/>
  <c r="U43" i="6"/>
  <c r="O63" i="2"/>
  <c r="N63" i="2"/>
  <c r="T23" i="6"/>
  <c r="U23" i="6"/>
  <c r="O61" i="2"/>
  <c r="N61" i="2"/>
  <c r="N23" i="2"/>
  <c r="O23" i="2"/>
  <c r="O28" i="2"/>
  <c r="N28" i="2"/>
  <c r="U49" i="6"/>
  <c r="T49" i="6"/>
  <c r="O52" i="2"/>
  <c r="N52" i="2"/>
  <c r="N16" i="2"/>
  <c r="O16" i="2"/>
  <c r="O79" i="2"/>
  <c r="N79" i="2"/>
  <c r="O36" i="2"/>
  <c r="N36" i="2"/>
  <c r="N48" i="2"/>
  <c r="O48" i="2"/>
  <c r="U60" i="6"/>
  <c r="T60" i="6"/>
  <c r="O38" i="1"/>
  <c r="T80" i="6"/>
  <c r="U80" i="6"/>
  <c r="N29" i="2"/>
  <c r="O29" i="2"/>
  <c r="U63" i="6"/>
  <c r="T63" i="6"/>
  <c r="U45" i="6"/>
  <c r="T45" i="6"/>
  <c r="N37" i="2"/>
  <c r="O37" i="2"/>
  <c r="U61" i="6"/>
  <c r="T61" i="6"/>
  <c r="U59" i="6"/>
  <c r="U57" i="6" s="1"/>
  <c r="T59" i="6"/>
  <c r="T21" i="6"/>
  <c r="U21" i="6"/>
  <c r="T70" i="6"/>
  <c r="I70" i="6"/>
  <c r="U70" i="6"/>
  <c r="O35" i="2"/>
  <c r="N35" i="2"/>
  <c r="O20" i="2"/>
  <c r="O19" i="2" s="1"/>
  <c r="N20" i="2"/>
  <c r="O68" i="2"/>
  <c r="N68" i="2"/>
  <c r="T26" i="6"/>
  <c r="U26" i="6"/>
  <c r="O22" i="2"/>
  <c r="N22" i="2"/>
  <c r="U87" i="6"/>
  <c r="T87" i="6"/>
  <c r="U34" i="6"/>
  <c r="T34" i="6"/>
  <c r="N40" i="2"/>
  <c r="O40" i="2"/>
  <c r="O85" i="2"/>
  <c r="N85" i="2"/>
  <c r="T38" i="6"/>
  <c r="U38" i="6"/>
  <c r="T25" i="6"/>
  <c r="U25" i="6"/>
  <c r="U71" i="6"/>
  <c r="T71" i="6"/>
  <c r="O77" i="2"/>
  <c r="N77" i="2"/>
  <c r="O24" i="2"/>
  <c r="N24" i="2"/>
  <c r="U75" i="6"/>
  <c r="U74" i="6" s="1"/>
  <c r="T75" i="6"/>
  <c r="N33" i="2"/>
  <c r="O33" i="2"/>
  <c r="O38" i="2"/>
  <c r="N38" i="2"/>
  <c r="T33" i="6"/>
  <c r="U33" i="6"/>
  <c r="U18" i="6"/>
  <c r="U17" i="6" s="1"/>
  <c r="T18" i="6"/>
  <c r="U66" i="6"/>
  <c r="T66" i="6"/>
  <c r="N31" i="2"/>
  <c r="O31" i="2"/>
  <c r="U48" i="6"/>
  <c r="T48" i="6"/>
  <c r="O30" i="2"/>
  <c r="N30" i="2"/>
  <c r="U83" i="6"/>
  <c r="T83" i="6"/>
  <c r="O32" i="2"/>
  <c r="N32" i="2"/>
  <c r="T44" i="6"/>
  <c r="U44" i="6"/>
  <c r="O67" i="2"/>
  <c r="N67" i="2"/>
  <c r="O45" i="2"/>
  <c r="N45" i="2"/>
  <c r="U88" i="6"/>
  <c r="T88" i="6"/>
  <c r="T31" i="6"/>
  <c r="U31" i="6"/>
  <c r="U36" i="6"/>
  <c r="T36" i="6"/>
  <c r="O41" i="2"/>
  <c r="N41" i="2"/>
  <c r="N44" i="2"/>
  <c r="O44" i="2"/>
  <c r="N88" i="2"/>
  <c r="O88" i="2"/>
  <c r="N54" i="2"/>
  <c r="O54" i="2"/>
  <c r="U64" i="6"/>
  <c r="T64" i="6"/>
  <c r="U84" i="6"/>
  <c r="T84" i="6"/>
  <c r="U77" i="6"/>
  <c r="T77" i="6"/>
  <c r="O62" i="2"/>
  <c r="N62" i="2"/>
  <c r="N84" i="2"/>
  <c r="O84" i="2"/>
  <c r="T28" i="6"/>
  <c r="U28" i="6"/>
  <c r="T24" i="6"/>
  <c r="U24" i="6"/>
  <c r="T27" i="6"/>
  <c r="U27" i="6"/>
  <c r="U65" i="6"/>
  <c r="T65" i="6"/>
  <c r="N43" i="2"/>
  <c r="O43" i="2"/>
  <c r="T42" i="6"/>
  <c r="U42" i="6"/>
  <c r="N71" i="2"/>
  <c r="O71" i="2"/>
  <c r="N42" i="2"/>
  <c r="O42" i="2"/>
  <c r="U86" i="6"/>
  <c r="T86" i="6"/>
  <c r="U53" i="6"/>
  <c r="T53" i="6"/>
  <c r="U62" i="6"/>
  <c r="T62" i="6"/>
  <c r="U50" i="6"/>
  <c r="T50" i="6"/>
  <c r="O78" i="2"/>
  <c r="N78" i="2"/>
  <c r="T46" i="6"/>
  <c r="U46" i="6"/>
  <c r="O82" i="2"/>
  <c r="N82" i="2"/>
  <c r="O69" i="2"/>
  <c r="N69" i="2"/>
  <c r="N47" i="2"/>
  <c r="O47" i="2"/>
  <c r="T22" i="6"/>
  <c r="U22" i="6"/>
  <c r="O53" i="2"/>
  <c r="N53" i="2"/>
  <c r="T39" i="6"/>
  <c r="U39" i="6"/>
  <c r="U51" i="6"/>
  <c r="T51" i="6"/>
  <c r="O51" i="2"/>
  <c r="N51" i="2"/>
  <c r="O55" i="2"/>
  <c r="N55" i="2"/>
  <c r="U69" i="6"/>
  <c r="U68" i="6" s="1"/>
  <c r="I69" i="6"/>
  <c r="T69" i="6"/>
  <c r="T40" i="6"/>
  <c r="U40" i="6"/>
  <c r="O60" i="2"/>
  <c r="N60" i="2"/>
  <c r="I75" i="2"/>
  <c r="O75" i="2"/>
  <c r="L75" i="2"/>
  <c r="L74" i="2"/>
  <c r="O74" i="2"/>
  <c r="I74" i="2"/>
  <c r="O69" i="1"/>
  <c r="O58" i="1"/>
  <c r="O59" i="2" l="1"/>
  <c r="O49" i="2"/>
  <c r="O34" i="2"/>
  <c r="U37" i="6"/>
  <c r="O21" i="2"/>
  <c r="O70" i="6"/>
  <c r="G70" i="6"/>
  <c r="M70" i="6" s="1"/>
  <c r="H70" i="6"/>
  <c r="N70" i="6" s="1"/>
  <c r="O76" i="2"/>
  <c r="U19" i="6"/>
  <c r="U47" i="6"/>
  <c r="U32" i="6"/>
  <c r="O39" i="2"/>
  <c r="O69" i="6"/>
  <c r="O68" i="6" s="1"/>
  <c r="O54" i="6" s="1"/>
  <c r="O89" i="6" s="1"/>
  <c r="N5" i="6" s="1"/>
  <c r="M5" i="6" s="1"/>
  <c r="W11" i="6" s="1"/>
  <c r="G69" i="6"/>
  <c r="M69" i="6" s="1"/>
  <c r="M68" i="6" s="1"/>
  <c r="M54" i="6" s="1"/>
  <c r="M89" i="6" s="1"/>
  <c r="H69" i="6"/>
  <c r="N69" i="6" s="1"/>
  <c r="N68" i="6" s="1"/>
  <c r="N54" i="6" s="1"/>
  <c r="N89" i="6" s="1"/>
  <c r="N103" i="6" s="1"/>
  <c r="I80" i="1"/>
  <c r="I57" i="1"/>
  <c r="I56" i="1" s="1"/>
  <c r="I18" i="1"/>
  <c r="I87" i="1"/>
  <c r="I86" i="1"/>
  <c r="I85" i="1"/>
  <c r="I84" i="1"/>
  <c r="I83" i="1"/>
  <c r="I82" i="1"/>
  <c r="I81" i="1"/>
  <c r="I79" i="1"/>
  <c r="I78" i="1"/>
  <c r="I77" i="1"/>
  <c r="I76" i="1"/>
  <c r="I75" i="1"/>
  <c r="I74" i="1"/>
  <c r="I73" i="1" s="1"/>
  <c r="I72" i="1"/>
  <c r="I71" i="1"/>
  <c r="I70" i="1"/>
  <c r="I69" i="1" s="1"/>
  <c r="I68" i="1"/>
  <c r="I67" i="1"/>
  <c r="I66" i="1"/>
  <c r="I65" i="1"/>
  <c r="I64" i="1"/>
  <c r="I63" i="1"/>
  <c r="I62" i="1"/>
  <c r="I61" i="1"/>
  <c r="I60" i="1"/>
  <c r="I59" i="1"/>
  <c r="I58" i="1" s="1"/>
  <c r="I54" i="1"/>
  <c r="I53" i="1"/>
  <c r="I52" i="1"/>
  <c r="I51" i="1"/>
  <c r="I48" i="1" s="1"/>
  <c r="I50" i="1"/>
  <c r="I49" i="1"/>
  <c r="I47" i="1"/>
  <c r="I46" i="1"/>
  <c r="I45" i="1"/>
  <c r="I44" i="1"/>
  <c r="I43" i="1"/>
  <c r="I42" i="1"/>
  <c r="I41" i="1"/>
  <c r="I40" i="1"/>
  <c r="I39" i="1"/>
  <c r="I38" i="1" s="1"/>
  <c r="I37" i="1"/>
  <c r="I36" i="1"/>
  <c r="I35" i="1"/>
  <c r="I34" i="1"/>
  <c r="I33" i="1" s="1"/>
  <c r="I32" i="1"/>
  <c r="I31" i="1"/>
  <c r="I30" i="1"/>
  <c r="I29" i="1"/>
  <c r="I28" i="1"/>
  <c r="I20" i="1" s="1"/>
  <c r="I27" i="1"/>
  <c r="I26" i="1"/>
  <c r="I25" i="1"/>
  <c r="I24" i="1"/>
  <c r="I23" i="1"/>
  <c r="I22" i="1"/>
  <c r="I21" i="1"/>
  <c r="I19" i="1"/>
  <c r="I16" i="1"/>
  <c r="I17" i="1"/>
  <c r="I15" i="1"/>
  <c r="I14" i="1" s="1"/>
  <c r="I13" i="1" l="1"/>
  <c r="I55" i="1"/>
  <c r="L62" i="1"/>
  <c r="L61" i="1"/>
  <c r="L60" i="1"/>
  <c r="L68" i="1"/>
  <c r="L67" i="1"/>
  <c r="I88" i="1" l="1"/>
  <c r="J5" i="1" s="1"/>
  <c r="L66" i="1"/>
  <c r="L65" i="1"/>
  <c r="L59" i="1" l="1"/>
  <c r="L58" i="1" s="1"/>
  <c r="K59" i="1"/>
  <c r="L57" i="1" l="1"/>
  <c r="L56" i="1" s="1"/>
  <c r="J6" i="1" l="1"/>
  <c r="M84" i="1" l="1"/>
  <c r="L84" i="1"/>
  <c r="L80" i="1" s="1"/>
  <c r="L55" i="1" s="1"/>
  <c r="K84" i="1"/>
  <c r="K15" i="1"/>
  <c r="L15" i="1"/>
  <c r="L14" i="1" s="1"/>
  <c r="L13" i="1" s="1"/>
  <c r="M15" i="1"/>
  <c r="S14" i="6" l="1"/>
  <c r="M15" i="2"/>
  <c r="S85" i="6"/>
  <c r="M87" i="2"/>
  <c r="L88" i="1"/>
  <c r="N84" i="1"/>
  <c r="O84" i="1"/>
  <c r="O80" i="1" s="1"/>
  <c r="O55" i="1" s="1"/>
  <c r="N15" i="1"/>
  <c r="O15" i="1"/>
  <c r="O14" i="1" s="1"/>
  <c r="O13" i="1" s="1"/>
  <c r="N5" i="1" l="1"/>
  <c r="M5" i="1" s="1"/>
  <c r="M6" i="1" s="1"/>
  <c r="N6" i="1" s="1"/>
  <c r="W91" i="6"/>
  <c r="O87" i="2"/>
  <c r="O83" i="2" s="1"/>
  <c r="N87" i="2"/>
  <c r="N15" i="2"/>
  <c r="O15" i="2"/>
  <c r="O13" i="2" s="1"/>
  <c r="U85" i="6"/>
  <c r="U81" i="6" s="1"/>
  <c r="U54" i="6" s="1"/>
  <c r="T85" i="6"/>
  <c r="T14" i="6"/>
  <c r="U14" i="6"/>
  <c r="U13" i="6" s="1"/>
  <c r="U12" i="6" s="1"/>
  <c r="O88" i="1"/>
  <c r="K72" i="2"/>
  <c r="M72" i="2"/>
  <c r="L72" i="2"/>
  <c r="N72" i="2" l="1"/>
  <c r="U89" i="6"/>
  <c r="Y91" i="6" s="1"/>
  <c r="L70" i="2"/>
  <c r="L56" i="2" s="1"/>
  <c r="L91" i="2" s="1"/>
  <c r="O72" i="2"/>
  <c r="N5" i="2" l="1"/>
  <c r="M5" i="2" s="1"/>
  <c r="M6" i="2" s="1"/>
  <c r="N6" i="2" s="1"/>
  <c r="Q93" i="2"/>
  <c r="O70" i="2"/>
  <c r="O56" i="2" s="1"/>
  <c r="O91" i="2" s="1"/>
  <c r="S93" i="2" l="1"/>
</calcChain>
</file>

<file path=xl/sharedStrings.xml><?xml version="1.0" encoding="utf-8"?>
<sst xmlns="http://schemas.openxmlformats.org/spreadsheetml/2006/main" count="1805" uniqueCount="615">
  <si>
    <t>ITEM</t>
  </si>
  <si>
    <t>DESCRIÇÃO</t>
  </si>
  <si>
    <t>UNID</t>
  </si>
  <si>
    <t>QUANT.</t>
  </si>
  <si>
    <t>%</t>
  </si>
  <si>
    <t>PLANILHA DE MEDIÇÃO</t>
  </si>
  <si>
    <t>TOTAL DA OBRA:</t>
  </si>
  <si>
    <t>PREÇO TOTAL</t>
  </si>
  <si>
    <t>Atesto que os serviços foram executados conforme projetos aprovados</t>
  </si>
  <si>
    <t>Atesto que os serviços foram executados e aceitos</t>
  </si>
  <si>
    <t>Responsável Técnico pela Execução</t>
  </si>
  <si>
    <t>Responsável Técnico pela Fiscalização</t>
  </si>
  <si>
    <t>DATA INÍCIO DOS SERVIÇOS:</t>
  </si>
  <si>
    <t>% do valor da  Etapa medida</t>
  </si>
  <si>
    <t>MEDIDO NO PERÍODO</t>
  </si>
  <si>
    <t>ACUMULADO INCLUINDO O PERÍODO</t>
  </si>
  <si>
    <t>TOTAIS GERAIS:</t>
  </si>
  <si>
    <t>PREÇO TOTAL CONTRATADO (R$)</t>
  </si>
  <si>
    <t>PREÇO UNITÁRIO (R$)</t>
  </si>
  <si>
    <t>QUANT. CONTRATADA</t>
  </si>
  <si>
    <t>PERÍODO DA MEDIÇÃO:</t>
  </si>
  <si>
    <t>FONTE DE RECURSOS:</t>
  </si>
  <si>
    <t>VALOR CONTRATO (R$):</t>
  </si>
  <si>
    <t>MEDIÇÃO ATUAL (R$):</t>
  </si>
  <si>
    <t>Importa a presente medição o valor global de:</t>
  </si>
  <si>
    <t xml:space="preserve">NÚMERO DO BOLETIM DE MEDIÇÃO: </t>
  </si>
  <si>
    <t>01</t>
  </si>
  <si>
    <t>CONTRATADA: Emprotec Construções e Serviços Eireli.</t>
  </si>
  <si>
    <t>1.1</t>
  </si>
  <si>
    <t>1.2</t>
  </si>
  <si>
    <t>1.3</t>
  </si>
  <si>
    <t>1.4</t>
  </si>
  <si>
    <t>2.1</t>
  </si>
  <si>
    <t>2.2</t>
  </si>
  <si>
    <t>2.3</t>
  </si>
  <si>
    <t>TRAVESSA JERÔNIMO DE ALBUQUERQUE</t>
  </si>
  <si>
    <t>1.5</t>
  </si>
  <si>
    <t>1.6</t>
  </si>
  <si>
    <t>2.4</t>
  </si>
  <si>
    <t>2.5</t>
  </si>
  <si>
    <t>UND</t>
  </si>
  <si>
    <t>M</t>
  </si>
  <si>
    <t xml:space="preserve">Nº DO CONTRATO </t>
  </si>
  <si>
    <t>CÓDIGO</t>
  </si>
  <si>
    <t>FONTE</t>
  </si>
  <si>
    <t>SEM BDI</t>
  </si>
  <si>
    <t xml:space="preserve">COM BDI </t>
  </si>
  <si>
    <t>1</t>
  </si>
  <si>
    <t>TRECHO 1 (CONSTRUÇÃO DE 1 NOVA FAIXA DE ROLAGEM) - COMPRIMENTO 2300 M</t>
  </si>
  <si>
    <t>SERVIÇOS PRELIMINARES</t>
  </si>
  <si>
    <t>1.1.1</t>
  </si>
  <si>
    <t>8</t>
  </si>
  <si>
    <t>SERVICOS TOPOGRAFICOS PARA PAVIMENTACAO, INCLUSIVE NOTA DE SERVICOS, ACOMPANHAMENTO E GREIDE [ADAPTADO DE SINAPI 78472]</t>
  </si>
  <si>
    <t>Composições Próprias</t>
  </si>
  <si>
    <t>M2</t>
  </si>
  <si>
    <t>1.1.2</t>
  </si>
  <si>
    <t>98525</t>
  </si>
  <si>
    <t>LIMPEZA MECANIZADA DE CAMADA VEGETAL, VEGETAÇÃO E PEQUENAS ÁRVORES (DIÂMETRO DE TRONCO MENOR QUE 0,20 M), COM TRATOR DE ESTEIRAS.AF_05/2018</t>
  </si>
  <si>
    <t>SINAPI</t>
  </si>
  <si>
    <t>1.1.3</t>
  </si>
  <si>
    <t>3713608</t>
  </si>
  <si>
    <t>CERCA C/4 FIOS ARAME FARPADO C/EST.MADEIRA C.2,0M</t>
  </si>
  <si>
    <t>SICRO NOVO</t>
  </si>
  <si>
    <t>m</t>
  </si>
  <si>
    <t>MOVIMENTAÇÃO DE TERRA</t>
  </si>
  <si>
    <t>1.2.1</t>
  </si>
  <si>
    <t>22</t>
  </si>
  <si>
    <t>ATERRO MECANIZADO DE VALA COM ESCAVADEIRA HIDRÁULICA (CAPACIDADE DA CAÇAMBA: 0,8 M3 / POTÊNCIA: 111 HP), LARGURA DE 1,5 A 2,5 M, PROFUNDIDADE DE 1,5 A 3,0 M, COM AREIA PARA ATERRO. AF_05/2016</t>
  </si>
  <si>
    <t>M3</t>
  </si>
  <si>
    <t>PAVIMENTAÇÃO ASFÁLTICA</t>
  </si>
  <si>
    <t>1.3.1</t>
  </si>
  <si>
    <t>4011221</t>
  </si>
  <si>
    <t>BASE ESTAB. GRANUL.S/MISTURA EXCLUSIVE TRANSPORTE</t>
  </si>
  <si>
    <t>m³</t>
  </si>
  <si>
    <t>1.3.2</t>
  </si>
  <si>
    <t>4011352</t>
  </si>
  <si>
    <t>IMPRIMACAO EXCLUSIVE LIGANTE</t>
  </si>
  <si>
    <t>m²</t>
  </si>
  <si>
    <t>1.3.3</t>
  </si>
  <si>
    <t>96402.</t>
  </si>
  <si>
    <t>PINTURA DE LIGACAO EXCLUSIVE LIGANTE</t>
  </si>
  <si>
    <t>SINAPI-I</t>
  </si>
  <si>
    <t>1.3.4</t>
  </si>
  <si>
    <t>00041965</t>
  </si>
  <si>
    <t>CBUQ COM BRITA COMERCIAL EXCL LIGANTE</t>
  </si>
  <si>
    <t>T</t>
  </si>
  <si>
    <t>1.3.5</t>
  </si>
  <si>
    <t>104358</t>
  </si>
  <si>
    <t>BINDER EXCL LIGANTE</t>
  </si>
  <si>
    <t>1.3.6</t>
  </si>
  <si>
    <t>102331</t>
  </si>
  <si>
    <t>TRANSPORTE DE MATERIAIS ASFALTICO A QUENTE</t>
  </si>
  <si>
    <t>TXKM</t>
  </si>
  <si>
    <t>1.3.7</t>
  </si>
  <si>
    <t>95430</t>
  </si>
  <si>
    <t>TRANSPORTE DE MATERIAIS ASFALTICO A FRIO</t>
  </si>
  <si>
    <t>1.3.8</t>
  </si>
  <si>
    <t>M2097</t>
  </si>
  <si>
    <t>EMULSAO ASFALTICA RR-2C EXCLUSIVE TRANSPORTE - BDI = 16,80</t>
  </si>
  <si>
    <t>t</t>
  </si>
  <si>
    <t>1.3.9</t>
  </si>
  <si>
    <t>M0104</t>
  </si>
  <si>
    <t>ASFALTO DILUIDO CM-30 EXCLUSIVE TRANSPORTE - BDI = 16,80</t>
  </si>
  <si>
    <t>1.3.10</t>
  </si>
  <si>
    <t>M1943</t>
  </si>
  <si>
    <t>CIMENTO ASFALTICO CAP 50/60 EXCLUSIVE TRANSPORTE - BDI = 16,80</t>
  </si>
  <si>
    <t>1.3.11</t>
  </si>
  <si>
    <t>94274</t>
  </si>
  <si>
    <t>ASSENTAMENTO DE GUIA (MEIO-FIO) EM TRECHO CURVO, CONFECCIONADA EM CONCRETO PRÉ-FABRICADO, DIMENSÕES 100X15X13X30 CM (COMPRIMENTO X BASE INFERIOR X BASE SUPERIOR X ALTURA), PARA VIAS URBANAS (USO VIÁRIO). AF_06/2016</t>
  </si>
  <si>
    <t>1.3.12</t>
  </si>
  <si>
    <t>24</t>
  </si>
  <si>
    <t>CONFECÇÃO E COLOCAÇÃO DE GUARD RAIL EM CONCRETO ARMADO PREMOLDADO Fck=30MPa PARA DEFENSA DE PONTES</t>
  </si>
  <si>
    <t>UN</t>
  </si>
  <si>
    <t>SINALIZAÇÃO VIÁRIA</t>
  </si>
  <si>
    <t>1.4.1</t>
  </si>
  <si>
    <t>CPU-SSB</t>
  </si>
  <si>
    <t>SINALIZAÇÃO HORIZONTAL C/TERMOPLÁSTICO 3 ANOS DURAÇÃO</t>
  </si>
  <si>
    <t>1.4.2</t>
  </si>
  <si>
    <t>5219612</t>
  </si>
  <si>
    <t>FORN. E COLOCAÇÃO DE TACHA REFLET. MONODIRECIONAL</t>
  </si>
  <si>
    <t>un</t>
  </si>
  <si>
    <t>1.4.3</t>
  </si>
  <si>
    <t>06.200</t>
  </si>
  <si>
    <t>SINALIZAÇÃO VERTICAL, C CHAPAS PLANAS DE AÇO ZINCADO Nº16</t>
  </si>
  <si>
    <t>1.4.4</t>
  </si>
  <si>
    <t>COMP-4-MAXA</t>
  </si>
  <si>
    <t>PLACA DE SINAL.RETANGULAR (2,50X1,00M) EM CONF.COM ITEM 06.200.00</t>
  </si>
  <si>
    <t>INSTALAÇÕES ELÉTRICAS</t>
  </si>
  <si>
    <t>1.5.1</t>
  </si>
  <si>
    <t>23</t>
  </si>
  <si>
    <t>POSTE DE CONCRETO COM COMPRIMENTO NOMINAL DE 12 M, CARGA NOMINAL DE 1000 DAN, ENGASTAMENTO BASE CONCRETADA COM 1 M DE CONCRETO E 0,8 M DE SOLO. - ADAPTADO SINAPI 100616</t>
  </si>
  <si>
    <t>1.5.2</t>
  </si>
  <si>
    <t>93358</t>
  </si>
  <si>
    <t>ESCAVAÇÃO MANUAL DE VALA COM PROFUNDIDADE MENOR OU IGUAL A 1,30 M. AF_02/2021</t>
  </si>
  <si>
    <t>1.5.3</t>
  </si>
  <si>
    <t>91868</t>
  </si>
  <si>
    <t>ELETRODUTO RÍGIDO ROSCÁVEL, PVC, DN 32 MM (1"), PARA CIRCUITOS TERMINAIS, INSTALADO EM LAJE - FORNECIMENTO E INSTALAÇÃO. AF_12/2015</t>
  </si>
  <si>
    <t>1.5.4</t>
  </si>
  <si>
    <t>91935</t>
  </si>
  <si>
    <t>CABO DE COBRE FLEXÍVEL ISOLADO, 16 MM², ANTI-CHAMA 0,6/1,0 KV, PARA CIRCUITOS TERMINAIS - FORNECIMENTO E INSTALAÇÃO. AF_12/2015</t>
  </si>
  <si>
    <t>1.5.5</t>
  </si>
  <si>
    <t>97886</t>
  </si>
  <si>
    <t>CAIXA ENTERRADA ELÉTRICA RETANGULAR, EM ALVENARIA COM TIJOLOS CERÂMICOS MACIÇOS, FUNDO COM BRITA, DIMENSÕES INTERNAS: 0,3X0,3X0,3 M. AF_12/2020</t>
  </si>
  <si>
    <t>1.5.6</t>
  </si>
  <si>
    <t>101657</t>
  </si>
  <si>
    <t>LUMINÁRIA DE LED PARA ILUMINAÇÃO PÚBLICA, DE 98 W ATÉ 137 W - FORNECIMENTO E INSTALAÇÃO. AF_08/2020</t>
  </si>
  <si>
    <t>1.5.7</t>
  </si>
  <si>
    <t>101632</t>
  </si>
  <si>
    <t>RELÉ FOTOELÉTRICO PARA COMANDO DE ILUMINAÇÃO EXTERNA 1000 W - FORNECIMENTO E INSTALAÇÃO. AF_08/2020</t>
  </si>
  <si>
    <t>1.5.8</t>
  </si>
  <si>
    <t>102102</t>
  </si>
  <si>
    <t>TRANSFORMADOR DE DISTRIBUIÇÃO, 30 KVA, TRIFÁSICO, 60 HZ, CLASSE 15 KV, IMERSO EM ÓLEO MINERAL, INSTALAÇÃO EM POSTE (NÃO INCLUSO SUPORTE) - FORNECIMENTO E INSTALAÇÃO. AF_12/2020</t>
  </si>
  <si>
    <t>1.5.9</t>
  </si>
  <si>
    <t>102110</t>
  </si>
  <si>
    <t>SUPORTE PARA TRANSFORMADOR EM POSTE DE CONCRETO DUPLO T - FORNECIMENTO E INSTALAÇÃO. AF_12/2020</t>
  </si>
  <si>
    <t>DRENAGEM E SANEAMENTO</t>
  </si>
  <si>
    <t>1.6.1</t>
  </si>
  <si>
    <t>99063</t>
  </si>
  <si>
    <t>LOCAÇÃO DE REDE DE ÁGUA OU ESGOTO. AF_10/2018</t>
  </si>
  <si>
    <t>1.6.2</t>
  </si>
  <si>
    <t>101144</t>
  </si>
  <si>
    <t>ESCAV.E TRANSP. MAT. 1A. CAT. C/TRANSP. DE 601-800m</t>
  </si>
  <si>
    <t>1.6.3</t>
  </si>
  <si>
    <t>14</t>
  </si>
  <si>
    <t>LASTRO DE VALA COM PREPARO DE FUNDO, LARGURA MENOR QUE 1,5 M, COM CAMADA DE AREIA, LANÇAMENTO MANUAL, EM LOCAL COM NÍVEL BAIXO DE INTERFERÊNCIA. AF_06/2016 [ADAPTADO DE SINAPI 94102]</t>
  </si>
  <si>
    <t>1.6.4</t>
  </si>
  <si>
    <t>92216</t>
  </si>
  <si>
    <t>TUBO DE CONCRETO PARA REDES COLETORAS DE ÁGUAS PLUVIAIS, DIÂMETRO DE 1000 MM, JUNTA RÍGIDA, INSTALADO EM LOCAL COM BAIXO NÍVEL DE INTERFERÊNCIAS - FORNECIMENTO E ASSENTAMENTO. AF_12/2015</t>
  </si>
  <si>
    <t>1.6.5</t>
  </si>
  <si>
    <t>102744</t>
  </si>
  <si>
    <t>BOCA PARA BUEIRO DUPLO TUBULAR D = 100 CM EM CONCRETO, ALAS COM ESCONSIDADE DE 0°, INCLUINDO FÔRMAS E MATERIAIS. AF_07/2021</t>
  </si>
  <si>
    <t>1.6.6</t>
  </si>
  <si>
    <t>93361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</si>
  <si>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</si>
  <si>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>2</t>
  </si>
  <si>
    <t>TRECHO 2 - CALÇADÃO (LARGURA DE 850 METROS) - COMPRIMENTO 850 M</t>
  </si>
  <si>
    <t>2.1.1</t>
  </si>
  <si>
    <t>2.2.1</t>
  </si>
  <si>
    <t>2.2.2</t>
  </si>
  <si>
    <t>2.2.3</t>
  </si>
  <si>
    <t>4011353</t>
  </si>
  <si>
    <t>2.2.4</t>
  </si>
  <si>
    <t>CBUQ COM BRITA COMERCIAL EXCL LIGANTE - BDI = 16,80</t>
  </si>
  <si>
    <t>2.2.5</t>
  </si>
  <si>
    <t>2.2.6</t>
  </si>
  <si>
    <t>2.2.7</t>
  </si>
  <si>
    <t>2.2.8</t>
  </si>
  <si>
    <t>2.2.9</t>
  </si>
  <si>
    <t>2.2.10</t>
  </si>
  <si>
    <t>CANTEIRO</t>
  </si>
  <si>
    <t>2.3.1</t>
  </si>
  <si>
    <t>2.3.2</t>
  </si>
  <si>
    <t>94994</t>
  </si>
  <si>
    <t>EXECUÇÃO DE PASSEIO (CALÇADA) OU PISO DE CONCRETO COM CONCRETO MOLDADO IN LOCO, FEITO EM OBRA, ACABAMENTO CONVENCIONAL, ESPESSURA 8 CM, ARMADO. AF_08/2022</t>
  </si>
  <si>
    <t>2.3.3</t>
  </si>
  <si>
    <t>00044736</t>
  </si>
  <si>
    <t>BALIZADOR DE TRÁFEGO - BDI = 16,80</t>
  </si>
  <si>
    <t>REFORÇO DE TALUDE / DRENAGEM</t>
  </si>
  <si>
    <t>2.4.1</t>
  </si>
  <si>
    <t>99251</t>
  </si>
  <si>
    <t>CAIXA ENTERRADA HIDRÁULICA RETANGULAR EM ALVENARIA COM TIJOLOS CERÂMICOS MACIÇOS, DIMENSÕES INTERNAS: 0,4X0,4X0,4 M PARA REDE DE DRENAGEM. AF_12/2020</t>
  </si>
  <si>
    <t>2.4.2</t>
  </si>
  <si>
    <t>89849</t>
  </si>
  <si>
    <t>TUBO PVC, SERIE NORMAL, ESGOTO PREDIAL, DN 150 MM, FORNECIDO E INSTALADO EM SUBCOLETOR AÉREO DE ESGOTO SANITÁRIO. AF_08/2022</t>
  </si>
  <si>
    <t>2.4.3</t>
  </si>
  <si>
    <t>25</t>
  </si>
  <si>
    <t>CAMADA DRENANTE COM AREIA MEDIA [ADAPTADO SINAPI 83667] - BDI = 16,80</t>
  </si>
  <si>
    <t>2.4.4</t>
  </si>
  <si>
    <t>C3108</t>
  </si>
  <si>
    <t>PROTECAO VEGETAL DE TALUDES</t>
  </si>
  <si>
    <t>SEINFRA</t>
  </si>
  <si>
    <t>2.4.5</t>
  </si>
  <si>
    <t>2.4.6</t>
  </si>
  <si>
    <t>92214</t>
  </si>
  <si>
    <t>TUBO DE CONCRETO PARA REDES COLETORAS DE ÁGUAS PLUVIAIS, DIÂMETRO DE 800 MM, JUNTA RÍGIDA, INSTALADO EM LOCAL COM BAIXO NÍVEL DE INTERFERÊNCIAS - FORNECIMENTO E ASSENTAMENTO. AF_12/2015</t>
  </si>
  <si>
    <t>2.5.1</t>
  </si>
  <si>
    <t>100620</t>
  </si>
  <si>
    <t>POSTE DE AÇO CONICO CONTÍNUO CURVO SIMPLES, FLANGEADO, H=9M, INCLUSIVE LUMINÁRIA, SEM LÂMPADA - FORNECIMENTO E INSTALACAO. AF_11/2019</t>
  </si>
  <si>
    <t>2.5.2</t>
  </si>
  <si>
    <t>101659</t>
  </si>
  <si>
    <t>LUMINÁRIA DE LED PARA ILUMINAÇÃO PÚBLICA, DE 181 W ATÉ 239 W - FORNECIMENTO E INSTALAÇÃO. AF_08/2020</t>
  </si>
  <si>
    <t>2.5.3</t>
  </si>
  <si>
    <t>2.5.4</t>
  </si>
  <si>
    <t>2.5.5</t>
  </si>
  <si>
    <t>2.5.6</t>
  </si>
  <si>
    <t>2.5.7</t>
  </si>
  <si>
    <t>CONTRATANTE: MUNICÍPIO DE SOUSA/PB.</t>
  </si>
  <si>
    <t>OBRA: Serviços de pavimentação asfáltica em CBUQ, em diversas ruas do município de Sousa/PB, conforme plano de ação 09032021-009256.</t>
  </si>
  <si>
    <t>765/2022</t>
  </si>
  <si>
    <t>CONCORRÊNCIA Nº: 16/2022</t>
  </si>
  <si>
    <t>23/12/2022 a 17/04/2023</t>
  </si>
  <si>
    <t>02</t>
  </si>
  <si>
    <r>
      <rPr>
        <i/>
        <sz val="6.5"/>
        <rFont val="Calibri"/>
        <family val="1"/>
      </rPr>
      <t>E0 - E115+0</t>
    </r>
  </si>
  <si>
    <r>
      <rPr>
        <b/>
        <sz val="6.5"/>
        <rFont val="Calibri"/>
        <family val="1"/>
      </rPr>
      <t>T</t>
    </r>
  </si>
  <si>
    <r>
      <rPr>
        <i/>
        <sz val="6.5"/>
        <rFont val="Calibri"/>
        <family val="1"/>
      </rPr>
      <t>E0 - E4+3,20</t>
    </r>
  </si>
  <si>
    <r>
      <rPr>
        <b/>
        <sz val="6.5"/>
        <rFont val="Calibri"/>
        <family val="1"/>
      </rPr>
      <t>m³</t>
    </r>
  </si>
  <si>
    <r>
      <rPr>
        <b/>
        <sz val="6.5"/>
        <rFont val="Calibri"/>
        <family val="1"/>
      </rPr>
      <t>M3</t>
    </r>
  </si>
  <si>
    <r>
      <rPr>
        <b/>
        <sz val="6.5"/>
        <rFont val="Calibri"/>
        <family val="1"/>
      </rPr>
      <t>Vide Mapa de Cubação</t>
    </r>
  </si>
  <si>
    <r>
      <rPr>
        <b/>
        <sz val="6.5"/>
        <rFont val="Calibri"/>
        <family val="1"/>
      </rPr>
      <t>SERVIÇOS PRELIMINARES</t>
    </r>
  </si>
  <si>
    <r>
      <rPr>
        <b/>
        <sz val="6.5"/>
        <rFont val="Calibri"/>
        <family val="1"/>
      </rPr>
      <t>1.1</t>
    </r>
  </si>
  <si>
    <r>
      <rPr>
        <b/>
        <u/>
        <sz val="6.5"/>
        <rFont val="Calibri"/>
        <family val="1"/>
      </rPr>
      <t xml:space="preserve">TRECHO 1  (CONSTRUÇÃO DE 1 NOVA FAIXA DE 
</t>
    </r>
    <r>
      <rPr>
        <b/>
        <u/>
        <sz val="6.5"/>
        <rFont val="Calibri"/>
        <family val="1"/>
      </rPr>
      <t>ROLAGEM) - COMPRIMENTO 2300 M</t>
    </r>
  </si>
  <si>
    <r>
      <rPr>
        <b/>
        <u/>
        <sz val="6.5"/>
        <rFont val="Calibri"/>
        <family val="1"/>
      </rPr>
      <t>1.0</t>
    </r>
  </si>
  <si>
    <r>
      <rPr>
        <b/>
        <sz val="6.5"/>
        <color rgb="FFFFFFFF"/>
        <rFont val="Calibri"/>
        <family val="1"/>
      </rPr>
      <t>####</t>
    </r>
  </si>
  <si>
    <r>
      <rPr>
        <b/>
        <sz val="6.5"/>
        <color rgb="FFFFFFFF"/>
        <rFont val="Calibri"/>
        <family val="1"/>
      </rPr>
      <t>REQUALIFICAÇÃO E AMPLIAÇÃO DA AV MOSENHOR VICENTE FREITAS</t>
    </r>
  </si>
  <si>
    <r>
      <rPr>
        <b/>
        <sz val="6.5"/>
        <color rgb="FFFFFFFF"/>
        <rFont val="Calibri"/>
        <family val="1"/>
      </rPr>
      <t>0.0</t>
    </r>
  </si>
  <si>
    <r>
      <rPr>
        <b/>
        <sz val="6.5"/>
        <color rgb="FFFFFFFF"/>
        <rFont val="Calibri"/>
        <family val="1"/>
      </rPr>
      <t>GERAL</t>
    </r>
  </si>
  <si>
    <r>
      <rPr>
        <b/>
        <sz val="6.5"/>
        <color rgb="FFFFFFFF"/>
        <rFont val="Calibri"/>
        <family val="1"/>
      </rPr>
      <t>TOTAL</t>
    </r>
  </si>
  <si>
    <r>
      <rPr>
        <b/>
        <sz val="6.5"/>
        <color rgb="FFFFFFFF"/>
        <rFont val="Calibri"/>
        <family val="1"/>
      </rPr>
      <t>PARCIAL</t>
    </r>
  </si>
  <si>
    <r>
      <rPr>
        <b/>
        <sz val="6.5"/>
        <color rgb="FFFFFFFF"/>
        <rFont val="Calibri"/>
        <family val="1"/>
      </rPr>
      <t>Z2</t>
    </r>
  </si>
  <si>
    <r>
      <rPr>
        <b/>
        <sz val="6.5"/>
        <color rgb="FFFFFFFF"/>
        <rFont val="Calibri"/>
        <family val="1"/>
      </rPr>
      <t>Z1</t>
    </r>
  </si>
  <si>
    <r>
      <rPr>
        <b/>
        <sz val="6.5"/>
        <color rgb="FFFFFFFF"/>
        <rFont val="Calibri"/>
        <family val="1"/>
      </rPr>
      <t>Y2</t>
    </r>
  </si>
  <si>
    <r>
      <rPr>
        <b/>
        <sz val="6.5"/>
        <color rgb="FFFFFFFF"/>
        <rFont val="Calibri"/>
        <family val="1"/>
      </rPr>
      <t>Y1</t>
    </r>
  </si>
  <si>
    <r>
      <rPr>
        <b/>
        <sz val="6.5"/>
        <color rgb="FFFFFFFF"/>
        <rFont val="Calibri"/>
        <family val="1"/>
      </rPr>
      <t>X2</t>
    </r>
  </si>
  <si>
    <r>
      <rPr>
        <b/>
        <sz val="6.5"/>
        <color rgb="FFFFFFFF"/>
        <rFont val="Calibri"/>
        <family val="1"/>
      </rPr>
      <t>X1</t>
    </r>
  </si>
  <si>
    <r>
      <rPr>
        <b/>
        <sz val="6.5"/>
        <color rgb="FFFFFFFF"/>
        <rFont val="Calibri"/>
        <family val="1"/>
      </rPr>
      <t>UNID</t>
    </r>
  </si>
  <si>
    <r>
      <rPr>
        <b/>
        <sz val="6.5"/>
        <color rgb="FFFFFFFF"/>
        <rFont val="Calibri"/>
        <family val="1"/>
      </rPr>
      <t>RESULTADO</t>
    </r>
  </si>
  <si>
    <r>
      <rPr>
        <b/>
        <sz val="6.5"/>
        <color rgb="FFFFFFFF"/>
        <rFont val="Calibri"/>
        <family val="1"/>
      </rPr>
      <t>DADOS</t>
    </r>
  </si>
  <si>
    <r>
      <rPr>
        <b/>
        <sz val="6.5"/>
        <color rgb="FFFFFFFF"/>
        <rFont val="Calibri"/>
        <family val="1"/>
      </rPr>
      <t>VEZ</t>
    </r>
  </si>
  <si>
    <r>
      <rPr>
        <b/>
        <sz val="6.5"/>
        <color rgb="FFFFFFFF"/>
        <rFont val="Calibri"/>
        <family val="1"/>
      </rPr>
      <t>DESCRIÇÃO</t>
    </r>
  </si>
  <si>
    <r>
      <rPr>
        <b/>
        <sz val="6.5"/>
        <color rgb="FFFFFFFF"/>
        <rFont val="Calibri"/>
        <family val="1"/>
      </rPr>
      <t>SERVIÇO</t>
    </r>
  </si>
  <si>
    <r>
      <rPr>
        <b/>
        <sz val="6.5"/>
        <color rgb="FFFFFFFF"/>
        <rFont val="Calibri"/>
        <family val="1"/>
      </rPr>
      <t>ITEM</t>
    </r>
  </si>
  <si>
    <r>
      <rPr>
        <b/>
        <sz val="6.5"/>
        <color rgb="FFFFFFFF"/>
        <rFont val="Calibri"/>
        <family val="1"/>
      </rPr>
      <t>MEMÓRIA DE CÁLCULO DE QUANTIDADES</t>
    </r>
  </si>
  <si>
    <r>
      <rPr>
        <b/>
        <sz val="6.5"/>
        <rFont val="Calibri"/>
        <family val="1"/>
      </rPr>
      <t>DER - JUL/SET 2022</t>
    </r>
  </si>
  <si>
    <r>
      <rPr>
        <b/>
        <sz val="6.5"/>
        <rFont val="Calibri"/>
        <family val="1"/>
      </rPr>
      <t>SINAPI PB - Setembro/2022</t>
    </r>
  </si>
  <si>
    <r>
      <rPr>
        <sz val="6.5"/>
        <rFont val="Calibri"/>
        <family val="1"/>
      </rPr>
      <t>REF. PREÇOS:</t>
    </r>
  </si>
  <si>
    <r>
      <rPr>
        <b/>
        <sz val="6.5"/>
        <rFont val="Calibri"/>
        <family val="1"/>
      </rPr>
      <t>Requalificação e ampliação da Av Mosenhor Vicente Freitas</t>
    </r>
  </si>
  <si>
    <r>
      <rPr>
        <sz val="6.5"/>
        <rFont val="Calibri"/>
        <family val="1"/>
      </rPr>
      <t>OBRA:</t>
    </r>
  </si>
  <si>
    <r>
      <rPr>
        <b/>
        <sz val="6.5"/>
        <rFont val="Calibri"/>
        <family val="1"/>
      </rPr>
      <t>Plano de Ação 09032021-009256</t>
    </r>
  </si>
  <si>
    <r>
      <rPr>
        <sz val="6.5"/>
        <rFont val="Calibri"/>
        <family val="1"/>
      </rPr>
      <t>CONTRATO:</t>
    </r>
  </si>
  <si>
    <r>
      <rPr>
        <b/>
        <sz val="6.5"/>
        <rFont val="Calibri"/>
        <family val="1"/>
      </rPr>
      <t>Município de Sousa - PB</t>
    </r>
  </si>
  <si>
    <r>
      <rPr>
        <sz val="6.5"/>
        <rFont val="Calibri"/>
        <family val="1"/>
      </rPr>
      <t>CONVENENTE:</t>
    </r>
  </si>
  <si>
    <r>
      <rPr>
        <b/>
        <sz val="6.5"/>
        <rFont val="Calibri"/>
        <family val="1"/>
      </rPr>
      <t>Governo Federal</t>
    </r>
  </si>
  <si>
    <r>
      <rPr>
        <sz val="6.5"/>
        <rFont val="Calibri"/>
        <family val="1"/>
      </rPr>
      <t>CONCEDENTE:</t>
    </r>
  </si>
  <si>
    <r>
      <rPr>
        <b/>
        <sz val="6.5"/>
        <rFont val="Calibri"/>
        <family val="1"/>
      </rPr>
      <t>Transferência Especial</t>
    </r>
  </si>
  <si>
    <r>
      <rPr>
        <sz val="6.5"/>
        <rFont val="Calibri"/>
        <family val="1"/>
      </rPr>
      <t>PROGRAMA:</t>
    </r>
  </si>
  <si>
    <r>
      <rPr>
        <i/>
        <sz val="6.5"/>
        <rFont val="Calibri"/>
        <family val="1"/>
      </rPr>
      <t>Corte do terreno</t>
    </r>
  </si>
  <si>
    <r>
      <rPr>
        <i/>
        <sz val="6.5"/>
        <rFont val="Calibri"/>
        <family val="1"/>
      </rPr>
      <t>1.6.2.1</t>
    </r>
  </si>
  <si>
    <r>
      <rPr>
        <b/>
        <sz val="6.5"/>
        <rFont val="Calibri"/>
        <family val="1"/>
      </rPr>
      <t xml:space="preserve">ESCAV.E TRANSP. MAT. 1A. CAT. C/TRANSP.
</t>
    </r>
    <r>
      <rPr>
        <b/>
        <sz val="6.5"/>
        <rFont val="Calibri"/>
        <family val="1"/>
      </rPr>
      <t>DE 601-800m</t>
    </r>
  </si>
  <si>
    <r>
      <rPr>
        <b/>
        <sz val="6.5"/>
        <rFont val="Calibri"/>
        <family val="1"/>
      </rPr>
      <t>1.6.2</t>
    </r>
  </si>
  <si>
    <r>
      <rPr>
        <i/>
        <sz val="6.5"/>
        <rFont val="Calibri"/>
        <family val="1"/>
      </rPr>
      <t>Rede de Drenagem</t>
    </r>
  </si>
  <si>
    <r>
      <rPr>
        <i/>
        <sz val="6.5"/>
        <rFont val="Calibri"/>
        <family val="1"/>
      </rPr>
      <t>1.6.1.1</t>
    </r>
  </si>
  <si>
    <r>
      <rPr>
        <b/>
        <sz val="6.5"/>
        <rFont val="Calibri"/>
        <family val="1"/>
      </rPr>
      <t>M</t>
    </r>
  </si>
  <si>
    <r>
      <rPr>
        <b/>
        <sz val="6.5"/>
        <rFont val="Calibri"/>
        <family val="1"/>
      </rPr>
      <t xml:space="preserve">LOCAÇÃO DE REDE DE ÁGUA OU ESGOTO.
</t>
    </r>
    <r>
      <rPr>
        <b/>
        <sz val="6.5"/>
        <rFont val="Calibri"/>
        <family val="1"/>
      </rPr>
      <t>AF_10/2018</t>
    </r>
  </si>
  <si>
    <r>
      <rPr>
        <b/>
        <sz val="6.5"/>
        <rFont val="Calibri"/>
        <family val="1"/>
      </rPr>
      <t>1.6.1</t>
    </r>
  </si>
  <si>
    <r>
      <rPr>
        <b/>
        <sz val="6.5"/>
        <rFont val="Calibri"/>
        <family val="1"/>
      </rPr>
      <t>DRENAGEM E SANEAMENTO</t>
    </r>
  </si>
  <si>
    <r>
      <rPr>
        <b/>
        <sz val="6.5"/>
        <rFont val="Calibri"/>
        <family val="1"/>
      </rPr>
      <t>1.6</t>
    </r>
  </si>
  <si>
    <r>
      <rPr>
        <i/>
        <sz val="6.5"/>
        <rFont val="Calibri"/>
        <family val="1"/>
      </rPr>
      <t>1.5.9.1</t>
    </r>
  </si>
  <si>
    <r>
      <rPr>
        <b/>
        <sz val="6.5"/>
        <rFont val="Calibri"/>
        <family val="1"/>
      </rPr>
      <t>UN</t>
    </r>
  </si>
  <si>
    <r>
      <rPr>
        <b/>
        <sz val="6.5"/>
        <rFont val="Calibri"/>
        <family val="1"/>
      </rPr>
      <t>SUPORTE PARA TRANSFORMADOR EM POSTE DE CONCRETO DUPLO T - FORNECIMENTO E INSTALAÇÃO. AF_12/2020</t>
    </r>
  </si>
  <si>
    <r>
      <rPr>
        <b/>
        <sz val="6.5"/>
        <rFont val="Calibri"/>
        <family val="1"/>
      </rPr>
      <t>1.5.9</t>
    </r>
  </si>
  <si>
    <r>
      <rPr>
        <i/>
        <sz val="6.5"/>
        <rFont val="Calibri"/>
        <family val="1"/>
      </rPr>
      <t>1.5.8.1</t>
    </r>
  </si>
  <si>
    <r>
      <rPr>
        <b/>
        <sz val="6.5"/>
        <rFont val="Calibri"/>
        <family val="1"/>
      </rPr>
      <t xml:space="preserve">TRANSFORMADOR DE DISTRIBUIÇÃO, 30 KVA, TRIFÁSICO, 60 HZ, CLASSE 15 KV, IMERSO EM ÓLEO MINERAL, INSTALAÇÃO
</t>
    </r>
    <r>
      <rPr>
        <b/>
        <sz val="6.5"/>
        <rFont val="Calibri"/>
        <family val="1"/>
      </rPr>
      <t>EM POSTE (NÃO INCLUSO SUPORTE) -</t>
    </r>
  </si>
  <si>
    <r>
      <rPr>
        <b/>
        <sz val="6.5"/>
        <rFont val="Calibri"/>
        <family val="1"/>
      </rPr>
      <t>1.5.8</t>
    </r>
  </si>
  <si>
    <r>
      <rPr>
        <i/>
        <sz val="6.5"/>
        <rFont val="Calibri"/>
        <family val="1"/>
      </rPr>
      <t>1.5.7.1</t>
    </r>
  </si>
  <si>
    <r>
      <rPr>
        <b/>
        <sz val="6.5"/>
        <rFont val="Calibri"/>
        <family val="1"/>
      </rPr>
      <t xml:space="preserve">RELÉ FOTOELÉTRICO PARA COMANDO DE
</t>
    </r>
    <r>
      <rPr>
        <b/>
        <sz val="6.5"/>
        <rFont val="Calibri"/>
        <family val="1"/>
      </rPr>
      <t>ILUMINAÇÃO EXTERNA 1000 W - FORNECIMENTO E INSTALAÇÃO. AF_08/2020</t>
    </r>
  </si>
  <si>
    <r>
      <rPr>
        <b/>
        <sz val="6.5"/>
        <rFont val="Calibri"/>
        <family val="1"/>
      </rPr>
      <t>1.5.7</t>
    </r>
  </si>
  <si>
    <r>
      <rPr>
        <i/>
        <sz val="6.5"/>
        <rFont val="Calibri"/>
        <family val="1"/>
      </rPr>
      <t>1.5.6.1</t>
    </r>
  </si>
  <si>
    <r>
      <rPr>
        <b/>
        <sz val="6.5"/>
        <rFont val="Calibri"/>
        <family val="1"/>
      </rPr>
      <t>LUMINÁRIA DE LED PARA ILUMINAÇÃO PÚBLICA, DE 98 W ATÉ 137 W - FORNECIMENTO E INSTALAÇÃO. AF_08/2020</t>
    </r>
  </si>
  <si>
    <r>
      <rPr>
        <b/>
        <sz val="6.5"/>
        <rFont val="Calibri"/>
        <family val="1"/>
      </rPr>
      <t>1.5.6</t>
    </r>
  </si>
  <si>
    <r>
      <rPr>
        <i/>
        <sz val="6.5"/>
        <rFont val="Calibri"/>
        <family val="1"/>
      </rPr>
      <t>1.5.5.1</t>
    </r>
  </si>
  <si>
    <r>
      <rPr>
        <b/>
        <sz val="6.5"/>
        <rFont val="Calibri"/>
        <family val="1"/>
      </rPr>
      <t xml:space="preserve">CAIXA DE PASSAGEM ELETRICA, PARA PISO,
</t>
    </r>
    <r>
      <rPr>
        <b/>
        <sz val="6.5"/>
        <rFont val="Calibri"/>
        <family val="1"/>
      </rPr>
      <t>EM PVC, DIMENSOES DE 3/4" A 4"</t>
    </r>
  </si>
  <si>
    <r>
      <rPr>
        <b/>
        <sz val="6.5"/>
        <rFont val="Calibri"/>
        <family val="1"/>
      </rPr>
      <t>1.5.5</t>
    </r>
  </si>
  <si>
    <r>
      <rPr>
        <i/>
        <sz val="6.5"/>
        <rFont val="Calibri"/>
        <family val="1"/>
      </rPr>
      <t>1.5.4.1</t>
    </r>
  </si>
  <si>
    <r>
      <rPr>
        <b/>
        <sz val="6.5"/>
        <rFont val="Calibri"/>
        <family val="1"/>
      </rPr>
      <t xml:space="preserve">CABO DE COBRE FLEXÍVEL ISOLADO, 16 MM², ANTI-CHAMA 0,6/1,0 KV, PARA CIRCUITOS TERMINAIS - FORNECIMENTO E
</t>
    </r>
    <r>
      <rPr>
        <b/>
        <sz val="6.5"/>
        <rFont val="Calibri"/>
        <family val="1"/>
      </rPr>
      <t>INSTALAÇÃO. AF_12/2015</t>
    </r>
  </si>
  <si>
    <r>
      <rPr>
        <b/>
        <sz val="6.5"/>
        <rFont val="Calibri"/>
        <family val="1"/>
      </rPr>
      <t>1.5.4</t>
    </r>
  </si>
  <si>
    <r>
      <rPr>
        <i/>
        <sz val="6.5"/>
        <rFont val="Calibri"/>
        <family val="1"/>
      </rPr>
      <t>1.5.3.1</t>
    </r>
  </si>
  <si>
    <r>
      <rPr>
        <b/>
        <sz val="6.5"/>
        <rFont val="Calibri"/>
        <family val="1"/>
      </rPr>
      <t xml:space="preserve">ELETRODUTO RÍGIDO ROSCÁVEL, PVC, DN 32 MM (1"), PARA CIRCUITOS TERMINAIS, INSTALADO EM LAJE - FORNECIMENTO E
</t>
    </r>
    <r>
      <rPr>
        <b/>
        <sz val="6.5"/>
        <rFont val="Calibri"/>
        <family val="1"/>
      </rPr>
      <t>INSTALAÇÃO. AF_12/2015</t>
    </r>
  </si>
  <si>
    <r>
      <rPr>
        <b/>
        <sz val="6.5"/>
        <rFont val="Calibri"/>
        <family val="1"/>
      </rPr>
      <t>1.5.3</t>
    </r>
  </si>
  <si>
    <r>
      <rPr>
        <i/>
        <sz val="6.5"/>
        <rFont val="Calibri"/>
        <family val="1"/>
      </rPr>
      <t>1.5.2.1</t>
    </r>
  </si>
  <si>
    <r>
      <rPr>
        <b/>
        <sz val="6.5"/>
        <rFont val="Calibri"/>
        <family val="1"/>
      </rPr>
      <t xml:space="preserve">ESCAVAÇÃO MANUAL DE VALA COM
</t>
    </r>
    <r>
      <rPr>
        <b/>
        <sz val="6.5"/>
        <rFont val="Calibri"/>
        <family val="1"/>
      </rPr>
      <t>PROFUNDIDADE MENOR OU IGUAL A 1,30 M. AF_02/2021</t>
    </r>
  </si>
  <si>
    <r>
      <rPr>
        <b/>
        <sz val="6.5"/>
        <rFont val="Calibri"/>
        <family val="1"/>
      </rPr>
      <t>1.5.2</t>
    </r>
  </si>
  <si>
    <r>
      <rPr>
        <i/>
        <sz val="6.5"/>
        <rFont val="Calibri"/>
        <family val="1"/>
      </rPr>
      <t>1.5.1.1</t>
    </r>
  </si>
  <si>
    <r>
      <rPr>
        <b/>
        <sz val="6.5"/>
        <rFont val="Calibri"/>
        <family val="1"/>
      </rPr>
      <t xml:space="preserve">POSTE DE CONCRETO COM COMPRIMENTO NOMINAL DE 12 M, CARGA NOMINAL DE 1000 DAN, ENGASTAMENTO BASE CONCRETADA COM 1 M DE CONCRETO E 0,8
</t>
    </r>
    <r>
      <rPr>
        <b/>
        <sz val="6.5"/>
        <rFont val="Calibri"/>
        <family val="1"/>
      </rPr>
      <t>M DE SOLO. - ADAPTADO SINAPI 100616</t>
    </r>
  </si>
  <si>
    <r>
      <rPr>
        <b/>
        <sz val="6.5"/>
        <rFont val="Calibri"/>
        <family val="1"/>
      </rPr>
      <t>1.5.1</t>
    </r>
  </si>
  <si>
    <r>
      <rPr>
        <b/>
        <sz val="6.5"/>
        <rFont val="Calibri"/>
        <family val="1"/>
      </rPr>
      <t>INSTALAÇÕES ELÉTRICAS</t>
    </r>
  </si>
  <si>
    <r>
      <rPr>
        <b/>
        <sz val="6.5"/>
        <rFont val="Calibri"/>
        <family val="1"/>
      </rPr>
      <t>1.5</t>
    </r>
  </si>
  <si>
    <r>
      <rPr>
        <i/>
        <sz val="6.5"/>
        <rFont val="Calibri"/>
        <family val="1"/>
      </rPr>
      <t>E0 - E13+5,00</t>
    </r>
  </si>
  <si>
    <r>
      <rPr>
        <i/>
        <sz val="6.5"/>
        <rFont val="Calibri"/>
        <family val="1"/>
      </rPr>
      <t>1.4.4.1</t>
    </r>
  </si>
  <si>
    <r>
      <rPr>
        <b/>
        <sz val="6.5"/>
        <rFont val="Calibri"/>
        <family val="1"/>
      </rPr>
      <t>ud</t>
    </r>
  </si>
  <si>
    <r>
      <rPr>
        <b/>
        <sz val="6.5"/>
        <rFont val="Calibri"/>
        <family val="1"/>
      </rPr>
      <t>Perímetro Urbano</t>
    </r>
  </si>
  <si>
    <r>
      <rPr>
        <b/>
        <sz val="6.5"/>
        <rFont val="Calibri"/>
        <family val="1"/>
      </rPr>
      <t xml:space="preserve">PLACA DE SINAL.RETANGULAR (2,50X1,00M)
</t>
    </r>
    <r>
      <rPr>
        <b/>
        <sz val="6.5"/>
        <rFont val="Calibri"/>
        <family val="1"/>
      </rPr>
      <t>EM CONF.COM ITEM 06.200.00</t>
    </r>
  </si>
  <si>
    <r>
      <rPr>
        <b/>
        <sz val="6.5"/>
        <rFont val="Calibri"/>
        <family val="1"/>
      </rPr>
      <t>1.4.4</t>
    </r>
  </si>
  <si>
    <r>
      <rPr>
        <i/>
        <sz val="6.5"/>
        <rFont val="Calibri"/>
        <family val="1"/>
      </rPr>
      <t>1.4.3.1</t>
    </r>
  </si>
  <si>
    <r>
      <rPr>
        <b/>
        <sz val="6.5"/>
        <rFont val="Calibri"/>
        <family val="1"/>
      </rPr>
      <t>m²</t>
    </r>
  </si>
  <si>
    <r>
      <rPr>
        <b/>
        <sz val="6.5"/>
        <rFont val="Calibri"/>
        <family val="1"/>
      </rPr>
      <t xml:space="preserve">SINALIZAÇÃO VERTICAL, C CHAPAS PLANAS DE AÇO ZINCADO Nº16 CONFORMIDADE C NORMA ABNT NBR 11904:2015, SUPORTE DE FIXAÇÃO EM CANO DE AÇO GALVANIZADO COM D=2x1/2" COM FIXAÇÃO, PARAFUSOS, ARRUELAS, PORCAS E ELEMENTOS METALICOS GALVANIZADOS, PELICULAS RETO REFLETIVA TIPO III A, EM
</t>
    </r>
    <r>
      <rPr>
        <b/>
        <sz val="6.5"/>
        <rFont val="Calibri"/>
        <family val="1"/>
      </rPr>
      <t>ACORDO NORMA NBR 14644/2013</t>
    </r>
  </si>
  <si>
    <r>
      <rPr>
        <b/>
        <sz val="6.5"/>
        <rFont val="Calibri"/>
        <family val="1"/>
      </rPr>
      <t>1.4.3</t>
    </r>
  </si>
  <si>
    <r>
      <rPr>
        <b/>
        <sz val="6.5"/>
        <rFont val="Calibri"/>
        <family val="1"/>
      </rPr>
      <t>1 taxa em cada bordo e no eixo a cada 2 m</t>
    </r>
  </si>
  <si>
    <r>
      <rPr>
        <i/>
        <sz val="6.5"/>
        <rFont val="Calibri"/>
        <family val="1"/>
      </rPr>
      <t>1.4.2.1</t>
    </r>
  </si>
  <si>
    <r>
      <rPr>
        <b/>
        <sz val="6.5"/>
        <rFont val="Calibri"/>
        <family val="1"/>
      </rPr>
      <t xml:space="preserve">FORN. E COLOCAÇÃO DE TACHA REFLET.
</t>
    </r>
    <r>
      <rPr>
        <b/>
        <sz val="6.5"/>
        <rFont val="Calibri"/>
        <family val="1"/>
      </rPr>
      <t>MONODIRECIONAL</t>
    </r>
  </si>
  <si>
    <r>
      <rPr>
        <b/>
        <sz val="6.5"/>
        <rFont val="Calibri"/>
        <family val="1"/>
      </rPr>
      <t>1.4.2</t>
    </r>
  </si>
  <si>
    <r>
      <rPr>
        <sz val="6.5"/>
        <rFont val="Calibri"/>
        <family val="1"/>
      </rPr>
      <t>2 Faixas de borda + 1 Faixa Central</t>
    </r>
  </si>
  <si>
    <r>
      <rPr>
        <i/>
        <sz val="6.5"/>
        <rFont val="Calibri"/>
        <family val="1"/>
      </rPr>
      <t>1.4.1.1</t>
    </r>
  </si>
  <si>
    <r>
      <rPr>
        <b/>
        <sz val="6.5"/>
        <rFont val="Calibri"/>
        <family val="1"/>
      </rPr>
      <t xml:space="preserve">SINALIZAÇÃO HORIZONTAL
</t>
    </r>
    <r>
      <rPr>
        <b/>
        <sz val="6.5"/>
        <rFont val="Calibri"/>
        <family val="1"/>
      </rPr>
      <t>C/TERMOPLÁSTICO 3 ANOS DURAÇÃO</t>
    </r>
  </si>
  <si>
    <r>
      <rPr>
        <b/>
        <sz val="6.5"/>
        <rFont val="Calibri"/>
        <family val="1"/>
      </rPr>
      <t>1.4.1</t>
    </r>
  </si>
  <si>
    <r>
      <rPr>
        <b/>
        <sz val="6.5"/>
        <rFont val="Calibri"/>
        <family val="1"/>
      </rPr>
      <t>SINALIZAÇÃO VIÁRIA</t>
    </r>
  </si>
  <si>
    <r>
      <rPr>
        <b/>
        <sz val="6.5"/>
        <rFont val="Calibri"/>
        <family val="1"/>
      </rPr>
      <t>1.4</t>
    </r>
  </si>
  <si>
    <r>
      <rPr>
        <i/>
        <sz val="6.5"/>
        <rFont val="Calibri"/>
        <family val="1"/>
      </rPr>
      <t>1.3.12.1</t>
    </r>
  </si>
  <si>
    <r>
      <rPr>
        <b/>
        <sz val="6.5"/>
        <rFont val="Calibri"/>
        <family val="1"/>
      </rPr>
      <t xml:space="preserve">CONFECÇÃO E COLOCAÇÃO DE GUARD RAIL
</t>
    </r>
    <r>
      <rPr>
        <b/>
        <sz val="6.5"/>
        <rFont val="Calibri"/>
        <family val="1"/>
      </rPr>
      <t>EM CONCRETO ARMADO PREMOLDADO Fck=30MPa PARA DEFENSA DE PONTES</t>
    </r>
  </si>
  <si>
    <r>
      <rPr>
        <i/>
        <sz val="6.5"/>
        <rFont val="Calibri"/>
        <family val="1"/>
      </rPr>
      <t>1.3.11.1</t>
    </r>
  </si>
  <si>
    <r>
      <rPr>
        <b/>
        <sz val="6.5"/>
        <rFont val="Calibri"/>
        <family val="1"/>
      </rPr>
      <t xml:space="preserve">ASSENTAMENTO DE GUIA (MEIO-FIO) EM TRECHO CURVO, CONFECCIONADA EM CONCRETO PRÉ-FABRICADO, DIMENSÕES 100X15X13X30 CM (COMPRIMENTO X BASE INFERIOR X BASE SUPERIOR X ALTURA), PARA VIAS URBANAS (USO VIÁRIO).
</t>
    </r>
    <r>
      <rPr>
        <b/>
        <sz val="6.5"/>
        <rFont val="Calibri"/>
        <family val="1"/>
      </rPr>
      <t>AF_06/2016</t>
    </r>
  </si>
  <si>
    <r>
      <rPr>
        <i/>
        <sz val="6.5"/>
        <rFont val="Calibri"/>
        <family val="1"/>
      </rPr>
      <t>Teor de ligante CBUQ: 6%</t>
    </r>
  </si>
  <si>
    <r>
      <rPr>
        <i/>
        <sz val="6.5"/>
        <rFont val="Calibri"/>
        <family val="1"/>
      </rPr>
      <t>Teor de ligante binder:  4,5%</t>
    </r>
  </si>
  <si>
    <r>
      <rPr>
        <i/>
        <sz val="6.5"/>
        <rFont val="Calibri"/>
        <family val="1"/>
      </rPr>
      <t>1.3.8.1</t>
    </r>
  </si>
  <si>
    <r>
      <rPr>
        <b/>
        <sz val="6.5"/>
        <rFont val="Calibri"/>
        <family val="1"/>
      </rPr>
      <t xml:space="preserve">CIMENTO ASFALTICO CAP 50/60 EXCLUSIVE
</t>
    </r>
    <r>
      <rPr>
        <b/>
        <sz val="6.5"/>
        <rFont val="Calibri"/>
        <family val="1"/>
      </rPr>
      <t>TRANSPORTE</t>
    </r>
  </si>
  <si>
    <r>
      <rPr>
        <i/>
        <sz val="6.5"/>
        <rFont val="Calibri"/>
        <family val="1"/>
      </rPr>
      <t>taxa de aplicação:  0,12%</t>
    </r>
  </si>
  <si>
    <r>
      <rPr>
        <b/>
        <sz val="6.5"/>
        <rFont val="Calibri"/>
        <family val="1"/>
      </rPr>
      <t xml:space="preserve">ASFALTO DILUIDO CM-30 EXCLUSIVE
</t>
    </r>
    <r>
      <rPr>
        <b/>
        <sz val="6.5"/>
        <rFont val="Calibri"/>
        <family val="1"/>
      </rPr>
      <t>TRANSPORTE</t>
    </r>
  </si>
  <si>
    <r>
      <rPr>
        <b/>
        <sz val="6.5"/>
        <rFont val="Calibri"/>
        <family val="1"/>
      </rPr>
      <t>1.3.9</t>
    </r>
  </si>
  <si>
    <r>
      <rPr>
        <i/>
        <sz val="6.5"/>
        <rFont val="Calibri"/>
        <family val="1"/>
      </rPr>
      <t>taxa de aplicação:  0,05%</t>
    </r>
  </si>
  <si>
    <r>
      <rPr>
        <b/>
        <sz val="6.5"/>
        <rFont val="Calibri"/>
        <family val="1"/>
      </rPr>
      <t xml:space="preserve">EMULSAO ASFALTICA RR-2C EXCLUSIVE
</t>
    </r>
    <r>
      <rPr>
        <b/>
        <sz val="6.5"/>
        <rFont val="Calibri"/>
        <family val="1"/>
      </rPr>
      <t>TRANSPORTE</t>
    </r>
  </si>
  <si>
    <r>
      <rPr>
        <b/>
        <sz val="6.5"/>
        <rFont val="Calibri"/>
        <family val="1"/>
      </rPr>
      <t>1.3.8</t>
    </r>
  </si>
  <si>
    <r>
      <rPr>
        <i/>
        <sz val="6.5"/>
        <rFont val="Calibri"/>
        <family val="1"/>
      </rPr>
      <t>RR-2C</t>
    </r>
  </si>
  <si>
    <r>
      <rPr>
        <i/>
        <sz val="6.5"/>
        <rFont val="Calibri"/>
        <family val="1"/>
      </rPr>
      <t>1.3.7.2</t>
    </r>
  </si>
  <si>
    <r>
      <rPr>
        <i/>
        <sz val="6.5"/>
        <rFont val="Calibri"/>
        <family val="1"/>
      </rPr>
      <t>CM-30</t>
    </r>
  </si>
  <si>
    <r>
      <rPr>
        <i/>
        <sz val="6.5"/>
        <rFont val="Calibri"/>
        <family val="1"/>
      </rPr>
      <t>1.3.7.1</t>
    </r>
  </si>
  <si>
    <r>
      <rPr>
        <b/>
        <sz val="6.5"/>
        <rFont val="Calibri"/>
        <family val="1"/>
      </rPr>
      <t>TXKM</t>
    </r>
  </si>
  <si>
    <r>
      <rPr>
        <b/>
        <sz val="6.5"/>
        <rFont val="Calibri"/>
        <family val="1"/>
      </rPr>
      <t xml:space="preserve">Volume de RR2C e CM30 x distância de 500
</t>
    </r>
    <r>
      <rPr>
        <b/>
        <sz val="6.5"/>
        <rFont val="Calibri"/>
        <family val="1"/>
      </rPr>
      <t>km</t>
    </r>
  </si>
  <si>
    <r>
      <rPr>
        <b/>
        <sz val="6.5"/>
        <rFont val="Calibri"/>
        <family val="1"/>
      </rPr>
      <t>TRANSPORTE DE MATERIAIS ASFALTICO A FRIO</t>
    </r>
  </si>
  <si>
    <r>
      <rPr>
        <b/>
        <sz val="6.5"/>
        <rFont val="Calibri"/>
        <family val="1"/>
      </rPr>
      <t>1.3.7</t>
    </r>
  </si>
  <si>
    <r>
      <rPr>
        <i/>
        <sz val="6.5"/>
        <rFont val="Calibri"/>
        <family val="1"/>
      </rPr>
      <t>1.3.6.1</t>
    </r>
  </si>
  <si>
    <r>
      <rPr>
        <b/>
        <sz val="6.5"/>
        <rFont val="Calibri"/>
        <family val="1"/>
      </rPr>
      <t>Volume de CAP x distância de 500 km</t>
    </r>
  </si>
  <si>
    <r>
      <rPr>
        <b/>
        <sz val="6.5"/>
        <rFont val="Calibri"/>
        <family val="1"/>
      </rPr>
      <t>TRANSPORTE DE MATERIAIS ASFALTICO A QUENTE</t>
    </r>
  </si>
  <si>
    <r>
      <rPr>
        <b/>
        <sz val="6.5"/>
        <rFont val="Calibri"/>
        <family val="1"/>
      </rPr>
      <t>1.3.6</t>
    </r>
  </si>
  <si>
    <t>Trecho 03</t>
  </si>
  <si>
    <t>Trecho 02</t>
  </si>
  <si>
    <t>Trecho 01</t>
  </si>
  <si>
    <t>1 balizador a cada 2 m</t>
  </si>
  <si>
    <t>ud</t>
  </si>
  <si>
    <t>BALIZADOR DE TRÁFEGO</t>
  </si>
  <si>
    <t>EXECUÇÃO DE PASSEIO (CALÇADA) OU PISO DE CONCRETO COM CONCRETO MOLDADO IN LOCO, FEITO EM OBRA, ACABAMENTO</t>
  </si>
  <si>
    <t>Trecho com interrupção da galeria</t>
  </si>
  <si>
    <t>ASSENTAMENTO DE GUIA (MEIO-FIO) EM TRECHO RETO, CONFECCIONADAEM CONCRETO PRÉ-FABRICADO, DIMENSÕES 100X15X13X30 CM (COMPRIMENTO X BASE INFERIOR X BASE SUPERIOR X ALTURA), PARA VIAS URBANAS (USO VIÁRIO).</t>
  </si>
  <si>
    <t>Teor de ligante CBUQ: 6%</t>
  </si>
  <si>
    <t>Teor de ligante binder:  4,5%</t>
  </si>
  <si>
    <t>E0 - E115+0</t>
  </si>
  <si>
    <t>taxa de aplicação:  0,12%</t>
  </si>
  <si>
    <t>taxa de aplicação:  0,05%</t>
  </si>
  <si>
    <t>2.2.8.1</t>
  </si>
  <si>
    <t>RR-2C</t>
  </si>
  <si>
    <t>2.2.7.2</t>
  </si>
  <si>
    <t>CM-30</t>
  </si>
  <si>
    <t>2.2.7.1</t>
  </si>
  <si>
    <t>Volume de RR2C e CM30 x distância de 500 km</t>
  </si>
  <si>
    <t>2.2.6.1</t>
  </si>
  <si>
    <t>Volume de CAP x distância de 500 km</t>
  </si>
  <si>
    <t>2.2.5.1</t>
  </si>
  <si>
    <t>E4+3,20 - E34+7,455</t>
  </si>
  <si>
    <t>2.2.4.1</t>
  </si>
  <si>
    <t>E0-E4+3,20</t>
  </si>
  <si>
    <t>2.2.3.1</t>
  </si>
  <si>
    <t>E0 - E4+3,20</t>
  </si>
  <si>
    <t>2.2.2.1</t>
  </si>
  <si>
    <t>2.2.1.1</t>
  </si>
  <si>
    <t>Espessura da Base = 20 cm</t>
  </si>
  <si>
    <t>2.1.1.1</t>
  </si>
  <si>
    <t>1.1.3.1</t>
  </si>
  <si>
    <t>1.1.2.1</t>
  </si>
  <si>
    <t>E0 - E108+6,69</t>
  </si>
  <si>
    <t>1.1.1.1</t>
  </si>
  <si>
    <t>REQUALIFICAÇÃO E AMPLIAÇÃO DA AV MOSENHOR VICENTE FREITAS</t>
  </si>
  <si>
    <t>0.0</t>
  </si>
  <si>
    <t>GERAL</t>
  </si>
  <si>
    <t>TOTAL</t>
  </si>
  <si>
    <t>PARCIAL</t>
  </si>
  <si>
    <t>Z2</t>
  </si>
  <si>
    <t>Z1</t>
  </si>
  <si>
    <t>Y2</t>
  </si>
  <si>
    <t>Y1</t>
  </si>
  <si>
    <t>X2</t>
  </si>
  <si>
    <t>X1</t>
  </si>
  <si>
    <t>RESULTADO</t>
  </si>
  <si>
    <t>DADOS</t>
  </si>
  <si>
    <t>VEZ</t>
  </si>
  <si>
    <t>SERVIÇO</t>
  </si>
  <si>
    <t>MEMÓRIA DE CÁLCULO</t>
  </si>
  <si>
    <t>23/12/2022 a 03/04/2023</t>
  </si>
  <si>
    <t>Entrada Parque Julia Beatriz</t>
  </si>
  <si>
    <t>Reposição de peças no fim do trecho</t>
  </si>
  <si>
    <t>Reposição de peças no inicío do trecho</t>
  </si>
  <si>
    <r>
      <rPr>
        <b/>
        <sz val="10"/>
        <rFont val="Calibri"/>
        <family val="1"/>
      </rPr>
      <t>1.1.1</t>
    </r>
  </si>
  <si>
    <r>
      <rPr>
        <b/>
        <sz val="10"/>
        <rFont val="Calibri"/>
        <family val="1"/>
      </rPr>
      <t>SERVICOS TOPOGRAFICOS PARA PAVIMENTACAO, INCLUSIVE NOTA DE SERVICOS, ACOMPANHAMENTO E GREIDE
[ADAPTADO DE SINAPI 78472]</t>
    </r>
  </si>
  <si>
    <r>
      <rPr>
        <b/>
        <sz val="10"/>
        <rFont val="Calibri"/>
        <family val="1"/>
      </rPr>
      <t>M2</t>
    </r>
  </si>
  <si>
    <r>
      <rPr>
        <i/>
        <sz val="10"/>
        <rFont val="Calibri"/>
        <family val="1"/>
      </rPr>
      <t>1.1.1.1</t>
    </r>
  </si>
  <si>
    <r>
      <rPr>
        <i/>
        <sz val="10"/>
        <rFont val="Calibri"/>
        <family val="1"/>
      </rPr>
      <t>E0 - E115+0</t>
    </r>
  </si>
  <si>
    <r>
      <rPr>
        <b/>
        <sz val="10"/>
        <rFont val="Calibri"/>
        <family val="1"/>
      </rPr>
      <t>1.1.2</t>
    </r>
  </si>
  <si>
    <r>
      <rPr>
        <b/>
        <sz val="10"/>
        <rFont val="Calibri"/>
        <family val="1"/>
      </rPr>
      <t>LIMPEZA MECANIZADA DE CAMADA VEGETAL, VEGETAÇÃO E PEQUENAS ÁRVORES (DIÂMETRO DE TRONCO MENOR QUE 0,20 M), COM TRATOR DE
ESTEIRAS.AF_05/2018</t>
    </r>
  </si>
  <si>
    <r>
      <rPr>
        <i/>
        <sz val="10"/>
        <rFont val="Calibri"/>
        <family val="1"/>
      </rPr>
      <t>1.1.2.1</t>
    </r>
  </si>
  <si>
    <r>
      <rPr>
        <b/>
        <sz val="10"/>
        <rFont val="Calibri"/>
        <family val="1"/>
      </rPr>
      <t>1.1.3</t>
    </r>
  </si>
  <si>
    <r>
      <rPr>
        <b/>
        <sz val="10"/>
        <rFont val="Calibri"/>
        <family val="1"/>
      </rPr>
      <t>CERCA C/4 FIOS ARAME FARPADO
C/EST.MADEIRA C.2,0M</t>
    </r>
  </si>
  <si>
    <r>
      <rPr>
        <b/>
        <sz val="10"/>
        <rFont val="Calibri"/>
        <family val="1"/>
      </rPr>
      <t>m</t>
    </r>
  </si>
  <si>
    <r>
      <rPr>
        <i/>
        <sz val="10"/>
        <rFont val="Calibri"/>
        <family val="1"/>
      </rPr>
      <t>1.1.3.1</t>
    </r>
  </si>
  <si>
    <r>
      <rPr>
        <i/>
        <sz val="10"/>
        <rFont val="Calibri"/>
        <family val="1"/>
      </rPr>
      <t>Pelo autocad (levantamento topográfico)</t>
    </r>
  </si>
  <si>
    <r>
      <rPr>
        <b/>
        <sz val="10"/>
        <rFont val="Calibri"/>
        <family val="1"/>
      </rPr>
      <t>1.2</t>
    </r>
  </si>
  <si>
    <r>
      <rPr>
        <b/>
        <sz val="10"/>
        <rFont val="Calibri"/>
        <family val="1"/>
      </rPr>
      <t>MOVIMENTAÇÃO DE TERRA</t>
    </r>
  </si>
  <si>
    <r>
      <rPr>
        <b/>
        <sz val="10"/>
        <rFont val="Calibri"/>
        <family val="1"/>
      </rPr>
      <t>1.2.1</t>
    </r>
  </si>
  <si>
    <r>
      <rPr>
        <b/>
        <sz val="10"/>
        <rFont val="Calibri"/>
        <family val="1"/>
      </rPr>
      <t>ATERRO MECANIZADO DE VALA COM ESCAVADEIRA HIDRÁULICA (CAPACIDADE DA CAÇAMBA: 0,8 M³ / POTÊNCIA: 111 HP), LARGURA MAIOR QUE 1,5 M, PROFUNDIDADE DE 1,5 A 3,0 M, COM AREIA
PARA ATERRO. - ADAPTADO SINAPI 94305</t>
    </r>
  </si>
  <si>
    <r>
      <rPr>
        <b/>
        <sz val="10"/>
        <rFont val="Calibri"/>
        <family val="1"/>
      </rPr>
      <t>Vide Mapa de Cubação</t>
    </r>
  </si>
  <si>
    <r>
      <rPr>
        <b/>
        <sz val="10"/>
        <rFont val="Calibri"/>
        <family val="1"/>
      </rPr>
      <t>M3</t>
    </r>
  </si>
  <si>
    <r>
      <rPr>
        <i/>
        <sz val="10"/>
        <rFont val="Calibri"/>
        <family val="1"/>
      </rPr>
      <t>1.2.1.1</t>
    </r>
  </si>
  <si>
    <r>
      <rPr>
        <i/>
        <sz val="10"/>
        <rFont val="Calibri"/>
        <family val="1"/>
      </rPr>
      <t>E0 - E4+3,20</t>
    </r>
  </si>
  <si>
    <r>
      <rPr>
        <i/>
        <sz val="10"/>
        <rFont val="Calibri"/>
        <family val="1"/>
      </rPr>
      <t>Aterro Subleito</t>
    </r>
  </si>
  <si>
    <r>
      <rPr>
        <b/>
        <sz val="10"/>
        <rFont val="Calibri"/>
        <family val="1"/>
      </rPr>
      <t>1.3</t>
    </r>
  </si>
  <si>
    <r>
      <rPr>
        <b/>
        <sz val="10"/>
        <rFont val="Calibri"/>
        <family val="1"/>
      </rPr>
      <t>PAVIMENTAÇÃO ASFÁLTICA</t>
    </r>
  </si>
  <si>
    <r>
      <rPr>
        <b/>
        <sz val="10"/>
        <rFont val="Calibri"/>
        <family val="1"/>
      </rPr>
      <t>1.3.1</t>
    </r>
  </si>
  <si>
    <r>
      <rPr>
        <b/>
        <sz val="10"/>
        <rFont val="Calibri"/>
        <family val="1"/>
      </rPr>
      <t>BASE ESTAB. GRANUL.S/MISTURA
EXCLUSIVE TRANSPORTE</t>
    </r>
  </si>
  <si>
    <r>
      <rPr>
        <b/>
        <sz val="10"/>
        <rFont val="Calibri"/>
        <family val="1"/>
      </rPr>
      <t>Espessura da Base = 20 cm</t>
    </r>
  </si>
  <si>
    <r>
      <rPr>
        <b/>
        <sz val="10"/>
        <rFont val="Calibri"/>
        <family val="1"/>
      </rPr>
      <t>m³</t>
    </r>
  </si>
  <si>
    <r>
      <rPr>
        <i/>
        <sz val="10"/>
        <rFont val="Calibri"/>
        <family val="1"/>
      </rPr>
      <t>1.3.1.1</t>
    </r>
  </si>
  <si>
    <r>
      <rPr>
        <i/>
        <sz val="10"/>
        <rFont val="Calibri"/>
        <family val="1"/>
      </rPr>
      <t>Medida em CAD</t>
    </r>
  </si>
  <si>
    <r>
      <rPr>
        <b/>
        <sz val="10"/>
        <rFont val="Calibri"/>
        <family val="1"/>
      </rPr>
      <t>1.3.2</t>
    </r>
  </si>
  <si>
    <r>
      <rPr>
        <b/>
        <sz val="10"/>
        <rFont val="Calibri"/>
        <family val="1"/>
      </rPr>
      <t>IMPRIMACAO EXCLUSIVE LIGANTE</t>
    </r>
  </si>
  <si>
    <r>
      <rPr>
        <i/>
        <sz val="10"/>
        <rFont val="Calibri"/>
        <family val="1"/>
      </rPr>
      <t>1.3.2.1</t>
    </r>
  </si>
  <si>
    <r>
      <rPr>
        <b/>
        <sz val="10"/>
        <rFont val="Calibri"/>
        <family val="1"/>
      </rPr>
      <t>1.3.3</t>
    </r>
  </si>
  <si>
    <r>
      <rPr>
        <b/>
        <sz val="10"/>
        <rFont val="Calibri"/>
        <family val="1"/>
      </rPr>
      <t>PINTURA DE LIGACAO EXCLUSIVE LIGANTE</t>
    </r>
  </si>
  <si>
    <r>
      <rPr>
        <i/>
        <sz val="10"/>
        <rFont val="Calibri"/>
        <family val="1"/>
      </rPr>
      <t>1.3.3.1</t>
    </r>
  </si>
  <si>
    <r>
      <rPr>
        <i/>
        <sz val="10"/>
        <rFont val="Calibri"/>
        <family val="1"/>
      </rPr>
      <t>E0-E4+3,20</t>
    </r>
  </si>
  <si>
    <r>
      <rPr>
        <b/>
        <sz val="10"/>
        <rFont val="Calibri"/>
        <family val="1"/>
      </rPr>
      <t>1.3.4</t>
    </r>
  </si>
  <si>
    <r>
      <rPr>
        <b/>
        <sz val="10"/>
        <rFont val="Calibri"/>
        <family val="1"/>
      </rPr>
      <t>CBUQ COM BRITA COMERCIAL EXCL LIGANTE</t>
    </r>
  </si>
  <si>
    <r>
      <rPr>
        <b/>
        <sz val="10"/>
        <rFont val="Calibri"/>
        <family val="1"/>
      </rPr>
      <t>T</t>
    </r>
  </si>
  <si>
    <r>
      <rPr>
        <i/>
        <sz val="10"/>
        <rFont val="Calibri"/>
        <family val="1"/>
      </rPr>
      <t>1.3.4.1</t>
    </r>
  </si>
  <si>
    <r>
      <rPr>
        <i/>
        <sz val="10"/>
        <rFont val="Calibri"/>
        <family val="1"/>
      </rPr>
      <t>E4+3,20 - E34+7,455</t>
    </r>
  </si>
  <si>
    <r>
      <rPr>
        <i/>
        <sz val="10"/>
        <rFont val="Calibri"/>
        <family val="1"/>
      </rPr>
      <t>Espessura = 3,0 cm
Densidade Binder = 2,40t/m3</t>
    </r>
  </si>
  <si>
    <r>
      <rPr>
        <b/>
        <sz val="10"/>
        <rFont val="Calibri"/>
        <family val="1"/>
      </rPr>
      <t>1.3.5</t>
    </r>
  </si>
  <si>
    <r>
      <rPr>
        <b/>
        <sz val="10"/>
        <rFont val="Calibri"/>
        <family val="1"/>
      </rPr>
      <t>BINDER EXCL LIGANTE</t>
    </r>
  </si>
  <si>
    <r>
      <rPr>
        <i/>
        <sz val="10"/>
        <rFont val="Calibri"/>
        <family val="1"/>
      </rPr>
      <t>1.3.5.1</t>
    </r>
  </si>
  <si>
    <r>
      <rPr>
        <i/>
        <sz val="10"/>
        <rFont val="Calibri"/>
        <family val="1"/>
      </rPr>
      <t>Espessura = 3,0 cm
Densidade Binder = 2,33 t/m3</t>
    </r>
  </si>
  <si>
    <t>2.5.5.1</t>
  </si>
  <si>
    <t>Calçadão</t>
  </si>
  <si>
    <t>Subida nos postes</t>
  </si>
  <si>
    <t>2.5.1.1</t>
  </si>
  <si>
    <t>2.5.2.1</t>
  </si>
  <si>
    <t>2.5.3.1</t>
  </si>
  <si>
    <t>2.5.4.1</t>
  </si>
  <si>
    <t>2.5.6.1</t>
  </si>
  <si>
    <t>2.5.7.1</t>
  </si>
  <si>
    <t>2.5.4.2</t>
  </si>
  <si>
    <t>2.5.4.3</t>
  </si>
  <si>
    <t>Trecho enterrado</t>
  </si>
  <si>
    <t>Postes colocados + postes antigos</t>
  </si>
  <si>
    <t>Caixas de aterramento</t>
  </si>
  <si>
    <t>15 postes colocados + 2 reposições</t>
  </si>
  <si>
    <t>E0 - E85</t>
  </si>
  <si>
    <t>Fazenda de Gladson</t>
  </si>
  <si>
    <t>Trecho novo executado</t>
  </si>
  <si>
    <t xml:space="preserve">Canteiros em concreto p/postes </t>
  </si>
  <si>
    <t>2.4.1.1</t>
  </si>
  <si>
    <t>levantamento topográfico</t>
  </si>
  <si>
    <t>2.4.2.1</t>
  </si>
  <si>
    <t>1 tubo por cada caixa</t>
  </si>
  <si>
    <t>2.4.3.1</t>
  </si>
  <si>
    <t>Caixas de drenagem</t>
  </si>
  <si>
    <t>2.4.3.2</t>
  </si>
  <si>
    <t>Dreno em concreto</t>
  </si>
  <si>
    <t>2.4.4.1</t>
  </si>
  <si>
    <t>2.4.5.1</t>
  </si>
  <si>
    <t>Escavação da drenagem de concreto</t>
  </si>
  <si>
    <t>2.4.6.1</t>
  </si>
  <si>
    <t>2.3.2.1</t>
  </si>
  <si>
    <t>2.3.4</t>
  </si>
  <si>
    <t>Guia (meio-fio) concreto, moldada in loco em trecho curvo com extrusora, 13 cm base x 22 cm altura.</t>
  </si>
  <si>
    <t>Moldado in loco com extrusora</t>
  </si>
  <si>
    <t>Trecho novo executado com rebaixamento frente a AG distribuidra</t>
  </si>
  <si>
    <t>2.2.9.1</t>
  </si>
  <si>
    <t>2.2.9.10.1</t>
  </si>
  <si>
    <t>2 fios subindo</t>
  </si>
  <si>
    <t>Vide Mapa de Cubação</t>
  </si>
  <si>
    <t>1.2.1.1</t>
  </si>
  <si>
    <t>Aterro Subleito</t>
  </si>
  <si>
    <t>1.3.1.1</t>
  </si>
  <si>
    <t>Medida em CAD</t>
  </si>
  <si>
    <t>1.3.2.1</t>
  </si>
  <si>
    <t>1.3.3.1</t>
  </si>
  <si>
    <t>1.3.4.1</t>
  </si>
  <si>
    <t>1.3.5.1</t>
  </si>
  <si>
    <t>1.5.4.1</t>
  </si>
  <si>
    <t>Subida no poste</t>
  </si>
  <si>
    <t xml:space="preserve"> 3 fios subindo</t>
  </si>
  <si>
    <t>1.5.4.2</t>
  </si>
  <si>
    <t>Rodovia</t>
  </si>
  <si>
    <t>LASTRO DE VALA COM PREPARO DE FUNDO,
LARGURA MENOR QUE 1,5 M, COM
CAMADA DE AREIA, LANÇAMENTO
MANUAL, EM LOCAL COM NÍVEL BAIXO DE
INTERFERÊNCIA. AF_06/2016 [ADAPTADO
DE SINAPI 94102]</t>
  </si>
  <si>
    <t>Rede de Drenagem - ø400</t>
  </si>
  <si>
    <t>TUBO DE CONCRETO PARA REDES
COLETORAS DE ÁGUAS PLUVIAIS, DIÂMETRO
DE 1000 MM, JUNTA RÍGIDA, INSTALADO EM
LOCAL COM BAIXO NÍVEL DE
INTERFERÊNCIAS - FORNECIMENTO E
ASSENTAMENTO. AF_12/2015</t>
  </si>
  <si>
    <t>Rede de Drenagem - ø800</t>
  </si>
  <si>
    <t>BOCA PARA BUEIRO DUPLO TUBULAR D =
100 CM EM CONCRETO, ALAS COM
ESCONSIDADE DE 0°, INCLUINDO FÔRMAS E
MATERIAIS. AF_07/2021</t>
  </si>
  <si>
    <t>Rede Drenagem</t>
  </si>
  <si>
    <t>REATERRO MECANIZADO DE VALA COM
ESCAVADEIRA HIDRÁULICA (CAPACIDADE
DA CAÇAMBA: 0,8 M³ / POTÊNCIA: 111 HP),
LARGURA ATÉ 1,5 M, PROFUNDIDADE DE 1,5
A 3,0 M, COM SOLO DE 1ª CATEGORIA EM
LOCAIS COM ALTO NÍVEL DE
INTERFERÊNCIA. AF_04/2016</t>
  </si>
  <si>
    <t>Profundidade média da escavação,
descontado lastro e tubos</t>
  </si>
  <si>
    <r>
      <rPr>
        <b/>
        <sz val="8"/>
        <rFont val="Arial"/>
        <family val="2"/>
      </rPr>
      <t>SERVICOS TOPOGRAFICOS PARA PAVIMENTACAO, INCLUSIVE NOTA DE SERVICOS, ACOMPANHAMENTO E GREIDE
[ADAPTADO DE SINAPI 78472]</t>
    </r>
  </si>
  <si>
    <r>
      <rPr>
        <b/>
        <u/>
        <sz val="8"/>
        <rFont val="Arial"/>
        <family val="2"/>
      </rPr>
      <t>1.0</t>
    </r>
  </si>
  <si>
    <r>
      <rPr>
        <b/>
        <u/>
        <sz val="8"/>
        <rFont val="Arial"/>
        <family val="2"/>
      </rPr>
      <t>TRECHO 1  (CONSTRUÇÃO DE 1 NOVA FAIXA DE 
ROLAGEM) - COMPRIMENTO 2300 M</t>
    </r>
  </si>
  <si>
    <r>
      <rPr>
        <b/>
        <sz val="8"/>
        <rFont val="Arial"/>
        <family val="2"/>
      </rPr>
      <t>LIMPEZA MECANIZADA DE CAMADA VEGETAL, VEGETAÇÃO E PEQUENAS ÁRVORES (DIÂMETRO DE TRONCO MENOR QUE 0,20 M), COM TRATOR DE
ESTEIRAS.AF_05/2018</t>
    </r>
  </si>
  <si>
    <r>
      <rPr>
        <b/>
        <sz val="8"/>
        <rFont val="Arial"/>
        <family val="2"/>
      </rPr>
      <t>CERCA C/4 FIOS ARAME FARPADO
C/EST.MADEIRA C.2,0M</t>
    </r>
  </si>
  <si>
    <r>
      <rPr>
        <b/>
        <sz val="8"/>
        <rFont val="Arial"/>
        <family val="2"/>
      </rPr>
      <t>ATERRO MECANIZADO DE VALA COM ESCAVADEIRA HIDRÁULICA (CAPACIDADE DA CAÇAMBA: 0,8 M³ / POTÊNCIA: 111 HP), LARGURA MAIOR QUE 1,5 M, PROFUNDIDADE DE 1,5 A 3,0 M, COM AREIA
PARA ATERRO. - ADAPTADO SINAPI 94305</t>
    </r>
  </si>
  <si>
    <r>
      <rPr>
        <b/>
        <sz val="8"/>
        <rFont val="Arial"/>
        <family val="2"/>
      </rPr>
      <t>BASE ESTAB. GRANUL.S/MISTURA
EXCLUSIVE TRANSPORTE</t>
    </r>
  </si>
  <si>
    <r>
      <rPr>
        <i/>
        <sz val="8"/>
        <rFont val="Arial"/>
        <family val="2"/>
      </rPr>
      <t>Espessura = 3,0 cm
Densidade Binder = 2,40t/m3</t>
    </r>
  </si>
  <si>
    <r>
      <rPr>
        <i/>
        <sz val="8"/>
        <rFont val="Arial"/>
        <family val="2"/>
      </rPr>
      <t>Espessura = 3,0 cm
Densidade Binder = 2,33 t/m3</t>
    </r>
  </si>
  <si>
    <t>1.3.6.1</t>
  </si>
  <si>
    <t>1.3.7.1</t>
  </si>
  <si>
    <t>1.3.7.2</t>
  </si>
  <si>
    <t>1.3.8.1</t>
  </si>
  <si>
    <t>1.3.11.1</t>
  </si>
  <si>
    <t>1.3.12.1</t>
  </si>
  <si>
    <t>1.4.1.1</t>
  </si>
  <si>
    <t>2 Faixas de borda + 1 Faixa Central</t>
  </si>
  <si>
    <t>1.4.2.1</t>
  </si>
  <si>
    <t>1 taxa em cada bordo e no eixo a cada 2 m</t>
  </si>
  <si>
    <t>1.4.3.1</t>
  </si>
  <si>
    <t>E0 - E13+5,00</t>
  </si>
  <si>
    <t>Perímetro Urbano</t>
  </si>
  <si>
    <t>1.4.4.1</t>
  </si>
  <si>
    <t>1.5.1.1</t>
  </si>
  <si>
    <t>1.5.2.1</t>
  </si>
  <si>
    <t>1.5.3.1</t>
  </si>
  <si>
    <t>1.5.5.1</t>
  </si>
  <si>
    <t>1.5.6.1</t>
  </si>
  <si>
    <t>1.5.7.1</t>
  </si>
  <si>
    <t>1.5.8.1</t>
  </si>
  <si>
    <t>1.5.9.1</t>
  </si>
  <si>
    <t>1.6.1.1</t>
  </si>
  <si>
    <t>Rede de Drenagem</t>
  </si>
  <si>
    <t>1.6.2.1</t>
  </si>
  <si>
    <t>Corte do terreno</t>
  </si>
  <si>
    <r>
      <rPr>
        <b/>
        <u/>
        <sz val="8"/>
        <rFont val="Arial"/>
        <family val="2"/>
      </rPr>
      <t>2.0</t>
    </r>
  </si>
  <si>
    <r>
      <rPr>
        <b/>
        <u/>
        <sz val="8"/>
        <rFont val="Arial"/>
        <family val="2"/>
      </rPr>
      <t>TRECHO 2 - CALÇADÃO (LARGURA DE 850 METROS) - </t>
    </r>
    <r>
      <rPr>
        <b/>
        <sz val="8"/>
        <rFont val="Arial"/>
        <family val="2"/>
      </rPr>
      <t xml:space="preserve"> </t>
    </r>
    <r>
      <rPr>
        <b/>
        <u/>
        <sz val="8"/>
        <rFont val="Arial"/>
        <family val="2"/>
      </rPr>
      <t>COMPRIMENTO 850 M</t>
    </r>
  </si>
  <si>
    <r>
      <rPr>
        <b/>
        <i/>
        <sz val="8"/>
        <rFont val="Arial"/>
        <family val="2"/>
      </rPr>
      <t>PINTURA DE LIGACAO EXCLUSIVE
LIGANTE</t>
    </r>
  </si>
  <si>
    <r>
      <rPr>
        <b/>
        <sz val="8"/>
        <rFont val="Arial"/>
        <family val="2"/>
      </rPr>
      <t>EMULSAO ASFALTICA RR-2C EXCLUSIVE
TRANSPORTE</t>
    </r>
  </si>
  <si>
    <r>
      <rPr>
        <b/>
        <sz val="8"/>
        <rFont val="Arial"/>
        <family val="2"/>
      </rPr>
      <t>ASFALTO DILUIDO CM-30 EXCLUSIVE
TRANSPORTE</t>
    </r>
  </si>
  <si>
    <r>
      <rPr>
        <b/>
        <sz val="8"/>
        <rFont val="Arial"/>
        <family val="2"/>
      </rPr>
      <t>CIMENTO ASFALTICO CAP 50/60 EXCLUSIVE
TRANSPORTE</t>
    </r>
  </si>
  <si>
    <r>
      <rPr>
        <b/>
        <sz val="8"/>
        <rFont val="Arial"/>
        <family val="2"/>
      </rPr>
      <t>CAIXA ENTERRADA HIDRÁULICA RETANGULAR EM ALVENARIA COM TIJOLOS CERÂMICOS MACIÇOS, DIMENSÕES INTERNAS: 0,4X0,4X0,4 M PARA REDE DE
DRENAGEM. AF_12/2020</t>
    </r>
  </si>
  <si>
    <r>
      <rPr>
        <b/>
        <sz val="8"/>
        <rFont val="Arial"/>
        <family val="2"/>
      </rPr>
      <t>TUBO PVC, SERIE NORMAL, ESGOTO PREDIAL, DN 150 MM, FORNECIDO E INSTALADO EM SUBCOLETOR AÉREO DE
ESGOTO SANITÁRIO. AF_08/2022</t>
    </r>
  </si>
  <si>
    <r>
      <rPr>
        <b/>
        <sz val="8"/>
        <rFont val="Arial"/>
        <family val="2"/>
      </rPr>
      <t>CAMADA DRENANTE COM AREIA MEDIA
[ADAPTADO SINAPI 83667]</t>
    </r>
  </si>
  <si>
    <r>
      <rPr>
        <b/>
        <sz val="8"/>
        <rFont val="Arial"/>
        <family val="2"/>
      </rPr>
      <t>ESCAVAÇÃO MANUAL DE VALA COM
PROFUNDIDADE MENOR OU IGUAL A 1,30 M. AF_02/2021</t>
    </r>
  </si>
  <si>
    <r>
      <rPr>
        <b/>
        <sz val="8"/>
        <rFont val="Arial"/>
        <family val="2"/>
      </rPr>
      <t>TUBO DE CONCRETO PARA REDES COLETORAS DE ÁGUAS PLUVIAIS, DIÂMETRO DE 800 MM, JUNTA RÍGIDA, INSTALADO EM LOCAL COM BAIXO NÍVEL DE INTERFERÊNCIAS - FORNECIMENTO E
ASSENTAMENTO. AF_12/2015</t>
    </r>
  </si>
  <si>
    <r>
      <rPr>
        <b/>
        <sz val="8"/>
        <rFont val="Arial"/>
        <family val="2"/>
      </rPr>
      <t>POSTE DE AÇO CONICO CONTÍNUO CURVO SIMPLES, FLANGEADO, H=9M, INCLUSIVE LUMINÁRIA, SEM LÂMPADA -
FORNECIMENTO E INSTALACAO. AF_11/2019</t>
    </r>
  </si>
  <si>
    <r>
      <rPr>
        <b/>
        <sz val="8"/>
        <rFont val="Arial"/>
        <family val="2"/>
      </rPr>
      <t>LUMINÁRIA DE LED PARA ILUMINAÇÃO
PÚBLICA, DE 181 W ATÉ 239 W - FORNECIMENTO E INSTALAÇÃO. AF_08/2020</t>
    </r>
  </si>
  <si>
    <r>
      <rPr>
        <b/>
        <sz val="8"/>
        <rFont val="Arial"/>
        <family val="2"/>
      </rPr>
      <t>ELETRODUTO RÍGIDO ROSCÁVEL, PVC, DN 32 MM (1"), PARA CIRCUITOS TERMINAIS, INSTALADO EM LAJE - FORNECIMENTO E
INSTALAÇÃO. AF_12/2015</t>
    </r>
  </si>
  <si>
    <r>
      <rPr>
        <b/>
        <sz val="8"/>
        <rFont val="Arial"/>
        <family val="2"/>
      </rPr>
      <t>CABO DE COBRE FLEXÍVEL ISOLADO, 16 MM², ANTI-CHAMA 0,6/1,0 KV, PARA CIRCUITOS TERMINAIS - FORNECIMENTO E
INSTALAÇÃO. AF_12/2015</t>
    </r>
  </si>
  <si>
    <r>
      <rPr>
        <b/>
        <sz val="8"/>
        <rFont val="Arial"/>
        <family val="2"/>
      </rPr>
      <t>CAIXA DE PASSAGEM ELETRICA, PARA PISO,
EM PVC, DIMENSOES DE 3/4" A 4"</t>
    </r>
  </si>
  <si>
    <r>
      <rPr>
        <b/>
        <sz val="8"/>
        <rFont val="Arial"/>
        <family val="2"/>
      </rPr>
      <t>RELÉ FOTOELÉTRICO PARA COMANDO DE
ILUMINAÇÃO EXTERNA 1000 W - FORNECIMENTO E INSTALAÇÃO. AF_08/2020</t>
    </r>
  </si>
  <si>
    <r>
      <rPr>
        <b/>
        <sz val="8"/>
        <rFont val="Arial"/>
        <family val="2"/>
      </rPr>
      <t>Volume de RR2C e CM30 x distância de 500
km</t>
    </r>
  </si>
  <si>
    <r>
      <rPr>
        <b/>
        <sz val="8"/>
        <rFont val="Arial"/>
        <family val="2"/>
      </rPr>
      <t>ASSENTAMENTO DE GUIA (MEIO-FIO) EM TRECHO CURVO, CONFECCIONADA EM CONCRETO PRÉ-FABRICADO, DIMENSÕES 100X15X13X30 CM (COMPRIMENTO X BASE INFERIOR X BASE SUPERIOR X ALTURA), PARA VIAS URBANAS (USO VIÁRIO).
AF_06/2016</t>
    </r>
  </si>
  <si>
    <r>
      <rPr>
        <b/>
        <sz val="8"/>
        <rFont val="Arial"/>
        <family val="2"/>
      </rPr>
      <t>CONFECÇÃO E COLOCAÇÃO DE GUARD RAIL
EM CONCRETO ARMADO PREMOLDADO Fck=30MPa PARA DEFENSA DE PONTES</t>
    </r>
  </si>
  <si>
    <r>
      <rPr>
        <b/>
        <sz val="8"/>
        <rFont val="Arial"/>
        <family val="2"/>
      </rPr>
      <t>SINALIZAÇÃO HORIZONTAL
C/TERMOPLÁSTICO 3 ANOS DURAÇÃO</t>
    </r>
  </si>
  <si>
    <r>
      <rPr>
        <b/>
        <sz val="8"/>
        <rFont val="Arial"/>
        <family val="2"/>
      </rPr>
      <t>FORN. E COLOCAÇÃO DE TACHA REFLET.
MONODIRECIONAL</t>
    </r>
  </si>
  <si>
    <r>
      <rPr>
        <b/>
        <sz val="8"/>
        <rFont val="Arial"/>
        <family val="2"/>
      </rPr>
      <t>SINALIZAÇÃO VERTICAL, C CHAPAS PLANAS DE AÇO ZINCADO Nº16 CONFORMIDADE C NORMA ABNT NBR 11904:2015, SUPORTE DE FIXAÇÃO EM CANO DE AÇO GALVANIZADO COM D=2x1/2" COM FIXAÇÃO, PARAFUSOS, ARRUELAS, PORCAS E ELEMENTOS METALICOS GALVANIZADOS, PELICULAS RETO REFLETIVA TIPO III A, EM
ACORDO NORMA NBR 14644/2013</t>
    </r>
  </si>
  <si>
    <r>
      <rPr>
        <b/>
        <sz val="8"/>
        <rFont val="Arial"/>
        <family val="2"/>
      </rPr>
      <t>PLACA DE SINAL.RETANGULAR (2,50X1,00M)
EM CONF.COM ITEM 06.200.00</t>
    </r>
  </si>
  <si>
    <r>
      <rPr>
        <b/>
        <sz val="8"/>
        <rFont val="Arial"/>
        <family val="2"/>
      </rPr>
      <t>POSTE DE CONCRETO COM COMPRIMENTO NOMINAL DE 12 M, CARGA NOMINAL DE 1000 DAN, ENGASTAMENTO BASE CONCRETADA COM 1 M DE CONCRETO E 0,8
M DE SOLO. - ADAPTADO SINAPI 100616</t>
    </r>
  </si>
  <si>
    <r>
      <rPr>
        <b/>
        <sz val="8"/>
        <rFont val="Arial"/>
        <family val="2"/>
      </rPr>
      <t>TRANSFORMADOR DE DISTRIBUIÇÃO, 30 KVA, TRIFÁSICO, 60 HZ, CLASSE 15 KV, IMERSO EM ÓLEO MINERAL, INSTALAÇÃO
EM POSTE (NÃO INCLUSO SUPORTE) -</t>
    </r>
  </si>
  <si>
    <r>
      <rPr>
        <b/>
        <sz val="8"/>
        <rFont val="Arial"/>
        <family val="2"/>
      </rPr>
      <t>LOCAÇÃO DE REDE DE ÁGUA OU ESGOTO.
AF_10/2018</t>
    </r>
  </si>
  <si>
    <r>
      <rPr>
        <b/>
        <sz val="8"/>
        <rFont val="Arial"/>
        <family val="2"/>
      </rPr>
      <t>ESCAV.E TRANSP. MAT. 1A. CAT. C/TRANSP.
DE 601-800m</t>
    </r>
  </si>
  <si>
    <t>Trecho 02 e 03</t>
  </si>
  <si>
    <t>2 balizador a cada 2 m</t>
  </si>
  <si>
    <t>Trecho 01 (sem engastamento)</t>
  </si>
  <si>
    <t>Passarela (solto)</t>
  </si>
  <si>
    <t>2.3.5</t>
  </si>
  <si>
    <t>15 postes colocados</t>
  </si>
  <si>
    <t>EXECUÇÃO DE PASSEIO (CALÇADA) OU PISO DE CONCRETO COM CONCRETO MOLDADO IN LOCO, FEITO EM OBRA, ACABAMENTO CONVENCIONAL, NÃO ARMADO.</t>
  </si>
  <si>
    <t>GUIA (MEIO-FIO) CONCRETO, MOLDADA IN LOCO EM TRECHO CURVO COM EXTRUSORA, 13 CM BASE X 22 CM ALTURA.</t>
  </si>
  <si>
    <t>Duzentos e trinta E quatro mil, duzentos e dezessete reais e cinquenta e cinco centavos.</t>
  </si>
  <si>
    <t>Atesto que os serviços foram executados</t>
  </si>
  <si>
    <t>18/04/2022 a 15/06/2023</t>
  </si>
  <si>
    <t>Cento e oitenta mil duzentos e sessenta e quatro reais e dezessete centavos.</t>
  </si>
  <si>
    <t>QUANT. ACRÉSCIMO</t>
  </si>
  <si>
    <t>QUANT. SUPRESSÃO</t>
  </si>
  <si>
    <t>PREÇO TOTAL SUPRESSÃO (R$)</t>
  </si>
  <si>
    <t>PREÇO TOTAL AACRÉSCIMO (R$)</t>
  </si>
  <si>
    <t>PREÇO TOTAL READEQUAÇÃO (R$)</t>
  </si>
  <si>
    <t>QUANT. READEQUAÇÃO</t>
  </si>
  <si>
    <t>VALOR READEQUAÇÃO (R$):</t>
  </si>
  <si>
    <t>VALOR SUPRESSÃO (R$):</t>
  </si>
  <si>
    <t>1.1.4</t>
  </si>
  <si>
    <t>Cerca com estaca de madeira sabiá ou Similar h = 2,20m, altura útil 1,60m, c/ 5 fios arame farpado</t>
  </si>
  <si>
    <t>02379/ORSE</t>
  </si>
  <si>
    <t>ORSE</t>
  </si>
  <si>
    <t>Cento e noventa e seis mil novecentos e vinte e um reais e sessenta e quatro centavos.</t>
  </si>
  <si>
    <t>PLANILHA DE MEDIÇÃO - RETIFICADA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</si>
</sst>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-&quot;R$ &quot;* #,##0.00_-;&quot;-R$ &quot;* #,##0.00_-;_-&quot;R$ &quot;* \-??_-;_-@_-"/>
    <numFmt numFmtId="167" formatCode="0.00000"/>
    <numFmt numFmtId="168" formatCode="_(&quot;R$ &quot;* #,##0.00_);_(&quot;R$ &quot;* \(#,##0.00\);_(&quot;R$ &quot;* &quot;-&quot;??_);_(@_)"/>
    <numFmt numFmtId="169" formatCode="0.0"/>
    <numFmt numFmtId="170" formatCode="0.000"/>
    <numFmt numFmtId="171" formatCode="m\.d\.yy;@"/>
    <numFmt numFmtId="172" formatCode="0.0000"/>
    <numFmt numFmtId="173" formatCode="#,##0.0000"/>
  </numFmts>
  <fonts count="5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  <font>
      <sz val="11"/>
      <color theme="1"/>
      <name val="Tahoma"/>
      <family val="2"/>
    </font>
    <font>
      <b/>
      <sz val="16"/>
      <name val="Tahoma"/>
      <family val="2"/>
    </font>
    <font>
      <b/>
      <sz val="11"/>
      <color indexed="8"/>
      <name val="Tahoma"/>
      <family val="2"/>
    </font>
    <font>
      <sz val="10"/>
      <color indexed="8"/>
      <name val="Tahoma"/>
      <family val="2"/>
    </font>
    <font>
      <b/>
      <sz val="13"/>
      <color indexed="8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sz val="11"/>
      <name val="Tahoma"/>
      <family val="2"/>
    </font>
    <font>
      <b/>
      <sz val="14"/>
      <name val="Tahoma"/>
      <family val="2"/>
    </font>
    <font>
      <sz val="10"/>
      <color rgb="FF000000"/>
      <name val="Tahoma"/>
      <family val="2"/>
    </font>
    <font>
      <sz val="8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imes New Roman"/>
      <family val="1"/>
    </font>
    <font>
      <i/>
      <sz val="6.5"/>
      <color rgb="FF000000"/>
      <name val="Calibri"/>
      <family val="2"/>
    </font>
    <font>
      <i/>
      <sz val="6.5"/>
      <name val="Calibri"/>
      <family val="1"/>
    </font>
    <font>
      <i/>
      <sz val="6.5"/>
      <name val="Calibri"/>
      <family val="2"/>
    </font>
    <font>
      <b/>
      <sz val="6.5"/>
      <name val="Calibri"/>
      <family val="2"/>
    </font>
    <font>
      <b/>
      <sz val="6.5"/>
      <name val="Calibri"/>
      <family val="1"/>
    </font>
    <font>
      <b/>
      <sz val="6.5"/>
      <color rgb="FF000000"/>
      <name val="Calibri"/>
      <family val="2"/>
    </font>
    <font>
      <b/>
      <u/>
      <sz val="6.5"/>
      <name val="Calibri"/>
      <family val="1"/>
    </font>
    <font>
      <b/>
      <sz val="6.5"/>
      <color rgb="FFFFFFFF"/>
      <name val="Calibri"/>
      <family val="1"/>
    </font>
    <font>
      <sz val="6.5"/>
      <name val="Calibri"/>
      <family val="2"/>
    </font>
    <font>
      <sz val="6.5"/>
      <name val="Calibri"/>
      <family val="1"/>
    </font>
    <font>
      <sz val="6.5"/>
      <color rgb="FF000000"/>
      <name val="Calibri"/>
      <family val="2"/>
    </font>
    <font>
      <sz val="8"/>
      <color rgb="FF00000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i/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1"/>
    </font>
    <font>
      <sz val="10"/>
      <color rgb="FF000000"/>
      <name val="Times New Roman"/>
      <family val="1"/>
    </font>
    <font>
      <b/>
      <sz val="10"/>
      <color rgb="FF000000"/>
      <name val="Calibri"/>
      <family val="2"/>
    </font>
    <font>
      <i/>
      <sz val="10"/>
      <name val="Calibri"/>
      <family val="2"/>
    </font>
    <font>
      <i/>
      <sz val="10"/>
      <name val="Calibri"/>
      <family val="1"/>
    </font>
    <font>
      <i/>
      <sz val="10"/>
      <color rgb="FF000000"/>
      <name val="Calibri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</patternFill>
    </fill>
    <fill>
      <patternFill patternType="solid">
        <fgColor rgb="FFD0CECE"/>
      </patternFill>
    </fill>
    <fill>
      <patternFill patternType="solid">
        <fgColor rgb="FF757070"/>
      </patternFill>
    </fill>
    <fill>
      <patternFill patternType="solid">
        <fgColor rgb="FF44536A"/>
      </patternFill>
    </fill>
    <fill>
      <patternFill patternType="solid">
        <f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9D9D9"/>
        <bgColor rgb="FFFFFFFF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/>
      <bottom/>
      <diagonal/>
    </border>
    <border>
      <left style="thin">
        <color indexed="64"/>
      </left>
      <right/>
      <top/>
      <bottom/>
      <diagonal/>
    </border>
  </borders>
  <cellStyleXfs count="1818">
    <xf numFmtId="0" fontId="0" fillId="0" borderId="0"/>
    <xf numFmtId="0" fontId="1" fillId="0" borderId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1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0" fontId="1" fillId="0" borderId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0" fontId="2" fillId="0" borderId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</cellStyleXfs>
  <cellXfs count="458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3" fillId="0" borderId="1" xfId="0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/>
    </xf>
    <xf numFmtId="10" fontId="13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 applyProtection="1">
      <alignment horizontal="right" vertical="center" wrapText="1"/>
      <protection hidden="1"/>
    </xf>
    <xf numFmtId="44" fontId="7" fillId="4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164" fontId="0" fillId="0" borderId="0" xfId="0" applyNumberFormat="1"/>
    <xf numFmtId="10" fontId="11" fillId="3" borderId="1" xfId="1807" applyNumberFormat="1" applyFont="1" applyFill="1" applyBorder="1" applyAlignment="1" applyProtection="1">
      <alignment horizontal="right" vertical="center" wrapText="1"/>
      <protection hidden="1"/>
    </xf>
    <xf numFmtId="4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left" vertical="center" wrapText="1"/>
      <protection hidden="1"/>
    </xf>
    <xf numFmtId="44" fontId="11" fillId="3" borderId="1" xfId="1813" applyFont="1" applyFill="1" applyBorder="1" applyAlignment="1" applyProtection="1">
      <alignment horizontal="right" vertical="center" wrapText="1"/>
      <protection hidden="1"/>
    </xf>
    <xf numFmtId="0" fontId="17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4" fontId="7" fillId="7" borderId="1" xfId="1813" applyFont="1" applyFill="1" applyBorder="1" applyAlignment="1" applyProtection="1">
      <alignment horizontal="center" vertical="center" wrapText="1"/>
      <protection hidden="1"/>
    </xf>
    <xf numFmtId="44" fontId="7" fillId="7" borderId="1" xfId="1813" applyFont="1" applyFill="1" applyBorder="1" applyAlignment="1" applyProtection="1">
      <alignment horizontal="right" vertical="center" wrapText="1"/>
      <protection hidden="1"/>
    </xf>
    <xf numFmtId="2" fontId="11" fillId="7" borderId="1" xfId="0" applyNumberFormat="1" applyFont="1" applyFill="1" applyBorder="1" applyAlignment="1" applyProtection="1">
      <alignment horizontal="right" vertical="center" wrapText="1"/>
      <protection hidden="1"/>
    </xf>
    <xf numFmtId="10" fontId="11" fillId="7" borderId="1" xfId="1807" applyNumberFormat="1" applyFont="1" applyFill="1" applyBorder="1" applyAlignment="1" applyProtection="1">
      <alignment horizontal="right" vertical="center" wrapText="1"/>
      <protection hidden="1"/>
    </xf>
    <xf numFmtId="0" fontId="6" fillId="7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 applyProtection="1">
      <alignment horizontal="right" vertical="center" wrapText="1"/>
      <protection hidden="1"/>
    </xf>
    <xf numFmtId="0" fontId="19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44" fontId="0" fillId="0" borderId="0" xfId="0" applyNumberFormat="1"/>
    <xf numFmtId="4" fontId="11" fillId="6" borderId="1" xfId="0" applyNumberFormat="1" applyFont="1" applyFill="1" applyBorder="1" applyAlignment="1" applyProtection="1">
      <alignment horizontal="right" vertical="center" wrapText="1"/>
      <protection hidden="1"/>
    </xf>
    <xf numFmtId="4" fontId="11" fillId="7" borderId="1" xfId="0" applyNumberFormat="1" applyFont="1" applyFill="1" applyBorder="1" applyAlignment="1" applyProtection="1">
      <alignment horizontal="right" vertical="center" wrapText="1"/>
      <protection hidden="1"/>
    </xf>
    <xf numFmtId="4" fontId="6" fillId="7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20" fillId="0" borderId="0" xfId="1817" applyAlignment="1">
      <alignment horizontal="left" vertical="top"/>
    </xf>
    <xf numFmtId="0" fontId="20" fillId="0" borderId="5" xfId="1817" applyBorder="1" applyAlignment="1">
      <alignment horizontal="left" vertical="center" wrapText="1"/>
    </xf>
    <xf numFmtId="2" fontId="21" fillId="0" borderId="5" xfId="1817" applyNumberFormat="1" applyFont="1" applyBorder="1" applyAlignment="1">
      <alignment horizontal="center" vertical="top" shrinkToFit="1"/>
    </xf>
    <xf numFmtId="1" fontId="21" fillId="0" borderId="5" xfId="1817" applyNumberFormat="1" applyFont="1" applyBorder="1" applyAlignment="1">
      <alignment horizontal="center" vertical="top" shrinkToFit="1"/>
    </xf>
    <xf numFmtId="2" fontId="21" fillId="0" borderId="5" xfId="1817" applyNumberFormat="1" applyFont="1" applyBorder="1" applyAlignment="1">
      <alignment horizontal="right" vertical="top" indent="2" shrinkToFit="1"/>
    </xf>
    <xf numFmtId="0" fontId="20" fillId="0" borderId="5" xfId="1817" applyBorder="1" applyAlignment="1">
      <alignment horizontal="left" vertical="top" wrapText="1"/>
    </xf>
    <xf numFmtId="0" fontId="23" fillId="0" borderId="5" xfId="1817" applyFont="1" applyBorder="1" applyAlignment="1">
      <alignment horizontal="left" vertical="top" wrapText="1" indent="6"/>
    </xf>
    <xf numFmtId="0" fontId="23" fillId="0" borderId="5" xfId="1817" applyFont="1" applyBorder="1" applyAlignment="1">
      <alignment horizontal="right" vertical="top" wrapText="1" indent="1"/>
    </xf>
    <xf numFmtId="0" fontId="24" fillId="0" borderId="5" xfId="1817" applyFont="1" applyBorder="1" applyAlignment="1">
      <alignment horizontal="center" vertical="top" wrapText="1"/>
    </xf>
    <xf numFmtId="2" fontId="26" fillId="0" borderId="5" xfId="1817" applyNumberFormat="1" applyFont="1" applyBorder="1" applyAlignment="1">
      <alignment horizontal="center" vertical="top" shrinkToFit="1"/>
    </xf>
    <xf numFmtId="0" fontId="20" fillId="0" borderId="5" xfId="1817" applyBorder="1" applyAlignment="1">
      <alignment horizontal="left" wrapText="1"/>
    </xf>
    <xf numFmtId="0" fontId="24" fillId="0" borderId="5" xfId="1817" applyFont="1" applyBorder="1" applyAlignment="1">
      <alignment horizontal="left" vertical="top" wrapText="1" indent="4"/>
    </xf>
    <xf numFmtId="0" fontId="24" fillId="0" borderId="5" xfId="1817" applyFont="1" applyBorder="1" applyAlignment="1">
      <alignment horizontal="right" vertical="top" wrapText="1" indent="1"/>
    </xf>
    <xf numFmtId="169" fontId="21" fillId="0" borderId="5" xfId="1817" applyNumberFormat="1" applyFont="1" applyBorder="1" applyAlignment="1">
      <alignment horizontal="center" vertical="top" shrinkToFit="1"/>
    </xf>
    <xf numFmtId="0" fontId="24" fillId="0" borderId="5" xfId="1817" applyFont="1" applyBorder="1" applyAlignment="1">
      <alignment horizontal="center" vertical="center" wrapText="1"/>
    </xf>
    <xf numFmtId="2" fontId="26" fillId="0" borderId="5" xfId="1817" applyNumberFormat="1" applyFont="1" applyBorder="1" applyAlignment="1">
      <alignment horizontal="center" vertical="center" shrinkToFit="1"/>
    </xf>
    <xf numFmtId="0" fontId="24" fillId="0" borderId="5" xfId="1817" applyFont="1" applyBorder="1" applyAlignment="1">
      <alignment horizontal="right" vertical="center" wrapText="1" indent="1"/>
    </xf>
    <xf numFmtId="2" fontId="26" fillId="0" borderId="5" xfId="1817" applyNumberFormat="1" applyFont="1" applyBorder="1" applyAlignment="1">
      <alignment horizontal="left" vertical="top" indent="2" shrinkToFit="1"/>
    </xf>
    <xf numFmtId="0" fontId="23" fillId="0" borderId="5" xfId="1817" applyFont="1" applyBorder="1" applyAlignment="1">
      <alignment horizontal="left" vertical="top" wrapText="1"/>
    </xf>
    <xf numFmtId="0" fontId="24" fillId="0" borderId="5" xfId="1817" applyFont="1" applyBorder="1" applyAlignment="1">
      <alignment horizontal="left" vertical="top" wrapText="1"/>
    </xf>
    <xf numFmtId="0" fontId="20" fillId="0" borderId="5" xfId="1817" applyBorder="1" applyAlignment="1">
      <alignment horizontal="left" vertical="top" wrapText="1" indent="4"/>
    </xf>
    <xf numFmtId="0" fontId="20" fillId="8" borderId="5" xfId="1817" applyFill="1" applyBorder="1" applyAlignment="1">
      <alignment horizontal="left" wrapText="1"/>
    </xf>
    <xf numFmtId="0" fontId="24" fillId="8" borderId="5" xfId="1817" applyFont="1" applyFill="1" applyBorder="1" applyAlignment="1">
      <alignment horizontal="left" vertical="top" wrapText="1" indent="2"/>
    </xf>
    <xf numFmtId="0" fontId="24" fillId="8" borderId="5" xfId="1817" applyFont="1" applyFill="1" applyBorder="1" applyAlignment="1">
      <alignment horizontal="center" vertical="top" wrapText="1"/>
    </xf>
    <xf numFmtId="170" fontId="21" fillId="0" borderId="5" xfId="1817" applyNumberFormat="1" applyFont="1" applyBorder="1" applyAlignment="1">
      <alignment horizontal="center" vertical="top" shrinkToFit="1"/>
    </xf>
    <xf numFmtId="0" fontId="20" fillId="9" borderId="5" xfId="1817" applyFill="1" applyBorder="1" applyAlignment="1">
      <alignment horizontal="left" vertical="center" wrapText="1"/>
    </xf>
    <xf numFmtId="0" fontId="20" fillId="9" borderId="5" xfId="1817" applyFill="1" applyBorder="1" applyAlignment="1">
      <alignment horizontal="left" vertical="top" wrapText="1"/>
    </xf>
    <xf numFmtId="0" fontId="24" fillId="9" borderId="5" xfId="1817" applyFont="1" applyFill="1" applyBorder="1" applyAlignment="1">
      <alignment horizontal="center" vertical="top" wrapText="1"/>
    </xf>
    <xf numFmtId="0" fontId="20" fillId="10" borderId="5" xfId="1817" applyFill="1" applyBorder="1" applyAlignment="1">
      <alignment horizontal="left" wrapText="1"/>
    </xf>
    <xf numFmtId="0" fontId="24" fillId="10" borderId="5" xfId="1817" applyFont="1" applyFill="1" applyBorder="1" applyAlignment="1">
      <alignment horizontal="center" vertical="top" wrapText="1"/>
    </xf>
    <xf numFmtId="0" fontId="24" fillId="11" borderId="23" xfId="1817" applyFont="1" applyFill="1" applyBorder="1" applyAlignment="1">
      <alignment horizontal="left" vertical="top" wrapText="1"/>
    </xf>
    <xf numFmtId="0" fontId="24" fillId="11" borderId="23" xfId="1817" applyFont="1" applyFill="1" applyBorder="1" applyAlignment="1">
      <alignment horizontal="center" vertical="top" wrapText="1"/>
    </xf>
    <xf numFmtId="0" fontId="24" fillId="11" borderId="23" xfId="1817" applyFont="1" applyFill="1" applyBorder="1" applyAlignment="1">
      <alignment horizontal="right" vertical="top" wrapText="1" indent="2"/>
    </xf>
    <xf numFmtId="0" fontId="20" fillId="0" borderId="35" xfId="1817" applyBorder="1" applyAlignment="1">
      <alignment horizontal="left" wrapText="1"/>
    </xf>
    <xf numFmtId="0" fontId="20" fillId="0" borderId="0" xfId="1817" applyAlignment="1">
      <alignment horizontal="left" wrapText="1"/>
    </xf>
    <xf numFmtId="0" fontId="24" fillId="0" borderId="0" xfId="1817" applyFont="1" applyAlignment="1">
      <alignment horizontal="left" vertical="top" wrapText="1"/>
    </xf>
    <xf numFmtId="0" fontId="29" fillId="0" borderId="36" xfId="1817" applyFont="1" applyBorder="1" applyAlignment="1">
      <alignment horizontal="left" vertical="top" wrapText="1"/>
    </xf>
    <xf numFmtId="0" fontId="20" fillId="0" borderId="37" xfId="1817" applyBorder="1" applyAlignment="1">
      <alignment horizontal="left" wrapText="1"/>
    </xf>
    <xf numFmtId="0" fontId="20" fillId="0" borderId="38" xfId="1817" applyBorder="1" applyAlignment="1">
      <alignment horizontal="left" wrapText="1"/>
    </xf>
    <xf numFmtId="0" fontId="24" fillId="0" borderId="38" xfId="1817" applyFont="1" applyBorder="1" applyAlignment="1">
      <alignment horizontal="left" vertical="top" wrapText="1"/>
    </xf>
    <xf numFmtId="1" fontId="21" fillId="0" borderId="5" xfId="1817" applyNumberFormat="1" applyFont="1" applyBorder="1" applyAlignment="1">
      <alignment horizontal="left" vertical="top" indent="3" shrinkToFit="1"/>
    </xf>
    <xf numFmtId="1" fontId="21" fillId="0" borderId="5" xfId="1817" applyNumberFormat="1" applyFont="1" applyBorder="1" applyAlignment="1">
      <alignment horizontal="left" vertical="top" shrinkToFit="1"/>
    </xf>
    <xf numFmtId="2" fontId="26" fillId="0" borderId="5" xfId="1817" applyNumberFormat="1" applyFont="1" applyBorder="1" applyAlignment="1">
      <alignment horizontal="right" vertical="top" indent="2" shrinkToFit="1"/>
    </xf>
    <xf numFmtId="1" fontId="21" fillId="0" borderId="5" xfId="1817" applyNumberFormat="1" applyFont="1" applyBorder="1" applyAlignment="1">
      <alignment horizontal="left" vertical="top" indent="1" shrinkToFit="1"/>
    </xf>
    <xf numFmtId="0" fontId="23" fillId="0" borderId="5" xfId="1817" applyFont="1" applyBorder="1" applyAlignment="1">
      <alignment horizontal="right" vertical="top" wrapText="1" indent="8"/>
    </xf>
    <xf numFmtId="2" fontId="26" fillId="0" borderId="5" xfId="1817" applyNumberFormat="1" applyFont="1" applyBorder="1" applyAlignment="1">
      <alignment horizontal="right" vertical="top" indent="3" shrinkToFit="1"/>
    </xf>
    <xf numFmtId="0" fontId="24" fillId="8" borderId="5" xfId="1817" applyFont="1" applyFill="1" applyBorder="1" applyAlignment="1">
      <alignment horizontal="right" vertical="top" wrapText="1" indent="8"/>
    </xf>
    <xf numFmtId="2" fontId="21" fillId="0" borderId="5" xfId="1817" applyNumberFormat="1" applyFont="1" applyBorder="1" applyAlignment="1">
      <alignment horizontal="right" vertical="top" shrinkToFit="1"/>
    </xf>
    <xf numFmtId="2" fontId="21" fillId="0" borderId="5" xfId="1817" applyNumberFormat="1" applyFont="1" applyBorder="1" applyAlignment="1">
      <alignment horizontal="left" vertical="top" indent="6" shrinkToFit="1"/>
    </xf>
    <xf numFmtId="2" fontId="26" fillId="0" borderId="5" xfId="1817" applyNumberFormat="1" applyFont="1" applyBorder="1" applyAlignment="1">
      <alignment horizontal="right" vertical="center" indent="3" shrinkToFit="1"/>
    </xf>
    <xf numFmtId="4" fontId="21" fillId="0" borderId="5" xfId="1817" applyNumberFormat="1" applyFont="1" applyBorder="1" applyAlignment="1">
      <alignment horizontal="right" vertical="top" shrinkToFit="1"/>
    </xf>
    <xf numFmtId="2" fontId="26" fillId="0" borderId="5" xfId="1817" applyNumberFormat="1" applyFont="1" applyBorder="1" applyAlignment="1">
      <alignment horizontal="right" vertical="center" indent="2" shrinkToFit="1"/>
    </xf>
    <xf numFmtId="0" fontId="23" fillId="0" borderId="5" xfId="1817" applyFont="1" applyBorder="1" applyAlignment="1">
      <alignment horizontal="right" vertical="top" wrapText="1" indent="9"/>
    </xf>
    <xf numFmtId="169" fontId="31" fillId="0" borderId="5" xfId="1817" applyNumberFormat="1" applyFont="1" applyBorder="1" applyAlignment="1">
      <alignment horizontal="right" vertical="top" shrinkToFit="1"/>
    </xf>
    <xf numFmtId="169" fontId="21" fillId="0" borderId="5" xfId="1817" applyNumberFormat="1" applyFont="1" applyBorder="1" applyAlignment="1">
      <alignment horizontal="right" vertical="top" indent="2" shrinkToFit="1"/>
    </xf>
    <xf numFmtId="0" fontId="29" fillId="0" borderId="5" xfId="1817" applyFont="1" applyBorder="1" applyAlignment="1">
      <alignment horizontal="left" vertical="top" wrapText="1"/>
    </xf>
    <xf numFmtId="0" fontId="23" fillId="0" borderId="5" xfId="1817" applyFont="1" applyBorder="1" applyAlignment="1">
      <alignment horizontal="right" vertical="top" wrapText="1"/>
    </xf>
    <xf numFmtId="171" fontId="26" fillId="0" borderId="5" xfId="1817" applyNumberFormat="1" applyFont="1" applyBorder="1" applyAlignment="1">
      <alignment horizontal="right" vertical="center" indent="1" shrinkToFit="1"/>
    </xf>
    <xf numFmtId="170" fontId="21" fillId="0" borderId="5" xfId="1817" applyNumberFormat="1" applyFont="1" applyBorder="1" applyAlignment="1">
      <alignment horizontal="left" vertical="top" indent="1" shrinkToFit="1"/>
    </xf>
    <xf numFmtId="2" fontId="21" fillId="0" borderId="5" xfId="1817" applyNumberFormat="1" applyFont="1" applyBorder="1" applyAlignment="1">
      <alignment horizontal="left" vertical="top" indent="2" shrinkToFit="1"/>
    </xf>
    <xf numFmtId="172" fontId="21" fillId="0" borderId="5" xfId="1817" applyNumberFormat="1" applyFont="1" applyBorder="1" applyAlignment="1">
      <alignment horizontal="center" vertical="top" shrinkToFit="1"/>
    </xf>
    <xf numFmtId="172" fontId="21" fillId="0" borderId="5" xfId="1817" applyNumberFormat="1" applyFont="1" applyBorder="1" applyAlignment="1">
      <alignment horizontal="left" vertical="top" indent="1" shrinkToFit="1"/>
    </xf>
    <xf numFmtId="171" fontId="26" fillId="0" borderId="5" xfId="1817" applyNumberFormat="1" applyFont="1" applyBorder="1" applyAlignment="1">
      <alignment horizontal="right" vertical="top" indent="1" shrinkToFit="1"/>
    </xf>
    <xf numFmtId="2" fontId="26" fillId="0" borderId="5" xfId="1817" applyNumberFormat="1" applyFont="1" applyBorder="1" applyAlignment="1">
      <alignment horizontal="left" vertical="center" indent="2" shrinkToFit="1"/>
    </xf>
    <xf numFmtId="169" fontId="21" fillId="0" borderId="5" xfId="1817" applyNumberFormat="1" applyFont="1" applyBorder="1" applyAlignment="1">
      <alignment horizontal="left" vertical="top" indent="1" shrinkToFit="1"/>
    </xf>
    <xf numFmtId="0" fontId="24" fillId="11" borderId="23" xfId="1817" applyFont="1" applyFill="1" applyBorder="1" applyAlignment="1">
      <alignment horizontal="left" vertical="top" wrapText="1" indent="1"/>
    </xf>
    <xf numFmtId="2" fontId="20" fillId="0" borderId="0" xfId="1817" applyNumberFormat="1" applyAlignment="1">
      <alignment horizontal="left" vertical="top"/>
    </xf>
    <xf numFmtId="0" fontId="34" fillId="10" borderId="5" xfId="1817" applyFont="1" applyFill="1" applyBorder="1" applyAlignment="1">
      <alignment horizontal="left" wrapText="1"/>
    </xf>
    <xf numFmtId="0" fontId="33" fillId="10" borderId="5" xfId="1817" applyFont="1" applyFill="1" applyBorder="1" applyAlignment="1">
      <alignment horizontal="center" vertical="top" wrapText="1"/>
    </xf>
    <xf numFmtId="0" fontId="33" fillId="13" borderId="23" xfId="1817" applyFont="1" applyFill="1" applyBorder="1" applyAlignment="1">
      <alignment horizontal="left" vertical="top" wrapText="1"/>
    </xf>
    <xf numFmtId="0" fontId="33" fillId="13" borderId="23" xfId="1817" applyFont="1" applyFill="1" applyBorder="1" applyAlignment="1">
      <alignment horizontal="center" vertical="top" wrapText="1"/>
    </xf>
    <xf numFmtId="1" fontId="36" fillId="0" borderId="5" xfId="1817" applyNumberFormat="1" applyFont="1" applyBorder="1" applyAlignment="1">
      <alignment horizontal="center" vertical="center" shrinkToFit="1"/>
    </xf>
    <xf numFmtId="0" fontId="37" fillId="0" borderId="5" xfId="1817" applyFont="1" applyBorder="1" applyAlignment="1">
      <alignment horizontal="right" vertical="center" wrapText="1" indent="1"/>
    </xf>
    <xf numFmtId="0" fontId="39" fillId="0" borderId="5" xfId="1817" applyFont="1" applyBorder="1" applyAlignment="1">
      <alignment horizontal="left" vertical="top" wrapText="1" indent="4"/>
    </xf>
    <xf numFmtId="0" fontId="39" fillId="0" borderId="5" xfId="1817" applyFont="1" applyBorder="1" applyAlignment="1">
      <alignment horizontal="left" vertical="top" wrapText="1"/>
    </xf>
    <xf numFmtId="1" fontId="40" fillId="0" borderId="5" xfId="1817" applyNumberFormat="1" applyFont="1" applyBorder="1" applyAlignment="1">
      <alignment horizontal="center" vertical="center" shrinkToFit="1"/>
    </xf>
    <xf numFmtId="0" fontId="37" fillId="0" borderId="5" xfId="1817" applyFont="1" applyBorder="1" applyAlignment="1">
      <alignment horizontal="center" vertical="center" wrapText="1"/>
    </xf>
    <xf numFmtId="0" fontId="41" fillId="0" borderId="5" xfId="1817" applyFont="1" applyBorder="1" applyAlignment="1">
      <alignment horizontal="right" vertical="top" wrapText="1" indent="1"/>
    </xf>
    <xf numFmtId="0" fontId="41" fillId="0" borderId="5" xfId="1817" applyFont="1" applyBorder="1" applyAlignment="1">
      <alignment horizontal="left" vertical="top" wrapText="1" indent="6"/>
    </xf>
    <xf numFmtId="0" fontId="39" fillId="0" borderId="5" xfId="1817" applyFont="1" applyBorder="1" applyAlignment="1">
      <alignment horizontal="left" wrapText="1"/>
    </xf>
    <xf numFmtId="1" fontId="43" fillId="0" borderId="5" xfId="1817" applyNumberFormat="1" applyFont="1" applyBorder="1" applyAlignment="1">
      <alignment horizontal="center" vertical="top" shrinkToFit="1"/>
    </xf>
    <xf numFmtId="170" fontId="43" fillId="0" borderId="5" xfId="1817" applyNumberFormat="1" applyFont="1" applyBorder="1" applyAlignment="1">
      <alignment horizontal="center" vertical="top" shrinkToFit="1"/>
    </xf>
    <xf numFmtId="0" fontId="37" fillId="0" borderId="5" xfId="1817" applyFont="1" applyBorder="1" applyAlignment="1">
      <alignment horizontal="right" vertical="top" wrapText="1" indent="1"/>
    </xf>
    <xf numFmtId="0" fontId="39" fillId="0" borderId="5" xfId="1817" applyFont="1" applyBorder="1" applyAlignment="1">
      <alignment horizontal="left" vertical="center" wrapText="1"/>
    </xf>
    <xf numFmtId="2" fontId="40" fillId="0" borderId="5" xfId="1817" applyNumberFormat="1" applyFont="1" applyBorder="1" applyAlignment="1">
      <alignment horizontal="left" vertical="top" indent="2" shrinkToFit="1"/>
    </xf>
    <xf numFmtId="0" fontId="37" fillId="0" borderId="5" xfId="1817" applyFont="1" applyBorder="1" applyAlignment="1">
      <alignment horizontal="center" vertical="top" wrapText="1"/>
    </xf>
    <xf numFmtId="0" fontId="41" fillId="0" borderId="5" xfId="1817" applyFont="1" applyBorder="1" applyAlignment="1">
      <alignment horizontal="left" vertical="top" wrapText="1" indent="1"/>
    </xf>
    <xf numFmtId="0" fontId="37" fillId="8" borderId="5" xfId="1817" applyFont="1" applyFill="1" applyBorder="1" applyAlignment="1">
      <alignment horizontal="center" vertical="top" wrapText="1"/>
    </xf>
    <xf numFmtId="0" fontId="37" fillId="8" borderId="5" xfId="1817" applyFont="1" applyFill="1" applyBorder="1" applyAlignment="1">
      <alignment horizontal="left" vertical="top" wrapText="1" indent="2"/>
    </xf>
    <xf numFmtId="0" fontId="39" fillId="8" borderId="5" xfId="1817" applyFont="1" applyFill="1" applyBorder="1" applyAlignment="1">
      <alignment horizontal="left" wrapText="1"/>
    </xf>
    <xf numFmtId="0" fontId="37" fillId="0" borderId="5" xfId="1817" applyFont="1" applyBorder="1" applyAlignment="1">
      <alignment horizontal="left" vertical="center" wrapText="1"/>
    </xf>
    <xf numFmtId="167" fontId="40" fillId="0" borderId="5" xfId="1817" applyNumberFormat="1" applyFont="1" applyBorder="1" applyAlignment="1">
      <alignment horizontal="left" vertical="center" indent="2" shrinkToFit="1"/>
    </xf>
    <xf numFmtId="0" fontId="41" fillId="0" borderId="5" xfId="1817" applyFont="1" applyBorder="1" applyAlignment="1">
      <alignment horizontal="left" vertical="top" wrapText="1"/>
    </xf>
    <xf numFmtId="2" fontId="43" fillId="0" borderId="5" xfId="1817" applyNumberFormat="1" applyFont="1" applyBorder="1" applyAlignment="1">
      <alignment horizontal="center" vertical="top" shrinkToFit="1"/>
    </xf>
    <xf numFmtId="167" fontId="43" fillId="0" borderId="5" xfId="1817" applyNumberFormat="1" applyFont="1" applyBorder="1" applyAlignment="1">
      <alignment horizontal="center" vertical="top" shrinkToFit="1"/>
    </xf>
    <xf numFmtId="0" fontId="37" fillId="0" borderId="5" xfId="1817" applyFont="1" applyBorder="1" applyAlignment="1">
      <alignment horizontal="left" vertical="top" wrapText="1"/>
    </xf>
    <xf numFmtId="2" fontId="43" fillId="0" borderId="5" xfId="1817" applyNumberFormat="1" applyFont="1" applyBorder="1" applyAlignment="1">
      <alignment horizontal="right" vertical="top" indent="2" shrinkToFit="1"/>
    </xf>
    <xf numFmtId="169" fontId="43" fillId="0" borderId="5" xfId="1817" applyNumberFormat="1" applyFont="1" applyBorder="1" applyAlignment="1">
      <alignment horizontal="center" vertical="top" shrinkToFit="1"/>
    </xf>
    <xf numFmtId="0" fontId="37" fillId="0" borderId="5" xfId="1817" applyFont="1" applyBorder="1" applyAlignment="1">
      <alignment horizontal="left" vertical="top" wrapText="1" indent="4"/>
    </xf>
    <xf numFmtId="2" fontId="40" fillId="0" borderId="5" xfId="1817" applyNumberFormat="1" applyFont="1" applyBorder="1" applyAlignment="1">
      <alignment horizontal="center" vertical="center" shrinkToFit="1"/>
    </xf>
    <xf numFmtId="2" fontId="40" fillId="0" borderId="5" xfId="1817" applyNumberFormat="1" applyFont="1" applyBorder="1" applyAlignment="1">
      <alignment horizontal="center" vertical="top" shrinkToFit="1"/>
    </xf>
    <xf numFmtId="1" fontId="43" fillId="0" borderId="5" xfId="1817" applyNumberFormat="1" applyFont="1" applyBorder="1" applyAlignment="1">
      <alignment horizontal="center" vertical="center" shrinkToFit="1"/>
    </xf>
    <xf numFmtId="0" fontId="33" fillId="3" borderId="5" xfId="1817" applyFont="1" applyFill="1" applyBorder="1" applyAlignment="1">
      <alignment horizontal="center" vertical="top" wrapText="1"/>
    </xf>
    <xf numFmtId="0" fontId="33" fillId="3" borderId="5" xfId="1817" applyFont="1" applyFill="1" applyBorder="1" applyAlignment="1">
      <alignment horizontal="left" vertical="top" wrapText="1" indent="2"/>
    </xf>
    <xf numFmtId="0" fontId="32" fillId="3" borderId="5" xfId="1817" applyFont="1" applyFill="1" applyBorder="1" applyAlignment="1">
      <alignment horizontal="left" wrapText="1"/>
    </xf>
    <xf numFmtId="0" fontId="19" fillId="15" borderId="5" xfId="0" applyFont="1" applyFill="1" applyBorder="1" applyAlignment="1">
      <alignment horizontal="left" vertical="center" wrapText="1"/>
    </xf>
    <xf numFmtId="4" fontId="44" fillId="0" borderId="5" xfId="1817" applyNumberFormat="1" applyFont="1" applyBorder="1" applyAlignment="1">
      <alignment horizontal="left" vertical="top" wrapText="1" indent="4"/>
    </xf>
    <xf numFmtId="4" fontId="45" fillId="9" borderId="5" xfId="1817" applyNumberFormat="1" applyFont="1" applyFill="1" applyBorder="1" applyAlignment="1">
      <alignment horizontal="center" vertical="top" wrapText="1"/>
    </xf>
    <xf numFmtId="4" fontId="44" fillId="9" borderId="5" xfId="1817" applyNumberFormat="1" applyFont="1" applyFill="1" applyBorder="1" applyAlignment="1">
      <alignment horizontal="left" vertical="top" wrapText="1"/>
    </xf>
    <xf numFmtId="4" fontId="44" fillId="9" borderId="5" xfId="1817" applyNumberFormat="1" applyFont="1" applyFill="1" applyBorder="1" applyAlignment="1">
      <alignment horizontal="left" vertical="center" wrapText="1"/>
    </xf>
    <xf numFmtId="4" fontId="45" fillId="8" borderId="5" xfId="1817" applyNumberFormat="1" applyFont="1" applyFill="1" applyBorder="1" applyAlignment="1">
      <alignment horizontal="center" vertical="top" wrapText="1"/>
    </xf>
    <xf numFmtId="4" fontId="45" fillId="8" borderId="5" xfId="1817" applyNumberFormat="1" applyFont="1" applyFill="1" applyBorder="1" applyAlignment="1">
      <alignment horizontal="left" vertical="top" wrapText="1" indent="2"/>
    </xf>
    <xf numFmtId="4" fontId="44" fillId="8" borderId="5" xfId="1817" applyNumberFormat="1" applyFont="1" applyFill="1" applyBorder="1" applyAlignment="1">
      <alignment horizontal="left" wrapText="1"/>
    </xf>
    <xf numFmtId="4" fontId="45" fillId="0" borderId="5" xfId="1817" applyNumberFormat="1" applyFont="1" applyBorder="1" applyAlignment="1">
      <alignment horizontal="right" vertical="center" wrapText="1" indent="1"/>
    </xf>
    <xf numFmtId="4" fontId="44" fillId="0" borderId="5" xfId="1817" applyNumberFormat="1" applyFont="1" applyBorder="1" applyAlignment="1">
      <alignment horizontal="left" vertical="top" wrapText="1"/>
    </xf>
    <xf numFmtId="4" fontId="47" fillId="0" borderId="5" xfId="1817" applyNumberFormat="1" applyFont="1" applyBorder="1" applyAlignment="1">
      <alignment horizontal="center" vertical="center" shrinkToFit="1"/>
    </xf>
    <xf numFmtId="4" fontId="45" fillId="0" borderId="5" xfId="1817" applyNumberFormat="1" applyFont="1" applyBorder="1" applyAlignment="1">
      <alignment horizontal="center" vertical="center" wrapText="1"/>
    </xf>
    <xf numFmtId="4" fontId="48" fillId="0" borderId="5" xfId="1817" applyNumberFormat="1" applyFont="1" applyBorder="1" applyAlignment="1">
      <alignment horizontal="right" vertical="top" wrapText="1" indent="1"/>
    </xf>
    <xf numFmtId="4" fontId="48" fillId="0" borderId="5" xfId="1817" applyNumberFormat="1" applyFont="1" applyBorder="1" applyAlignment="1">
      <alignment horizontal="left" vertical="top" wrapText="1" indent="6"/>
    </xf>
    <xf numFmtId="4" fontId="44" fillId="0" borderId="5" xfId="1817" applyNumberFormat="1" applyFont="1" applyBorder="1" applyAlignment="1">
      <alignment horizontal="left" wrapText="1"/>
    </xf>
    <xf numFmtId="4" fontId="49" fillId="0" borderId="5" xfId="1817" applyNumberFormat="1" applyFont="1" applyBorder="1" applyAlignment="1">
      <alignment horizontal="center" vertical="top" shrinkToFit="1"/>
    </xf>
    <xf numFmtId="4" fontId="44" fillId="0" borderId="5" xfId="1817" applyNumberFormat="1" applyFont="1" applyBorder="1" applyAlignment="1">
      <alignment horizontal="center" vertical="top" wrapText="1"/>
    </xf>
    <xf numFmtId="4" fontId="45" fillId="0" borderId="5" xfId="1817" applyNumberFormat="1" applyFont="1" applyBorder="1" applyAlignment="1">
      <alignment horizontal="right" vertical="top" wrapText="1" indent="1"/>
    </xf>
    <xf numFmtId="4" fontId="44" fillId="0" borderId="5" xfId="1817" applyNumberFormat="1" applyFont="1" applyBorder="1" applyAlignment="1">
      <alignment horizontal="left" vertical="center" wrapText="1"/>
    </xf>
    <xf numFmtId="4" fontId="47" fillId="0" borderId="5" xfId="1817" applyNumberFormat="1" applyFont="1" applyBorder="1" applyAlignment="1">
      <alignment horizontal="left" vertical="top" indent="2" shrinkToFit="1"/>
    </xf>
    <xf numFmtId="4" fontId="45" fillId="0" borderId="5" xfId="1817" applyNumberFormat="1" applyFont="1" applyBorder="1" applyAlignment="1">
      <alignment horizontal="center" vertical="top" wrapText="1"/>
    </xf>
    <xf numFmtId="4" fontId="48" fillId="0" borderId="5" xfId="1817" applyNumberFormat="1" applyFont="1" applyBorder="1" applyAlignment="1">
      <alignment horizontal="left" vertical="top" wrapText="1" indent="1"/>
    </xf>
    <xf numFmtId="0" fontId="45" fillId="8" borderId="5" xfId="0" applyFont="1" applyFill="1" applyBorder="1" applyAlignment="1">
      <alignment horizontal="center" vertical="top" wrapText="1"/>
    </xf>
    <xf numFmtId="0" fontId="45" fillId="8" borderId="5" xfId="0" applyFont="1" applyFill="1" applyBorder="1" applyAlignment="1">
      <alignment horizontal="left" vertical="top" wrapText="1" indent="2"/>
    </xf>
    <xf numFmtId="0" fontId="50" fillId="8" borderId="5" xfId="0" applyFont="1" applyFill="1" applyBorder="1" applyAlignment="1">
      <alignment horizontal="left" wrapText="1"/>
    </xf>
    <xf numFmtId="0" fontId="45" fillId="0" borderId="5" xfId="0" applyFont="1" applyBorder="1" applyAlignment="1">
      <alignment horizontal="right" vertical="center" wrapText="1" indent="1"/>
    </xf>
    <xf numFmtId="0" fontId="50" fillId="0" borderId="5" xfId="0" applyFont="1" applyBorder="1" applyAlignment="1">
      <alignment horizontal="left" vertical="top" wrapText="1" indent="4"/>
    </xf>
    <xf numFmtId="0" fontId="45" fillId="0" borderId="5" xfId="0" applyFont="1" applyBorder="1" applyAlignment="1">
      <alignment horizontal="left" vertical="center" wrapText="1"/>
    </xf>
    <xf numFmtId="0" fontId="50" fillId="0" borderId="5" xfId="0" applyFont="1" applyBorder="1" applyAlignment="1">
      <alignment horizontal="left" vertical="top" wrapText="1"/>
    </xf>
    <xf numFmtId="167" fontId="47" fillId="0" borderId="5" xfId="0" applyNumberFormat="1" applyFont="1" applyBorder="1" applyAlignment="1">
      <alignment horizontal="left" vertical="center" indent="2" shrinkToFit="1"/>
    </xf>
    <xf numFmtId="0" fontId="45" fillId="0" borderId="5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right" vertical="top" wrapText="1" indent="1"/>
    </xf>
    <xf numFmtId="0" fontId="48" fillId="0" borderId="5" xfId="0" applyFont="1" applyBorder="1" applyAlignment="1">
      <alignment horizontal="left" vertical="top" wrapText="1" indent="6"/>
    </xf>
    <xf numFmtId="0" fontId="48" fillId="0" borderId="5" xfId="0" applyFont="1" applyBorder="1" applyAlignment="1">
      <alignment horizontal="left" vertical="top" wrapText="1"/>
    </xf>
    <xf numFmtId="1" fontId="49" fillId="0" borderId="5" xfId="0" applyNumberFormat="1" applyFont="1" applyBorder="1" applyAlignment="1">
      <alignment horizontal="center" vertical="top" shrinkToFit="1"/>
    </xf>
    <xf numFmtId="2" fontId="49" fillId="0" borderId="5" xfId="0" applyNumberFormat="1" applyFont="1" applyBorder="1" applyAlignment="1">
      <alignment horizontal="center" vertical="top" shrinkToFit="1"/>
    </xf>
    <xf numFmtId="0" fontId="50" fillId="0" borderId="5" xfId="0" applyFont="1" applyBorder="1" applyAlignment="1">
      <alignment horizontal="left" wrapText="1"/>
    </xf>
    <xf numFmtId="167" fontId="49" fillId="0" borderId="5" xfId="0" applyNumberFormat="1" applyFont="1" applyBorder="1" applyAlignment="1">
      <alignment horizontal="center" vertical="top" shrinkToFit="1"/>
    </xf>
    <xf numFmtId="0" fontId="45" fillId="0" borderId="5" xfId="0" applyFont="1" applyBorder="1" applyAlignment="1">
      <alignment horizontal="right" vertical="top" wrapText="1" indent="1"/>
    </xf>
    <xf numFmtId="0" fontId="45" fillId="0" borderId="5" xfId="0" applyFont="1" applyBorder="1" applyAlignment="1">
      <alignment horizontal="left" vertical="top" wrapText="1"/>
    </xf>
    <xf numFmtId="0" fontId="50" fillId="0" borderId="5" xfId="0" applyFont="1" applyBorder="1" applyAlignment="1">
      <alignment horizontal="left" vertical="center" wrapText="1"/>
    </xf>
    <xf numFmtId="2" fontId="47" fillId="0" borderId="5" xfId="0" applyNumberFormat="1" applyFont="1" applyBorder="1" applyAlignment="1">
      <alignment horizontal="left" vertical="top" indent="2" shrinkToFit="1"/>
    </xf>
    <xf numFmtId="0" fontId="45" fillId="0" borderId="5" xfId="0" applyFont="1" applyBorder="1" applyAlignment="1">
      <alignment horizontal="center" vertical="top" wrapText="1"/>
    </xf>
    <xf numFmtId="2" fontId="49" fillId="0" borderId="5" xfId="0" applyNumberFormat="1" applyFont="1" applyBorder="1" applyAlignment="1">
      <alignment horizontal="right" vertical="top" indent="2" shrinkToFit="1"/>
    </xf>
    <xf numFmtId="169" fontId="49" fillId="0" borderId="5" xfId="0" applyNumberFormat="1" applyFont="1" applyBorder="1" applyAlignment="1">
      <alignment horizontal="center" vertical="top" shrinkToFit="1"/>
    </xf>
    <xf numFmtId="0" fontId="45" fillId="0" borderId="5" xfId="0" applyFont="1" applyBorder="1" applyAlignment="1">
      <alignment horizontal="left" vertical="top" wrapText="1" indent="4"/>
    </xf>
    <xf numFmtId="2" fontId="47" fillId="0" borderId="5" xfId="0" applyNumberFormat="1" applyFont="1" applyBorder="1" applyAlignment="1">
      <alignment horizontal="center" vertical="center" shrinkToFit="1"/>
    </xf>
    <xf numFmtId="2" fontId="47" fillId="0" borderId="5" xfId="0" applyNumberFormat="1" applyFont="1" applyBorder="1" applyAlignment="1">
      <alignment horizontal="center" vertical="top" shrinkToFit="1"/>
    </xf>
    <xf numFmtId="0" fontId="51" fillId="0" borderId="5" xfId="0" applyFont="1" applyBorder="1" applyAlignment="1">
      <alignment horizontal="left" vertical="top" wrapText="1" indent="4"/>
    </xf>
    <xf numFmtId="4" fontId="52" fillId="0" borderId="5" xfId="1817" applyNumberFormat="1" applyFont="1" applyBorder="1" applyAlignment="1">
      <alignment horizontal="left" vertical="top" wrapText="1" indent="6"/>
    </xf>
    <xf numFmtId="4" fontId="45" fillId="9" borderId="5" xfId="1817" applyNumberFormat="1" applyFont="1" applyFill="1" applyBorder="1" applyAlignment="1">
      <alignment horizontal="center" vertical="center" wrapText="1"/>
    </xf>
    <xf numFmtId="4" fontId="45" fillId="0" borderId="5" xfId="1817" applyNumberFormat="1" applyFont="1" applyBorder="1" applyAlignment="1">
      <alignment horizontal="left" vertical="top" wrapText="1"/>
    </xf>
    <xf numFmtId="4" fontId="44" fillId="0" borderId="5" xfId="1817" applyNumberFormat="1" applyFont="1" applyBorder="1" applyAlignment="1">
      <alignment horizontal="center" vertical="center" wrapText="1"/>
    </xf>
    <xf numFmtId="4" fontId="47" fillId="0" borderId="5" xfId="1817" applyNumberFormat="1" applyFont="1" applyBorder="1" applyAlignment="1">
      <alignment horizontal="right" vertical="top" indent="2" shrinkToFit="1"/>
    </xf>
    <xf numFmtId="4" fontId="48" fillId="14" borderId="5" xfId="1817" applyNumberFormat="1" applyFont="1" applyFill="1" applyBorder="1" applyAlignment="1">
      <alignment horizontal="right" vertical="top" wrapText="1" indent="1"/>
    </xf>
    <xf numFmtId="4" fontId="48" fillId="14" borderId="5" xfId="1817" applyNumberFormat="1" applyFont="1" applyFill="1" applyBorder="1" applyAlignment="1">
      <alignment horizontal="left" vertical="top" wrapText="1" indent="6"/>
    </xf>
    <xf numFmtId="4" fontId="48" fillId="14" borderId="5" xfId="1817" applyNumberFormat="1" applyFont="1" applyFill="1" applyBorder="1" applyAlignment="1">
      <alignment horizontal="left" vertical="top" wrapText="1"/>
    </xf>
    <xf numFmtId="4" fontId="49" fillId="14" borderId="5" xfId="1817" applyNumberFormat="1" applyFont="1" applyFill="1" applyBorder="1" applyAlignment="1">
      <alignment horizontal="center" vertical="top" shrinkToFit="1"/>
    </xf>
    <xf numFmtId="4" fontId="44" fillId="14" borderId="5" xfId="1817" applyNumberFormat="1" applyFont="1" applyFill="1" applyBorder="1" applyAlignment="1">
      <alignment horizontal="left" wrapText="1"/>
    </xf>
    <xf numFmtId="4" fontId="45" fillId="0" borderId="5" xfId="1817" applyNumberFormat="1" applyFont="1" applyBorder="1" applyAlignment="1">
      <alignment horizontal="left" vertical="top" wrapText="1" indent="4"/>
    </xf>
    <xf numFmtId="4" fontId="44" fillId="0" borderId="5" xfId="1817" applyNumberFormat="1" applyFont="1" applyBorder="1" applyAlignment="1">
      <alignment horizontal="center" wrapText="1"/>
    </xf>
    <xf numFmtId="4" fontId="44" fillId="14" borderId="5" xfId="1817" applyNumberFormat="1" applyFont="1" applyFill="1" applyBorder="1" applyAlignment="1">
      <alignment horizontal="center" wrapText="1"/>
    </xf>
    <xf numFmtId="4" fontId="47" fillId="0" borderId="5" xfId="1817" applyNumberFormat="1" applyFont="1" applyBorder="1" applyAlignment="1">
      <alignment horizontal="left" vertical="top" wrapText="1" indent="6"/>
    </xf>
    <xf numFmtId="4" fontId="47" fillId="0" borderId="5" xfId="1817" applyNumberFormat="1" applyFont="1" applyBorder="1" applyAlignment="1">
      <alignment horizontal="right" vertical="top" indent="3" shrinkToFit="1"/>
    </xf>
    <xf numFmtId="4" fontId="44" fillId="14" borderId="5" xfId="1817" applyNumberFormat="1" applyFont="1" applyFill="1" applyBorder="1" applyAlignment="1">
      <alignment horizontal="left" vertical="top" wrapText="1"/>
    </xf>
    <xf numFmtId="4" fontId="44" fillId="14" borderId="5" xfId="1817" applyNumberFormat="1" applyFont="1" applyFill="1" applyBorder="1" applyAlignment="1">
      <alignment horizontal="left" vertical="center" wrapText="1"/>
    </xf>
    <xf numFmtId="4" fontId="47" fillId="0" borderId="5" xfId="1817" applyNumberFormat="1" applyFont="1" applyBorder="1" applyAlignment="1">
      <alignment horizontal="right" vertical="center" indent="2" shrinkToFit="1"/>
    </xf>
    <xf numFmtId="4" fontId="49" fillId="14" borderId="5" xfId="1817" applyNumberFormat="1" applyFont="1" applyFill="1" applyBorder="1" applyAlignment="1">
      <alignment horizontal="left" vertical="top" indent="1" shrinkToFit="1"/>
    </xf>
    <xf numFmtId="4" fontId="49" fillId="14" borderId="5" xfId="1817" applyNumberFormat="1" applyFont="1" applyFill="1" applyBorder="1" applyAlignment="1">
      <alignment horizontal="left" vertical="top" indent="2" shrinkToFit="1"/>
    </xf>
    <xf numFmtId="4" fontId="45" fillId="7" borderId="5" xfId="1817" applyNumberFormat="1" applyFont="1" applyFill="1" applyBorder="1" applyAlignment="1">
      <alignment horizontal="left" vertical="top" wrapText="1" indent="2"/>
    </xf>
    <xf numFmtId="4" fontId="44" fillId="7" borderId="5" xfId="1817" applyNumberFormat="1" applyFont="1" applyFill="1" applyBorder="1" applyAlignment="1">
      <alignment horizontal="left" wrapText="1"/>
    </xf>
    <xf numFmtId="4" fontId="48" fillId="16" borderId="5" xfId="1817" applyNumberFormat="1" applyFont="1" applyFill="1" applyBorder="1" applyAlignment="1">
      <alignment horizontal="right" vertical="top" wrapText="1" indent="1"/>
    </xf>
    <xf numFmtId="0" fontId="48" fillId="16" borderId="5" xfId="0" applyFont="1" applyFill="1" applyBorder="1" applyAlignment="1">
      <alignment horizontal="left" vertical="top" wrapText="1" indent="6"/>
    </xf>
    <xf numFmtId="4" fontId="44" fillId="16" borderId="5" xfId="1817" applyNumberFormat="1" applyFont="1" applyFill="1" applyBorder="1" applyAlignment="1">
      <alignment horizontal="left" vertical="center" wrapText="1"/>
    </xf>
    <xf numFmtId="4" fontId="49" fillId="16" borderId="5" xfId="1817" applyNumberFormat="1" applyFont="1" applyFill="1" applyBorder="1" applyAlignment="1">
      <alignment horizontal="center" vertical="top" shrinkToFit="1"/>
    </xf>
    <xf numFmtId="4" fontId="49" fillId="16" borderId="5" xfId="1817" applyNumberFormat="1" applyFont="1" applyFill="1" applyBorder="1" applyAlignment="1">
      <alignment horizontal="right" vertical="top" shrinkToFit="1"/>
    </xf>
    <xf numFmtId="4" fontId="44" fillId="16" borderId="5" xfId="1817" applyNumberFormat="1" applyFont="1" applyFill="1" applyBorder="1" applyAlignment="1">
      <alignment horizontal="left" wrapText="1"/>
    </xf>
    <xf numFmtId="4" fontId="49" fillId="14" borderId="5" xfId="1817" applyNumberFormat="1" applyFont="1" applyFill="1" applyBorder="1" applyAlignment="1">
      <alignment horizontal="right" vertical="top" shrinkToFit="1"/>
    </xf>
    <xf numFmtId="4" fontId="44" fillId="14" borderId="5" xfId="1817" applyNumberFormat="1" applyFont="1" applyFill="1" applyBorder="1" applyAlignment="1">
      <alignment horizontal="center" vertical="center" wrapText="1"/>
    </xf>
    <xf numFmtId="0" fontId="45" fillId="17" borderId="5" xfId="0" applyFont="1" applyFill="1" applyBorder="1" applyAlignment="1">
      <alignment horizontal="center" vertical="top" wrapText="1"/>
    </xf>
    <xf numFmtId="0" fontId="45" fillId="17" borderId="5" xfId="0" applyFont="1" applyFill="1" applyBorder="1" applyAlignment="1">
      <alignment horizontal="left" vertical="top" wrapText="1" indent="2"/>
    </xf>
    <xf numFmtId="0" fontId="44" fillId="17" borderId="5" xfId="0" applyFont="1" applyFill="1" applyBorder="1" applyAlignment="1">
      <alignment horizontal="left" wrapText="1"/>
    </xf>
    <xf numFmtId="0" fontId="45" fillId="0" borderId="5" xfId="0" applyFont="1" applyFill="1" applyBorder="1" applyAlignment="1">
      <alignment horizontal="right" vertical="center" wrapText="1" indent="1"/>
    </xf>
    <xf numFmtId="0" fontId="44" fillId="0" borderId="5" xfId="0" applyFont="1" applyFill="1" applyBorder="1" applyAlignment="1">
      <alignment horizontal="left" vertical="top" wrapText="1" indent="4"/>
    </xf>
    <xf numFmtId="0" fontId="44" fillId="0" borderId="5" xfId="0" applyFont="1" applyFill="1" applyBorder="1" applyAlignment="1">
      <alignment horizontal="left" vertical="top" wrapText="1"/>
    </xf>
    <xf numFmtId="4" fontId="44" fillId="0" borderId="5" xfId="0" applyNumberFormat="1" applyFont="1" applyFill="1" applyBorder="1" applyAlignment="1">
      <alignment horizontal="left" vertical="top" wrapText="1"/>
    </xf>
    <xf numFmtId="4" fontId="47" fillId="0" borderId="5" xfId="0" applyNumberFormat="1" applyFont="1" applyFill="1" applyBorder="1" applyAlignment="1">
      <alignment horizontal="right" vertical="center" indent="2" shrinkToFit="1"/>
    </xf>
    <xf numFmtId="0" fontId="45" fillId="0" borderId="5" xfId="0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right" vertical="top" wrapText="1" indent="1"/>
    </xf>
    <xf numFmtId="0" fontId="48" fillId="0" borderId="5" xfId="0" applyFont="1" applyFill="1" applyBorder="1" applyAlignment="1">
      <alignment horizontal="left" vertical="top" wrapText="1" indent="6"/>
    </xf>
    <xf numFmtId="0" fontId="48" fillId="0" borderId="5" xfId="0" applyFont="1" applyFill="1" applyBorder="1" applyAlignment="1">
      <alignment horizontal="left" vertical="top" wrapText="1"/>
    </xf>
    <xf numFmtId="4" fontId="49" fillId="0" borderId="5" xfId="0" applyNumberFormat="1" applyFont="1" applyFill="1" applyBorder="1" applyAlignment="1">
      <alignment horizontal="left" vertical="top" indent="1" shrinkToFit="1"/>
    </xf>
    <xf numFmtId="4" fontId="49" fillId="0" borderId="5" xfId="0" applyNumberFormat="1" applyFont="1" applyFill="1" applyBorder="1" applyAlignment="1">
      <alignment horizontal="right" vertical="top" shrinkToFit="1"/>
    </xf>
    <xf numFmtId="4" fontId="44" fillId="0" borderId="5" xfId="0" applyNumberFormat="1" applyFont="1" applyFill="1" applyBorder="1" applyAlignment="1">
      <alignment horizontal="left" wrapText="1"/>
    </xf>
    <xf numFmtId="4" fontId="49" fillId="0" borderId="5" xfId="0" applyNumberFormat="1" applyFont="1" applyFill="1" applyBorder="1" applyAlignment="1">
      <alignment horizontal="center" vertical="top" shrinkToFit="1"/>
    </xf>
    <xf numFmtId="0" fontId="44" fillId="0" borderId="5" xfId="0" applyFont="1" applyFill="1" applyBorder="1" applyAlignment="1">
      <alignment horizontal="left" wrapText="1"/>
    </xf>
    <xf numFmtId="4" fontId="47" fillId="0" borderId="5" xfId="0" applyNumberFormat="1" applyFont="1" applyFill="1" applyBorder="1" applyAlignment="1">
      <alignment horizontal="right" vertical="center" indent="3" shrinkToFit="1"/>
    </xf>
    <xf numFmtId="4" fontId="49" fillId="0" borderId="5" xfId="0" applyNumberFormat="1" applyFont="1" applyFill="1" applyBorder="1" applyAlignment="1">
      <alignment horizontal="right" vertical="top" indent="1" shrinkToFit="1"/>
    </xf>
    <xf numFmtId="0" fontId="45" fillId="0" borderId="5" xfId="0" applyFont="1" applyFill="1" applyBorder="1" applyAlignment="1">
      <alignment horizontal="right" vertical="top" wrapText="1" indent="1"/>
    </xf>
    <xf numFmtId="0" fontId="44" fillId="0" borderId="5" xfId="0" applyFont="1" applyFill="1" applyBorder="1" applyAlignment="1">
      <alignment horizontal="left" vertical="center" wrapText="1"/>
    </xf>
    <xf numFmtId="4" fontId="44" fillId="0" borderId="5" xfId="0" applyNumberFormat="1" applyFont="1" applyFill="1" applyBorder="1" applyAlignment="1">
      <alignment horizontal="left" vertical="center" wrapText="1"/>
    </xf>
    <xf numFmtId="4" fontId="47" fillId="0" borderId="5" xfId="0" applyNumberFormat="1" applyFont="1" applyFill="1" applyBorder="1" applyAlignment="1">
      <alignment horizontal="right" vertical="top" indent="3" shrinkToFit="1"/>
    </xf>
    <xf numFmtId="0" fontId="45" fillId="0" borderId="5" xfId="0" applyFont="1" applyFill="1" applyBorder="1" applyAlignment="1">
      <alignment horizontal="center" vertical="top" wrapText="1"/>
    </xf>
    <xf numFmtId="4" fontId="49" fillId="0" borderId="5" xfId="0" applyNumberFormat="1" applyFont="1" applyFill="1" applyBorder="1" applyAlignment="1">
      <alignment horizontal="left" vertical="top" shrinkToFit="1"/>
    </xf>
    <xf numFmtId="0" fontId="45" fillId="0" borderId="5" xfId="0" applyFont="1" applyFill="1" applyBorder="1" applyAlignment="1">
      <alignment horizontal="left" vertical="top" wrapText="1" indent="4"/>
    </xf>
    <xf numFmtId="4" fontId="47" fillId="0" borderId="5" xfId="0" applyNumberFormat="1" applyFont="1" applyFill="1" applyBorder="1" applyAlignment="1">
      <alignment horizontal="right" vertical="top" indent="2" shrinkToFit="1"/>
    </xf>
    <xf numFmtId="4" fontId="49" fillId="0" borderId="5" xfId="0" applyNumberFormat="1" applyFont="1" applyFill="1" applyBorder="1" applyAlignment="1">
      <alignment horizontal="left" vertical="top" indent="2" shrinkToFit="1"/>
    </xf>
    <xf numFmtId="4" fontId="45" fillId="0" borderId="5" xfId="0" applyNumberFormat="1" applyFont="1" applyBorder="1" applyAlignment="1">
      <alignment horizontal="right" vertical="center" wrapText="1" indent="1"/>
    </xf>
    <xf numFmtId="4" fontId="50" fillId="0" borderId="5" xfId="0" applyNumberFormat="1" applyFont="1" applyBorder="1" applyAlignment="1">
      <alignment horizontal="left" vertical="top" wrapText="1" indent="4"/>
    </xf>
    <xf numFmtId="4" fontId="50" fillId="0" borderId="5" xfId="0" applyNumberFormat="1" applyFont="1" applyBorder="1" applyAlignment="1">
      <alignment horizontal="left" vertical="top" wrapText="1"/>
    </xf>
    <xf numFmtId="4" fontId="47" fillId="0" borderId="5" xfId="0" applyNumberFormat="1" applyFont="1" applyBorder="1" applyAlignment="1">
      <alignment horizontal="right" vertical="center" indent="3" shrinkToFit="1"/>
    </xf>
    <xf numFmtId="4" fontId="45" fillId="0" borderId="5" xfId="0" applyNumberFormat="1" applyFont="1" applyBorder="1" applyAlignment="1">
      <alignment horizontal="center" vertical="center" wrapText="1"/>
    </xf>
    <xf numFmtId="4" fontId="48" fillId="14" borderId="5" xfId="0" applyNumberFormat="1" applyFont="1" applyFill="1" applyBorder="1" applyAlignment="1">
      <alignment horizontal="right" vertical="top" wrapText="1" indent="1"/>
    </xf>
    <xf numFmtId="4" fontId="48" fillId="14" borderId="5" xfId="0" applyNumberFormat="1" applyFont="1" applyFill="1" applyBorder="1" applyAlignment="1">
      <alignment horizontal="left" vertical="top" wrapText="1" indent="6"/>
    </xf>
    <xf numFmtId="4" fontId="48" fillId="14" borderId="5" xfId="0" applyNumberFormat="1" applyFont="1" applyFill="1" applyBorder="1" applyAlignment="1">
      <alignment horizontal="left" vertical="top" wrapText="1"/>
    </xf>
    <xf numFmtId="4" fontId="49" fillId="14" borderId="5" xfId="0" applyNumberFormat="1" applyFont="1" applyFill="1" applyBorder="1" applyAlignment="1">
      <alignment horizontal="center" vertical="top" shrinkToFit="1"/>
    </xf>
    <xf numFmtId="4" fontId="49" fillId="14" borderId="5" xfId="0" applyNumberFormat="1" applyFont="1" applyFill="1" applyBorder="1" applyAlignment="1">
      <alignment horizontal="right" vertical="top" shrinkToFit="1"/>
    </xf>
    <xf numFmtId="4" fontId="50" fillId="14" borderId="5" xfId="0" applyNumberFormat="1" applyFont="1" applyFill="1" applyBorder="1" applyAlignment="1">
      <alignment horizontal="left" wrapText="1"/>
    </xf>
    <xf numFmtId="4" fontId="47" fillId="0" borderId="5" xfId="0" applyNumberFormat="1" applyFont="1" applyBorder="1" applyAlignment="1">
      <alignment horizontal="right" vertical="center" indent="2" shrinkToFit="1"/>
    </xf>
    <xf numFmtId="4" fontId="47" fillId="14" borderId="5" xfId="0" applyNumberFormat="1" applyFont="1" applyFill="1" applyBorder="1" applyAlignment="1">
      <alignment horizontal="right" vertical="center" indent="2" shrinkToFit="1"/>
    </xf>
    <xf numFmtId="4" fontId="45" fillId="14" borderId="5" xfId="0" applyNumberFormat="1" applyFont="1" applyFill="1" applyBorder="1" applyAlignment="1">
      <alignment horizontal="center" vertical="center" wrapText="1"/>
    </xf>
    <xf numFmtId="4" fontId="44" fillId="0" borderId="5" xfId="0" applyNumberFormat="1" applyFont="1" applyBorder="1" applyAlignment="1">
      <alignment horizontal="left" vertical="top" wrapText="1" indent="4"/>
    </xf>
    <xf numFmtId="4" fontId="44" fillId="0" borderId="5" xfId="0" applyNumberFormat="1" applyFont="1" applyBorder="1" applyAlignment="1">
      <alignment horizontal="left" vertical="top" wrapText="1"/>
    </xf>
    <xf numFmtId="4" fontId="44" fillId="14" borderId="5" xfId="0" applyNumberFormat="1" applyFont="1" applyFill="1" applyBorder="1" applyAlignment="1">
      <alignment horizontal="center" wrapText="1"/>
    </xf>
    <xf numFmtId="4" fontId="44" fillId="14" borderId="5" xfId="0" applyNumberFormat="1" applyFont="1" applyFill="1" applyBorder="1" applyAlignment="1">
      <alignment horizontal="left" wrapText="1"/>
    </xf>
    <xf numFmtId="4" fontId="45" fillId="0" borderId="5" xfId="0" applyNumberFormat="1" applyFont="1" applyBorder="1" applyAlignment="1">
      <alignment horizontal="right" vertical="top" wrapText="1" indent="1"/>
    </xf>
    <xf numFmtId="4" fontId="50" fillId="0" borderId="5" xfId="0" applyNumberFormat="1" applyFont="1" applyBorder="1" applyAlignment="1">
      <alignment horizontal="left" vertical="center" wrapText="1"/>
    </xf>
    <xf numFmtId="4" fontId="47" fillId="0" borderId="5" xfId="0" applyNumberFormat="1" applyFont="1" applyBorder="1" applyAlignment="1">
      <alignment horizontal="right" vertical="top" indent="3" shrinkToFit="1"/>
    </xf>
    <xf numFmtId="4" fontId="45" fillId="0" borderId="5" xfId="0" applyNumberFormat="1" applyFont="1" applyBorder="1" applyAlignment="1">
      <alignment horizontal="center" vertical="top" wrapText="1"/>
    </xf>
    <xf numFmtId="0" fontId="45" fillId="3" borderId="5" xfId="1817" applyFont="1" applyFill="1" applyBorder="1" applyAlignment="1">
      <alignment horizontal="center" vertical="top" wrapText="1"/>
    </xf>
    <xf numFmtId="0" fontId="45" fillId="3" borderId="5" xfId="1817" applyFont="1" applyFill="1" applyBorder="1" applyAlignment="1">
      <alignment horizontal="left" vertical="top" wrapText="1" indent="2"/>
    </xf>
    <xf numFmtId="0" fontId="44" fillId="3" borderId="5" xfId="1817" applyFont="1" applyFill="1" applyBorder="1" applyAlignment="1">
      <alignment horizontal="left" wrapText="1"/>
    </xf>
    <xf numFmtId="2" fontId="47" fillId="0" borderId="5" xfId="0" applyNumberFormat="1" applyFont="1" applyBorder="1" applyAlignment="1">
      <alignment horizontal="left" vertical="center" indent="2" shrinkToFit="1"/>
    </xf>
    <xf numFmtId="1" fontId="49" fillId="0" borderId="5" xfId="0" applyNumberFormat="1" applyFont="1" applyBorder="1" applyAlignment="1">
      <alignment horizontal="left" vertical="top" indent="1" shrinkToFit="1"/>
    </xf>
    <xf numFmtId="2" fontId="49" fillId="0" borderId="5" xfId="0" applyNumberFormat="1" applyFont="1" applyBorder="1" applyAlignment="1">
      <alignment horizontal="right" vertical="top" shrinkToFit="1"/>
    </xf>
    <xf numFmtId="169" fontId="49" fillId="0" borderId="5" xfId="0" applyNumberFormat="1" applyFont="1" applyBorder="1" applyAlignment="1">
      <alignment horizontal="left" vertical="top" indent="1" shrinkToFit="1"/>
    </xf>
    <xf numFmtId="2" fontId="49" fillId="0" borderId="5" xfId="0" applyNumberFormat="1" applyFont="1" applyBorder="1" applyAlignment="1">
      <alignment horizontal="left" vertical="top" indent="2" shrinkToFit="1"/>
    </xf>
    <xf numFmtId="172" fontId="49" fillId="0" borderId="5" xfId="0" applyNumberFormat="1" applyFont="1" applyBorder="1" applyAlignment="1">
      <alignment horizontal="center" vertical="top" shrinkToFit="1"/>
    </xf>
    <xf numFmtId="171" fontId="47" fillId="0" borderId="5" xfId="0" applyNumberFormat="1" applyFont="1" applyBorder="1" applyAlignment="1">
      <alignment horizontal="right" vertical="top" indent="1" shrinkToFit="1"/>
    </xf>
    <xf numFmtId="170" fontId="49" fillId="0" borderId="5" xfId="0" applyNumberFormat="1" applyFont="1" applyBorder="1" applyAlignment="1">
      <alignment horizontal="center" vertical="top" shrinkToFit="1"/>
    </xf>
    <xf numFmtId="172" fontId="49" fillId="0" borderId="5" xfId="0" applyNumberFormat="1" applyFont="1" applyBorder="1" applyAlignment="1">
      <alignment horizontal="left" vertical="top" indent="1" shrinkToFit="1"/>
    </xf>
    <xf numFmtId="170" fontId="49" fillId="0" borderId="5" xfId="0" applyNumberFormat="1" applyFont="1" applyBorder="1" applyAlignment="1">
      <alignment horizontal="left" vertical="top" indent="1" shrinkToFit="1"/>
    </xf>
    <xf numFmtId="171" fontId="47" fillId="0" borderId="5" xfId="0" applyNumberFormat="1" applyFont="1" applyBorder="1" applyAlignment="1">
      <alignment horizontal="right" vertical="center" indent="1" shrinkToFit="1"/>
    </xf>
    <xf numFmtId="0" fontId="48" fillId="0" borderId="5" xfId="0" applyFont="1" applyBorder="1" applyAlignment="1">
      <alignment horizontal="right" vertical="top" wrapText="1"/>
    </xf>
    <xf numFmtId="2" fontId="49" fillId="0" borderId="5" xfId="0" applyNumberFormat="1" applyFont="1" applyBorder="1" applyAlignment="1">
      <alignment horizontal="left" vertical="top" indent="6" shrinkToFit="1"/>
    </xf>
    <xf numFmtId="1" fontId="49" fillId="0" borderId="5" xfId="0" applyNumberFormat="1" applyFont="1" applyBorder="1" applyAlignment="1">
      <alignment horizontal="left" vertical="top" shrinkToFit="1"/>
    </xf>
    <xf numFmtId="0" fontId="53" fillId="0" borderId="5" xfId="0" applyFont="1" applyBorder="1" applyAlignment="1">
      <alignment horizontal="left" vertical="top" wrapText="1"/>
    </xf>
    <xf numFmtId="169" fontId="49" fillId="0" borderId="5" xfId="0" applyNumberFormat="1" applyFont="1" applyBorder="1" applyAlignment="1">
      <alignment horizontal="right" vertical="top" indent="2" shrinkToFit="1"/>
    </xf>
    <xf numFmtId="0" fontId="48" fillId="0" borderId="5" xfId="0" applyFont="1" applyBorder="1" applyAlignment="1">
      <alignment horizontal="right" vertical="top" wrapText="1" indent="9"/>
    </xf>
    <xf numFmtId="169" fontId="44" fillId="0" borderId="5" xfId="0" applyNumberFormat="1" applyFont="1" applyBorder="1" applyAlignment="1">
      <alignment horizontal="right" vertical="top" shrinkToFit="1"/>
    </xf>
    <xf numFmtId="2" fontId="47" fillId="0" borderId="5" xfId="0" applyNumberFormat="1" applyFont="1" applyBorder="1" applyAlignment="1">
      <alignment horizontal="right" vertical="center" indent="3" shrinkToFit="1"/>
    </xf>
    <xf numFmtId="4" fontId="49" fillId="0" borderId="5" xfId="0" applyNumberFormat="1" applyFont="1" applyBorder="1" applyAlignment="1">
      <alignment horizontal="right" vertical="top" shrinkToFit="1"/>
    </xf>
    <xf numFmtId="2" fontId="47" fillId="0" borderId="5" xfId="0" applyNumberFormat="1" applyFont="1" applyBorder="1" applyAlignment="1">
      <alignment horizontal="right" vertical="center" indent="2" shrinkToFit="1"/>
    </xf>
    <xf numFmtId="0" fontId="50" fillId="0" borderId="5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2" fontId="47" fillId="0" borderId="5" xfId="0" applyNumberFormat="1" applyFont="1" applyBorder="1" applyAlignment="1">
      <alignment horizontal="right" vertical="top" indent="3" shrinkToFit="1"/>
    </xf>
    <xf numFmtId="0" fontId="45" fillId="8" borderId="5" xfId="0" applyFont="1" applyFill="1" applyBorder="1" applyAlignment="1">
      <alignment horizontal="right" vertical="top" wrapText="1" indent="8"/>
    </xf>
    <xf numFmtId="0" fontId="48" fillId="0" borderId="5" xfId="0" applyFont="1" applyBorder="1" applyAlignment="1">
      <alignment horizontal="right" vertical="top" wrapText="1" indent="8"/>
    </xf>
    <xf numFmtId="1" fontId="49" fillId="0" borderId="5" xfId="0" applyNumberFormat="1" applyFont="1" applyBorder="1" applyAlignment="1">
      <alignment horizontal="left" vertical="top" indent="3" shrinkToFit="1"/>
    </xf>
    <xf numFmtId="2" fontId="47" fillId="0" borderId="5" xfId="0" applyNumberFormat="1" applyFont="1" applyBorder="1" applyAlignment="1">
      <alignment horizontal="right" vertical="top" indent="2" shrinkToFit="1"/>
    </xf>
    <xf numFmtId="4" fontId="45" fillId="0" borderId="5" xfId="1817" applyNumberFormat="1" applyFont="1" applyBorder="1" applyAlignment="1">
      <alignment horizontal="left" vertical="center" wrapText="1" indent="4"/>
    </xf>
    <xf numFmtId="4" fontId="48" fillId="16" borderId="5" xfId="1817" applyNumberFormat="1" applyFont="1" applyFill="1" applyBorder="1" applyAlignment="1">
      <alignment horizontal="left" vertical="top" wrapText="1" indent="6"/>
    </xf>
    <xf numFmtId="4" fontId="51" fillId="0" borderId="5" xfId="0" applyNumberFormat="1" applyFont="1" applyBorder="1" applyAlignment="1">
      <alignment horizontal="left" vertical="top" wrapText="1" indent="4"/>
    </xf>
    <xf numFmtId="4" fontId="0" fillId="0" borderId="0" xfId="0" applyNumberFormat="1"/>
    <xf numFmtId="10" fontId="54" fillId="0" borderId="0" xfId="0" applyNumberFormat="1" applyFont="1"/>
    <xf numFmtId="4" fontId="44" fillId="14" borderId="5" xfId="1817" applyNumberFormat="1" applyFont="1" applyFill="1" applyBorder="1" applyAlignment="1">
      <alignment horizontal="right" wrapText="1"/>
    </xf>
    <xf numFmtId="4" fontId="20" fillId="0" borderId="0" xfId="1817" applyNumberFormat="1" applyAlignment="1">
      <alignment horizontal="left" vertical="top"/>
    </xf>
    <xf numFmtId="173" fontId="49" fillId="14" borderId="5" xfId="1817" applyNumberFormat="1" applyFont="1" applyFill="1" applyBorder="1" applyAlignment="1">
      <alignment horizontal="center" vertical="top" shrinkToFit="1"/>
    </xf>
    <xf numFmtId="173" fontId="44" fillId="0" borderId="5" xfId="1817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0" fontId="15" fillId="5" borderId="1" xfId="0" applyNumberFormat="1" applyFont="1" applyFill="1" applyBorder="1" applyAlignment="1">
      <alignment horizontal="center" vertical="center"/>
    </xf>
    <xf numFmtId="44" fontId="15" fillId="5" borderId="1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2" fontId="0" fillId="0" borderId="0" xfId="0" applyNumberFormat="1"/>
    <xf numFmtId="44" fontId="54" fillId="0" borderId="0" xfId="0" applyNumberFormat="1" applyFont="1"/>
    <xf numFmtId="0" fontId="13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4" fontId="15" fillId="0" borderId="1" xfId="1813" applyFont="1" applyBorder="1" applyAlignment="1">
      <alignment horizontal="center" vertical="center" wrapText="1"/>
    </xf>
    <xf numFmtId="44" fontId="14" fillId="5" borderId="1" xfId="1813" applyFont="1" applyFill="1" applyBorder="1" applyAlignment="1">
      <alignment horizontal="center" vertical="center" wrapText="1"/>
    </xf>
    <xf numFmtId="168" fontId="15" fillId="0" borderId="1" xfId="0" applyNumberFormat="1" applyFont="1" applyBorder="1" applyAlignment="1">
      <alignment horizontal="center" vertical="center"/>
    </xf>
    <xf numFmtId="168" fontId="13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4" fontId="7" fillId="2" borderId="8" xfId="0" applyNumberFormat="1" applyFont="1" applyFill="1" applyBorder="1" applyAlignment="1" applyProtection="1">
      <alignment horizontal="center" vertical="center" wrapText="1"/>
      <protection hidden="1"/>
    </xf>
    <xf numFmtId="4" fontId="7" fillId="2" borderId="9" xfId="0" applyNumberFormat="1" applyFont="1" applyFill="1" applyBorder="1" applyAlignment="1" applyProtection="1">
      <alignment horizontal="center" vertical="center" wrapText="1"/>
      <protection hidden="1"/>
    </xf>
    <xf numFmtId="4" fontId="7" fillId="2" borderId="10" xfId="0" applyNumberFormat="1" applyFont="1" applyFill="1" applyBorder="1" applyAlignment="1" applyProtection="1">
      <alignment horizontal="center" vertical="center" wrapText="1"/>
      <protection hidden="1"/>
    </xf>
    <xf numFmtId="4" fontId="7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19" fillId="7" borderId="5" xfId="0" applyFont="1" applyFill="1" applyBorder="1" applyAlignment="1">
      <alignment horizontal="left" vertical="center" wrapText="1"/>
    </xf>
    <xf numFmtId="0" fontId="19" fillId="7" borderId="15" xfId="0" applyFont="1" applyFill="1" applyBorder="1" applyAlignment="1">
      <alignment horizontal="left" vertical="center" wrapText="1"/>
    </xf>
    <xf numFmtId="0" fontId="19" fillId="7" borderId="16" xfId="0" applyFont="1" applyFill="1" applyBorder="1" applyAlignment="1">
      <alignment horizontal="left" vertical="center" wrapText="1"/>
    </xf>
    <xf numFmtId="0" fontId="19" fillId="7" borderId="17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right" vertical="center"/>
      <protection hidden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7" fillId="2" borderId="6" xfId="0" applyNumberFormat="1" applyFont="1" applyFill="1" applyBorder="1" applyAlignment="1" applyProtection="1">
      <alignment horizontal="center" vertical="center" wrapText="1"/>
      <protection hidden="1"/>
    </xf>
    <xf numFmtId="4" fontId="7" fillId="2" borderId="18" xfId="0" applyNumberFormat="1" applyFont="1" applyFill="1" applyBorder="1" applyAlignment="1" applyProtection="1">
      <alignment horizontal="center" vertical="center" wrapText="1"/>
      <protection hidden="1"/>
    </xf>
    <xf numFmtId="4" fontId="7" fillId="2" borderId="7" xfId="0" applyNumberFormat="1" applyFont="1" applyFill="1" applyBorder="1" applyAlignment="1" applyProtection="1">
      <alignment horizontal="center" vertical="center" wrapText="1"/>
      <protection hidden="1"/>
    </xf>
    <xf numFmtId="14" fontId="13" fillId="0" borderId="2" xfId="0" applyNumberFormat="1" applyFont="1" applyBorder="1" applyAlignment="1">
      <alignment horizontal="center" vertical="center" wrapText="1"/>
    </xf>
    <xf numFmtId="14" fontId="13" fillId="0" borderId="4" xfId="0" applyNumberFormat="1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15" fillId="0" borderId="4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15" fillId="0" borderId="3" xfId="0" applyNumberFormat="1" applyFont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left" vertical="center" wrapText="1"/>
    </xf>
    <xf numFmtId="0" fontId="19" fillId="7" borderId="13" xfId="0" applyFont="1" applyFill="1" applyBorder="1" applyAlignment="1">
      <alignment horizontal="left" vertical="center" wrapText="1"/>
    </xf>
    <xf numFmtId="0" fontId="19" fillId="7" borderId="1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0" fillId="0" borderId="46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9" fillId="15" borderId="12" xfId="0" applyFont="1" applyFill="1" applyBorder="1" applyAlignment="1">
      <alignment horizontal="left" vertical="center" wrapText="1"/>
    </xf>
    <xf numFmtId="0" fontId="19" fillId="15" borderId="13" xfId="0" applyFont="1" applyFill="1" applyBorder="1" applyAlignment="1">
      <alignment horizontal="left" vertical="center" wrapText="1"/>
    </xf>
    <xf numFmtId="0" fontId="19" fillId="15" borderId="14" xfId="0" applyFont="1" applyFill="1" applyBorder="1" applyAlignment="1">
      <alignment horizontal="left" vertical="center" wrapText="1"/>
    </xf>
    <xf numFmtId="0" fontId="19" fillId="15" borderId="15" xfId="0" applyFont="1" applyFill="1" applyBorder="1" applyAlignment="1">
      <alignment horizontal="left" vertical="center" wrapText="1"/>
    </xf>
    <xf numFmtId="0" fontId="19" fillId="15" borderId="16" xfId="0" applyFont="1" applyFill="1" applyBorder="1" applyAlignment="1">
      <alignment horizontal="left" vertical="center" wrapText="1"/>
    </xf>
    <xf numFmtId="0" fontId="19" fillId="15" borderId="17" xfId="0" applyFont="1" applyFill="1" applyBorder="1" applyAlignment="1">
      <alignment horizontal="left" vertical="center" wrapText="1"/>
    </xf>
    <xf numFmtId="168" fontId="15" fillId="5" borderId="1" xfId="0" applyNumberFormat="1" applyFont="1" applyFill="1" applyBorder="1" applyAlignment="1">
      <alignment horizontal="center" vertical="center"/>
    </xf>
    <xf numFmtId="44" fontId="14" fillId="5" borderId="2" xfId="1813" applyFont="1" applyFill="1" applyBorder="1" applyAlignment="1">
      <alignment horizontal="center" vertical="center" wrapText="1"/>
    </xf>
    <xf numFmtId="44" fontId="14" fillId="5" borderId="3" xfId="1813" applyFont="1" applyFill="1" applyBorder="1" applyAlignment="1">
      <alignment horizontal="center" vertical="center" wrapText="1"/>
    </xf>
    <xf numFmtId="44" fontId="15" fillId="5" borderId="2" xfId="1813" applyFont="1" applyFill="1" applyBorder="1" applyAlignment="1">
      <alignment horizontal="center" vertical="center" wrapText="1"/>
    </xf>
    <xf numFmtId="44" fontId="15" fillId="5" borderId="3" xfId="1813" applyFont="1" applyFill="1" applyBorder="1" applyAlignment="1">
      <alignment horizontal="center" vertical="center" wrapText="1"/>
    </xf>
    <xf numFmtId="44" fontId="15" fillId="5" borderId="4" xfId="1813" applyFont="1" applyFill="1" applyBorder="1" applyAlignment="1">
      <alignment horizontal="center" vertical="center" wrapText="1"/>
    </xf>
    <xf numFmtId="0" fontId="24" fillId="10" borderId="15" xfId="1817" applyFont="1" applyFill="1" applyBorder="1" applyAlignment="1">
      <alignment horizontal="left" vertical="top" wrapText="1"/>
    </xf>
    <xf numFmtId="0" fontId="24" fillId="10" borderId="21" xfId="1817" applyFont="1" applyFill="1" applyBorder="1" applyAlignment="1">
      <alignment horizontal="left" vertical="top" wrapText="1"/>
    </xf>
    <xf numFmtId="0" fontId="29" fillId="0" borderId="36" xfId="1817" applyFont="1" applyBorder="1" applyAlignment="1">
      <alignment horizontal="left" vertical="top" wrapText="1"/>
    </xf>
    <xf numFmtId="0" fontId="29" fillId="0" borderId="0" xfId="1817" applyFont="1" applyAlignment="1">
      <alignment horizontal="left" vertical="top" wrapText="1"/>
    </xf>
    <xf numFmtId="0" fontId="20" fillId="0" borderId="36" xfId="1817" applyBorder="1" applyAlignment="1">
      <alignment horizontal="left" wrapText="1"/>
    </xf>
    <xf numFmtId="0" fontId="20" fillId="0" borderId="0" xfId="1817" applyAlignment="1">
      <alignment horizontal="left" wrapText="1"/>
    </xf>
    <xf numFmtId="0" fontId="24" fillId="12" borderId="0" xfId="1817" applyFont="1" applyFill="1" applyAlignment="1">
      <alignment horizontal="center" vertical="top" wrapText="1"/>
    </xf>
    <xf numFmtId="0" fontId="20" fillId="0" borderId="34" xfId="1817" applyBorder="1" applyAlignment="1">
      <alignment horizontal="left" wrapText="1"/>
    </xf>
    <xf numFmtId="0" fontId="20" fillId="0" borderId="33" xfId="1817" applyBorder="1" applyAlignment="1">
      <alignment horizontal="left" wrapText="1"/>
    </xf>
    <xf numFmtId="0" fontId="20" fillId="0" borderId="32" xfId="1817" applyBorder="1" applyAlignment="1">
      <alignment horizontal="left" wrapText="1"/>
    </xf>
    <xf numFmtId="0" fontId="24" fillId="11" borderId="31" xfId="1817" applyFont="1" applyFill="1" applyBorder="1" applyAlignment="1">
      <alignment horizontal="left" vertical="top" wrapText="1" indent="1"/>
    </xf>
    <xf numFmtId="0" fontId="24" fillId="11" borderId="25" xfId="1817" applyFont="1" applyFill="1" applyBorder="1" applyAlignment="1">
      <alignment horizontal="left" vertical="top" wrapText="1" indent="1"/>
    </xf>
    <xf numFmtId="0" fontId="24" fillId="11" borderId="30" xfId="1817" applyFont="1" applyFill="1" applyBorder="1" applyAlignment="1">
      <alignment horizontal="center" vertical="top" wrapText="1"/>
    </xf>
    <xf numFmtId="0" fontId="24" fillId="11" borderId="24" xfId="1817" applyFont="1" applyFill="1" applyBorder="1" applyAlignment="1">
      <alignment horizontal="center" vertical="top" wrapText="1"/>
    </xf>
    <xf numFmtId="0" fontId="24" fillId="11" borderId="30" xfId="1817" applyFont="1" applyFill="1" applyBorder="1" applyAlignment="1">
      <alignment horizontal="left" vertical="top" wrapText="1"/>
    </xf>
    <xf numFmtId="0" fontId="24" fillId="11" borderId="24" xfId="1817" applyFont="1" applyFill="1" applyBorder="1" applyAlignment="1">
      <alignment horizontal="left" vertical="top" wrapText="1"/>
    </xf>
    <xf numFmtId="0" fontId="24" fillId="11" borderId="29" xfId="1817" applyFont="1" applyFill="1" applyBorder="1" applyAlignment="1">
      <alignment horizontal="center" vertical="top" wrapText="1"/>
    </xf>
    <xf numFmtId="0" fontId="24" fillId="11" borderId="28" xfId="1817" applyFont="1" applyFill="1" applyBorder="1" applyAlignment="1">
      <alignment horizontal="center" vertical="top" wrapText="1"/>
    </xf>
    <xf numFmtId="0" fontId="24" fillId="11" borderId="27" xfId="1817" applyFont="1" applyFill="1" applyBorder="1" applyAlignment="1">
      <alignment horizontal="center" vertical="top" wrapText="1"/>
    </xf>
    <xf numFmtId="0" fontId="24" fillId="11" borderId="26" xfId="1817" applyFont="1" applyFill="1" applyBorder="1" applyAlignment="1">
      <alignment horizontal="left" vertical="top" wrapText="1"/>
    </xf>
    <xf numFmtId="0" fontId="24" fillId="11" borderId="22" xfId="1817" applyFont="1" applyFill="1" applyBorder="1" applyAlignment="1">
      <alignment horizontal="left" vertical="top" wrapText="1"/>
    </xf>
    <xf numFmtId="0" fontId="29" fillId="0" borderId="39" xfId="1817" applyFont="1" applyBorder="1" applyAlignment="1">
      <alignment horizontal="left" vertical="top" wrapText="1"/>
    </xf>
    <xf numFmtId="0" fontId="29" fillId="0" borderId="38" xfId="1817" applyFont="1" applyBorder="1" applyAlignment="1">
      <alignment horizontal="left" vertical="top" wrapText="1"/>
    </xf>
    <xf numFmtId="0" fontId="24" fillId="0" borderId="0" xfId="1817" applyFont="1" applyAlignment="1">
      <alignment horizontal="left" vertical="top" wrapText="1"/>
    </xf>
    <xf numFmtId="49" fontId="16" fillId="0" borderId="1" xfId="1817" applyNumberFormat="1" applyFont="1" applyBorder="1" applyAlignment="1">
      <alignment horizontal="center" vertical="center" wrapText="1"/>
    </xf>
    <xf numFmtId="0" fontId="13" fillId="0" borderId="1" xfId="1817" applyFont="1" applyBorder="1" applyAlignment="1">
      <alignment horizontal="center" vertical="center" wrapText="1"/>
    </xf>
    <xf numFmtId="0" fontId="35" fillId="13" borderId="1" xfId="1817" applyFont="1" applyFill="1" applyBorder="1" applyAlignment="1">
      <alignment horizontal="center" vertical="center"/>
    </xf>
    <xf numFmtId="0" fontId="33" fillId="13" borderId="43" xfId="1817" applyFont="1" applyFill="1" applyBorder="1" applyAlignment="1">
      <alignment horizontal="center" vertical="top" wrapText="1"/>
    </xf>
    <xf numFmtId="0" fontId="33" fillId="13" borderId="42" xfId="1817" applyFont="1" applyFill="1" applyBorder="1" applyAlignment="1">
      <alignment horizontal="center" vertical="top" wrapText="1"/>
    </xf>
    <xf numFmtId="0" fontId="33" fillId="13" borderId="41" xfId="1817" applyFont="1" applyFill="1" applyBorder="1" applyAlignment="1">
      <alignment horizontal="center" vertical="top" wrapText="1"/>
    </xf>
    <xf numFmtId="0" fontId="33" fillId="13" borderId="40" xfId="1817" applyFont="1" applyFill="1" applyBorder="1" applyAlignment="1">
      <alignment horizontal="left" vertical="top" wrapText="1"/>
    </xf>
    <xf numFmtId="0" fontId="33" fillId="13" borderId="22" xfId="1817" applyFont="1" applyFill="1" applyBorder="1" applyAlignment="1">
      <alignment horizontal="left" vertical="top" wrapText="1"/>
    </xf>
    <xf numFmtId="0" fontId="33" fillId="13" borderId="44" xfId="1817" applyFont="1" applyFill="1" applyBorder="1" applyAlignment="1">
      <alignment horizontal="left" vertical="top" wrapText="1"/>
    </xf>
    <xf numFmtId="0" fontId="33" fillId="13" borderId="24" xfId="1817" applyFont="1" applyFill="1" applyBorder="1" applyAlignment="1">
      <alignment horizontal="left" vertical="top" wrapText="1"/>
    </xf>
    <xf numFmtId="0" fontId="33" fillId="10" borderId="15" xfId="1817" applyFont="1" applyFill="1" applyBorder="1" applyAlignment="1">
      <alignment horizontal="left" vertical="top" wrapText="1"/>
    </xf>
    <xf numFmtId="0" fontId="33" fillId="10" borderId="21" xfId="1817" applyFont="1" applyFill="1" applyBorder="1" applyAlignment="1">
      <alignment horizontal="left" vertical="top" wrapText="1"/>
    </xf>
    <xf numFmtId="0" fontId="10" fillId="0" borderId="1" xfId="1817" applyFont="1" applyBorder="1" applyAlignment="1">
      <alignment horizontal="center" vertical="center" wrapText="1"/>
    </xf>
    <xf numFmtId="0" fontId="12" fillId="0" borderId="1" xfId="1817" applyFont="1" applyBorder="1" applyAlignment="1">
      <alignment horizontal="center" vertical="center" wrapText="1"/>
    </xf>
    <xf numFmtId="0" fontId="12" fillId="0" borderId="1" xfId="1817" applyFont="1" applyBorder="1" applyAlignment="1">
      <alignment horizontal="left" vertical="center" wrapText="1"/>
    </xf>
    <xf numFmtId="14" fontId="15" fillId="0" borderId="1" xfId="1817" applyNumberFormat="1" applyFont="1" applyBorder="1" applyAlignment="1">
      <alignment horizontal="center" vertical="center" wrapText="1"/>
    </xf>
    <xf numFmtId="0" fontId="15" fillId="0" borderId="1" xfId="1817" applyFont="1" applyBorder="1" applyAlignment="1">
      <alignment horizontal="center" vertical="center" wrapText="1"/>
    </xf>
    <xf numFmtId="0" fontId="20" fillId="0" borderId="1" xfId="1817" applyBorder="1" applyAlignment="1">
      <alignment horizontal="center" vertical="top"/>
    </xf>
    <xf numFmtId="14" fontId="13" fillId="0" borderId="1" xfId="1817" applyNumberFormat="1" applyFont="1" applyBorder="1" applyAlignment="1">
      <alignment horizontal="center" vertical="center" wrapText="1"/>
    </xf>
    <xf numFmtId="0" fontId="33" fillId="13" borderId="45" xfId="1817" applyFont="1" applyFill="1" applyBorder="1" applyAlignment="1">
      <alignment horizontal="left" vertical="top" wrapText="1" indent="1"/>
    </xf>
    <xf numFmtId="0" fontId="33" fillId="13" borderId="25" xfId="1817" applyFont="1" applyFill="1" applyBorder="1" applyAlignment="1">
      <alignment horizontal="left" vertical="top" wrapText="1" indent="1"/>
    </xf>
    <xf numFmtId="0" fontId="33" fillId="13" borderId="44" xfId="1817" applyFont="1" applyFill="1" applyBorder="1" applyAlignment="1">
      <alignment horizontal="center" vertical="top" wrapText="1"/>
    </xf>
    <xf numFmtId="0" fontId="33" fillId="13" borderId="24" xfId="1817" applyFont="1" applyFill="1" applyBorder="1" applyAlignment="1">
      <alignment horizontal="center" vertical="top" wrapText="1"/>
    </xf>
    <xf numFmtId="0" fontId="17" fillId="4" borderId="5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55" fillId="4" borderId="5" xfId="0" applyFont="1" applyFill="1" applyBorder="1" applyAlignment="1">
      <alignment horizontal="left" vertical="center" wrapText="1"/>
    </xf>
    <xf numFmtId="4" fontId="17" fillId="4" borderId="5" xfId="0" applyNumberFormat="1" applyFont="1" applyFill="1" applyBorder="1" applyAlignment="1">
      <alignment horizontal="right" vertical="center" wrapText="1"/>
    </xf>
    <xf numFmtId="44" fontId="11" fillId="4" borderId="1" xfId="1813" applyFont="1" applyFill="1" applyBorder="1" applyAlignment="1" applyProtection="1">
      <alignment horizontal="right" vertical="center" wrapText="1"/>
      <protection hidden="1"/>
    </xf>
    <xf numFmtId="4" fontId="11" fillId="4" borderId="1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1" xfId="1807" applyNumberFormat="1" applyFont="1" applyFill="1" applyBorder="1" applyAlignment="1" applyProtection="1">
      <alignment horizontal="right" vertical="center" wrapText="1"/>
      <protection hidden="1"/>
    </xf>
    <xf numFmtId="0" fontId="17" fillId="16" borderId="5" xfId="0" applyFont="1" applyFill="1" applyBorder="1" applyAlignment="1">
      <alignment horizontal="left" vertical="center" wrapText="1"/>
    </xf>
    <xf numFmtId="0" fontId="17" fillId="16" borderId="5" xfId="0" applyFont="1" applyFill="1" applyBorder="1" applyAlignment="1">
      <alignment horizontal="center" vertical="center" wrapText="1"/>
    </xf>
    <xf numFmtId="4" fontId="17" fillId="16" borderId="5" xfId="0" applyNumberFormat="1" applyFont="1" applyFill="1" applyBorder="1" applyAlignment="1">
      <alignment horizontal="right" vertical="center" wrapText="1"/>
    </xf>
    <xf numFmtId="44" fontId="11" fillId="16" borderId="1" xfId="1813" applyFont="1" applyFill="1" applyBorder="1" applyAlignment="1" applyProtection="1">
      <alignment horizontal="right" vertical="center" wrapText="1"/>
      <protection hidden="1"/>
    </xf>
    <xf numFmtId="4" fontId="11" fillId="16" borderId="1" xfId="0" applyNumberFormat="1" applyFont="1" applyFill="1" applyBorder="1" applyAlignment="1" applyProtection="1">
      <alignment horizontal="right" vertical="center" wrapText="1"/>
      <protection hidden="1"/>
    </xf>
    <xf numFmtId="10" fontId="11" fillId="16" borderId="1" xfId="1807" applyNumberFormat="1" applyFont="1" applyFill="1" applyBorder="1" applyAlignment="1" applyProtection="1">
      <alignment horizontal="right" vertical="center" wrapText="1"/>
      <protection hidden="1"/>
    </xf>
  </cellXfs>
  <cellStyles count="1818">
    <cellStyle name="Excel Built-in Normal" xfId="1"/>
    <cellStyle name="Excel Built-in Normal 10" xfId="1016"/>
    <cellStyle name="Excel Built-in Normal 11" xfId="1019"/>
    <cellStyle name="Excel Built-in Normal 12" xfId="1024"/>
    <cellStyle name="Excel Built-in Normal 13" xfId="1572"/>
    <cellStyle name="Excel Built-in Normal 2" xfId="12"/>
    <cellStyle name="Excel Built-in Normal 3" xfId="90"/>
    <cellStyle name="Excel Built-in Normal 4" xfId="171"/>
    <cellStyle name="Excel Built-in Normal 5" xfId="299"/>
    <cellStyle name="Excel Built-in Normal 6" xfId="303"/>
    <cellStyle name="Excel Built-in Normal 7" xfId="403"/>
    <cellStyle name="Excel Built-in Normal 8" xfId="425"/>
    <cellStyle name="Excel Built-in Normal 9" xfId="428"/>
    <cellStyle name="Moeda" xfId="1813" builtinId="4"/>
    <cellStyle name="Moeda 10" xfId="1004"/>
    <cellStyle name="Moeda 11" xfId="48"/>
    <cellStyle name="Moeda 11 2" xfId="95"/>
    <cellStyle name="Moeda 11 3" xfId="112"/>
    <cellStyle name="Moeda 12" xfId="53"/>
    <cellStyle name="Moeda 12 2" xfId="96"/>
    <cellStyle name="Moeda 12 3" xfId="113"/>
    <cellStyle name="Moeda 13" xfId="59"/>
    <cellStyle name="Moeda 13 2" xfId="98"/>
    <cellStyle name="Moeda 13 3" xfId="115"/>
    <cellStyle name="Moeda 14" xfId="804"/>
    <cellStyle name="Moeda 15" xfId="68"/>
    <cellStyle name="Moeda 15 2" xfId="100"/>
    <cellStyle name="Moeda 15 3" xfId="117"/>
    <cellStyle name="Moeda 16" xfId="73"/>
    <cellStyle name="Moeda 16 2" xfId="102"/>
    <cellStyle name="Moeda 16 3" xfId="119"/>
    <cellStyle name="Moeda 17" xfId="77"/>
    <cellStyle name="Moeda 17 2" xfId="103"/>
    <cellStyle name="Moeda 17 3" xfId="120"/>
    <cellStyle name="Moeda 19" xfId="104"/>
    <cellStyle name="Moeda 2" xfId="778"/>
    <cellStyle name="Moeda 2 10" xfId="52"/>
    <cellStyle name="Moeda 2 11" xfId="58"/>
    <cellStyle name="Moeda 2 12" xfId="63"/>
    <cellStyle name="Moeda 2 13" xfId="67"/>
    <cellStyle name="Moeda 2 14" xfId="72"/>
    <cellStyle name="Moeda 2 15" xfId="76"/>
    <cellStyle name="Moeda 2 16" xfId="80"/>
    <cellStyle name="Moeda 2 17" xfId="83"/>
    <cellStyle name="Moeda 2 18" xfId="86"/>
    <cellStyle name="Moeda 2 19" xfId="105"/>
    <cellStyle name="Moeda 2 2" xfId="2"/>
    <cellStyle name="Moeda 2 2 10" xfId="39"/>
    <cellStyle name="Moeda 2 2 11" xfId="30"/>
    <cellStyle name="Moeda 2 2 12" xfId="28"/>
    <cellStyle name="Moeda 2 2 13" xfId="42"/>
    <cellStyle name="Moeda 2 2 14" xfId="46"/>
    <cellStyle name="Moeda 2 2 15" xfId="51"/>
    <cellStyle name="Moeda 2 2 16" xfId="57"/>
    <cellStyle name="Moeda 2 2 17" xfId="62"/>
    <cellStyle name="Moeda 2 2 18" xfId="87"/>
    <cellStyle name="Moeda 2 2 19" xfId="106"/>
    <cellStyle name="Moeda 2 2 2" xfId="3"/>
    <cellStyle name="Moeda 2 2 2 10" xfId="289"/>
    <cellStyle name="Moeda 2 2 2 11" xfId="248"/>
    <cellStyle name="Moeda 2 2 2 11 10" xfId="587"/>
    <cellStyle name="Moeda 2 2 2 11 11" xfId="619"/>
    <cellStyle name="Moeda 2 2 2 11 12" xfId="649"/>
    <cellStyle name="Moeda 2 2 2 11 13" xfId="936"/>
    <cellStyle name="Moeda 2 2 2 11 14" xfId="918"/>
    <cellStyle name="Moeda 2 2 2 11 15" xfId="950"/>
    <cellStyle name="Moeda 2 2 2 11 16" xfId="947"/>
    <cellStyle name="Moeda 2 2 2 11 17" xfId="1055"/>
    <cellStyle name="Moeda 2 2 2 11 18" xfId="1087"/>
    <cellStyle name="Moeda 2 2 2 11 19" xfId="1119"/>
    <cellStyle name="Moeda 2 2 2 11 2" xfId="430"/>
    <cellStyle name="Moeda 2 2 2 11 20" xfId="1144"/>
    <cellStyle name="Moeda 2 2 2 11 21" xfId="1172"/>
    <cellStyle name="Moeda 2 2 2 11 22" xfId="1197"/>
    <cellStyle name="Moeda 2 2 2 11 23" xfId="1276"/>
    <cellStyle name="Moeda 2 2 2 11 24" xfId="1272"/>
    <cellStyle name="Moeda 2 2 2 11 25" xfId="1262"/>
    <cellStyle name="Moeda 2 2 2 11 26" xfId="1300"/>
    <cellStyle name="Moeda 2 2 2 11 27" xfId="1320"/>
    <cellStyle name="Moeda 2 2 2 11 28" xfId="960"/>
    <cellStyle name="Moeda 2 2 2 11 29" xfId="1494"/>
    <cellStyle name="Moeda 2 2 2 11 3" xfId="318"/>
    <cellStyle name="Moeda 2 2 2 11 30" xfId="1560"/>
    <cellStyle name="Moeda 2 2 2 11 31" xfId="1556"/>
    <cellStyle name="Moeda 2 2 2 11 32" xfId="1536"/>
    <cellStyle name="Moeda 2 2 2 11 33" xfId="1635"/>
    <cellStyle name="Moeda 2 2 2 11 34" xfId="1658"/>
    <cellStyle name="Moeda 2 2 2 11 35" xfId="1679"/>
    <cellStyle name="Moeda 2 2 2 11 36" xfId="1700"/>
    <cellStyle name="Moeda 2 2 2 11 37" xfId="1720"/>
    <cellStyle name="Moeda 2 2 2 11 38" xfId="1383"/>
    <cellStyle name="Moeda 2 2 2 11 39" xfId="1754"/>
    <cellStyle name="Moeda 2 2 2 11 4" xfId="338"/>
    <cellStyle name="Moeda 2 2 2 11 40" xfId="1793"/>
    <cellStyle name="Moeda 2 2 2 11 5" xfId="334"/>
    <cellStyle name="Moeda 2 2 2 11 6" xfId="350"/>
    <cellStyle name="Moeda 2 2 2 11 7" xfId="155"/>
    <cellStyle name="Moeda 2 2 2 11 8" xfId="450"/>
    <cellStyle name="Moeda 2 2 2 11 9" xfId="377"/>
    <cellStyle name="Moeda 2 2 2 12" xfId="431"/>
    <cellStyle name="Moeda 2 2 2 13" xfId="203"/>
    <cellStyle name="Moeda 2 2 2 14" xfId="189"/>
    <cellStyle name="Moeda 2 2 2 15" xfId="405"/>
    <cellStyle name="Moeda 2 2 2 16" xfId="573"/>
    <cellStyle name="Moeda 2 2 2 17" xfId="608"/>
    <cellStyle name="Moeda 2 2 2 18" xfId="638"/>
    <cellStyle name="Moeda 2 2 2 19" xfId="667"/>
    <cellStyle name="Moeda 2 2 2 2" xfId="91"/>
    <cellStyle name="Moeda 2 2 2 2 10" xfId="210"/>
    <cellStyle name="Moeda 2 2 2 2 11" xfId="220"/>
    <cellStyle name="Moeda 2 2 2 2 11 10" xfId="714"/>
    <cellStyle name="Moeda 2 2 2 2 11 11" xfId="737"/>
    <cellStyle name="Moeda 2 2 2 2 11 12" xfId="753"/>
    <cellStyle name="Moeda 2 2 2 2 11 13" xfId="906"/>
    <cellStyle name="Moeda 2 2 2 2 11 14" xfId="879"/>
    <cellStyle name="Moeda 2 2 2 2 11 15" xfId="859"/>
    <cellStyle name="Moeda 2 2 2 2 11 16" xfId="916"/>
    <cellStyle name="Moeda 2 2 2 2 11 17" xfId="1061"/>
    <cellStyle name="Moeda 2 2 2 2 11 18" xfId="1093"/>
    <cellStyle name="Moeda 2 2 2 2 11 19" xfId="1123"/>
    <cellStyle name="Moeda 2 2 2 2 11 2" xfId="396"/>
    <cellStyle name="Moeda 2 2 2 2 11 20" xfId="1150"/>
    <cellStyle name="Moeda 2 2 2 2 11 21" xfId="1174"/>
    <cellStyle name="Moeda 2 2 2 2 11 22" xfId="1202"/>
    <cellStyle name="Moeda 2 2 2 2 11 23" xfId="1155"/>
    <cellStyle name="Moeda 2 2 2 2 11 24" xfId="1188"/>
    <cellStyle name="Moeda 2 2 2 2 11 25" xfId="873"/>
    <cellStyle name="Moeda 2 2 2 2 11 26" xfId="1302"/>
    <cellStyle name="Moeda 2 2 2 2 11 27" xfId="1324"/>
    <cellStyle name="Moeda 2 2 2 2 11 28" xfId="1356"/>
    <cellStyle name="Moeda 2 2 2 2 11 29" xfId="1467"/>
    <cellStyle name="Moeda 2 2 2 2 11 3" xfId="498"/>
    <cellStyle name="Moeda 2 2 2 2 11 30" xfId="1508"/>
    <cellStyle name="Moeda 2 2 2 2 11 31" xfId="1421"/>
    <cellStyle name="Moeda 2 2 2 2 11 32" xfId="1614"/>
    <cellStyle name="Moeda 2 2 2 2 11 33" xfId="1645"/>
    <cellStyle name="Moeda 2 2 2 2 11 34" xfId="1667"/>
    <cellStyle name="Moeda 2 2 2 2 11 35" xfId="1688"/>
    <cellStyle name="Moeda 2 2 2 2 11 36" xfId="1708"/>
    <cellStyle name="Moeda 2 2 2 2 11 37" xfId="1725"/>
    <cellStyle name="Moeda 2 2 2 2 11 38" xfId="1581"/>
    <cellStyle name="Moeda 2 2 2 2 11 39" xfId="1441"/>
    <cellStyle name="Moeda 2 2 2 2 11 4" xfId="375"/>
    <cellStyle name="Moeda 2 2 2 2 11 40" xfId="1783"/>
    <cellStyle name="Moeda 2 2 2 2 11 5" xfId="565"/>
    <cellStyle name="Moeda 2 2 2 2 11 6" xfId="601"/>
    <cellStyle name="Moeda 2 2 2 2 11 7" xfId="631"/>
    <cellStyle name="Moeda 2 2 2 2 11 8" xfId="660"/>
    <cellStyle name="Moeda 2 2 2 2 11 9" xfId="688"/>
    <cellStyle name="Moeda 2 2 2 2 12" xfId="519"/>
    <cellStyle name="Moeda 2 2 2 2 13" xfId="255"/>
    <cellStyle name="Moeda 2 2 2 2 14" xfId="483"/>
    <cellStyle name="Moeda 2 2 2 2 15" xfId="380"/>
    <cellStyle name="Moeda 2 2 2 2 16" xfId="487"/>
    <cellStyle name="Moeda 2 2 2 2 17" xfId="453"/>
    <cellStyle name="Moeda 2 2 2 2 18" xfId="525"/>
    <cellStyle name="Moeda 2 2 2 2 19" xfId="358"/>
    <cellStyle name="Moeda 2 2 2 2 2" xfId="92"/>
    <cellStyle name="Moeda 2 2 2 2 2 10" xfId="185"/>
    <cellStyle name="Moeda 2 2 2 2 2 10 10" xfId="744"/>
    <cellStyle name="Moeda 2 2 2 2 2 10 11" xfId="759"/>
    <cellStyle name="Moeda 2 2 2 2 2 10 12" xfId="769"/>
    <cellStyle name="Moeda 2 2 2 2 2 10 13" xfId="905"/>
    <cellStyle name="Moeda 2 2 2 2 2 10 14" xfId="880"/>
    <cellStyle name="Moeda 2 2 2 2 2 10 15" xfId="1050"/>
    <cellStyle name="Moeda 2 2 2 2 2 10 16" xfId="1082"/>
    <cellStyle name="Moeda 2 2 2 2 2 10 17" xfId="1114"/>
    <cellStyle name="Moeda 2 2 2 2 2 10 18" xfId="1139"/>
    <cellStyle name="Moeda 2 2 2 2 2 10 19" xfId="1166"/>
    <cellStyle name="Moeda 2 2 2 2 2 10 2" xfId="394"/>
    <cellStyle name="Moeda 2 2 2 2 2 10 20" xfId="1191"/>
    <cellStyle name="Moeda 2 2 2 2 2 10 21" xfId="1215"/>
    <cellStyle name="Moeda 2 2 2 2 2 10 22" xfId="1243"/>
    <cellStyle name="Moeda 2 2 2 2 2 10 23" xfId="1229"/>
    <cellStyle name="Moeda 2 2 2 2 2 10 24" xfId="1296"/>
    <cellStyle name="Moeda 2 2 2 2 2 10 25" xfId="1315"/>
    <cellStyle name="Moeda 2 2 2 2 2 10 26" xfId="1333"/>
    <cellStyle name="Moeda 2 2 2 2 2 10 27" xfId="1345"/>
    <cellStyle name="Moeda 2 2 2 2 2 10 28" xfId="1355"/>
    <cellStyle name="Moeda 2 2 2 2 2 10 29" xfId="1466"/>
    <cellStyle name="Moeda 2 2 2 2 2 10 3" xfId="500"/>
    <cellStyle name="Moeda 2 2 2 2 2 10 30" xfId="1533"/>
    <cellStyle name="Moeda 2 2 2 2 2 10 31" xfId="1587"/>
    <cellStyle name="Moeda 2 2 2 2 2 10 32" xfId="1505"/>
    <cellStyle name="Moeda 2 2 2 2 2 10 33" xfId="1395"/>
    <cellStyle name="Moeda 2 2 2 2 2 10 34" xfId="1397"/>
    <cellStyle name="Moeda 2 2 2 2 2 10 35" xfId="1547"/>
    <cellStyle name="Moeda 2 2 2 2 2 10 36" xfId="1389"/>
    <cellStyle name="Moeda 2 2 2 2 2 10 37" xfId="1570"/>
    <cellStyle name="Moeda 2 2 2 2 2 10 38" xfId="1738"/>
    <cellStyle name="Moeda 2 2 2 2 2 10 39" xfId="1714"/>
    <cellStyle name="Moeda 2 2 2 2 2 10 4" xfId="576"/>
    <cellStyle name="Moeda 2 2 2 2 2 10 40" xfId="1782"/>
    <cellStyle name="Moeda 2 2 2 2 2 10 5" xfId="610"/>
    <cellStyle name="Moeda 2 2 2 2 2 10 6" xfId="640"/>
    <cellStyle name="Moeda 2 2 2 2 2 10 7" xfId="669"/>
    <cellStyle name="Moeda 2 2 2 2 2 10 8" xfId="696"/>
    <cellStyle name="Moeda 2 2 2 2 2 10 9" xfId="721"/>
    <cellStyle name="Moeda 2 2 2 2 2 11" xfId="520"/>
    <cellStyle name="Moeda 2 2 2 2 2 12" xfId="449"/>
    <cellStyle name="Moeda 2 2 2 2 2 13" xfId="501"/>
    <cellStyle name="Moeda 2 2 2 2 2 14" xfId="222"/>
    <cellStyle name="Moeda 2 2 2 2 2 15" xfId="352"/>
    <cellStyle name="Moeda 2 2 2 2 2 16" xfId="233"/>
    <cellStyle name="Moeda 2 2 2 2 2 17" xfId="349"/>
    <cellStyle name="Moeda 2 2 2 2 2 18" xfId="263"/>
    <cellStyle name="Moeda 2 2 2 2 2 19" xfId="337"/>
    <cellStyle name="Moeda 2 2 2 2 2 2" xfId="239"/>
    <cellStyle name="Moeda 2 2 2 2 2 2 10" xfId="524"/>
    <cellStyle name="Moeda 2 2 2 2 2 2 11" xfId="205"/>
    <cellStyle name="Moeda 2 2 2 2 2 2 12" xfId="217"/>
    <cellStyle name="Moeda 2 2 2 2 2 2 13" xfId="336"/>
    <cellStyle name="Moeda 2 2 2 2 2 2 14" xfId="499"/>
    <cellStyle name="Moeda 2 2 2 2 2 2 15" xfId="567"/>
    <cellStyle name="Moeda 2 2 2 2 2 2 16" xfId="603"/>
    <cellStyle name="Moeda 2 2 2 2 2 2 17" xfId="633"/>
    <cellStyle name="Moeda 2 2 2 2 2 2 18" xfId="662"/>
    <cellStyle name="Moeda 2 2 2 2 2 2 19" xfId="850"/>
    <cellStyle name="Moeda 2 2 2 2 2 2 2" xfId="240"/>
    <cellStyle name="Moeda 2 2 2 2 2 2 2 10" xfId="596"/>
    <cellStyle name="Moeda 2 2 2 2 2 2 2 11" xfId="626"/>
    <cellStyle name="Moeda 2 2 2 2 2 2 2 12" xfId="655"/>
    <cellStyle name="Moeda 2 2 2 2 2 2 2 13" xfId="683"/>
    <cellStyle name="Moeda 2 2 2 2 2 2 2 14" xfId="709"/>
    <cellStyle name="Moeda 2 2 2 2 2 2 2 15" xfId="963"/>
    <cellStyle name="Moeda 2 2 2 2 2 2 2 16" xfId="858"/>
    <cellStyle name="Moeda 2 2 2 2 2 2 2 17" xfId="785"/>
    <cellStyle name="Moeda 2 2 2 2 2 2 2 18" xfId="1058"/>
    <cellStyle name="Moeda 2 2 2 2 2 2 2 19" xfId="1090"/>
    <cellStyle name="Moeda 2 2 2 2 2 2 2 2" xfId="462"/>
    <cellStyle name="Moeda 2 2 2 2 2 2 2 2 10" xfId="201"/>
    <cellStyle name="Moeda 2 2 2 2 2 2 2 2 11" xfId="419"/>
    <cellStyle name="Moeda 2 2 2 2 2 2 2 2 12" xfId="260"/>
    <cellStyle name="Moeda 2 2 2 2 2 2 2 2 13" xfId="964"/>
    <cellStyle name="Moeda 2 2 2 2 2 2 2 2 14" xfId="837"/>
    <cellStyle name="Moeda 2 2 2 2 2 2 2 2 15" xfId="976"/>
    <cellStyle name="Moeda 2 2 2 2 2 2 2 2 16" xfId="921"/>
    <cellStyle name="Moeda 2 2 2 2 2 2 2 2 17" xfId="985"/>
    <cellStyle name="Moeda 2 2 2 2 2 2 2 2 18" xfId="1029"/>
    <cellStyle name="Moeda 2 2 2 2 2 2 2 2 19" xfId="1002"/>
    <cellStyle name="Moeda 2 2 2 2 2 2 2 2 2" xfId="463"/>
    <cellStyle name="Moeda 2 2 2 2 2 2 2 2 20" xfId="1054"/>
    <cellStyle name="Moeda 2 2 2 2 2 2 2 2 21" xfId="1086"/>
    <cellStyle name="Moeda 2 2 2 2 2 2 2 2 22" xfId="1118"/>
    <cellStyle name="Moeda 2 2 2 2 2 2 2 2 23" xfId="817"/>
    <cellStyle name="Moeda 2 2 2 2 2 2 2 2 24" xfId="1221"/>
    <cellStyle name="Moeda 2 2 2 2 2 2 2 2 25" xfId="823"/>
    <cellStyle name="Moeda 2 2 2 2 2 2 2 2 26" xfId="1146"/>
    <cellStyle name="Moeda 2 2 2 2 2 2 2 2 27" xfId="1100"/>
    <cellStyle name="Moeda 2 2 2 2 2 2 2 2 28" xfId="1360"/>
    <cellStyle name="Moeda 2 2 2 2 2 2 2 2 29" xfId="1522"/>
    <cellStyle name="Moeda 2 2 2 2 2 2 2 2 3" xfId="537"/>
    <cellStyle name="Moeda 2 2 2 2 2 2 2 2 30" xfId="1412"/>
    <cellStyle name="Moeda 2 2 2 2 2 2 2 2 31" xfId="1509"/>
    <cellStyle name="Moeda 2 2 2 2 2 2 2 2 32" xfId="1548"/>
    <cellStyle name="Moeda 2 2 2 2 2 2 2 2 33" xfId="1621"/>
    <cellStyle name="Moeda 2 2 2 2 2 2 2 2 34" xfId="1641"/>
    <cellStyle name="Moeda 2 2 2 2 2 2 2 2 35" xfId="1664"/>
    <cellStyle name="Moeda 2 2 2 2 2 2 2 2 36" xfId="1684"/>
    <cellStyle name="Moeda 2 2 2 2 2 2 2 2 37" xfId="1704"/>
    <cellStyle name="Moeda 2 2 2 2 2 2 2 2 38" xfId="1649"/>
    <cellStyle name="Moeda 2 2 2 2 2 2 2 2 39" xfId="1676"/>
    <cellStyle name="Moeda 2 2 2 2 2 2 2 2 4" xfId="182"/>
    <cellStyle name="Moeda 2 2 2 2 2 2 2 2 40" xfId="1802"/>
    <cellStyle name="Moeda 2 2 2 2 2 2 2 2 5" xfId="366"/>
    <cellStyle name="Moeda 2 2 2 2 2 2 2 2 6" xfId="466"/>
    <cellStyle name="Moeda 2 2 2 2 2 2 2 2 7" xfId="540"/>
    <cellStyle name="Moeda 2 2 2 2 2 2 2 2 8" xfId="165"/>
    <cellStyle name="Moeda 2 2 2 2 2 2 2 2 9" xfId="448"/>
    <cellStyle name="Moeda 2 2 2 2 2 2 2 20" xfId="1121"/>
    <cellStyle name="Moeda 2 2 2 2 2 2 2 21" xfId="1147"/>
    <cellStyle name="Moeda 2 2 2 2 2 2 2 22" xfId="1173"/>
    <cellStyle name="Moeda 2 2 2 2 2 2 2 23" xfId="1200"/>
    <cellStyle name="Moeda 2 2 2 2 2 2 2 24" xfId="1223"/>
    <cellStyle name="Moeda 2 2 2 2 2 2 2 25" xfId="1143"/>
    <cellStyle name="Moeda 2 2 2 2 2 2 2 26" xfId="1186"/>
    <cellStyle name="Moeda 2 2 2 2 2 2 2 27" xfId="1301"/>
    <cellStyle name="Moeda 2 2 2 2 2 2 2 28" xfId="1323"/>
    <cellStyle name="Moeda 2 2 2 2 2 2 2 29" xfId="1338"/>
    <cellStyle name="Moeda 2 2 2 2 2 2 2 3" xfId="512"/>
    <cellStyle name="Moeda 2 2 2 2 2 2 2 30" xfId="1359"/>
    <cellStyle name="Moeda 2 2 2 2 2 2 2 31" xfId="1521"/>
    <cellStyle name="Moeda 2 2 2 2 2 2 2 32" xfId="1413"/>
    <cellStyle name="Moeda 2 2 2 2 2 2 2 33" xfId="1372"/>
    <cellStyle name="Moeda 2 2 2 2 2 2 2 34" xfId="1375"/>
    <cellStyle name="Moeda 2 2 2 2 2 2 2 35" xfId="1622"/>
    <cellStyle name="Moeda 2 2 2 2 2 2 2 36" xfId="1384"/>
    <cellStyle name="Moeda 2 2 2 2 2 2 2 37" xfId="1640"/>
    <cellStyle name="Moeda 2 2 2 2 2 2 2 38" xfId="1663"/>
    <cellStyle name="Moeda 2 2 2 2 2 2 2 39" xfId="1683"/>
    <cellStyle name="Moeda 2 2 2 2 2 2 2 4" xfId="416"/>
    <cellStyle name="Moeda 2 2 2 2 2 2 2 40" xfId="1733"/>
    <cellStyle name="Moeda 2 2 2 2 2 2 2 41" xfId="1692"/>
    <cellStyle name="Moeda 2 2 2 2 2 2 2 42" xfId="1801"/>
    <cellStyle name="Moeda 2 2 2 2 2 2 2 5" xfId="536"/>
    <cellStyle name="Moeda 2 2 2 2 2 2 2 6" xfId="433"/>
    <cellStyle name="Moeda 2 2 2 2 2 2 2 7" xfId="521"/>
    <cellStyle name="Moeda 2 2 2 2 2 2 2 8" xfId="491"/>
    <cellStyle name="Moeda 2 2 2 2 2 2 2 9" xfId="560"/>
    <cellStyle name="Moeda 2 2 2 2 2 2 20" xfId="782"/>
    <cellStyle name="Moeda 2 2 2 2 2 2 21" xfId="1064"/>
    <cellStyle name="Moeda 2 2 2 2 2 2 22" xfId="1095"/>
    <cellStyle name="Moeda 2 2 2 2 2 2 23" xfId="1125"/>
    <cellStyle name="Moeda 2 2 2 2 2 2 24" xfId="1152"/>
    <cellStyle name="Moeda 2 2 2 2 2 2 25" xfId="1177"/>
    <cellStyle name="Moeda 2 2 2 2 2 2 26" xfId="1204"/>
    <cellStyle name="Moeda 2 2 2 2 2 2 27" xfId="1227"/>
    <cellStyle name="Moeda 2 2 2 2 2 2 28" xfId="1253"/>
    <cellStyle name="Moeda 2 2 2 2 2 2 29" xfId="1283"/>
    <cellStyle name="Moeda 2 2 2 2 2 2 3" xfId="237"/>
    <cellStyle name="Moeda 2 2 2 2 2 2 30" xfId="1303"/>
    <cellStyle name="Moeda 2 2 2 2 2 2 31" xfId="1325"/>
    <cellStyle name="Moeda 2 2 2 2 2 2 32" xfId="1339"/>
    <cellStyle name="Moeda 2 2 2 2 2 2 33" xfId="1352"/>
    <cellStyle name="Moeda 2 2 2 2 2 2 34" xfId="1337"/>
    <cellStyle name="Moeda 2 2 2 2 2 2 35" xfId="1429"/>
    <cellStyle name="Moeda 2 2 2 2 2 2 36" xfId="1569"/>
    <cellStyle name="Moeda 2 2 2 2 2 2 37" xfId="1602"/>
    <cellStyle name="Moeda 2 2 2 2 2 2 38" xfId="1446"/>
    <cellStyle name="Moeda 2 2 2 2 2 2 39" xfId="1656"/>
    <cellStyle name="Moeda 2 2 2 2 2 2 4" xfId="243"/>
    <cellStyle name="Moeda 2 2 2 2 2 2 40" xfId="1677"/>
    <cellStyle name="Moeda 2 2 2 2 2 2 41" xfId="1697"/>
    <cellStyle name="Moeda 2 2 2 2 2 2 42" xfId="1719"/>
    <cellStyle name="Moeda 2 2 2 2 2 2 43" xfId="1735"/>
    <cellStyle name="Moeda 2 2 2 2 2 2 44" xfId="1706"/>
    <cellStyle name="Moeda 2 2 2 2 2 2 45" xfId="1745"/>
    <cellStyle name="Moeda 2 2 2 2 2 2 46" xfId="1776"/>
    <cellStyle name="Moeda 2 2 2 2 2 2 5" xfId="174"/>
    <cellStyle name="Moeda 2 2 2 2 2 2 6" xfId="326"/>
    <cellStyle name="Moeda 2 2 2 2 2 2 7" xfId="340"/>
    <cellStyle name="Moeda 2 2 2 2 2 2 7 10" xfId="761"/>
    <cellStyle name="Moeda 2 2 2 2 2 2 7 11" xfId="770"/>
    <cellStyle name="Moeda 2 2 2 2 2 2 7 12" xfId="775"/>
    <cellStyle name="Moeda 2 2 2 2 2 2 7 13" xfId="1007"/>
    <cellStyle name="Moeda 2 2 2 2 2 2 7 14" xfId="1051"/>
    <cellStyle name="Moeda 2 2 2 2 2 2 7 15" xfId="1083"/>
    <cellStyle name="Moeda 2 2 2 2 2 2 7 16" xfId="1115"/>
    <cellStyle name="Moeda 2 2 2 2 2 2 7 17" xfId="1140"/>
    <cellStyle name="Moeda 2 2 2 2 2 2 7 18" xfId="1167"/>
    <cellStyle name="Moeda 2 2 2 2 2 2 7 19" xfId="1192"/>
    <cellStyle name="Moeda 2 2 2 2 2 2 7 2" xfId="511"/>
    <cellStyle name="Moeda 2 2 2 2 2 2 7 20" xfId="1216"/>
    <cellStyle name="Moeda 2 2 2 2 2 2 7 21" xfId="1244"/>
    <cellStyle name="Moeda 2 2 2 2 2 2 7 22" xfId="1269"/>
    <cellStyle name="Moeda 2 2 2 2 2 2 7 23" xfId="1297"/>
    <cellStyle name="Moeda 2 2 2 2 2 2 7 24" xfId="1316"/>
    <cellStyle name="Moeda 2 2 2 2 2 2 7 25" xfId="1334"/>
    <cellStyle name="Moeda 2 2 2 2 2 2 7 26" xfId="1346"/>
    <cellStyle name="Moeda 2 2 2 2 2 2 7 27" xfId="1354"/>
    <cellStyle name="Moeda 2 2 2 2 2 2 7 28" xfId="1364"/>
    <cellStyle name="Moeda 2 2 2 2 2 2 7 29" xfId="1555"/>
    <cellStyle name="Moeda 2 2 2 2 2 2 7 3" xfId="578"/>
    <cellStyle name="Moeda 2 2 2 2 2 2 7 30" xfId="1588"/>
    <cellStyle name="Moeda 2 2 2 2 2 2 7 31" xfId="1615"/>
    <cellStyle name="Moeda 2 2 2 2 2 2 7 32" xfId="1646"/>
    <cellStyle name="Moeda 2 2 2 2 2 2 7 33" xfId="1668"/>
    <cellStyle name="Moeda 2 2 2 2 2 2 7 34" xfId="1689"/>
    <cellStyle name="Moeda 2 2 2 2 2 2 7 35" xfId="1709"/>
    <cellStyle name="Moeda 2 2 2 2 2 2 7 36" xfId="1726"/>
    <cellStyle name="Moeda 2 2 2 2 2 2 7 37" xfId="1739"/>
    <cellStyle name="Moeda 2 2 2 2 2 2 7 38" xfId="1753"/>
    <cellStyle name="Moeda 2 2 2 2 2 2 7 39" xfId="1757"/>
    <cellStyle name="Moeda 2 2 2 2 2 2 7 4" xfId="612"/>
    <cellStyle name="Moeda 2 2 2 2 2 2 7 40" xfId="1806"/>
    <cellStyle name="Moeda 2 2 2 2 2 2 7 5" xfId="642"/>
    <cellStyle name="Moeda 2 2 2 2 2 2 7 6" xfId="671"/>
    <cellStyle name="Moeda 2 2 2 2 2 2 7 7" xfId="698"/>
    <cellStyle name="Moeda 2 2 2 2 2 2 7 8" xfId="723"/>
    <cellStyle name="Moeda 2 2 2 2 2 2 7 9" xfId="746"/>
    <cellStyle name="Moeda 2 2 2 2 2 2 8" xfId="421"/>
    <cellStyle name="Moeda 2 2 2 2 2 2 9" xfId="484"/>
    <cellStyle name="Moeda 2 2 2 2 2 20" xfId="153"/>
    <cellStyle name="Moeda 2 2 2 2 2 21" xfId="585"/>
    <cellStyle name="Moeda 2 2 2 2 2 22" xfId="849"/>
    <cellStyle name="Moeda 2 2 2 2 2 23" xfId="791"/>
    <cellStyle name="Moeda 2 2 2 2 2 24" xfId="831"/>
    <cellStyle name="Moeda 2 2 2 2 2 25" xfId="977"/>
    <cellStyle name="Moeda 2 2 2 2 2 26" xfId="911"/>
    <cellStyle name="Moeda 2 2 2 2 2 27" xfId="958"/>
    <cellStyle name="Moeda 2 2 2 2 2 28" xfId="792"/>
    <cellStyle name="Moeda 2 2 2 2 2 29" xfId="834"/>
    <cellStyle name="Moeda 2 2 2 2 2 3" xfId="302"/>
    <cellStyle name="Moeda 2 2 2 2 2 30" xfId="987"/>
    <cellStyle name="Moeda 2 2 2 2 2 31" xfId="1031"/>
    <cellStyle name="Moeda 2 2 2 2 2 32" xfId="1282"/>
    <cellStyle name="Moeda 2 2 2 2 2 33" xfId="1077"/>
    <cellStyle name="Moeda 2 2 2 2 2 34" xfId="1170"/>
    <cellStyle name="Moeda 2 2 2 2 2 35" xfId="1255"/>
    <cellStyle name="Moeda 2 2 2 2 2 36" xfId="1001"/>
    <cellStyle name="Moeda 2 2 2 2 2 37" xfId="1308"/>
    <cellStyle name="Moeda 2 2 2 2 2 38" xfId="1428"/>
    <cellStyle name="Moeda 2 2 2 2 2 39" xfId="1568"/>
    <cellStyle name="Moeda 2 2 2 2 2 4" xfId="297"/>
    <cellStyle name="Moeda 2 2 2 2 2 40" xfId="1601"/>
    <cellStyle name="Moeda 2 2 2 2 2 41" xfId="1604"/>
    <cellStyle name="Moeda 2 2 2 2 2 42" xfId="1471"/>
    <cellStyle name="Moeda 2 2 2 2 2 43" xfId="1464"/>
    <cellStyle name="Moeda 2 2 2 2 2 44" xfId="1623"/>
    <cellStyle name="Moeda 2 2 2 2 2 45" xfId="1370"/>
    <cellStyle name="Moeda 2 2 2 2 2 46" xfId="1654"/>
    <cellStyle name="Moeda 2 2 2 2 2 47" xfId="1447"/>
    <cellStyle name="Moeda 2 2 2 2 2 48" xfId="1746"/>
    <cellStyle name="Moeda 2 2 2 2 2 49" xfId="1775"/>
    <cellStyle name="Moeda 2 2 2 2 2 5" xfId="307"/>
    <cellStyle name="Moeda 2 2 2 2 2 6" xfId="253"/>
    <cellStyle name="Moeda 2 2 2 2 2 6 10" xfId="378"/>
    <cellStyle name="Moeda 2 2 2 2 2 6 11" xfId="476"/>
    <cellStyle name="Moeda 2 2 2 2 2 6 12" xfId="555"/>
    <cellStyle name="Moeda 2 2 2 2 2 6 13" xfId="591"/>
    <cellStyle name="Moeda 2 2 2 2 2 6 14" xfId="622"/>
    <cellStyle name="Moeda 2 2 2 2 2 6 15" xfId="933"/>
    <cellStyle name="Moeda 2 2 2 2 2 6 16" xfId="1010"/>
    <cellStyle name="Moeda 2 2 2 2 2 6 17" xfId="1041"/>
    <cellStyle name="Moeda 2 2 2 2 2 6 18" xfId="1072"/>
    <cellStyle name="Moeda 2 2 2 2 2 6 19" xfId="1105"/>
    <cellStyle name="Moeda 2 2 2 2 2 6 2" xfId="427"/>
    <cellStyle name="Moeda 2 2 2 2 2 6 2 10" xfId="716"/>
    <cellStyle name="Moeda 2 2 2 2 2 6 2 11" xfId="739"/>
    <cellStyle name="Moeda 2 2 2 2 2 6 2 12" xfId="755"/>
    <cellStyle name="Moeda 2 2 2 2 2 6 2 13" xfId="971"/>
    <cellStyle name="Moeda 2 2 2 2 2 6 2 14" xfId="866"/>
    <cellStyle name="Moeda 2 2 2 2 2 6 2 15" xfId="784"/>
    <cellStyle name="Moeda 2 2 2 2 2 6 2 16" xfId="944"/>
    <cellStyle name="Moeda 2 2 2 2 2 6 2 17" xfId="937"/>
    <cellStyle name="Moeda 2 2 2 2 2 6 2 18" xfId="1012"/>
    <cellStyle name="Moeda 2 2 2 2 2 6 2 19" xfId="1044"/>
    <cellStyle name="Moeda 2 2 2 2 2 6 2 2" xfId="473"/>
    <cellStyle name="Moeda 2 2 2 2 2 6 2 20" xfId="1075"/>
    <cellStyle name="Moeda 2 2 2 2 2 6 2 21" xfId="1108"/>
    <cellStyle name="Moeda 2 2 2 2 2 6 2 22" xfId="1134"/>
    <cellStyle name="Moeda 2 2 2 2 2 6 2 23" xfId="1060"/>
    <cellStyle name="Moeda 2 2 2 2 2 6 2 24" xfId="966"/>
    <cellStyle name="Moeda 2 2 2 2 2 6 2 25" xfId="938"/>
    <cellStyle name="Moeda 2 2 2 2 2 6 2 26" xfId="1258"/>
    <cellStyle name="Moeda 2 2 2 2 2 6 2 27" xfId="1266"/>
    <cellStyle name="Moeda 2 2 2 2 2 6 2 28" xfId="1362"/>
    <cellStyle name="Moeda 2 2 2 2 2 6 2 29" xfId="1528"/>
    <cellStyle name="Moeda 2 2 2 2 2 6 2 3" xfId="546"/>
    <cellStyle name="Moeda 2 2 2 2 2 6 2 30" xfId="1439"/>
    <cellStyle name="Moeda 2 2 2 2 2 6 2 31" xfId="1371"/>
    <cellStyle name="Moeda 2 2 2 2 2 6 2 32" xfId="1583"/>
    <cellStyle name="Moeda 2 2 2 2 2 6 2 33" xfId="1565"/>
    <cellStyle name="Moeda 2 2 2 2 2 6 2 34" xfId="1618"/>
    <cellStyle name="Moeda 2 2 2 2 2 6 2 35" xfId="1486"/>
    <cellStyle name="Moeda 2 2 2 2 2 6 2 36" xfId="1445"/>
    <cellStyle name="Moeda 2 2 2 2 2 6 2 37" xfId="1495"/>
    <cellStyle name="Moeda 2 2 2 2 2 6 2 38" xfId="1627"/>
    <cellStyle name="Moeda 2 2 2 2 2 6 2 39" xfId="1718"/>
    <cellStyle name="Moeda 2 2 2 2 2 6 2 4" xfId="381"/>
    <cellStyle name="Moeda 2 2 2 2 2 6 2 40" xfId="1804"/>
    <cellStyle name="Moeda 2 2 2 2 2 6 2 5" xfId="568"/>
    <cellStyle name="Moeda 2 2 2 2 2 6 2 6" xfId="604"/>
    <cellStyle name="Moeda 2 2 2 2 2 6 2 7" xfId="634"/>
    <cellStyle name="Moeda 2 2 2 2 2 6 2 8" xfId="663"/>
    <cellStyle name="Moeda 2 2 2 2 2 6 2 9" xfId="690"/>
    <cellStyle name="Moeda 2 2 2 2 2 6 20" xfId="1131"/>
    <cellStyle name="Moeda 2 2 2 2 2 6 21" xfId="1158"/>
    <cellStyle name="Moeda 2 2 2 2 2 6 22" xfId="1183"/>
    <cellStyle name="Moeda 2 2 2 2 2 6 23" xfId="1209"/>
    <cellStyle name="Moeda 2 2 2 2 2 6 24" xfId="1234"/>
    <cellStyle name="Moeda 2 2 2 2 2 6 25" xfId="1259"/>
    <cellStyle name="Moeda 2 2 2 2 2 6 26" xfId="1289"/>
    <cellStyle name="Moeda 2 2 2 2 2 6 27" xfId="1309"/>
    <cellStyle name="Moeda 2 2 2 2 2 6 28" xfId="1328"/>
    <cellStyle name="Moeda 2 2 2 2 2 6 29" xfId="1343"/>
    <cellStyle name="Moeda 2 2 2 2 2 6 3" xfId="515"/>
    <cellStyle name="Moeda 2 2 2 2 2 6 30" xfId="1322"/>
    <cellStyle name="Moeda 2 2 2 2 2 6 31" xfId="1491"/>
    <cellStyle name="Moeda 2 2 2 2 2 6 32" xfId="1545"/>
    <cellStyle name="Moeda 2 2 2 2 2 6 33" xfId="1579"/>
    <cellStyle name="Moeda 2 2 2 2 2 6 34" xfId="1582"/>
    <cellStyle name="Moeda 2 2 2 2 2 6 35" xfId="1639"/>
    <cellStyle name="Moeda 2 2 2 2 2 6 36" xfId="1662"/>
    <cellStyle name="Moeda 2 2 2 2 2 6 37" xfId="1682"/>
    <cellStyle name="Moeda 2 2 2 2 2 6 38" xfId="1703"/>
    <cellStyle name="Moeda 2 2 2 2 2 6 39" xfId="1722"/>
    <cellStyle name="Moeda 2 2 2 2 2 6 4" xfId="400"/>
    <cellStyle name="Moeda 2 2 2 2 2 6 40" xfId="1599"/>
    <cellStyle name="Moeda 2 2 2 2 2 6 41" xfId="1686"/>
    <cellStyle name="Moeda 2 2 2 2 2 6 42" xfId="1791"/>
    <cellStyle name="Moeda 2 2 2 2 2 6 5" xfId="386"/>
    <cellStyle name="Moeda 2 2 2 2 2 6 6" xfId="192"/>
    <cellStyle name="Moeda 2 2 2 2 2 6 7" xfId="369"/>
    <cellStyle name="Moeda 2 2 2 2 2 6 8" xfId="320"/>
    <cellStyle name="Moeda 2 2 2 2 2 6 9" xfId="324"/>
    <cellStyle name="Moeda 2 2 2 2 2 7" xfId="316"/>
    <cellStyle name="Moeda 2 2 2 2 2 8" xfId="251"/>
    <cellStyle name="Moeda 2 2 2 2 2 9" xfId="246"/>
    <cellStyle name="Moeda 2 2 2 2 20" xfId="360"/>
    <cellStyle name="Moeda 2 2 2 2 21" xfId="523"/>
    <cellStyle name="Moeda 2 2 2 2 22" xfId="376"/>
    <cellStyle name="Moeda 2 2 2 2 23" xfId="794"/>
    <cellStyle name="Moeda 2 2 2 2 24" xfId="863"/>
    <cellStyle name="Moeda 2 2 2 2 25" xfId="980"/>
    <cellStyle name="Moeda 2 2 2 2 26" xfId="994"/>
    <cellStyle name="Moeda 2 2 2 2 27" xfId="781"/>
    <cellStyle name="Moeda 2 2 2 2 28" xfId="1025"/>
    <cellStyle name="Moeda 2 2 2 2 29" xfId="848"/>
    <cellStyle name="Moeda 2 2 2 2 3" xfId="111"/>
    <cellStyle name="Moeda 2 2 2 2 30" xfId="790"/>
    <cellStyle name="Moeda 2 2 2 2 31" xfId="996"/>
    <cellStyle name="Moeda 2 2 2 2 32" xfId="1036"/>
    <cellStyle name="Moeda 2 2 2 2 33" xfId="1219"/>
    <cellStyle name="Moeda 2 2 2 2 34" xfId="1203"/>
    <cellStyle name="Moeda 2 2 2 2 35" xfId="1089"/>
    <cellStyle name="Moeda 2 2 2 2 36" xfId="1225"/>
    <cellStyle name="Moeda 2 2 2 2 37" xfId="1233"/>
    <cellStyle name="Moeda 2 2 2 2 38" xfId="932"/>
    <cellStyle name="Moeda 2 2 2 2 39" xfId="1379"/>
    <cellStyle name="Moeda 2 2 2 2 4" xfId="167"/>
    <cellStyle name="Moeda 2 2 2 2 4 10" xfId="574"/>
    <cellStyle name="Moeda 2 2 2 2 4 11" xfId="609"/>
    <cellStyle name="Moeda 2 2 2 2 4 12" xfId="639"/>
    <cellStyle name="Moeda 2 2 2 2 4 13" xfId="668"/>
    <cellStyle name="Moeda 2 2 2 2 4 14" xfId="695"/>
    <cellStyle name="Moeda 2 2 2 2 4 15" xfId="720"/>
    <cellStyle name="Moeda 2 2 2 2 4 16" xfId="743"/>
    <cellStyle name="Moeda 2 2 2 2 4 17" xfId="758"/>
    <cellStyle name="Moeda 2 2 2 2 4 18" xfId="768"/>
    <cellStyle name="Moeda 2 2 2 2 4 19" xfId="917"/>
    <cellStyle name="Moeda 2 2 2 2 4 2" xfId="301"/>
    <cellStyle name="Moeda 2 2 2 2 4 2 10" xfId="620"/>
    <cellStyle name="Moeda 2 2 2 2 4 2 11" xfId="650"/>
    <cellStyle name="Moeda 2 2 2 2 4 2 12" xfId="678"/>
    <cellStyle name="Moeda 2 2 2 2 4 2 13" xfId="705"/>
    <cellStyle name="Moeda 2 2 2 2 4 2 14" xfId="729"/>
    <cellStyle name="Moeda 2 2 2 2 4 2 15" xfId="942"/>
    <cellStyle name="Moeda 2 2 2 2 4 2 16" xfId="1013"/>
    <cellStyle name="Moeda 2 2 2 2 4 2 17" xfId="1006"/>
    <cellStyle name="Moeda 2 2 2 2 4 2 18" xfId="1043"/>
    <cellStyle name="Moeda 2 2 2 2 4 2 19" xfId="1074"/>
    <cellStyle name="Moeda 2 2 2 2 4 2 2" xfId="437"/>
    <cellStyle name="Moeda 2 2 2 2 4 2 2 10" xfId="752"/>
    <cellStyle name="Moeda 2 2 2 2 4 2 2 11" xfId="765"/>
    <cellStyle name="Moeda 2 2 2 2 4 2 2 12" xfId="774"/>
    <cellStyle name="Moeda 2 2 2 2 4 2 2 13" xfId="988"/>
    <cellStyle name="Moeda 2 2 2 2 4 2 2 14" xfId="1032"/>
    <cellStyle name="Moeda 2 2 2 2 4 2 2 15" xfId="892"/>
    <cellStyle name="Moeda 2 2 2 2 4 2 2 16" xfId="973"/>
    <cellStyle name="Moeda 2 2 2 2 4 2 2 17" xfId="886"/>
    <cellStyle name="Moeda 2 2 2 2 4 2 2 18" xfId="777"/>
    <cellStyle name="Moeda 2 2 2 2 4 2 2 19" xfId="904"/>
    <cellStyle name="Moeda 2 2 2 2 4 2 2 2" xfId="492"/>
    <cellStyle name="Moeda 2 2 2 2 4 2 2 20" xfId="889"/>
    <cellStyle name="Moeda 2 2 2 2 4 2 2 21" xfId="807"/>
    <cellStyle name="Moeda 2 2 2 2 4 2 2 22" xfId="1011"/>
    <cellStyle name="Moeda 2 2 2 2 4 2 2 23" xfId="1284"/>
    <cellStyle name="Moeda 2 2 2 2 4 2 2 24" xfId="842"/>
    <cellStyle name="Moeda 2 2 2 2 4 2 2 25" xfId="829"/>
    <cellStyle name="Moeda 2 2 2 2 4 2 2 26" xfId="1068"/>
    <cellStyle name="Moeda 2 2 2 2 4 2 2 27" xfId="898"/>
    <cellStyle name="Moeda 2 2 2 2 4 2 2 28" xfId="1363"/>
    <cellStyle name="Moeda 2 2 2 2 4 2 2 29" xfId="1539"/>
    <cellStyle name="Moeda 2 2 2 2 4 2 2 3" xfId="561"/>
    <cellStyle name="Moeda 2 2 2 2 4 2 2 30" xfId="1571"/>
    <cellStyle name="Moeda 2 2 2 2 4 2 2 31" xfId="1453"/>
    <cellStyle name="Moeda 2 2 2 2 4 2 2 32" xfId="1629"/>
    <cellStyle name="Moeda 2 2 2 2 4 2 2 33" xfId="1475"/>
    <cellStyle name="Moeda 2 2 2 2 4 2 2 34" xfId="1624"/>
    <cellStyle name="Moeda 2 2 2 2 4 2 2 35" xfId="1426"/>
    <cellStyle name="Moeda 2 2 2 2 4 2 2 36" xfId="1594"/>
    <cellStyle name="Moeda 2 2 2 2 4 2 2 37" xfId="1619"/>
    <cellStyle name="Moeda 2 2 2 2 4 2 2 38" xfId="1747"/>
    <cellStyle name="Moeda 2 2 2 2 4 2 2 39" xfId="1756"/>
    <cellStyle name="Moeda 2 2 2 2 4 2 2 4" xfId="597"/>
    <cellStyle name="Moeda 2 2 2 2 4 2 2 40" xfId="1805"/>
    <cellStyle name="Moeda 2 2 2 2 4 2 2 5" xfId="627"/>
    <cellStyle name="Moeda 2 2 2 2 4 2 2 6" xfId="656"/>
    <cellStyle name="Moeda 2 2 2 2 4 2 2 7" xfId="684"/>
    <cellStyle name="Moeda 2 2 2 2 4 2 2 8" xfId="710"/>
    <cellStyle name="Moeda 2 2 2 2 4 2 2 9" xfId="733"/>
    <cellStyle name="Moeda 2 2 2 2 4 2 20" xfId="1107"/>
    <cellStyle name="Moeda 2 2 2 2 4 2 21" xfId="1133"/>
    <cellStyle name="Moeda 2 2 2 2 4 2 22" xfId="1160"/>
    <cellStyle name="Moeda 2 2 2 2 4 2 23" xfId="1185"/>
    <cellStyle name="Moeda 2 2 2 2 4 2 24" xfId="1211"/>
    <cellStyle name="Moeda 2 2 2 2 4 2 25" xfId="1242"/>
    <cellStyle name="Moeda 2 2 2 2 4 2 26" xfId="1127"/>
    <cellStyle name="Moeda 2 2 2 2 4 2 27" xfId="1291"/>
    <cellStyle name="Moeda 2 2 2 2 4 2 28" xfId="1311"/>
    <cellStyle name="Moeda 2 2 2 2 4 2 29" xfId="1330"/>
    <cellStyle name="Moeda 2 2 2 2 4 2 3" xfId="518"/>
    <cellStyle name="Moeda 2 2 2 2 4 2 30" xfId="1349"/>
    <cellStyle name="Moeda 2 2 2 2 4 2 31" xfId="1499"/>
    <cellStyle name="Moeda 2 2 2 2 4 2 32" xfId="1478"/>
    <cellStyle name="Moeda 2 2 2 2 4 2 33" xfId="1451"/>
    <cellStyle name="Moeda 2 2 2 2 4 2 34" xfId="1564"/>
    <cellStyle name="Moeda 2 2 2 2 4 2 35" xfId="1647"/>
    <cellStyle name="Moeda 2 2 2 2 4 2 36" xfId="1669"/>
    <cellStyle name="Moeda 2 2 2 2 4 2 37" xfId="1690"/>
    <cellStyle name="Moeda 2 2 2 2 4 2 38" xfId="1711"/>
    <cellStyle name="Moeda 2 2 2 2 4 2 39" xfId="1727"/>
    <cellStyle name="Moeda 2 2 2 2 4 2 4" xfId="411"/>
    <cellStyle name="Moeda 2 2 2 2 4 2 40" xfId="1695"/>
    <cellStyle name="Moeda 2 2 2 2 4 2 41" xfId="1730"/>
    <cellStyle name="Moeda 2 2 2 2 4 2 42" xfId="1795"/>
    <cellStyle name="Moeda 2 2 2 2 4 2 5" xfId="227"/>
    <cellStyle name="Moeda 2 2 2 2 4 2 6" xfId="196"/>
    <cellStyle name="Moeda 2 2 2 2 4 2 7" xfId="478"/>
    <cellStyle name="Moeda 2 2 2 2 4 2 8" xfId="552"/>
    <cellStyle name="Moeda 2 2 2 2 4 2 9" xfId="588"/>
    <cellStyle name="Moeda 2 2 2 2 4 20" xfId="914"/>
    <cellStyle name="Moeda 2 2 2 2 4 21" xfId="828"/>
    <cellStyle name="Moeda 2 2 2 2 4 22" xfId="840"/>
    <cellStyle name="Moeda 2 2 2 2 4 23" xfId="796"/>
    <cellStyle name="Moeda 2 2 2 2 4 24" xfId="893"/>
    <cellStyle name="Moeda 2 2 2 2 4 25" xfId="865"/>
    <cellStyle name="Moeda 2 2 2 2 4 26" xfId="1047"/>
    <cellStyle name="Moeda 2 2 2 2 4 27" xfId="1079"/>
    <cellStyle name="Moeda 2 2 2 2 4 28" xfId="1111"/>
    <cellStyle name="Moeda 2 2 2 2 4 29" xfId="1268"/>
    <cellStyle name="Moeda 2 2 2 2 4 3" xfId="333"/>
    <cellStyle name="Moeda 2 2 2 2 4 30" xfId="888"/>
    <cellStyle name="Moeda 2 2 2 2 4 31" xfId="1239"/>
    <cellStyle name="Moeda 2 2 2 2 4 32" xfId="1196"/>
    <cellStyle name="Moeda 2 2 2 2 4 33" xfId="1097"/>
    <cellStyle name="Moeda 2 2 2 2 4 34" xfId="783"/>
    <cellStyle name="Moeda 2 2 2 2 4 35" xfId="1477"/>
    <cellStyle name="Moeda 2 2 2 2 4 36" xfId="1553"/>
    <cellStyle name="Moeda 2 2 2 2 4 37" xfId="1484"/>
    <cellStyle name="Moeda 2 2 2 2 4 38" xfId="1595"/>
    <cellStyle name="Moeda 2 2 2 2 4 39" xfId="1527"/>
    <cellStyle name="Moeda 2 2 2 2 4 4" xfId="348"/>
    <cellStyle name="Moeda 2 2 2 2 4 40" xfId="1423"/>
    <cellStyle name="Moeda 2 2 2 2 4 41" xfId="1520"/>
    <cellStyle name="Moeda 2 2 2 2 4 42" xfId="1561"/>
    <cellStyle name="Moeda 2 2 2 2 4 43" xfId="1531"/>
    <cellStyle name="Moeda 2 2 2 2 4 44" xfId="1737"/>
    <cellStyle name="Moeda 2 2 2 2 4 45" xfId="1751"/>
    <cellStyle name="Moeda 2 2 2 2 4 46" xfId="1786"/>
    <cellStyle name="Moeda 2 2 2 2 4 5" xfId="364"/>
    <cellStyle name="Moeda 2 2 2 2 4 6" xfId="382"/>
    <cellStyle name="Moeda 2 2 2 2 4 7" xfId="407"/>
    <cellStyle name="Moeda 2 2 2 2 4 7 10" xfId="685"/>
    <cellStyle name="Moeda 2 2 2 2 4 7 11" xfId="711"/>
    <cellStyle name="Moeda 2 2 2 2 4 7 12" xfId="734"/>
    <cellStyle name="Moeda 2 2 2 2 4 7 13" xfId="926"/>
    <cellStyle name="Moeda 2 2 2 2 4 7 14" xfId="999"/>
    <cellStyle name="Moeda 2 2 2 2 4 7 15" xfId="1053"/>
    <cellStyle name="Moeda 2 2 2 2 4 7 16" xfId="1085"/>
    <cellStyle name="Moeda 2 2 2 2 4 7 17" xfId="1117"/>
    <cellStyle name="Moeda 2 2 2 2 4 7 18" xfId="1142"/>
    <cellStyle name="Moeda 2 2 2 2 4 7 19" xfId="1169"/>
    <cellStyle name="Moeda 2 2 2 2 4 7 2" xfId="417"/>
    <cellStyle name="Moeda 2 2 2 2 4 7 20" xfId="1194"/>
    <cellStyle name="Moeda 2 2 2 2 4 7 21" xfId="1218"/>
    <cellStyle name="Moeda 2 2 2 2 4 7 22" xfId="1246"/>
    <cellStyle name="Moeda 2 2 2 2 4 7 23" xfId="1175"/>
    <cellStyle name="Moeda 2 2 2 2 4 7 24" xfId="1299"/>
    <cellStyle name="Moeda 2 2 2 2 4 7 25" xfId="1318"/>
    <cellStyle name="Moeda 2 2 2 2 4 7 26" xfId="1336"/>
    <cellStyle name="Moeda 2 2 2 2 4 7 27" xfId="1348"/>
    <cellStyle name="Moeda 2 2 2 2 4 7 28" xfId="1247"/>
    <cellStyle name="Moeda 2 2 2 2 4 7 29" xfId="1485"/>
    <cellStyle name="Moeda 2 2 2 2 4 7 3" xfId="379"/>
    <cellStyle name="Moeda 2 2 2 2 4 7 30" xfId="1437"/>
    <cellStyle name="Moeda 2 2 2 2 4 7 31" xfId="1590"/>
    <cellStyle name="Moeda 2 2 2 2 4 7 32" xfId="1617"/>
    <cellStyle name="Moeda 2 2 2 2 4 7 33" xfId="1406"/>
    <cellStyle name="Moeda 2 2 2 2 4 7 34" xfId="1440"/>
    <cellStyle name="Moeda 2 2 2 2 4 7 35" xfId="1535"/>
    <cellStyle name="Moeda 2 2 2 2 4 7 36" xfId="1385"/>
    <cellStyle name="Moeda 2 2 2 2 4 7 37" xfId="1448"/>
    <cellStyle name="Moeda 2 2 2 2 4 7 38" xfId="1404"/>
    <cellStyle name="Moeda 2 2 2 2 4 7 39" xfId="1435"/>
    <cellStyle name="Moeda 2 2 2 2 4 7 4" xfId="541"/>
    <cellStyle name="Moeda 2 2 2 2 4 7 40" xfId="1790"/>
    <cellStyle name="Moeda 2 2 2 2 4 7 5" xfId="481"/>
    <cellStyle name="Moeda 2 2 2 2 4 7 6" xfId="562"/>
    <cellStyle name="Moeda 2 2 2 2 4 7 7" xfId="598"/>
    <cellStyle name="Moeda 2 2 2 2 4 7 8" xfId="628"/>
    <cellStyle name="Moeda 2 2 2 2 4 7 9" xfId="657"/>
    <cellStyle name="Moeda 2 2 2 2 4 8" xfId="504"/>
    <cellStyle name="Moeda 2 2 2 2 4 9" xfId="490"/>
    <cellStyle name="Moeda 2 2 2 2 40" xfId="1427"/>
    <cellStyle name="Moeda 2 2 2 2 41" xfId="1476"/>
    <cellStyle name="Moeda 2 2 2 2 42" xfId="1591"/>
    <cellStyle name="Moeda 2 2 2 2 43" xfId="1458"/>
    <cellStyle name="Moeda 2 2 2 2 44" xfId="1626"/>
    <cellStyle name="Moeda 2 2 2 2 45" xfId="1606"/>
    <cellStyle name="Moeda 2 2 2 2 46" xfId="1637"/>
    <cellStyle name="Moeda 2 2 2 2 47" xfId="1660"/>
    <cellStyle name="Moeda 2 2 2 2 48" xfId="1592"/>
    <cellStyle name="Moeda 2 2 2 2 49" xfId="1715"/>
    <cellStyle name="Moeda 2 2 2 2 5" xfId="295"/>
    <cellStyle name="Moeda 2 2 2 2 50" xfId="1771"/>
    <cellStyle name="Moeda 2 2 2 2 6" xfId="294"/>
    <cellStyle name="Moeda 2 2 2 2 7" xfId="225"/>
    <cellStyle name="Moeda 2 2 2 2 7 10" xfId="693"/>
    <cellStyle name="Moeda 2 2 2 2 7 11" xfId="718"/>
    <cellStyle name="Moeda 2 2 2 2 7 12" xfId="741"/>
    <cellStyle name="Moeda 2 2 2 2 7 13" xfId="757"/>
    <cellStyle name="Moeda 2 2 2 2 7 14" xfId="767"/>
    <cellStyle name="Moeda 2 2 2 2 7 15" xfId="920"/>
    <cellStyle name="Moeda 2 2 2 2 7 16" xfId="992"/>
    <cellStyle name="Moeda 2 2 2 2 7 17" xfId="910"/>
    <cellStyle name="Moeda 2 2 2 2 7 18" xfId="1042"/>
    <cellStyle name="Moeda 2 2 2 2 7 19" xfId="1073"/>
    <cellStyle name="Moeda 2 2 2 2 7 2" xfId="410"/>
    <cellStyle name="Moeda 2 2 2 2 7 2 10" xfId="454"/>
    <cellStyle name="Moeda 2 2 2 2 7 2 11" xfId="535"/>
    <cellStyle name="Moeda 2 2 2 2 7 2 12" xfId="180"/>
    <cellStyle name="Moeda 2 2 2 2 7 2 13" xfId="957"/>
    <cellStyle name="Moeda 2 2 2 2 7 2 14" xfId="826"/>
    <cellStyle name="Moeda 2 2 2 2 7 2 15" xfId="815"/>
    <cellStyle name="Moeda 2 2 2 2 7 2 16" xfId="989"/>
    <cellStyle name="Moeda 2 2 2 2 7 2 17" xfId="1033"/>
    <cellStyle name="Moeda 2 2 2 2 7 2 18" xfId="1066"/>
    <cellStyle name="Moeda 2 2 2 2 7 2 19" xfId="1098"/>
    <cellStyle name="Moeda 2 2 2 2 7 2 2" xfId="455"/>
    <cellStyle name="Moeda 2 2 2 2 7 2 20" xfId="1128"/>
    <cellStyle name="Moeda 2 2 2 2 7 2 21" xfId="1154"/>
    <cellStyle name="Moeda 2 2 2 2 7 2 22" xfId="1179"/>
    <cellStyle name="Moeda 2 2 2 2 7 2 23" xfId="883"/>
    <cellStyle name="Moeda 2 2 2 2 7 2 24" xfId="812"/>
    <cellStyle name="Moeda 2 2 2 2 7 2 25" xfId="1212"/>
    <cellStyle name="Moeda 2 2 2 2 7 2 26" xfId="1281"/>
    <cellStyle name="Moeda 2 2 2 2 7 2 27" xfId="1306"/>
    <cellStyle name="Moeda 2 2 2 2 7 2 28" xfId="1357"/>
    <cellStyle name="Moeda 2 2 2 2 7 2 29" xfId="1516"/>
    <cellStyle name="Moeda 2 2 2 2 7 2 3" xfId="529"/>
    <cellStyle name="Moeda 2 2 2 2 7 2 30" xfId="1398"/>
    <cellStyle name="Moeda 2 2 2 2 7 2 31" xfId="1393"/>
    <cellStyle name="Moeda 2 2 2 2 7 2 32" xfId="1554"/>
    <cellStyle name="Moeda 2 2 2 2 7 2 33" xfId="1502"/>
    <cellStyle name="Moeda 2 2 2 2 7 2 34" xfId="1611"/>
    <cellStyle name="Moeda 2 2 2 2 7 2 35" xfId="1457"/>
    <cellStyle name="Moeda 2 2 2 2 7 2 36" xfId="1474"/>
    <cellStyle name="Moeda 2 2 2 2 7 2 37" xfId="1396"/>
    <cellStyle name="Moeda 2 2 2 2 7 2 38" xfId="1643"/>
    <cellStyle name="Moeda 2 2 2 2 7 2 39" xfId="1501"/>
    <cellStyle name="Moeda 2 2 2 2 7 2 4" xfId="149"/>
    <cellStyle name="Moeda 2 2 2 2 7 2 40" xfId="1799"/>
    <cellStyle name="Moeda 2 2 2 2 7 2 5" xfId="178"/>
    <cellStyle name="Moeda 2 2 2 2 7 2 6" xfId="232"/>
    <cellStyle name="Moeda 2 2 2 2 7 2 7" xfId="495"/>
    <cellStyle name="Moeda 2 2 2 2 7 2 8" xfId="327"/>
    <cellStyle name="Moeda 2 2 2 2 7 2 9" xfId="469"/>
    <cellStyle name="Moeda 2 2 2 2 7 20" xfId="1106"/>
    <cellStyle name="Moeda 2 2 2 2 7 21" xfId="1132"/>
    <cellStyle name="Moeda 2 2 2 2 7 22" xfId="1159"/>
    <cellStyle name="Moeda 2 2 2 2 7 23" xfId="1184"/>
    <cellStyle name="Moeda 2 2 2 2 7 24" xfId="1210"/>
    <cellStyle name="Moeda 2 2 2 2 7 25" xfId="1248"/>
    <cellStyle name="Moeda 2 2 2 2 7 26" xfId="1260"/>
    <cellStyle name="Moeda 2 2 2 2 7 27" xfId="1290"/>
    <cellStyle name="Moeda 2 2 2 2 7 28" xfId="1310"/>
    <cellStyle name="Moeda 2 2 2 2 7 29" xfId="1329"/>
    <cellStyle name="Moeda 2 2 2 2 7 3" xfId="507"/>
    <cellStyle name="Moeda 2 2 2 2 7 30" xfId="1351"/>
    <cellStyle name="Moeda 2 2 2 2 7 31" xfId="1480"/>
    <cellStyle name="Moeda 2 2 2 2 7 32" xfId="1469"/>
    <cellStyle name="Moeda 2 2 2 2 7 33" xfId="1546"/>
    <cellStyle name="Moeda 2 2 2 2 7 34" xfId="1407"/>
    <cellStyle name="Moeda 2 2 2 2 7 35" xfId="1644"/>
    <cellStyle name="Moeda 2 2 2 2 7 36" xfId="1666"/>
    <cellStyle name="Moeda 2 2 2 2 7 37" xfId="1687"/>
    <cellStyle name="Moeda 2 2 2 2 7 38" xfId="1707"/>
    <cellStyle name="Moeda 2 2 2 2 7 39" xfId="1724"/>
    <cellStyle name="Moeda 2 2 2 2 7 4" xfId="503"/>
    <cellStyle name="Moeda 2 2 2 2 7 40" xfId="1736"/>
    <cellStyle name="Moeda 2 2 2 2 7 41" xfId="1749"/>
    <cellStyle name="Moeda 2 2 2 2 7 42" xfId="1788"/>
    <cellStyle name="Moeda 2 2 2 2 7 5" xfId="219"/>
    <cellStyle name="Moeda 2 2 2 2 7 6" xfId="571"/>
    <cellStyle name="Moeda 2 2 2 2 7 7" xfId="607"/>
    <cellStyle name="Moeda 2 2 2 2 7 8" xfId="637"/>
    <cellStyle name="Moeda 2 2 2 2 7 9" xfId="666"/>
    <cellStyle name="Moeda 2 2 2 2 8" xfId="191"/>
    <cellStyle name="Moeda 2 2 2 2 9" xfId="317"/>
    <cellStyle name="Moeda 2 2 2 20" xfId="694"/>
    <cellStyle name="Moeda 2 2 2 21" xfId="719"/>
    <cellStyle name="Moeda 2 2 2 22" xfId="742"/>
    <cellStyle name="Moeda 2 2 2 23" xfId="793"/>
    <cellStyle name="Moeda 2 2 2 24" xfId="799"/>
    <cellStyle name="Moeda 2 2 2 25" xfId="835"/>
    <cellStyle name="Moeda 2 2 2 26" xfId="786"/>
    <cellStyle name="Moeda 2 2 2 27" xfId="961"/>
    <cellStyle name="Moeda 2 2 2 28" xfId="1038"/>
    <cellStyle name="Moeda 2 2 2 29" xfId="1069"/>
    <cellStyle name="Moeda 2 2 2 3" xfId="110"/>
    <cellStyle name="Moeda 2 2 2 30" xfId="1101"/>
    <cellStyle name="Moeda 2 2 2 31" xfId="1129"/>
    <cellStyle name="Moeda 2 2 2 32" xfId="1156"/>
    <cellStyle name="Moeda 2 2 2 33" xfId="821"/>
    <cellStyle name="Moeda 2 2 2 34" xfId="890"/>
    <cellStyle name="Moeda 2 2 2 35" xfId="1278"/>
    <cellStyle name="Moeda 2 2 2 36" xfId="824"/>
    <cellStyle name="Moeda 2 2 2 37" xfId="1286"/>
    <cellStyle name="Moeda 2 2 2 38" xfId="1341"/>
    <cellStyle name="Moeda 2 2 2 39" xfId="1378"/>
    <cellStyle name="Moeda 2 2 2 4" xfId="166"/>
    <cellStyle name="Moeda 2 2 2 4 10" xfId="412"/>
    <cellStyle name="Moeda 2 2 2 4 11" xfId="351"/>
    <cellStyle name="Moeda 2 2 2 4 12" xfId="398"/>
    <cellStyle name="Moeda 2 2 2 4 13" xfId="584"/>
    <cellStyle name="Moeda 2 2 2 4 14" xfId="617"/>
    <cellStyle name="Moeda 2 2 2 4 15" xfId="647"/>
    <cellStyle name="Moeda 2 2 2 4 16" xfId="676"/>
    <cellStyle name="Moeda 2 2 2 4 17" xfId="703"/>
    <cellStyle name="Moeda 2 2 2 4 18" xfId="728"/>
    <cellStyle name="Moeda 2 2 2 4 19" xfId="851"/>
    <cellStyle name="Moeda 2 2 2 4 2" xfId="241"/>
    <cellStyle name="Moeda 2 2 2 4 2 10" xfId="494"/>
    <cellStyle name="Moeda 2 2 2 4 2 11" xfId="542"/>
    <cellStyle name="Moeda 2 2 2 4 2 12" xfId="139"/>
    <cellStyle name="Moeda 2 2 2 4 2 13" xfId="393"/>
    <cellStyle name="Moeda 2 2 2 4 2 14" xfId="280"/>
    <cellStyle name="Moeda 2 2 2 4 2 15" xfId="941"/>
    <cellStyle name="Moeda 2 2 2 4 2 16" xfId="1014"/>
    <cellStyle name="Moeda 2 2 2 4 2 17" xfId="970"/>
    <cellStyle name="Moeda 2 2 2 4 2 18" xfId="876"/>
    <cellStyle name="Moeda 2 2 2 4 2 19" xfId="810"/>
    <cellStyle name="Moeda 2 2 2 4 2 2" xfId="436"/>
    <cellStyle name="Moeda 2 2 2 4 2 2 10" xfId="653"/>
    <cellStyle name="Moeda 2 2 2 4 2 2 11" xfId="680"/>
    <cellStyle name="Moeda 2 2 2 4 2 2 12" xfId="707"/>
    <cellStyle name="Moeda 2 2 2 4 2 2 13" xfId="965"/>
    <cellStyle name="Moeda 2 2 2 4 2 2 14" xfId="870"/>
    <cellStyle name="Moeda 2 2 2 4 2 2 15" xfId="869"/>
    <cellStyle name="Moeda 2 2 2 4 2 2 16" xfId="819"/>
    <cellStyle name="Moeda 2 2 2 4 2 2 17" xfId="846"/>
    <cellStyle name="Moeda 2 2 2 4 2 2 18" xfId="800"/>
    <cellStyle name="Moeda 2 2 2 4 2 2 19" xfId="1003"/>
    <cellStyle name="Moeda 2 2 2 4 2 2 2" xfId="464"/>
    <cellStyle name="Moeda 2 2 2 4 2 2 20" xfId="832"/>
    <cellStyle name="Moeda 2 2 2 4 2 2 21" xfId="891"/>
    <cellStyle name="Moeda 2 2 2 4 2 2 22" xfId="995"/>
    <cellStyle name="Moeda 2 2 2 4 2 2 23" xfId="1180"/>
    <cellStyle name="Moeda 2 2 2 4 2 2 24" xfId="852"/>
    <cellStyle name="Moeda 2 2 2 4 2 2 25" xfId="1092"/>
    <cellStyle name="Moeda 2 2 2 4 2 2 26" xfId="1206"/>
    <cellStyle name="Moeda 2 2 2 4 2 2 27" xfId="982"/>
    <cellStyle name="Moeda 2 2 2 4 2 2 28" xfId="1361"/>
    <cellStyle name="Moeda 2 2 2 4 2 2 29" xfId="1523"/>
    <cellStyle name="Moeda 2 2 2 4 2 2 3" xfId="538"/>
    <cellStyle name="Moeda 2 2 2 4 2 2 30" xfId="1409"/>
    <cellStyle name="Moeda 2 2 2 4 2 2 31" xfId="1433"/>
    <cellStyle name="Moeda 2 2 2 4 2 2 32" xfId="1598"/>
    <cellStyle name="Moeda 2 2 2 4 2 2 33" xfId="1575"/>
    <cellStyle name="Moeda 2 2 2 4 2 2 34" xfId="1650"/>
    <cellStyle name="Moeda 2 2 2 4 2 2 35" xfId="1672"/>
    <cellStyle name="Moeda 2 2 2 4 2 2 36" xfId="1693"/>
    <cellStyle name="Moeda 2 2 2 4 2 2 37" xfId="1713"/>
    <cellStyle name="Moeda 2 2 2 4 2 2 38" xfId="1634"/>
    <cellStyle name="Moeda 2 2 2 4 2 2 39" xfId="1652"/>
    <cellStyle name="Moeda 2 2 2 4 2 2 4" xfId="446"/>
    <cellStyle name="Moeda 2 2 2 4 2 2 40" xfId="1803"/>
    <cellStyle name="Moeda 2 2 2 4 2 2 5" xfId="346"/>
    <cellStyle name="Moeda 2 2 2 4 2 2 6" xfId="486"/>
    <cellStyle name="Moeda 2 2 2 4 2 2 7" xfId="557"/>
    <cellStyle name="Moeda 2 2 2 4 2 2 8" xfId="593"/>
    <cellStyle name="Moeda 2 2 2 4 2 2 9" xfId="624"/>
    <cellStyle name="Moeda 2 2 2 4 2 20" xfId="844"/>
    <cellStyle name="Moeda 2 2 2 4 2 21" xfId="833"/>
    <cellStyle name="Moeda 2 2 2 4 2 22" xfId="993"/>
    <cellStyle name="Moeda 2 2 2 4 2 23" xfId="1037"/>
    <cellStyle name="Moeda 2 2 2 4 2 24" xfId="1067"/>
    <cellStyle name="Moeda 2 2 2 4 2 25" xfId="1236"/>
    <cellStyle name="Moeda 2 2 2 4 2 26" xfId="1264"/>
    <cellStyle name="Moeda 2 2 2 4 2 27" xfId="1103"/>
    <cellStyle name="Moeda 2 2 2 4 2 28" xfId="1249"/>
    <cellStyle name="Moeda 2 2 2 4 2 29" xfId="924"/>
    <cellStyle name="Moeda 2 2 2 4 2 3" xfId="513"/>
    <cellStyle name="Moeda 2 2 2 4 2 30" xfId="1171"/>
    <cellStyle name="Moeda 2 2 2 4 2 31" xfId="1498"/>
    <cellStyle name="Moeda 2 2 2 4 2 32" xfId="1470"/>
    <cellStyle name="Moeda 2 2 2 4 2 33" xfId="1549"/>
    <cellStyle name="Moeda 2 2 2 4 2 34" xfId="1417"/>
    <cellStyle name="Moeda 2 2 2 4 2 35" xfId="1511"/>
    <cellStyle name="Moeda 2 2 2 4 2 36" xfId="1638"/>
    <cellStyle name="Moeda 2 2 2 4 2 37" xfId="1661"/>
    <cellStyle name="Moeda 2 2 2 4 2 38" xfId="1681"/>
    <cellStyle name="Moeda 2 2 2 4 2 39" xfId="1702"/>
    <cellStyle name="Moeda 2 2 2 4 2 4" xfId="404"/>
    <cellStyle name="Moeda 2 2 2 4 2 40" xfId="1443"/>
    <cellStyle name="Moeda 2 2 2 4 2 41" xfId="1729"/>
    <cellStyle name="Moeda 2 2 2 4 2 42" xfId="1794"/>
    <cellStyle name="Moeda 2 2 2 4 2 5" xfId="387"/>
    <cellStyle name="Moeda 2 2 2 4 2 6" xfId="493"/>
    <cellStyle name="Moeda 2 2 2 4 2 7" xfId="344"/>
    <cellStyle name="Moeda 2 2 2 4 2 8" xfId="480"/>
    <cellStyle name="Moeda 2 2 2 4 2 9" xfId="341"/>
    <cellStyle name="Moeda 2 2 2 4 20" xfId="776"/>
    <cellStyle name="Moeda 2 2 2 4 21" xfId="1065"/>
    <cellStyle name="Moeda 2 2 2 4 22" xfId="1096"/>
    <cellStyle name="Moeda 2 2 2 4 23" xfId="1126"/>
    <cellStyle name="Moeda 2 2 2 4 24" xfId="1153"/>
    <cellStyle name="Moeda 2 2 2 4 25" xfId="1178"/>
    <cellStyle name="Moeda 2 2 2 4 26" xfId="1205"/>
    <cellStyle name="Moeda 2 2 2 4 27" xfId="1228"/>
    <cellStyle name="Moeda 2 2 2 4 28" xfId="1254"/>
    <cellStyle name="Moeda 2 2 2 4 29" xfId="979"/>
    <cellStyle name="Moeda 2 2 2 4 3" xfId="215"/>
    <cellStyle name="Moeda 2 2 2 4 30" xfId="1304"/>
    <cellStyle name="Moeda 2 2 2 4 31" xfId="1326"/>
    <cellStyle name="Moeda 2 2 2 4 32" xfId="1340"/>
    <cellStyle name="Moeda 2 2 2 4 33" xfId="1353"/>
    <cellStyle name="Moeda 2 2 2 4 34" xfId="1305"/>
    <cellStyle name="Moeda 2 2 2 4 35" xfId="1430"/>
    <cellStyle name="Moeda 2 2 2 4 36" xfId="1376"/>
    <cellStyle name="Moeda 2 2 2 4 37" xfId="1450"/>
    <cellStyle name="Moeda 2 2 2 4 38" xfId="1510"/>
    <cellStyle name="Moeda 2 2 2 4 39" xfId="1653"/>
    <cellStyle name="Moeda 2 2 2 4 4" xfId="258"/>
    <cellStyle name="Moeda 2 2 2 4 40" xfId="1675"/>
    <cellStyle name="Moeda 2 2 2 4 41" xfId="1696"/>
    <cellStyle name="Moeda 2 2 2 4 42" xfId="1716"/>
    <cellStyle name="Moeda 2 2 2 4 43" xfId="1731"/>
    <cellStyle name="Moeda 2 2 2 4 44" xfId="1699"/>
    <cellStyle name="Moeda 2 2 2 4 45" xfId="1365"/>
    <cellStyle name="Moeda 2 2 2 4 46" xfId="1777"/>
    <cellStyle name="Moeda 2 2 2 4 5" xfId="247"/>
    <cellStyle name="Moeda 2 2 2 4 6" xfId="177"/>
    <cellStyle name="Moeda 2 2 2 4 7" xfId="234"/>
    <cellStyle name="Moeda 2 2 2 4 7 10" xfId="440"/>
    <cellStyle name="Moeda 2 2 2 4 7 11" xfId="489"/>
    <cellStyle name="Moeda 2 2 2 4 7 12" xfId="216"/>
    <cellStyle name="Moeda 2 2 2 4 7 13" xfId="903"/>
    <cellStyle name="Moeda 2 2 2 4 7 14" xfId="887"/>
    <cellStyle name="Moeda 2 2 2 4 7 15" xfId="868"/>
    <cellStyle name="Moeda 2 2 2 4 7 16" xfId="972"/>
    <cellStyle name="Moeda 2 2 2 4 7 17" xfId="986"/>
    <cellStyle name="Moeda 2 2 2 4 7 18" xfId="827"/>
    <cellStyle name="Moeda 2 2 2 4 7 19" xfId="857"/>
    <cellStyle name="Moeda 2 2 2 4 7 2" xfId="392"/>
    <cellStyle name="Moeda 2 2 2 4 7 20" xfId="952"/>
    <cellStyle name="Moeda 2 2 2 4 7 21" xfId="955"/>
    <cellStyle name="Moeda 2 2 2 4 7 22" xfId="839"/>
    <cellStyle name="Moeda 2 2 2 4 7 23" xfId="1240"/>
    <cellStyle name="Moeda 2 2 2 4 7 24" xfId="1252"/>
    <cellStyle name="Moeda 2 2 2 4 7 25" xfId="1222"/>
    <cellStyle name="Moeda 2 2 2 4 7 26" xfId="820"/>
    <cellStyle name="Moeda 2 2 2 4 7 27" xfId="1057"/>
    <cellStyle name="Moeda 2 2 2 4 7 28" xfId="1285"/>
    <cellStyle name="Moeda 2 2 2 4 7 29" xfId="1463"/>
    <cellStyle name="Moeda 2 2 2 4 7 3" xfId="395"/>
    <cellStyle name="Moeda 2 2 2 4 7 30" xfId="1489"/>
    <cellStyle name="Moeda 2 2 2 4 7 31" xfId="1432"/>
    <cellStyle name="Moeda 2 2 2 4 7 32" xfId="1512"/>
    <cellStyle name="Moeda 2 2 2 4 7 33" xfId="1648"/>
    <cellStyle name="Moeda 2 2 2 4 7 34" xfId="1670"/>
    <cellStyle name="Moeda 2 2 2 4 7 35" xfId="1691"/>
    <cellStyle name="Moeda 2 2 2 4 7 36" xfId="1712"/>
    <cellStyle name="Moeda 2 2 2 4 7 37" xfId="1728"/>
    <cellStyle name="Moeda 2 2 2 4 7 38" xfId="1422"/>
    <cellStyle name="Moeda 2 2 2 4 7 39" xfId="1752"/>
    <cellStyle name="Moeda 2 2 2 4 7 4" xfId="208"/>
    <cellStyle name="Moeda 2 2 2 4 7 40" xfId="1781"/>
    <cellStyle name="Moeda 2 2 2 4 7 5" xfId="357"/>
    <cellStyle name="Moeda 2 2 2 4 7 6" xfId="322"/>
    <cellStyle name="Moeda 2 2 2 4 7 7" xfId="432"/>
    <cellStyle name="Moeda 2 2 2 4 7 8" xfId="472"/>
    <cellStyle name="Moeda 2 2 2 4 7 9" xfId="545"/>
    <cellStyle name="Moeda 2 2 2 4 8" xfId="514"/>
    <cellStyle name="Moeda 2 2 2 4 9" xfId="477"/>
    <cellStyle name="Moeda 2 2 2 40" xfId="1436"/>
    <cellStyle name="Moeda 2 2 2 41" xfId="1382"/>
    <cellStyle name="Moeda 2 2 2 42" xfId="1465"/>
    <cellStyle name="Moeda 2 2 2 43" xfId="1449"/>
    <cellStyle name="Moeda 2 2 2 44" xfId="1391"/>
    <cellStyle name="Moeda 2 2 2 45" xfId="1609"/>
    <cellStyle name="Moeda 2 2 2 46" xfId="1414"/>
    <cellStyle name="Moeda 2 2 2 47" xfId="1593"/>
    <cellStyle name="Moeda 2 2 2 48" xfId="1717"/>
    <cellStyle name="Moeda 2 2 2 49" xfId="1388"/>
    <cellStyle name="Moeda 2 2 2 5" xfId="296"/>
    <cellStyle name="Moeda 2 2 2 50" xfId="1770"/>
    <cellStyle name="Moeda 2 2 2 6" xfId="308"/>
    <cellStyle name="Moeda 2 2 2 7" xfId="229"/>
    <cellStyle name="Moeda 2 2 2 7 10" xfId="362"/>
    <cellStyle name="Moeda 2 2 2 7 11" xfId="184"/>
    <cellStyle name="Moeda 2 2 2 7 12" xfId="460"/>
    <cellStyle name="Moeda 2 2 2 7 13" xfId="368"/>
    <cellStyle name="Moeda 2 2 2 7 14" xfId="443"/>
    <cellStyle name="Moeda 2 2 2 7 15" xfId="935"/>
    <cellStyle name="Moeda 2 2 2 7 16" xfId="909"/>
    <cellStyle name="Moeda 2 2 2 7 17" xfId="1039"/>
    <cellStyle name="Moeda 2 2 2 7 18" xfId="1070"/>
    <cellStyle name="Moeda 2 2 2 7 19" xfId="1102"/>
    <cellStyle name="Moeda 2 2 2 7 2" xfId="429"/>
    <cellStyle name="Moeda 2 2 2 7 2 10" xfId="590"/>
    <cellStyle name="Moeda 2 2 2 7 2 11" xfId="621"/>
    <cellStyle name="Moeda 2 2 2 7 2 12" xfId="651"/>
    <cellStyle name="Moeda 2 2 2 7 2 13" xfId="959"/>
    <cellStyle name="Moeda 2 2 2 7 2 14" xfId="860"/>
    <cellStyle name="Moeda 2 2 2 7 2 15" xfId="929"/>
    <cellStyle name="Moeda 2 2 2 7 2 16" xfId="825"/>
    <cellStyle name="Moeda 2 2 2 7 2 17" xfId="1000"/>
    <cellStyle name="Moeda 2 2 2 7 2 18" xfId="968"/>
    <cellStyle name="Moeda 2 2 2 7 2 19" xfId="899"/>
    <cellStyle name="Moeda 2 2 2 7 2 2" xfId="457"/>
    <cellStyle name="Moeda 2 2 2 7 2 20" xfId="882"/>
    <cellStyle name="Moeda 2 2 2 7 2 21" xfId="881"/>
    <cellStyle name="Moeda 2 2 2 7 2 22" xfId="1030"/>
    <cellStyle name="Moeda 2 2 2 7 2 23" xfId="946"/>
    <cellStyle name="Moeda 2 2 2 7 2 24" xfId="1251"/>
    <cellStyle name="Moeda 2 2 2 7 2 25" xfId="1270"/>
    <cellStyle name="Moeda 2 2 2 7 2 26" xfId="1271"/>
    <cellStyle name="Moeda 2 2 2 7 2 27" xfId="913"/>
    <cellStyle name="Moeda 2 2 2 7 2 28" xfId="1358"/>
    <cellStyle name="Moeda 2 2 2 7 2 29" xfId="1518"/>
    <cellStyle name="Moeda 2 2 2 7 2 3" xfId="531"/>
    <cellStyle name="Moeda 2 2 2 7 2 30" xfId="1425"/>
    <cellStyle name="Moeda 2 2 2 7 2 31" xfId="1540"/>
    <cellStyle name="Moeda 2 2 2 7 2 32" xfId="1431"/>
    <cellStyle name="Moeda 2 2 2 7 2 33" xfId="1532"/>
    <cellStyle name="Moeda 2 2 2 7 2 34" xfId="1584"/>
    <cellStyle name="Moeda 2 2 2 7 2 35" xfId="1630"/>
    <cellStyle name="Moeda 2 2 2 7 2 36" xfId="1607"/>
    <cellStyle name="Moeda 2 2 2 7 2 37" xfId="1544"/>
    <cellStyle name="Moeda 2 2 2 7 2 38" xfId="1558"/>
    <cellStyle name="Moeda 2 2 2 7 2 39" xfId="1600"/>
    <cellStyle name="Moeda 2 2 2 7 2 4" xfId="224"/>
    <cellStyle name="Moeda 2 2 2 7 2 40" xfId="1800"/>
    <cellStyle name="Moeda 2 2 2 7 2 5" xfId="445"/>
    <cellStyle name="Moeda 2 2 2 7 2 6" xfId="372"/>
    <cellStyle name="Moeda 2 2 2 7 2 7" xfId="271"/>
    <cellStyle name="Moeda 2 2 2 7 2 8" xfId="288"/>
    <cellStyle name="Moeda 2 2 2 7 2 9" xfId="554"/>
    <cellStyle name="Moeda 2 2 2 7 20" xfId="1130"/>
    <cellStyle name="Moeda 2 2 2 7 21" xfId="1157"/>
    <cellStyle name="Moeda 2 2 2 7 22" xfId="1181"/>
    <cellStyle name="Moeda 2 2 2 7 23" xfId="1208"/>
    <cellStyle name="Moeda 2 2 2 7 24" xfId="1232"/>
    <cellStyle name="Moeda 2 2 2 7 25" xfId="1220"/>
    <cellStyle name="Moeda 2 2 2 7 26" xfId="1287"/>
    <cellStyle name="Moeda 2 2 2 7 27" xfId="1307"/>
    <cellStyle name="Moeda 2 2 2 7 28" xfId="1327"/>
    <cellStyle name="Moeda 2 2 2 7 29" xfId="1342"/>
    <cellStyle name="Moeda 2 2 2 7 3" xfId="508"/>
    <cellStyle name="Moeda 2 2 2 7 30" xfId="1319"/>
    <cellStyle name="Moeda 2 2 2 7 31" xfId="1493"/>
    <cellStyle name="Moeda 2 2 2 7 32" xfId="1481"/>
    <cellStyle name="Moeda 2 2 2 7 33" xfId="1577"/>
    <cellStyle name="Moeda 2 2 2 7 34" xfId="1576"/>
    <cellStyle name="Moeda 2 2 2 7 35" xfId="1636"/>
    <cellStyle name="Moeda 2 2 2 7 36" xfId="1659"/>
    <cellStyle name="Moeda 2 2 2 7 37" xfId="1680"/>
    <cellStyle name="Moeda 2 2 2 7 38" xfId="1701"/>
    <cellStyle name="Moeda 2 2 2 7 39" xfId="1721"/>
    <cellStyle name="Moeda 2 2 2 7 4" xfId="509"/>
    <cellStyle name="Moeda 2 2 2 7 40" xfId="1487"/>
    <cellStyle name="Moeda 2 2 2 7 41" xfId="1755"/>
    <cellStyle name="Moeda 2 2 2 7 42" xfId="1792"/>
    <cellStyle name="Moeda 2 2 2 7 5" xfId="347"/>
    <cellStyle name="Moeda 2 2 2 7 6" xfId="534"/>
    <cellStyle name="Moeda 2 2 2 7 7" xfId="279"/>
    <cellStyle name="Moeda 2 2 2 7 8" xfId="439"/>
    <cellStyle name="Moeda 2 2 2 7 9" xfId="353"/>
    <cellStyle name="Moeda 2 2 2 8" xfId="181"/>
    <cellStyle name="Moeda 2 2 2 9" xfId="245"/>
    <cellStyle name="Moeda 2 2 20" xfId="123"/>
    <cellStyle name="Moeda 2 2 21" xfId="126"/>
    <cellStyle name="Moeda 2 2 22" xfId="121"/>
    <cellStyle name="Moeda 2 2 23" xfId="127"/>
    <cellStyle name="Moeda 2 2 24" xfId="125"/>
    <cellStyle name="Moeda 2 2 25" xfId="142"/>
    <cellStyle name="Moeda 2 2 26" xfId="135"/>
    <cellStyle name="Moeda 2 2 27" xfId="146"/>
    <cellStyle name="Moeda 2 2 27 10" xfId="269"/>
    <cellStyle name="Moeda 2 2 27 11" xfId="204"/>
    <cellStyle name="Moeda 2 2 27 12" xfId="563"/>
    <cellStyle name="Moeda 2 2 27 13" xfId="599"/>
    <cellStyle name="Moeda 2 2 27 14" xfId="629"/>
    <cellStyle name="Moeda 2 2 27 15" xfId="658"/>
    <cellStyle name="Moeda 2 2 27 16" xfId="686"/>
    <cellStyle name="Moeda 2 2 27 17" xfId="712"/>
    <cellStyle name="Moeda 2 2 27 18" xfId="735"/>
    <cellStyle name="Moeda 2 2 27 19" xfId="797"/>
    <cellStyle name="Moeda 2 2 27 2" xfId="170"/>
    <cellStyle name="Moeda 2 2 27 2 10" xfId="701"/>
    <cellStyle name="Moeda 2 2 27 2 11" xfId="726"/>
    <cellStyle name="Moeda 2 2 27 2 12" xfId="748"/>
    <cellStyle name="Moeda 2 2 27 2 13" xfId="763"/>
    <cellStyle name="Moeda 2 2 27 2 14" xfId="772"/>
    <cellStyle name="Moeda 2 2 27 2 15" xfId="908"/>
    <cellStyle name="Moeda 2 2 27 2 16" xfId="967"/>
    <cellStyle name="Moeda 2 2 27 2 17" xfId="836"/>
    <cellStyle name="Moeda 2 2 27 2 18" xfId="798"/>
    <cellStyle name="Moeda 2 2 27 2 19" xfId="838"/>
    <cellStyle name="Moeda 2 2 27 2 2" xfId="397"/>
    <cellStyle name="Moeda 2 2 27 2 2 10" xfId="311"/>
    <cellStyle name="Moeda 2 2 27 2 2 11" xfId="329"/>
    <cellStyle name="Moeda 2 2 27 2 2 12" xfId="572"/>
    <cellStyle name="Moeda 2 2 27 2 2 13" xfId="943"/>
    <cellStyle name="Moeda 2 2 27 2 2 14" xfId="954"/>
    <cellStyle name="Moeda 2 2 27 2 2 15" xfId="1008"/>
    <cellStyle name="Moeda 2 2 27 2 2 16" xfId="1049"/>
    <cellStyle name="Moeda 2 2 27 2 2 17" xfId="1081"/>
    <cellStyle name="Moeda 2 2 27 2 2 18" xfId="1113"/>
    <cellStyle name="Moeda 2 2 27 2 2 19" xfId="1138"/>
    <cellStyle name="Moeda 2 2 27 2 2 2" xfId="438"/>
    <cellStyle name="Moeda 2 2 27 2 2 20" xfId="1165"/>
    <cellStyle name="Moeda 2 2 27 2 2 21" xfId="1190"/>
    <cellStyle name="Moeda 2 2 27 2 2 22" xfId="1214"/>
    <cellStyle name="Moeda 2 2 27 2 2 23" xfId="1237"/>
    <cellStyle name="Moeda 2 2 27 2 2 24" xfId="1267"/>
    <cellStyle name="Moeda 2 2 27 2 2 25" xfId="1295"/>
    <cellStyle name="Moeda 2 2 27 2 2 26" xfId="1314"/>
    <cellStyle name="Moeda 2 2 27 2 2 27" xfId="1332"/>
    <cellStyle name="Moeda 2 2 27 2 2 28" xfId="1182"/>
    <cellStyle name="Moeda 2 2 27 2 2 29" xfId="1500"/>
    <cellStyle name="Moeda 2 2 27 2 2 3" xfId="198"/>
    <cellStyle name="Moeda 2 2 27 2 2 30" xfId="1488"/>
    <cellStyle name="Moeda 2 2 27 2 2 31" xfId="1552"/>
    <cellStyle name="Moeda 2 2 27 2 2 32" xfId="1550"/>
    <cellStyle name="Moeda 2 2 27 2 2 33" xfId="1513"/>
    <cellStyle name="Moeda 2 2 27 2 2 34" xfId="1642"/>
    <cellStyle name="Moeda 2 2 27 2 2 35" xfId="1665"/>
    <cellStyle name="Moeda 2 2 27 2 2 36" xfId="1685"/>
    <cellStyle name="Moeda 2 2 27 2 2 37" xfId="1705"/>
    <cellStyle name="Moeda 2 2 27 2 2 38" xfId="1507"/>
    <cellStyle name="Moeda 2 2 27 2 2 39" xfId="1613"/>
    <cellStyle name="Moeda 2 2 27 2 2 4" xfId="284"/>
    <cellStyle name="Moeda 2 2 27 2 2 40" xfId="1796"/>
    <cellStyle name="Moeda 2 2 27 2 2 5" xfId="272"/>
    <cellStyle name="Moeda 2 2 27 2 2 6" xfId="528"/>
    <cellStyle name="Moeda 2 2 27 2 2 7" xfId="390"/>
    <cellStyle name="Moeda 2 2 27 2 2 8" xfId="355"/>
    <cellStyle name="Moeda 2 2 27 2 2 9" xfId="452"/>
    <cellStyle name="Moeda 2 2 27 2 20" xfId="922"/>
    <cellStyle name="Moeda 2 2 27 2 21" xfId="805"/>
    <cellStyle name="Moeda 2 2 27 2 22" xfId="997"/>
    <cellStyle name="Moeda 2 2 27 2 23" xfId="1040"/>
    <cellStyle name="Moeda 2 2 27 2 24" xfId="1071"/>
    <cellStyle name="Moeda 2 2 27 2 25" xfId="1275"/>
    <cellStyle name="Moeda 2 2 27 2 26" xfId="974"/>
    <cellStyle name="Moeda 2 2 27 2 27" xfId="1198"/>
    <cellStyle name="Moeda 2 2 27 2 28" xfId="1207"/>
    <cellStyle name="Moeda 2 2 27 2 29" xfId="1265"/>
    <cellStyle name="Moeda 2 2 27 2 3" xfId="502"/>
    <cellStyle name="Moeda 2 2 27 2 30" xfId="1350"/>
    <cellStyle name="Moeda 2 2 27 2 31" xfId="1468"/>
    <cellStyle name="Moeda 2 2 27 2 32" xfId="1559"/>
    <cellStyle name="Moeda 2 2 27 2 33" xfId="1399"/>
    <cellStyle name="Moeda 2 2 27 2 34" xfId="1580"/>
    <cellStyle name="Moeda 2 2 27 2 35" xfId="1524"/>
    <cellStyle name="Moeda 2 2 27 2 36" xfId="1534"/>
    <cellStyle name="Moeda 2 2 27 2 37" xfId="1434"/>
    <cellStyle name="Moeda 2 2 27 2 38" xfId="1483"/>
    <cellStyle name="Moeda 2 2 27 2 39" xfId="1566"/>
    <cellStyle name="Moeda 2 2 27 2 4" xfId="517"/>
    <cellStyle name="Moeda 2 2 27 2 40" xfId="1741"/>
    <cellStyle name="Moeda 2 2 27 2 41" xfId="1563"/>
    <cellStyle name="Moeda 2 2 27 2 42" xfId="1784"/>
    <cellStyle name="Moeda 2 2 27 2 5" xfId="468"/>
    <cellStyle name="Moeda 2 2 27 2 6" xfId="581"/>
    <cellStyle name="Moeda 2 2 27 2 7" xfId="615"/>
    <cellStyle name="Moeda 2 2 27 2 8" xfId="645"/>
    <cellStyle name="Moeda 2 2 27 2 9" xfId="674"/>
    <cellStyle name="Moeda 2 2 27 20" xfId="843"/>
    <cellStyle name="Moeda 2 2 27 21" xfId="927"/>
    <cellStyle name="Moeda 2 2 27 22" xfId="845"/>
    <cellStyle name="Moeda 2 2 27 23" xfId="928"/>
    <cellStyle name="Moeda 2 2 27 24" xfId="998"/>
    <cellStyle name="Moeda 2 2 27 25" xfId="877"/>
    <cellStyle name="Moeda 2 2 27 26" xfId="861"/>
    <cellStyle name="Moeda 2 2 27 27" xfId="953"/>
    <cellStyle name="Moeda 2 2 27 28" xfId="1034"/>
    <cellStyle name="Moeda 2 2 27 29" xfId="789"/>
    <cellStyle name="Moeda 2 2 27 3" xfId="214"/>
    <cellStyle name="Moeda 2 2 27 30" xfId="1280"/>
    <cellStyle name="Moeda 2 2 27 31" xfId="1062"/>
    <cellStyle name="Moeda 2 2 27 32" xfId="981"/>
    <cellStyle name="Moeda 2 2 27 33" xfId="1026"/>
    <cellStyle name="Moeda 2 2 27 34" xfId="1231"/>
    <cellStyle name="Moeda 2 2 27 35" xfId="1380"/>
    <cellStyle name="Moeda 2 2 27 36" xfId="1420"/>
    <cellStyle name="Moeda 2 2 27 37" xfId="1551"/>
    <cellStyle name="Moeda 2 2 27 38" xfId="1578"/>
    <cellStyle name="Moeda 2 2 27 39" xfId="1620"/>
    <cellStyle name="Moeda 2 2 27 4" xfId="197"/>
    <cellStyle name="Moeda 2 2 27 40" xfId="1381"/>
    <cellStyle name="Moeda 2 2 27 41" xfId="1542"/>
    <cellStyle name="Moeda 2 2 27 42" xfId="1492"/>
    <cellStyle name="Moeda 2 2 27 43" xfId="1616"/>
    <cellStyle name="Moeda 2 2 27 44" xfId="1628"/>
    <cellStyle name="Moeda 2 2 27 45" xfId="1710"/>
    <cellStyle name="Moeda 2 2 27 46" xfId="1772"/>
    <cellStyle name="Moeda 2 2 27 5" xfId="235"/>
    <cellStyle name="Moeda 2 2 27 6" xfId="267"/>
    <cellStyle name="Moeda 2 2 27 7" xfId="291"/>
    <cellStyle name="Moeda 2 2 27 7 10" xfId="533"/>
    <cellStyle name="Moeda 2 2 27 7 11" xfId="482"/>
    <cellStyle name="Moeda 2 2 27 7 12" xfId="551"/>
    <cellStyle name="Moeda 2 2 27 7 13" xfId="919"/>
    <cellStyle name="Moeda 2 2 27 7 14" xfId="864"/>
    <cellStyle name="Moeda 2 2 27 7 15" xfId="1048"/>
    <cellStyle name="Moeda 2 2 27 7 16" xfId="1080"/>
    <cellStyle name="Moeda 2 2 27 7 17" xfId="1112"/>
    <cellStyle name="Moeda 2 2 27 7 18" xfId="1137"/>
    <cellStyle name="Moeda 2 2 27 7 19" xfId="1164"/>
    <cellStyle name="Moeda 2 2 27 7 2" xfId="409"/>
    <cellStyle name="Moeda 2 2 27 7 20" xfId="1189"/>
    <cellStyle name="Moeda 2 2 27 7 21" xfId="1213"/>
    <cellStyle name="Moeda 2 2 27 7 22" xfId="1241"/>
    <cellStyle name="Moeda 2 2 27 7 23" xfId="1235"/>
    <cellStyle name="Moeda 2 2 27 7 24" xfId="1294"/>
    <cellStyle name="Moeda 2 2 27 7 25" xfId="1313"/>
    <cellStyle name="Moeda 2 2 27 7 26" xfId="1331"/>
    <cellStyle name="Moeda 2 2 27 7 27" xfId="1344"/>
    <cellStyle name="Moeda 2 2 27 7 28" xfId="1187"/>
    <cellStyle name="Moeda 2 2 27 7 29" xfId="1479"/>
    <cellStyle name="Moeda 2 2 27 7 3" xfId="385"/>
    <cellStyle name="Moeda 2 2 27 7 30" xfId="1490"/>
    <cellStyle name="Moeda 2 2 27 7 31" xfId="1586"/>
    <cellStyle name="Moeda 2 2 27 7 32" xfId="1612"/>
    <cellStyle name="Moeda 2 2 27 7 33" xfId="1515"/>
    <cellStyle name="Moeda 2 2 27 7 34" xfId="1472"/>
    <cellStyle name="Moeda 2 2 27 7 35" xfId="1610"/>
    <cellStyle name="Moeda 2 2 27 7 36" xfId="1603"/>
    <cellStyle name="Moeda 2 2 27 7 37" xfId="1557"/>
    <cellStyle name="Moeda 2 2 27 7 38" xfId="1418"/>
    <cellStyle name="Moeda 2 2 27 7 39" xfId="1750"/>
    <cellStyle name="Moeda 2 2 27 7 4" xfId="363"/>
    <cellStyle name="Moeda 2 2 27 7 40" xfId="1787"/>
    <cellStyle name="Moeda 2 2 27 7 5" xfId="471"/>
    <cellStyle name="Moeda 2 2 27 7 6" xfId="266"/>
    <cellStyle name="Moeda 2 2 27 7 7" xfId="367"/>
    <cellStyle name="Moeda 2 2 27 7 8" xfId="164"/>
    <cellStyle name="Moeda 2 2 27 7 9" xfId="467"/>
    <cellStyle name="Moeda 2 2 27 8" xfId="510"/>
    <cellStyle name="Moeda 2 2 27 9" xfId="195"/>
    <cellStyle name="Moeda 2 2 28" xfId="298"/>
    <cellStyle name="Moeda 2 2 29" xfId="306"/>
    <cellStyle name="Moeda 2 2 3" xfId="17"/>
    <cellStyle name="Moeda 2 2 30" xfId="188"/>
    <cellStyle name="Moeda 2 2 30 10" xfId="700"/>
    <cellStyle name="Moeda 2 2 30 11" xfId="725"/>
    <cellStyle name="Moeda 2 2 30 12" xfId="747"/>
    <cellStyle name="Moeda 2 2 30 13" xfId="762"/>
    <cellStyle name="Moeda 2 2 30 14" xfId="771"/>
    <cellStyle name="Moeda 2 2 30 15" xfId="912"/>
    <cellStyle name="Moeda 2 2 30 16" xfId="1009"/>
    <cellStyle name="Moeda 2 2 30 17" xfId="897"/>
    <cellStyle name="Moeda 2 2 30 18" xfId="969"/>
    <cellStyle name="Moeda 2 2 30 19" xfId="867"/>
    <cellStyle name="Moeda 2 2 30 2" xfId="402"/>
    <cellStyle name="Moeda 2 2 30 2 10" xfId="285"/>
    <cellStyle name="Moeda 2 2 30 2 11" xfId="461"/>
    <cellStyle name="Moeda 2 2 30 2 12" xfId="388"/>
    <cellStyle name="Moeda 2 2 30 2 13" xfId="949"/>
    <cellStyle name="Moeda 2 2 30 2 14" xfId="822"/>
    <cellStyle name="Moeda 2 2 30 2 15" xfId="1052"/>
    <cellStyle name="Moeda 2 2 30 2 16" xfId="1084"/>
    <cellStyle name="Moeda 2 2 30 2 17" xfId="1116"/>
    <cellStyle name="Moeda 2 2 30 2 18" xfId="1141"/>
    <cellStyle name="Moeda 2 2 30 2 19" xfId="1168"/>
    <cellStyle name="Moeda 2 2 30 2 2" xfId="444"/>
    <cellStyle name="Moeda 2 2 30 2 20" xfId="1193"/>
    <cellStyle name="Moeda 2 2 30 2 21" xfId="1217"/>
    <cellStyle name="Moeda 2 2 30 2 22" xfId="1245"/>
    <cellStyle name="Moeda 2 2 30 2 23" xfId="1277"/>
    <cellStyle name="Moeda 2 2 30 2 24" xfId="1298"/>
    <cellStyle name="Moeda 2 2 30 2 25" xfId="1317"/>
    <cellStyle name="Moeda 2 2 30 2 26" xfId="1335"/>
    <cellStyle name="Moeda 2 2 30 2 27" xfId="1347"/>
    <cellStyle name="Moeda 2 2 30 2 28" xfId="818"/>
    <cellStyle name="Moeda 2 2 30 2 29" xfId="1506"/>
    <cellStyle name="Moeda 2 2 30 2 3" xfId="401"/>
    <cellStyle name="Moeda 2 2 30 2 30" xfId="1562"/>
    <cellStyle name="Moeda 2 2 30 2 31" xfId="1589"/>
    <cellStyle name="Moeda 2 2 30 2 32" xfId="1405"/>
    <cellStyle name="Moeda 2 2 30 2 33" xfId="1541"/>
    <cellStyle name="Moeda 2 2 30 2 34" xfId="1455"/>
    <cellStyle name="Moeda 2 2 30 2 35" xfId="1597"/>
    <cellStyle name="Moeda 2 2 30 2 36" xfId="1526"/>
    <cellStyle name="Moeda 2 2 30 2 37" xfId="1411"/>
    <cellStyle name="Moeda 2 2 30 2 38" xfId="1419"/>
    <cellStyle name="Moeda 2 2 30 2 39" xfId="1742"/>
    <cellStyle name="Moeda 2 2 30 2 4" xfId="315"/>
    <cellStyle name="Moeda 2 2 30 2 40" xfId="1797"/>
    <cellStyle name="Moeda 2 2 30 2 5" xfId="550"/>
    <cellStyle name="Moeda 2 2 30 2 6" xfId="179"/>
    <cellStyle name="Moeda 2 2 30 2 7" xfId="264"/>
    <cellStyle name="Moeda 2 2 30 2 8" xfId="424"/>
    <cellStyle name="Moeda 2 2 30 2 9" xfId="549"/>
    <cellStyle name="Moeda 2 2 30 20" xfId="915"/>
    <cellStyle name="Moeda 2 2 30 21" xfId="1005"/>
    <cellStyle name="Moeda 2 2 30 22" xfId="847"/>
    <cellStyle name="Moeda 2 2 30 23" xfId="856"/>
    <cellStyle name="Moeda 2 2 30 24" xfId="945"/>
    <cellStyle name="Moeda 2 2 30 25" xfId="878"/>
    <cellStyle name="Moeda 2 2 30 26" xfId="1104"/>
    <cellStyle name="Moeda 2 2 30 27" xfId="841"/>
    <cellStyle name="Moeda 2 2 30 28" xfId="1149"/>
    <cellStyle name="Moeda 2 2 30 29" xfId="1238"/>
    <cellStyle name="Moeda 2 2 30 3" xfId="505"/>
    <cellStyle name="Moeda 2 2 30 30" xfId="1312"/>
    <cellStyle name="Moeda 2 2 30 31" xfId="1473"/>
    <cellStyle name="Moeda 2 2 30 32" xfId="1442"/>
    <cellStyle name="Moeda 2 2 30 33" xfId="1392"/>
    <cellStyle name="Moeda 2 2 30 34" xfId="1452"/>
    <cellStyle name="Moeda 2 2 30 35" xfId="1585"/>
    <cellStyle name="Moeda 2 2 30 36" xfId="1519"/>
    <cellStyle name="Moeda 2 2 30 37" xfId="1400"/>
    <cellStyle name="Moeda 2 2 30 38" xfId="1530"/>
    <cellStyle name="Moeda 2 2 30 39" xfId="1416"/>
    <cellStyle name="Moeda 2 2 30 4" xfId="516"/>
    <cellStyle name="Moeda 2 2 30 40" xfId="1740"/>
    <cellStyle name="Moeda 2 2 30 41" xfId="1631"/>
    <cellStyle name="Moeda 2 2 30 42" xfId="1785"/>
    <cellStyle name="Moeda 2 2 30 5" xfId="496"/>
    <cellStyle name="Moeda 2 2 30 6" xfId="580"/>
    <cellStyle name="Moeda 2 2 30 7" xfId="614"/>
    <cellStyle name="Moeda 2 2 30 8" xfId="644"/>
    <cellStyle name="Moeda 2 2 30 9" xfId="673"/>
    <cellStyle name="Moeda 2 2 31" xfId="238"/>
    <cellStyle name="Moeda 2 2 32" xfId="257"/>
    <cellStyle name="Moeda 2 2 33" xfId="331"/>
    <cellStyle name="Moeda 2 2 34" xfId="345"/>
    <cellStyle name="Moeda 2 2 34 10" xfId="717"/>
    <cellStyle name="Moeda 2 2 34 11" xfId="740"/>
    <cellStyle name="Moeda 2 2 34 12" xfId="756"/>
    <cellStyle name="Moeda 2 2 34 13" xfId="923"/>
    <cellStyle name="Moeda 2 2 34 14" xfId="907"/>
    <cellStyle name="Moeda 2 2 34 15" xfId="934"/>
    <cellStyle name="Moeda 2 2 34 16" xfId="951"/>
    <cellStyle name="Moeda 2 2 34 17" xfId="811"/>
    <cellStyle name="Moeda 2 2 34 18" xfId="930"/>
    <cellStyle name="Moeda 2 2 34 19" xfId="1056"/>
    <cellStyle name="Moeda 2 2 34 2" xfId="415"/>
    <cellStyle name="Moeda 2 2 34 20" xfId="1088"/>
    <cellStyle name="Moeda 2 2 34 21" xfId="1120"/>
    <cellStyle name="Moeda 2 2 34 22" xfId="1145"/>
    <cellStyle name="Moeda 2 2 34 23" xfId="862"/>
    <cellStyle name="Moeda 2 2 34 24" xfId="1199"/>
    <cellStyle name="Moeda 2 2 34 25" xfId="1257"/>
    <cellStyle name="Moeda 2 2 34 26" xfId="853"/>
    <cellStyle name="Moeda 2 2 34 27" xfId="894"/>
    <cellStyle name="Moeda 2 2 34 28" xfId="808"/>
    <cellStyle name="Moeda 2 2 34 29" xfId="1482"/>
    <cellStyle name="Moeda 2 2 34 3" xfId="256"/>
    <cellStyle name="Moeda 2 2 34 30" xfId="1514"/>
    <cellStyle name="Moeda 2 2 34 31" xfId="1438"/>
    <cellStyle name="Moeda 2 2 34 32" xfId="1608"/>
    <cellStyle name="Moeda 2 2 34 33" xfId="1461"/>
    <cellStyle name="Moeda 2 2 34 34" xfId="1632"/>
    <cellStyle name="Moeda 2 2 34 35" xfId="1651"/>
    <cellStyle name="Moeda 2 2 34 36" xfId="1673"/>
    <cellStyle name="Moeda 2 2 34 37" xfId="1694"/>
    <cellStyle name="Moeda 2 2 34 38" xfId="1723"/>
    <cellStyle name="Moeda 2 2 34 39" xfId="1732"/>
    <cellStyle name="Moeda 2 2 34 4" xfId="374"/>
    <cellStyle name="Moeda 2 2 34 40" xfId="1789"/>
    <cellStyle name="Moeda 2 2 34 5" xfId="569"/>
    <cellStyle name="Moeda 2 2 34 6" xfId="605"/>
    <cellStyle name="Moeda 2 2 34 7" xfId="635"/>
    <cellStyle name="Moeda 2 2 34 8" xfId="664"/>
    <cellStyle name="Moeda 2 2 34 9" xfId="691"/>
    <cellStyle name="Moeda 2 2 35" xfId="423"/>
    <cellStyle name="Moeda 2 2 36" xfId="361"/>
    <cellStyle name="Moeda 2 2 37" xfId="458"/>
    <cellStyle name="Moeda 2 2 38" xfId="532"/>
    <cellStyle name="Moeda 2 2 39" xfId="313"/>
    <cellStyle name="Moeda 2 2 4" xfId="23"/>
    <cellStyle name="Moeda 2 2 40" xfId="384"/>
    <cellStyle name="Moeda 2 2 41" xfId="365"/>
    <cellStyle name="Moeda 2 2 42" xfId="169"/>
    <cellStyle name="Moeda 2 2 43" xfId="354"/>
    <cellStyle name="Moeda 2 2 44" xfId="228"/>
    <cellStyle name="Moeda 2 2 45" xfId="332"/>
    <cellStyle name="Moeda 2 2 46" xfId="780"/>
    <cellStyle name="Moeda 2 2 47" xfId="813"/>
    <cellStyle name="Moeda 2 2 48" xfId="809"/>
    <cellStyle name="Moeda 2 2 49" xfId="803"/>
    <cellStyle name="Moeda 2 2 5" xfId="24"/>
    <cellStyle name="Moeda 2 2 50" xfId="854"/>
    <cellStyle name="Moeda 2 2 51" xfId="948"/>
    <cellStyle name="Moeda 2 2 52" xfId="1063"/>
    <cellStyle name="Moeda 2 2 53" xfId="1094"/>
    <cellStyle name="Moeda 2 2 54" xfId="1124"/>
    <cellStyle name="Moeda 2 2 55" xfId="1151"/>
    <cellStyle name="Moeda 2 2 56" xfId="806"/>
    <cellStyle name="Moeda 2 2 57" xfId="1028"/>
    <cellStyle name="Moeda 2 2 58" xfId="978"/>
    <cellStyle name="Moeda 2 2 59" xfId="795"/>
    <cellStyle name="Moeda 2 2 6" xfId="21"/>
    <cellStyle name="Moeda 2 2 60" xfId="1279"/>
    <cellStyle name="Moeda 2 2 61" xfId="1321"/>
    <cellStyle name="Moeda 2 2 62" xfId="1367"/>
    <cellStyle name="Moeda 2 2 63" xfId="1390"/>
    <cellStyle name="Moeda 2 2 64" xfId="1403"/>
    <cellStyle name="Moeda 2 2 65" xfId="1525"/>
    <cellStyle name="Moeda 2 2 66" xfId="1410"/>
    <cellStyle name="Moeda 2 2 67" xfId="1460"/>
    <cellStyle name="Moeda 2 2 68" xfId="1462"/>
    <cellStyle name="Moeda 2 2 69" xfId="1424"/>
    <cellStyle name="Moeda 2 2 7" xfId="38"/>
    <cellStyle name="Moeda 2 2 70" xfId="1655"/>
    <cellStyle name="Moeda 2 2 71" xfId="1369"/>
    <cellStyle name="Moeda 2 2 72" xfId="1744"/>
    <cellStyle name="Moeda 2 2 73" xfId="1759"/>
    <cellStyle name="Moeda 2 2 74" xfId="1764"/>
    <cellStyle name="Moeda 2 2 75" xfId="1762"/>
    <cellStyle name="Moeda 2 2 76" xfId="1798"/>
    <cellStyle name="Moeda 2 2 77" xfId="1809"/>
    <cellStyle name="Moeda 2 2 8" xfId="35"/>
    <cellStyle name="Moeda 2 2 9" xfId="33"/>
    <cellStyle name="Moeda 2 20" xfId="122"/>
    <cellStyle name="Moeda 2 21" xfId="130"/>
    <cellStyle name="Moeda 2 22" xfId="134"/>
    <cellStyle name="Moeda 2 23" xfId="138"/>
    <cellStyle name="Moeda 2 24" xfId="144"/>
    <cellStyle name="Moeda 2 25" xfId="150"/>
    <cellStyle name="Moeda 2 26" xfId="154"/>
    <cellStyle name="Moeda 2 27" xfId="159"/>
    <cellStyle name="Moeda 2 28" xfId="193"/>
    <cellStyle name="Moeda 2 29" xfId="221"/>
    <cellStyle name="Moeda 2 3" xfId="16"/>
    <cellStyle name="Moeda 2 30" xfId="282"/>
    <cellStyle name="Moeda 2 31" xfId="274"/>
    <cellStyle name="Moeda 2 32" xfId="242"/>
    <cellStyle name="Moeda 2 33" xfId="236"/>
    <cellStyle name="Moeda 2 34" xfId="434"/>
    <cellStyle name="Moeda 2 35" xfId="339"/>
    <cellStyle name="Moeda 2 36" xfId="314"/>
    <cellStyle name="Moeda 2 37" xfId="579"/>
    <cellStyle name="Moeda 2 38" xfId="613"/>
    <cellStyle name="Moeda 2 39" xfId="643"/>
    <cellStyle name="Moeda 2 4" xfId="22"/>
    <cellStyle name="Moeda 2 40" xfId="672"/>
    <cellStyle name="Moeda 2 41" xfId="699"/>
    <cellStyle name="Moeda 2 42" xfId="724"/>
    <cellStyle name="Moeda 2 43" xfId="779"/>
    <cellStyle name="Moeda 2 44" xfId="816"/>
    <cellStyle name="Moeda 2 45" xfId="983"/>
    <cellStyle name="Moeda 2 46" xfId="1027"/>
    <cellStyle name="Moeda 2 47" xfId="991"/>
    <cellStyle name="Moeda 2 48" xfId="1045"/>
    <cellStyle name="Moeda 2 49" xfId="1076"/>
    <cellStyle name="Moeda 2 5" xfId="29"/>
    <cellStyle name="Moeda 2 50" xfId="1109"/>
    <cellStyle name="Moeda 2 51" xfId="1135"/>
    <cellStyle name="Moeda 2 52" xfId="1161"/>
    <cellStyle name="Moeda 2 53" xfId="1176"/>
    <cellStyle name="Moeda 2 54" xfId="1224"/>
    <cellStyle name="Moeda 2 55" xfId="975"/>
    <cellStyle name="Moeda 2 56" xfId="1261"/>
    <cellStyle name="Moeda 2 57" xfId="1292"/>
    <cellStyle name="Moeda 2 58" xfId="1288"/>
    <cellStyle name="Moeda 2 59" xfId="1366"/>
    <cellStyle name="Moeda 2 6" xfId="34"/>
    <cellStyle name="Moeda 2 60" xfId="1394"/>
    <cellStyle name="Moeda 2 61" xfId="1401"/>
    <cellStyle name="Moeda 2 62" xfId="1415"/>
    <cellStyle name="Moeda 2 63" xfId="1596"/>
    <cellStyle name="Moeda 2 64" xfId="1625"/>
    <cellStyle name="Moeda 2 65" xfId="1386"/>
    <cellStyle name="Moeda 2 66" xfId="1503"/>
    <cellStyle name="Moeda 2 67" xfId="1368"/>
    <cellStyle name="Moeda 2 68" xfId="1377"/>
    <cellStyle name="Moeda 2 69" xfId="1743"/>
    <cellStyle name="Moeda 2 7" xfId="25"/>
    <cellStyle name="Moeda 2 70" xfId="1758"/>
    <cellStyle name="Moeda 2 71" xfId="1763"/>
    <cellStyle name="Moeda 2 72" xfId="1765"/>
    <cellStyle name="Moeda 2 73" xfId="1773"/>
    <cellStyle name="Moeda 2 74" xfId="1808"/>
    <cellStyle name="Moeda 2 8" xfId="43"/>
    <cellStyle name="Moeda 2 9" xfId="47"/>
    <cellStyle name="Moeda 20" xfId="254"/>
    <cellStyle name="Moeda 20 10" xfId="687"/>
    <cellStyle name="Moeda 20 11" xfId="713"/>
    <cellStyle name="Moeda 20 12" xfId="736"/>
    <cellStyle name="Moeda 20 2" xfId="474"/>
    <cellStyle name="Moeda 20 3" xfId="547"/>
    <cellStyle name="Moeda 20 4" xfId="408"/>
    <cellStyle name="Moeda 20 5" xfId="465"/>
    <cellStyle name="Moeda 20 6" xfId="564"/>
    <cellStyle name="Moeda 20 7" xfId="600"/>
    <cellStyle name="Moeda 20 8" xfId="630"/>
    <cellStyle name="Moeda 20 9" xfId="659"/>
    <cellStyle name="Moeda 22" xfId="226"/>
    <cellStyle name="Moeda 22 10" xfId="479"/>
    <cellStyle name="Moeda 22 11" xfId="553"/>
    <cellStyle name="Moeda 22 12" xfId="589"/>
    <cellStyle name="Moeda 22 2" xfId="456"/>
    <cellStyle name="Moeda 22 3" xfId="530"/>
    <cellStyle name="Moeda 22 4" xfId="335"/>
    <cellStyle name="Moeda 22 5" xfId="321"/>
    <cellStyle name="Moeda 22 6" xfId="399"/>
    <cellStyle name="Moeda 22 7" xfId="527"/>
    <cellStyle name="Moeda 22 8" xfId="312"/>
    <cellStyle name="Moeda 22 9" xfId="522"/>
    <cellStyle name="Moeda 23" xfId="830"/>
    <cellStyle name="Moeda 24" xfId="855"/>
    <cellStyle name="Moeda 25" xfId="984"/>
    <cellStyle name="Moeda 26" xfId="273"/>
    <cellStyle name="Moeda 27" xfId="319"/>
    <cellStyle name="Moeda 28" xfId="1497"/>
    <cellStyle name="Moeda 29" xfId="814"/>
    <cellStyle name="Moeda 3" xfId="15"/>
    <cellStyle name="Moeda 30" xfId="1201"/>
    <cellStyle name="Moeda 31" xfId="575"/>
    <cellStyle name="Moeda 32" xfId="1256"/>
    <cellStyle name="Moeda 33" xfId="1774"/>
    <cellStyle name="Moeda 36" xfId="1605"/>
    <cellStyle name="Moeda 4" xfId="4"/>
    <cellStyle name="Moeda 6" xfId="124"/>
    <cellStyle name="Moeda 6 10" xfId="548"/>
    <cellStyle name="Moeda 6 11" xfId="194"/>
    <cellStyle name="Moeda 6 12" xfId="172"/>
    <cellStyle name="Moeda 6 13" xfId="231"/>
    <cellStyle name="Moeda 6 14" xfId="544"/>
    <cellStyle name="Moeda 6 15" xfId="176"/>
    <cellStyle name="Moeda 6 16" xfId="223"/>
    <cellStyle name="Moeda 6 17" xfId="582"/>
    <cellStyle name="Moeda 6 2" xfId="270"/>
    <cellStyle name="Moeda 6 3" xfId="259"/>
    <cellStyle name="Moeda 6 4" xfId="160"/>
    <cellStyle name="Moeda 6 5" xfId="207"/>
    <cellStyle name="Moeda 6 6" xfId="143"/>
    <cellStyle name="Moeda 6 7" xfId="218"/>
    <cellStyle name="Moeda 6 8" xfId="206"/>
    <cellStyle name="Moeda 6 9" xfId="447"/>
    <cellStyle name="Moeda 7" xfId="895"/>
    <cellStyle name="Moeda 8" xfId="874"/>
    <cellStyle name="Moeda 8 10" xfId="526"/>
    <cellStyle name="Moeda 8 11" xfId="283"/>
    <cellStyle name="Moeda 8 12" xfId="183"/>
    <cellStyle name="Moeda 8 13" xfId="586"/>
    <cellStyle name="Moeda 8 14" xfId="618"/>
    <cellStyle name="Moeda 8 15" xfId="648"/>
    <cellStyle name="Moeda 8 16" xfId="677"/>
    <cellStyle name="Moeda 8 17" xfId="704"/>
    <cellStyle name="Moeda 8 2" xfId="268"/>
    <cellStyle name="Moeda 8 3" xfId="261"/>
    <cellStyle name="Moeda 8 4" xfId="275"/>
    <cellStyle name="Moeda 8 5" xfId="202"/>
    <cellStyle name="Moeda 8 6" xfId="158"/>
    <cellStyle name="Moeda 8 7" xfId="286"/>
    <cellStyle name="Moeda 8 8" xfId="209"/>
    <cellStyle name="Moeda 8 9" xfId="426"/>
    <cellStyle name="Moeda 9" xfId="885"/>
    <cellStyle name="Moeda 9 10" xfId="602"/>
    <cellStyle name="Moeda 9 11" xfId="632"/>
    <cellStyle name="Moeda 9 12" xfId="661"/>
    <cellStyle name="Moeda 9 13" xfId="689"/>
    <cellStyle name="Moeda 9 14" xfId="715"/>
    <cellStyle name="Moeda 9 15" xfId="738"/>
    <cellStyle name="Moeda 9 16" xfId="754"/>
    <cellStyle name="Moeda 9 17" xfId="766"/>
    <cellStyle name="Moeda 9 2" xfId="278"/>
    <cellStyle name="Moeda 9 3" xfId="310"/>
    <cellStyle name="Moeda 9 4" xfId="186"/>
    <cellStyle name="Moeda 9 5" xfId="211"/>
    <cellStyle name="Moeda 9 6" xfId="145"/>
    <cellStyle name="Moeda 9 7" xfId="325"/>
    <cellStyle name="Moeda 9 8" xfId="459"/>
    <cellStyle name="Moeda 9 9" xfId="566"/>
    <cellStyle name="Normal" xfId="0" builtinId="0"/>
    <cellStyle name="Normal 2" xfId="5"/>
    <cellStyle name="Normal 2 2" xfId="14"/>
    <cellStyle name="Normal 3" xfId="6"/>
    <cellStyle name="Normal 3 10" xfId="1017"/>
    <cellStyle name="Normal 3 11" xfId="1020"/>
    <cellStyle name="Normal 3 12" xfId="1023"/>
    <cellStyle name="Normal 3 13" xfId="1573"/>
    <cellStyle name="Normal 3 14" xfId="1810"/>
    <cellStyle name="Normal 3 2" xfId="13"/>
    <cellStyle name="Normal 3 2 10" xfId="1022"/>
    <cellStyle name="Normal 3 2 11" xfId="1021"/>
    <cellStyle name="Normal 3 2 12" xfId="1574"/>
    <cellStyle name="Normal 3 2 2" xfId="94"/>
    <cellStyle name="Normal 3 2 3" xfId="292"/>
    <cellStyle name="Normal 3 2 4" xfId="305"/>
    <cellStyle name="Normal 3 2 5" xfId="304"/>
    <cellStyle name="Normal 3 2 6" xfId="406"/>
    <cellStyle name="Normal 3 2 7" xfId="418"/>
    <cellStyle name="Normal 3 2 8" xfId="414"/>
    <cellStyle name="Normal 3 2 9" xfId="1018"/>
    <cellStyle name="Normal 3 3" xfId="93"/>
    <cellStyle name="Normal 3 4" xfId="168"/>
    <cellStyle name="Normal 3 5" xfId="293"/>
    <cellStyle name="Normal 3 6" xfId="300"/>
    <cellStyle name="Normal 3 7" xfId="391"/>
    <cellStyle name="Normal 3 8" xfId="413"/>
    <cellStyle name="Normal 3 9" xfId="506"/>
    <cellStyle name="Normal 4" xfId="1817"/>
    <cellStyle name="Normal 5" xfId="7"/>
    <cellStyle name="Normal 6" xfId="8"/>
    <cellStyle name="Normal 7" xfId="9"/>
    <cellStyle name="Normal 8" xfId="1015"/>
    <cellStyle name="Porcentagem" xfId="1807" builtinId="5"/>
    <cellStyle name="Porcentagem 10" xfId="900"/>
    <cellStyle name="Porcentagem 10 10" xfId="577"/>
    <cellStyle name="Porcentagem 10 11" xfId="611"/>
    <cellStyle name="Porcentagem 10 12" xfId="641"/>
    <cellStyle name="Porcentagem 10 13" xfId="670"/>
    <cellStyle name="Porcentagem 10 14" xfId="697"/>
    <cellStyle name="Porcentagem 10 15" xfId="722"/>
    <cellStyle name="Porcentagem 10 16" xfId="745"/>
    <cellStyle name="Porcentagem 10 17" xfId="760"/>
    <cellStyle name="Porcentagem 10 2" xfId="290"/>
    <cellStyle name="Porcentagem 10 3" xfId="323"/>
    <cellStyle name="Porcentagem 10 4" xfId="199"/>
    <cellStyle name="Porcentagem 10 5" xfId="262"/>
    <cellStyle name="Porcentagem 10 6" xfId="265"/>
    <cellStyle name="Porcentagem 10 7" xfId="213"/>
    <cellStyle name="Porcentagem 10 8" xfId="475"/>
    <cellStyle name="Porcentagem 10 9" xfId="370"/>
    <cellStyle name="Porcentagem 11" xfId="64"/>
    <cellStyle name="Porcentagem 11 2" xfId="99"/>
    <cellStyle name="Porcentagem 11 3" xfId="116"/>
    <cellStyle name="Porcentagem 12" xfId="69"/>
    <cellStyle name="Porcentagem 12 2" xfId="101"/>
    <cellStyle name="Porcentagem 12 3" xfId="118"/>
    <cellStyle name="Porcentagem 13" xfId="801"/>
    <cellStyle name="Porcentagem 14" xfId="281"/>
    <cellStyle name="Porcentagem 14 10" xfId="751"/>
    <cellStyle name="Porcentagem 14 11" xfId="764"/>
    <cellStyle name="Porcentagem 14 12" xfId="773"/>
    <cellStyle name="Porcentagem 14 2" xfId="488"/>
    <cellStyle name="Porcentagem 14 3" xfId="559"/>
    <cellStyle name="Porcentagem 14 4" xfId="595"/>
    <cellStyle name="Porcentagem 14 5" xfId="625"/>
    <cellStyle name="Porcentagem 14 6" xfId="654"/>
    <cellStyle name="Porcentagem 14 7" xfId="681"/>
    <cellStyle name="Porcentagem 14 8" xfId="708"/>
    <cellStyle name="Porcentagem 14 9" xfId="731"/>
    <cellStyle name="Porcentagem 15" xfId="1537"/>
    <cellStyle name="Porcentagem 16" xfId="175"/>
    <cellStyle name="Porcentagem 16 10" xfId="702"/>
    <cellStyle name="Porcentagem 16 11" xfId="727"/>
    <cellStyle name="Porcentagem 16 12" xfId="749"/>
    <cellStyle name="Porcentagem 16 2" xfId="441"/>
    <cellStyle name="Porcentagem 16 3" xfId="343"/>
    <cellStyle name="Porcentagem 16 4" xfId="371"/>
    <cellStyle name="Porcentagem 16 5" xfId="250"/>
    <cellStyle name="Porcentagem 16 6" xfId="583"/>
    <cellStyle name="Porcentagem 16 7" xfId="616"/>
    <cellStyle name="Porcentagem 16 8" xfId="646"/>
    <cellStyle name="Porcentagem 16 9" xfId="675"/>
    <cellStyle name="Porcentagem 17" xfId="1780"/>
    <cellStyle name="Porcentagem 18" xfId="107"/>
    <cellStyle name="Porcentagem 2 10" xfId="55"/>
    <cellStyle name="Porcentagem 2 11" xfId="60"/>
    <cellStyle name="Porcentagem 2 12" xfId="65"/>
    <cellStyle name="Porcentagem 2 13" xfId="70"/>
    <cellStyle name="Porcentagem 2 14" xfId="74"/>
    <cellStyle name="Porcentagem 2 15" xfId="78"/>
    <cellStyle name="Porcentagem 2 16" xfId="81"/>
    <cellStyle name="Porcentagem 2 17" xfId="84"/>
    <cellStyle name="Porcentagem 2 18" xfId="88"/>
    <cellStyle name="Porcentagem 2 19" xfId="108"/>
    <cellStyle name="Porcentagem 2 2" xfId="10"/>
    <cellStyle name="Porcentagem 2 20" xfId="128"/>
    <cellStyle name="Porcentagem 2 21" xfId="132"/>
    <cellStyle name="Porcentagem 2 22" xfId="136"/>
    <cellStyle name="Porcentagem 2 23" xfId="140"/>
    <cellStyle name="Porcentagem 2 24" xfId="147"/>
    <cellStyle name="Porcentagem 2 25" xfId="151"/>
    <cellStyle name="Porcentagem 2 26" xfId="156"/>
    <cellStyle name="Porcentagem 2 27" xfId="161"/>
    <cellStyle name="Porcentagem 2 28" xfId="277"/>
    <cellStyle name="Porcentagem 2 29" xfId="309"/>
    <cellStyle name="Porcentagem 2 3" xfId="19"/>
    <cellStyle name="Porcentagem 2 30" xfId="249"/>
    <cellStyle name="Porcentagem 2 31" xfId="230"/>
    <cellStyle name="Porcentagem 2 32" xfId="330"/>
    <cellStyle name="Porcentagem 2 33" xfId="389"/>
    <cellStyle name="Porcentagem 2 34" xfId="356"/>
    <cellStyle name="Porcentagem 2 35" xfId="497"/>
    <cellStyle name="Porcentagem 2 36" xfId="470"/>
    <cellStyle name="Porcentagem 2 37" xfId="543"/>
    <cellStyle name="Porcentagem 2 38" xfId="287"/>
    <cellStyle name="Porcentagem 2 39" xfId="539"/>
    <cellStyle name="Porcentagem 2 4" xfId="26"/>
    <cellStyle name="Porcentagem 2 40" xfId="420"/>
    <cellStyle name="Porcentagem 2 41" xfId="558"/>
    <cellStyle name="Porcentagem 2 42" xfId="594"/>
    <cellStyle name="Porcentagem 2 43" xfId="787"/>
    <cellStyle name="Porcentagem 2 44" xfId="901"/>
    <cellStyle name="Porcentagem 2 45" xfId="956"/>
    <cellStyle name="Porcentagem 2 46" xfId="871"/>
    <cellStyle name="Porcentagem 2 47" xfId="902"/>
    <cellStyle name="Porcentagem 2 48" xfId="1046"/>
    <cellStyle name="Porcentagem 2 49" xfId="1078"/>
    <cellStyle name="Porcentagem 2 5" xfId="31"/>
    <cellStyle name="Porcentagem 2 50" xfId="1110"/>
    <cellStyle name="Porcentagem 2 51" xfId="1136"/>
    <cellStyle name="Porcentagem 2 52" xfId="1163"/>
    <cellStyle name="Porcentagem 2 53" xfId="1195"/>
    <cellStyle name="Porcentagem 2 54" xfId="1274"/>
    <cellStyle name="Porcentagem 2 55" xfId="1250"/>
    <cellStyle name="Porcentagem 2 56" xfId="1099"/>
    <cellStyle name="Porcentagem 2 57" xfId="1293"/>
    <cellStyle name="Porcentagem 2 58" xfId="1263"/>
    <cellStyle name="Porcentagem 2 59" xfId="1373"/>
    <cellStyle name="Porcentagem 2 6" xfId="36"/>
    <cellStyle name="Porcentagem 2 60" xfId="1459"/>
    <cellStyle name="Porcentagem 2 61" xfId="1387"/>
    <cellStyle name="Porcentagem 2 62" xfId="1496"/>
    <cellStyle name="Porcentagem 2 63" xfId="1529"/>
    <cellStyle name="Porcentagem 2 64" xfId="1633"/>
    <cellStyle name="Porcentagem 2 65" xfId="1657"/>
    <cellStyle name="Porcentagem 2 66" xfId="1678"/>
    <cellStyle name="Porcentagem 2 67" xfId="1698"/>
    <cellStyle name="Porcentagem 2 68" xfId="1671"/>
    <cellStyle name="Porcentagem 2 69" xfId="1748"/>
    <cellStyle name="Porcentagem 2 7" xfId="40"/>
    <cellStyle name="Porcentagem 2 70" xfId="1760"/>
    <cellStyle name="Porcentagem 2 71" xfId="1766"/>
    <cellStyle name="Porcentagem 2 72" xfId="1768"/>
    <cellStyle name="Porcentagem 2 73" xfId="1779"/>
    <cellStyle name="Porcentagem 2 74" xfId="1811"/>
    <cellStyle name="Porcentagem 2 8" xfId="44"/>
    <cellStyle name="Porcentagem 2 9" xfId="49"/>
    <cellStyle name="Porcentagem 20" xfId="435"/>
    <cellStyle name="Porcentagem 23" xfId="1273"/>
    <cellStyle name="Porcentagem 26" xfId="682"/>
    <cellStyle name="Porcentagem 27" xfId="990"/>
    <cellStyle name="Porcentagem 28" xfId="732"/>
    <cellStyle name="Porcentagem 29" xfId="1226"/>
    <cellStyle name="Porcentagem 3" xfId="18"/>
    <cellStyle name="Porcentagem 3 2" xfId="1816"/>
    <cellStyle name="Porcentagem 4" xfId="131"/>
    <cellStyle name="Porcentagem 4 10" xfId="556"/>
    <cellStyle name="Porcentagem 4 11" xfId="592"/>
    <cellStyle name="Porcentagem 4 12" xfId="623"/>
    <cellStyle name="Porcentagem 4 13" xfId="652"/>
    <cellStyle name="Porcentagem 4 14" xfId="679"/>
    <cellStyle name="Porcentagem 4 15" xfId="706"/>
    <cellStyle name="Porcentagem 4 16" xfId="730"/>
    <cellStyle name="Porcentagem 4 17" xfId="750"/>
    <cellStyle name="Porcentagem 4 2" xfId="276"/>
    <cellStyle name="Porcentagem 4 3" xfId="163"/>
    <cellStyle name="Porcentagem 4 4" xfId="252"/>
    <cellStyle name="Porcentagem 4 5" xfId="328"/>
    <cellStyle name="Porcentagem 4 6" xfId="342"/>
    <cellStyle name="Porcentagem 4 7" xfId="359"/>
    <cellStyle name="Porcentagem 4 8" xfId="422"/>
    <cellStyle name="Porcentagem 4 9" xfId="485"/>
    <cellStyle name="Porcentagem 5" xfId="940"/>
    <cellStyle name="Porcentagem 6" xfId="925"/>
    <cellStyle name="Porcentagem 9" xfId="54"/>
    <cellStyle name="Porcentagem 9 2" xfId="97"/>
    <cellStyle name="Porcentagem 9 3" xfId="114"/>
    <cellStyle name="Separador de milhares 11" xfId="1734"/>
    <cellStyle name="Separador de milhares 2" xfId="1814"/>
    <cellStyle name="Separador de milhares 2 10" xfId="56"/>
    <cellStyle name="Separador de milhares 2 11" xfId="61"/>
    <cellStyle name="Separador de milhares 2 12" xfId="66"/>
    <cellStyle name="Separador de milhares 2 13" xfId="71"/>
    <cellStyle name="Separador de milhares 2 14" xfId="75"/>
    <cellStyle name="Separador de milhares 2 15" xfId="79"/>
    <cellStyle name="Separador de milhares 2 16" xfId="82"/>
    <cellStyle name="Separador de milhares 2 17" xfId="85"/>
    <cellStyle name="Separador de milhares 2 18" xfId="89"/>
    <cellStyle name="Separador de milhares 2 19" xfId="109"/>
    <cellStyle name="Separador de milhares 2 2" xfId="11"/>
    <cellStyle name="Separador de milhares 2 20" xfId="129"/>
    <cellStyle name="Separador de milhares 2 21" xfId="133"/>
    <cellStyle name="Separador de milhares 2 22" xfId="137"/>
    <cellStyle name="Separador de milhares 2 23" xfId="141"/>
    <cellStyle name="Separador de milhares 2 24" xfId="148"/>
    <cellStyle name="Separador de milhares 2 25" xfId="152"/>
    <cellStyle name="Separador de milhares 2 26" xfId="157"/>
    <cellStyle name="Separador de milhares 2 27" xfId="162"/>
    <cellStyle name="Separador de milhares 2 28" xfId="173"/>
    <cellStyle name="Separador de milhares 2 29" xfId="244"/>
    <cellStyle name="Separador de milhares 2 3" xfId="20"/>
    <cellStyle name="Separador de milhares 2 30" xfId="200"/>
    <cellStyle name="Separador de milhares 2 31" xfId="212"/>
    <cellStyle name="Separador de milhares 2 32" xfId="190"/>
    <cellStyle name="Separador de milhares 2 33" xfId="383"/>
    <cellStyle name="Separador de milhares 2 34" xfId="442"/>
    <cellStyle name="Separador de milhares 2 35" xfId="187"/>
    <cellStyle name="Separador de milhares 2 36" xfId="373"/>
    <cellStyle name="Separador de milhares 2 37" xfId="451"/>
    <cellStyle name="Separador de milhares 2 38" xfId="570"/>
    <cellStyle name="Separador de milhares 2 39" xfId="606"/>
    <cellStyle name="Separador de milhares 2 4" xfId="27"/>
    <cellStyle name="Separador de milhares 2 40" xfId="636"/>
    <cellStyle name="Separador de milhares 2 41" xfId="665"/>
    <cellStyle name="Separador de milhares 2 42" xfId="692"/>
    <cellStyle name="Separador de milhares 2 43" xfId="788"/>
    <cellStyle name="Separador de milhares 2 44" xfId="896"/>
    <cellStyle name="Separador de milhares 2 45" xfId="802"/>
    <cellStyle name="Separador de milhares 2 46" xfId="939"/>
    <cellStyle name="Separador de milhares 2 47" xfId="962"/>
    <cellStyle name="Separador de milhares 2 48" xfId="1035"/>
    <cellStyle name="Separador de milhares 2 49" xfId="1059"/>
    <cellStyle name="Separador de milhares 2 5" xfId="32"/>
    <cellStyle name="Separador de milhares 2 50" xfId="1091"/>
    <cellStyle name="Separador de milhares 2 51" xfId="1122"/>
    <cellStyle name="Separador de milhares 2 52" xfId="1148"/>
    <cellStyle name="Separador de milhares 2 53" xfId="872"/>
    <cellStyle name="Separador de milhares 2 54" xfId="1230"/>
    <cellStyle name="Separador de milhares 2 55" xfId="875"/>
    <cellStyle name="Separador de milhares 2 56" xfId="884"/>
    <cellStyle name="Separador de milhares 2 57" xfId="931"/>
    <cellStyle name="Separador de milhares 2 58" xfId="1162"/>
    <cellStyle name="Separador de milhares 2 59" xfId="1374"/>
    <cellStyle name="Separador de milhares 2 6" xfId="37"/>
    <cellStyle name="Separador de milhares 2 60" xfId="1456"/>
    <cellStyle name="Separador de milhares 2 61" xfId="1454"/>
    <cellStyle name="Separador de milhares 2 62" xfId="1517"/>
    <cellStyle name="Separador de milhares 2 63" xfId="1567"/>
    <cellStyle name="Separador de milhares 2 64" xfId="1504"/>
    <cellStyle name="Separador de milhares 2 65" xfId="1402"/>
    <cellStyle name="Separador de milhares 2 66" xfId="1538"/>
    <cellStyle name="Separador de milhares 2 67" xfId="1543"/>
    <cellStyle name="Separador de milhares 2 68" xfId="1674"/>
    <cellStyle name="Separador de milhares 2 69" xfId="1408"/>
    <cellStyle name="Separador de milhares 2 7" xfId="41"/>
    <cellStyle name="Separador de milhares 2 70" xfId="1761"/>
    <cellStyle name="Separador de milhares 2 71" xfId="1767"/>
    <cellStyle name="Separador de milhares 2 72" xfId="1769"/>
    <cellStyle name="Separador de milhares 2 73" xfId="1778"/>
    <cellStyle name="Separador de milhares 2 74" xfId="1812"/>
    <cellStyle name="Separador de milhares 2 8" xfId="45"/>
    <cellStyle name="Separador de milhares 2 9" xfId="50"/>
    <cellStyle name="Separador de milhares 3" xfId="1815"/>
    <cellStyle name="Separador de milhares 4" xfId="14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493058</xdr:colOff>
      <xdr:row>0</xdr:row>
      <xdr:rowOff>62753</xdr:rowOff>
    </xdr:from>
    <xdr:to>
      <xdr:col>2</xdr:col>
      <xdr:colOff>3108727</xdr:colOff>
      <xdr:row>1</xdr:row>
      <xdr:rowOff>475130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C87851E0-692F-378E-A36B-213C62F01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211" y="62753"/>
          <a:ext cx="2608049" cy="8426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493058</xdr:colOff>
      <xdr:row>0</xdr:row>
      <xdr:rowOff>62753</xdr:rowOff>
    </xdr:from>
    <xdr:to>
      <xdr:col>2</xdr:col>
      <xdr:colOff>3108727</xdr:colOff>
      <xdr:row>1</xdr:row>
      <xdr:rowOff>475130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7851E0-692F-378E-A36B-213C62F01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558" y="62753"/>
          <a:ext cx="2615669" cy="8314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493058</xdr:colOff>
      <xdr:row>0</xdr:row>
      <xdr:rowOff>62753</xdr:rowOff>
    </xdr:from>
    <xdr:to>
      <xdr:col>2</xdr:col>
      <xdr:colOff>3108727</xdr:colOff>
      <xdr:row>1</xdr:row>
      <xdr:rowOff>475130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7851E0-692F-378E-A36B-213C62F01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608" y="62753"/>
          <a:ext cx="2615669" cy="8314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932674</xdr:colOff>
      <xdr:row>0</xdr:row>
      <xdr:rowOff>62460</xdr:rowOff>
    </xdr:from>
    <xdr:ext cx="1372099" cy="1018395"/>
    <xdr:pic>
      <xdr:nvPicPr>
        <xdr:cNvPr id="2" name="Imagem 1">
          <a:extLst>
            <a:ext uri="{FF2B5EF4-FFF2-40B4-BE49-F238E27FC236}">
              <a16:creationId xmlns:a16="http://schemas.microsoft.com/office/drawing/2014/main" xmlns="" id="{F536D7B7-D521-4A3A-99F0-059EF2294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024" y="62460"/>
          <a:ext cx="1372099" cy="10183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Q99"/>
  <sheetViews>
    <sheetView view="pageBreakPreview" topLeftCell="B80" zoomScale="90" zoomScaleNormal="80" zoomScaleSheetLayoutView="90" workbookViewId="0">
      <selection activeCell="J60" sqref="J60"/>
    </sheetView>
  </sheetViews>
  <sheetFormatPr defaultRowHeight="14.5" x14ac:dyDescent="0.35"/>
  <cols>
    <col min="1" max="1" width="5.54296875" style="1" customWidth="1"/>
    <col min="2" max="2" width="8.7265625" style="1" customWidth="1"/>
    <col min="3" max="3" width="55.81640625" customWidth="1"/>
    <col min="4" max="4" width="11.81640625" customWidth="1"/>
    <col min="5" max="5" width="8.26953125" customWidth="1"/>
    <col min="6" max="7" width="14.453125" customWidth="1"/>
    <col min="8" max="8" width="13.7265625" customWidth="1"/>
    <col min="9" max="9" width="19.26953125" customWidth="1"/>
    <col min="10" max="10" width="11.453125" customWidth="1"/>
    <col min="11" max="11" width="9.81640625" customWidth="1"/>
    <col min="12" max="12" width="17.26953125" customWidth="1"/>
    <col min="13" max="13" width="13" customWidth="1"/>
    <col min="14" max="14" width="10.54296875" customWidth="1"/>
    <col min="15" max="15" width="20.26953125" customWidth="1"/>
    <col min="17" max="17" width="14" bestFit="1" customWidth="1"/>
  </cols>
  <sheetData>
    <row r="1" spans="1:15" ht="33.65" customHeight="1" x14ac:dyDescent="0.35">
      <c r="A1" s="338"/>
      <c r="B1" s="339"/>
      <c r="C1" s="339"/>
      <c r="D1" s="340"/>
      <c r="E1" s="335" t="s">
        <v>226</v>
      </c>
      <c r="F1" s="336"/>
      <c r="G1" s="336"/>
      <c r="H1" s="336"/>
      <c r="I1" s="336"/>
      <c r="J1" s="336"/>
      <c r="K1" s="336"/>
      <c r="L1" s="336"/>
      <c r="M1" s="336"/>
      <c r="N1" s="336"/>
      <c r="O1" s="337"/>
    </row>
    <row r="2" spans="1:15" ht="41.5" customHeight="1" x14ac:dyDescent="0.35">
      <c r="A2" s="341"/>
      <c r="B2" s="342"/>
      <c r="C2" s="342"/>
      <c r="D2" s="343"/>
      <c r="E2" s="334" t="s">
        <v>227</v>
      </c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15" ht="39.75" customHeight="1" x14ac:dyDescent="0.35">
      <c r="A3" s="344" t="s">
        <v>229</v>
      </c>
      <c r="B3" s="345"/>
      <c r="C3" s="345"/>
      <c r="D3" s="346"/>
      <c r="E3" s="334" t="s">
        <v>27</v>
      </c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 ht="46.15" customHeight="1" x14ac:dyDescent="0.35">
      <c r="A4" s="373" t="s">
        <v>12</v>
      </c>
      <c r="B4" s="374"/>
      <c r="C4" s="374"/>
      <c r="D4" s="375"/>
      <c r="E4" s="326" t="s">
        <v>42</v>
      </c>
      <c r="F4" s="326"/>
      <c r="G4" s="369" t="s">
        <v>20</v>
      </c>
      <c r="H4" s="370"/>
      <c r="I4" s="4" t="s">
        <v>21</v>
      </c>
      <c r="J4" s="326" t="s">
        <v>22</v>
      </c>
      <c r="K4" s="326"/>
      <c r="L4" s="326"/>
      <c r="M4" s="4" t="s">
        <v>13</v>
      </c>
      <c r="N4" s="328" t="s">
        <v>23</v>
      </c>
      <c r="O4" s="328"/>
    </row>
    <row r="5" spans="1:15" ht="28.9" customHeight="1" x14ac:dyDescent="0.35">
      <c r="A5" s="371">
        <v>44918</v>
      </c>
      <c r="B5" s="376"/>
      <c r="C5" s="376"/>
      <c r="D5" s="372"/>
      <c r="E5" s="333" t="s">
        <v>228</v>
      </c>
      <c r="F5" s="333"/>
      <c r="G5" s="371" t="s">
        <v>230</v>
      </c>
      <c r="H5" s="372"/>
      <c r="I5" s="7"/>
      <c r="J5" s="329">
        <f>I88</f>
        <v>2616444.9081999999</v>
      </c>
      <c r="K5" s="329"/>
      <c r="L5" s="329"/>
      <c r="M5" s="5">
        <f>N5/J5</f>
        <v>8.9517478288878405E-2</v>
      </c>
      <c r="N5" s="331">
        <f>L88</f>
        <v>234217.55026383995</v>
      </c>
      <c r="O5" s="331"/>
    </row>
    <row r="6" spans="1:15" ht="30.75" customHeight="1" x14ac:dyDescent="0.35">
      <c r="A6" s="326" t="s">
        <v>25</v>
      </c>
      <c r="B6" s="326"/>
      <c r="C6" s="326"/>
      <c r="D6" s="4"/>
      <c r="E6" s="327" t="s">
        <v>26</v>
      </c>
      <c r="F6" s="327"/>
      <c r="G6" s="22"/>
      <c r="H6" s="8"/>
      <c r="I6" s="4" t="s">
        <v>6</v>
      </c>
      <c r="J6" s="330">
        <f>J5</f>
        <v>2616444.9081999999</v>
      </c>
      <c r="K6" s="330"/>
      <c r="L6" s="330"/>
      <c r="M6" s="6">
        <f>M5</f>
        <v>8.9517478288878405E-2</v>
      </c>
      <c r="N6" s="332">
        <f>J6*M6</f>
        <v>234217.55026383995</v>
      </c>
      <c r="O6" s="332"/>
    </row>
    <row r="7" spans="1:15" ht="9" customHeight="1" x14ac:dyDescent="0.35">
      <c r="A7" s="12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ht="21" customHeight="1" x14ac:dyDescent="0.35">
      <c r="A8" s="380" t="s">
        <v>5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</row>
    <row r="9" spans="1:15" ht="15" customHeight="1" x14ac:dyDescent="0.35">
      <c r="A9" s="354" t="s">
        <v>0</v>
      </c>
      <c r="B9" s="354" t="s">
        <v>43</v>
      </c>
      <c r="C9" s="354" t="s">
        <v>1</v>
      </c>
      <c r="D9" s="354" t="s">
        <v>44</v>
      </c>
      <c r="E9" s="354" t="s">
        <v>2</v>
      </c>
      <c r="F9" s="347" t="s">
        <v>19</v>
      </c>
      <c r="G9" s="355" t="s">
        <v>18</v>
      </c>
      <c r="H9" s="356"/>
      <c r="I9" s="366" t="s">
        <v>17</v>
      </c>
      <c r="J9" s="347" t="s">
        <v>14</v>
      </c>
      <c r="K9" s="347"/>
      <c r="L9" s="347"/>
      <c r="M9" s="347" t="s">
        <v>15</v>
      </c>
      <c r="N9" s="347"/>
      <c r="O9" s="347"/>
    </row>
    <row r="10" spans="1:15" ht="34.5" customHeight="1" x14ac:dyDescent="0.35">
      <c r="A10" s="354"/>
      <c r="B10" s="354"/>
      <c r="C10" s="354"/>
      <c r="D10" s="354"/>
      <c r="E10" s="354"/>
      <c r="F10" s="347"/>
      <c r="G10" s="357"/>
      <c r="H10" s="358"/>
      <c r="I10" s="367"/>
      <c r="J10" s="347"/>
      <c r="K10" s="347"/>
      <c r="L10" s="347"/>
      <c r="M10" s="347"/>
      <c r="N10" s="347"/>
      <c r="O10" s="347"/>
    </row>
    <row r="11" spans="1:15" x14ac:dyDescent="0.35">
      <c r="A11" s="354"/>
      <c r="B11" s="354"/>
      <c r="C11" s="354"/>
      <c r="D11" s="354"/>
      <c r="E11" s="354"/>
      <c r="F11" s="347"/>
      <c r="G11" s="16" t="s">
        <v>45</v>
      </c>
      <c r="H11" s="16" t="s">
        <v>46</v>
      </c>
      <c r="I11" s="367"/>
      <c r="J11" s="9" t="s">
        <v>3</v>
      </c>
      <c r="K11" s="9" t="s">
        <v>4</v>
      </c>
      <c r="L11" s="9" t="s">
        <v>7</v>
      </c>
      <c r="M11" s="9" t="s">
        <v>3</v>
      </c>
      <c r="N11" s="9" t="s">
        <v>4</v>
      </c>
      <c r="O11" s="9" t="s">
        <v>7</v>
      </c>
    </row>
    <row r="12" spans="1:15" x14ac:dyDescent="0.35">
      <c r="A12" s="17">
        <v>1</v>
      </c>
      <c r="B12" s="17"/>
      <c r="C12" s="18" t="s">
        <v>35</v>
      </c>
      <c r="D12" s="18"/>
      <c r="E12" s="17"/>
      <c r="F12" s="16"/>
      <c r="G12" s="16"/>
      <c r="H12" s="16"/>
      <c r="I12" s="368"/>
      <c r="J12" s="9"/>
      <c r="K12" s="9"/>
      <c r="L12" s="9"/>
      <c r="M12" s="9"/>
      <c r="N12" s="9"/>
      <c r="O12" s="9"/>
    </row>
    <row r="13" spans="1:15" x14ac:dyDescent="0.35">
      <c r="A13" s="29" t="s">
        <v>47</v>
      </c>
      <c r="B13" s="377" t="s">
        <v>48</v>
      </c>
      <c r="C13" s="378"/>
      <c r="D13" s="378"/>
      <c r="E13" s="378"/>
      <c r="F13" s="378"/>
      <c r="G13" s="378"/>
      <c r="H13" s="379"/>
      <c r="I13" s="24">
        <f>I14+I18+I20+I33+I38+I48</f>
        <v>2131206.2719999999</v>
      </c>
      <c r="J13" s="28"/>
      <c r="K13" s="15"/>
      <c r="L13" s="24">
        <f>L14+L18+L20+L33+L38+L48</f>
        <v>60439.090299999996</v>
      </c>
      <c r="M13" s="10"/>
      <c r="N13" s="15"/>
      <c r="O13" s="24">
        <f>O14+O18+O20+O33+O38+O48</f>
        <v>60439.090299999996</v>
      </c>
    </row>
    <row r="14" spans="1:15" x14ac:dyDescent="0.35">
      <c r="A14" s="29" t="s">
        <v>28</v>
      </c>
      <c r="B14" s="360" t="s">
        <v>49</v>
      </c>
      <c r="C14" s="361"/>
      <c r="D14" s="361"/>
      <c r="E14" s="361"/>
      <c r="F14" s="361"/>
      <c r="G14" s="361"/>
      <c r="H14" s="362"/>
      <c r="I14" s="24">
        <f>I15+I16+I17</f>
        <v>72429.532199999987</v>
      </c>
      <c r="J14" s="25"/>
      <c r="K14" s="26"/>
      <c r="L14" s="24">
        <f>L15+L16+L17</f>
        <v>60439.090299999996</v>
      </c>
      <c r="M14" s="25"/>
      <c r="N14" s="26"/>
      <c r="O14" s="24">
        <f>O15+O16+O17</f>
        <v>60439.090299999996</v>
      </c>
    </row>
    <row r="15" spans="1:15" ht="37.5" x14ac:dyDescent="0.35">
      <c r="A15" s="30" t="s">
        <v>50</v>
      </c>
      <c r="B15" s="20" t="s">
        <v>51</v>
      </c>
      <c r="C15" s="30" t="s">
        <v>52</v>
      </c>
      <c r="D15" s="20" t="s">
        <v>53</v>
      </c>
      <c r="E15" s="20" t="s">
        <v>54</v>
      </c>
      <c r="F15" s="21">
        <v>20700</v>
      </c>
      <c r="G15" s="21">
        <v>0.33</v>
      </c>
      <c r="H15" s="21">
        <v>0.43</v>
      </c>
      <c r="I15" s="19">
        <f>H15*F15</f>
        <v>8901</v>
      </c>
      <c r="J15" s="32">
        <v>19500.21</v>
      </c>
      <c r="K15" s="15">
        <f>J15/F15</f>
        <v>0.9420391304347826</v>
      </c>
      <c r="L15" s="19">
        <f>J15*H15</f>
        <v>8385.0902999999998</v>
      </c>
      <c r="M15" s="32">
        <f>J15</f>
        <v>19500.21</v>
      </c>
      <c r="N15" s="15">
        <f>M15/F15</f>
        <v>0.9420391304347826</v>
      </c>
      <c r="O15" s="19">
        <f>M15*H15</f>
        <v>8385.0902999999998</v>
      </c>
    </row>
    <row r="16" spans="1:15" ht="37.5" x14ac:dyDescent="0.35">
      <c r="A16" s="30" t="s">
        <v>55</v>
      </c>
      <c r="B16" s="20" t="s">
        <v>56</v>
      </c>
      <c r="C16" s="30" t="s">
        <v>57</v>
      </c>
      <c r="D16" s="20" t="s">
        <v>58</v>
      </c>
      <c r="E16" s="20" t="s">
        <v>54</v>
      </c>
      <c r="F16" s="21">
        <v>15075</v>
      </c>
      <c r="G16" s="21">
        <v>0.31</v>
      </c>
      <c r="H16" s="21">
        <v>0.4</v>
      </c>
      <c r="I16" s="19">
        <f t="shared" ref="I16:I54" si="0">H16*F16</f>
        <v>6030</v>
      </c>
      <c r="J16" s="32">
        <v>10200</v>
      </c>
      <c r="K16" s="15">
        <f t="shared" ref="K16:K54" si="1">J16/F16</f>
        <v>0.6766169154228856</v>
      </c>
      <c r="L16" s="19">
        <f>J16*H16</f>
        <v>4080</v>
      </c>
      <c r="M16" s="32">
        <f t="shared" ref="M16:M54" si="2">J16</f>
        <v>10200</v>
      </c>
      <c r="N16" s="15">
        <f t="shared" ref="N16:N54" si="3">M16/F16</f>
        <v>0.6766169154228856</v>
      </c>
      <c r="O16" s="19">
        <f t="shared" ref="O16:O54" si="4">M16*H16</f>
        <v>4080</v>
      </c>
    </row>
    <row r="17" spans="1:15" x14ac:dyDescent="0.35">
      <c r="A17" s="30" t="s">
        <v>59</v>
      </c>
      <c r="B17" s="20" t="s">
        <v>60</v>
      </c>
      <c r="C17" s="30" t="s">
        <v>61</v>
      </c>
      <c r="D17" s="20" t="s">
        <v>62</v>
      </c>
      <c r="E17" s="20" t="s">
        <v>63</v>
      </c>
      <c r="F17" s="21">
        <v>2037.51</v>
      </c>
      <c r="G17" s="21">
        <v>21.71</v>
      </c>
      <c r="H17" s="21">
        <v>28.22</v>
      </c>
      <c r="I17" s="19">
        <f t="shared" si="0"/>
        <v>57498.532199999994</v>
      </c>
      <c r="J17" s="32">
        <v>1700</v>
      </c>
      <c r="K17" s="15">
        <f t="shared" si="1"/>
        <v>0.83435173324302703</v>
      </c>
      <c r="L17" s="19">
        <f t="shared" ref="L17:L54" si="5">J17*H17</f>
        <v>47974</v>
      </c>
      <c r="M17" s="32">
        <f t="shared" si="2"/>
        <v>1700</v>
      </c>
      <c r="N17" s="15">
        <f t="shared" si="3"/>
        <v>0.83435173324302703</v>
      </c>
      <c r="O17" s="19">
        <f t="shared" si="4"/>
        <v>47974</v>
      </c>
    </row>
    <row r="18" spans="1:15" x14ac:dyDescent="0.35">
      <c r="A18" s="29" t="s">
        <v>29</v>
      </c>
      <c r="B18" s="359" t="s">
        <v>64</v>
      </c>
      <c r="C18" s="359"/>
      <c r="D18" s="359"/>
      <c r="E18" s="359"/>
      <c r="F18" s="359"/>
      <c r="G18" s="359"/>
      <c r="H18" s="359"/>
      <c r="I18" s="24">
        <f>I19</f>
        <v>251639.57179999995</v>
      </c>
      <c r="J18" s="33"/>
      <c r="K18" s="26"/>
      <c r="L18" s="24">
        <f>L19</f>
        <v>0</v>
      </c>
      <c r="M18" s="33"/>
      <c r="N18" s="26"/>
      <c r="O18" s="24">
        <f>O19</f>
        <v>0</v>
      </c>
    </row>
    <row r="19" spans="1:15" ht="50" x14ac:dyDescent="0.35">
      <c r="A19" s="30" t="s">
        <v>65</v>
      </c>
      <c r="B19" s="20" t="s">
        <v>66</v>
      </c>
      <c r="C19" s="30" t="s">
        <v>67</v>
      </c>
      <c r="D19" s="20" t="s">
        <v>53</v>
      </c>
      <c r="E19" s="20" t="s">
        <v>68</v>
      </c>
      <c r="F19" s="21">
        <v>7260.23</v>
      </c>
      <c r="G19" s="21">
        <v>26.67</v>
      </c>
      <c r="H19" s="21">
        <v>34.659999999999997</v>
      </c>
      <c r="I19" s="19">
        <f t="shared" si="0"/>
        <v>251639.57179999995</v>
      </c>
      <c r="J19" s="32">
        <v>0</v>
      </c>
      <c r="K19" s="15">
        <f t="shared" si="1"/>
        <v>0</v>
      </c>
      <c r="L19" s="19">
        <f t="shared" si="5"/>
        <v>0</v>
      </c>
      <c r="M19" s="32">
        <f t="shared" si="2"/>
        <v>0</v>
      </c>
      <c r="N19" s="15">
        <f t="shared" si="3"/>
        <v>0</v>
      </c>
      <c r="O19" s="19">
        <f t="shared" si="4"/>
        <v>0</v>
      </c>
    </row>
    <row r="20" spans="1:15" x14ac:dyDescent="0.35">
      <c r="A20" s="29" t="s">
        <v>30</v>
      </c>
      <c r="B20" s="359" t="s">
        <v>69</v>
      </c>
      <c r="C20" s="359"/>
      <c r="D20" s="359"/>
      <c r="E20" s="359"/>
      <c r="F20" s="359"/>
      <c r="G20" s="359"/>
      <c r="H20" s="359"/>
      <c r="I20" s="24">
        <f>I21+I22+I23+I24+I25+I26+I27+I28+I29+I30+I31+I32</f>
        <v>994510.32799999998</v>
      </c>
      <c r="J20" s="33"/>
      <c r="K20" s="26"/>
      <c r="L20" s="24">
        <f>L21+L22+L23+L24+L25+L26+L27+L28+L29+L30+L31+L32</f>
        <v>0</v>
      </c>
      <c r="M20" s="33"/>
      <c r="N20" s="26"/>
      <c r="O20" s="24">
        <f>O21+O22+O23+O24+O25+O26+O27+O28+O29+O30+O31+O32</f>
        <v>0</v>
      </c>
    </row>
    <row r="21" spans="1:15" x14ac:dyDescent="0.35">
      <c r="A21" s="30" t="s">
        <v>70</v>
      </c>
      <c r="B21" s="20" t="s">
        <v>71</v>
      </c>
      <c r="C21" s="30" t="s">
        <v>72</v>
      </c>
      <c r="D21" s="20" t="s">
        <v>62</v>
      </c>
      <c r="E21" s="20" t="s">
        <v>73</v>
      </c>
      <c r="F21" s="21">
        <v>1840</v>
      </c>
      <c r="G21" s="21">
        <v>19.05</v>
      </c>
      <c r="H21" s="21">
        <v>24.76</v>
      </c>
      <c r="I21" s="19">
        <f t="shared" si="0"/>
        <v>45558.400000000001</v>
      </c>
      <c r="J21" s="32">
        <v>0</v>
      </c>
      <c r="K21" s="15">
        <f t="shared" si="1"/>
        <v>0</v>
      </c>
      <c r="L21" s="19">
        <f t="shared" si="5"/>
        <v>0</v>
      </c>
      <c r="M21" s="32">
        <f t="shared" si="2"/>
        <v>0</v>
      </c>
      <c r="N21" s="15">
        <f t="shared" si="3"/>
        <v>0</v>
      </c>
      <c r="O21" s="19">
        <f t="shared" si="4"/>
        <v>0</v>
      </c>
    </row>
    <row r="22" spans="1:15" x14ac:dyDescent="0.35">
      <c r="A22" s="30" t="s">
        <v>74</v>
      </c>
      <c r="B22" s="20" t="s">
        <v>75</v>
      </c>
      <c r="C22" s="30" t="s">
        <v>76</v>
      </c>
      <c r="D22" s="20" t="s">
        <v>62</v>
      </c>
      <c r="E22" s="20" t="s">
        <v>77</v>
      </c>
      <c r="F22" s="21">
        <v>9200</v>
      </c>
      <c r="G22" s="21">
        <v>0.33</v>
      </c>
      <c r="H22" s="21">
        <v>0.43</v>
      </c>
      <c r="I22" s="19">
        <f t="shared" si="0"/>
        <v>3956</v>
      </c>
      <c r="J22" s="32">
        <v>0</v>
      </c>
      <c r="K22" s="15">
        <f t="shared" si="1"/>
        <v>0</v>
      </c>
      <c r="L22" s="19">
        <f t="shared" si="5"/>
        <v>0</v>
      </c>
      <c r="M22" s="32">
        <f t="shared" si="2"/>
        <v>0</v>
      </c>
      <c r="N22" s="15">
        <f t="shared" si="3"/>
        <v>0</v>
      </c>
      <c r="O22" s="19">
        <f t="shared" si="4"/>
        <v>0</v>
      </c>
    </row>
    <row r="23" spans="1:15" x14ac:dyDescent="0.35">
      <c r="A23" s="30" t="s">
        <v>78</v>
      </c>
      <c r="B23" s="20" t="s">
        <v>79</v>
      </c>
      <c r="C23" s="30" t="s">
        <v>80</v>
      </c>
      <c r="D23" s="20" t="s">
        <v>81</v>
      </c>
      <c r="E23" s="20" t="s">
        <v>54</v>
      </c>
      <c r="F23" s="21">
        <v>9200</v>
      </c>
      <c r="G23" s="21">
        <v>0.32</v>
      </c>
      <c r="H23" s="21">
        <v>0.42</v>
      </c>
      <c r="I23" s="19">
        <f t="shared" si="0"/>
        <v>3864</v>
      </c>
      <c r="J23" s="32">
        <v>0</v>
      </c>
      <c r="K23" s="15">
        <f t="shared" si="1"/>
        <v>0</v>
      </c>
      <c r="L23" s="19">
        <f t="shared" si="5"/>
        <v>0</v>
      </c>
      <c r="M23" s="32">
        <f t="shared" si="2"/>
        <v>0</v>
      </c>
      <c r="N23" s="15">
        <f t="shared" si="3"/>
        <v>0</v>
      </c>
      <c r="O23" s="19">
        <f t="shared" si="4"/>
        <v>0</v>
      </c>
    </row>
    <row r="24" spans="1:15" ht="25" x14ac:dyDescent="0.35">
      <c r="A24" s="30" t="s">
        <v>82</v>
      </c>
      <c r="B24" s="20" t="s">
        <v>83</v>
      </c>
      <c r="C24" s="30" t="s">
        <v>84</v>
      </c>
      <c r="D24" s="20" t="s">
        <v>58</v>
      </c>
      <c r="E24" s="20" t="s">
        <v>85</v>
      </c>
      <c r="F24" s="21">
        <v>662.4</v>
      </c>
      <c r="G24" s="21">
        <v>169.02</v>
      </c>
      <c r="H24" s="21">
        <v>219.68</v>
      </c>
      <c r="I24" s="19">
        <f t="shared" si="0"/>
        <v>145516.03200000001</v>
      </c>
      <c r="J24" s="32">
        <v>0</v>
      </c>
      <c r="K24" s="15">
        <f t="shared" si="1"/>
        <v>0</v>
      </c>
      <c r="L24" s="19">
        <f t="shared" si="5"/>
        <v>0</v>
      </c>
      <c r="M24" s="32">
        <f t="shared" si="2"/>
        <v>0</v>
      </c>
      <c r="N24" s="15">
        <f t="shared" si="3"/>
        <v>0</v>
      </c>
      <c r="O24" s="19">
        <f t="shared" si="4"/>
        <v>0</v>
      </c>
    </row>
    <row r="25" spans="1:15" x14ac:dyDescent="0.35">
      <c r="A25" s="30" t="s">
        <v>86</v>
      </c>
      <c r="B25" s="20" t="s">
        <v>87</v>
      </c>
      <c r="C25" s="30" t="s">
        <v>88</v>
      </c>
      <c r="D25" s="20" t="s">
        <v>58</v>
      </c>
      <c r="E25" s="20" t="s">
        <v>85</v>
      </c>
      <c r="F25" s="21">
        <v>643.08000000000004</v>
      </c>
      <c r="G25" s="21">
        <v>142.47999999999999</v>
      </c>
      <c r="H25" s="21">
        <v>185.18</v>
      </c>
      <c r="I25" s="19">
        <f t="shared" si="0"/>
        <v>119085.55440000001</v>
      </c>
      <c r="J25" s="32">
        <v>0</v>
      </c>
      <c r="K25" s="15">
        <f t="shared" si="1"/>
        <v>0</v>
      </c>
      <c r="L25" s="19">
        <f t="shared" si="5"/>
        <v>0</v>
      </c>
      <c r="M25" s="32">
        <f t="shared" si="2"/>
        <v>0</v>
      </c>
      <c r="N25" s="15">
        <f t="shared" si="3"/>
        <v>0</v>
      </c>
      <c r="O25" s="19">
        <f t="shared" si="4"/>
        <v>0</v>
      </c>
    </row>
    <row r="26" spans="1:15" x14ac:dyDescent="0.35">
      <c r="A26" s="30" t="s">
        <v>89</v>
      </c>
      <c r="B26" s="20" t="s">
        <v>90</v>
      </c>
      <c r="C26" s="30" t="s">
        <v>91</v>
      </c>
      <c r="D26" s="20" t="s">
        <v>58</v>
      </c>
      <c r="E26" s="20" t="s">
        <v>92</v>
      </c>
      <c r="F26" s="21">
        <v>34341.300000000003</v>
      </c>
      <c r="G26" s="21">
        <v>0.94</v>
      </c>
      <c r="H26" s="21">
        <v>1.22</v>
      </c>
      <c r="I26" s="19">
        <f t="shared" si="0"/>
        <v>41896.386000000006</v>
      </c>
      <c r="J26" s="32">
        <v>0</v>
      </c>
      <c r="K26" s="15">
        <f t="shared" si="1"/>
        <v>0</v>
      </c>
      <c r="L26" s="19">
        <f t="shared" si="5"/>
        <v>0</v>
      </c>
      <c r="M26" s="32">
        <f t="shared" si="2"/>
        <v>0</v>
      </c>
      <c r="N26" s="15">
        <f t="shared" si="3"/>
        <v>0</v>
      </c>
      <c r="O26" s="19">
        <f t="shared" si="4"/>
        <v>0</v>
      </c>
    </row>
    <row r="27" spans="1:15" x14ac:dyDescent="0.35">
      <c r="A27" s="30" t="s">
        <v>93</v>
      </c>
      <c r="B27" s="20" t="s">
        <v>94</v>
      </c>
      <c r="C27" s="30" t="s">
        <v>95</v>
      </c>
      <c r="D27" s="20" t="s">
        <v>58</v>
      </c>
      <c r="E27" s="20" t="s">
        <v>92</v>
      </c>
      <c r="F27" s="21">
        <v>7820</v>
      </c>
      <c r="G27" s="21">
        <v>0.83</v>
      </c>
      <c r="H27" s="21">
        <v>1.08</v>
      </c>
      <c r="I27" s="19">
        <f t="shared" si="0"/>
        <v>8445.6</v>
      </c>
      <c r="J27" s="32">
        <v>0</v>
      </c>
      <c r="K27" s="15">
        <f t="shared" si="1"/>
        <v>0</v>
      </c>
      <c r="L27" s="19">
        <f t="shared" si="5"/>
        <v>0</v>
      </c>
      <c r="M27" s="32">
        <f t="shared" si="2"/>
        <v>0</v>
      </c>
      <c r="N27" s="15">
        <f t="shared" si="3"/>
        <v>0</v>
      </c>
      <c r="O27" s="19">
        <f t="shared" si="4"/>
        <v>0</v>
      </c>
    </row>
    <row r="28" spans="1:15" ht="25" x14ac:dyDescent="0.35">
      <c r="A28" s="30" t="s">
        <v>96</v>
      </c>
      <c r="B28" s="20" t="s">
        <v>97</v>
      </c>
      <c r="C28" s="30" t="s">
        <v>98</v>
      </c>
      <c r="D28" s="20" t="s">
        <v>62</v>
      </c>
      <c r="E28" s="20" t="s">
        <v>99</v>
      </c>
      <c r="F28" s="21">
        <v>4.5999999999999996</v>
      </c>
      <c r="G28" s="21">
        <v>4403.33</v>
      </c>
      <c r="H28" s="21">
        <v>5143.09</v>
      </c>
      <c r="I28" s="19">
        <f t="shared" si="0"/>
        <v>23658.214</v>
      </c>
      <c r="J28" s="32">
        <v>0</v>
      </c>
      <c r="K28" s="15">
        <f t="shared" si="1"/>
        <v>0</v>
      </c>
      <c r="L28" s="19">
        <f t="shared" si="5"/>
        <v>0</v>
      </c>
      <c r="M28" s="32">
        <f t="shared" si="2"/>
        <v>0</v>
      </c>
      <c r="N28" s="15">
        <f t="shared" si="3"/>
        <v>0</v>
      </c>
      <c r="O28" s="19">
        <f t="shared" si="4"/>
        <v>0</v>
      </c>
    </row>
    <row r="29" spans="1:15" x14ac:dyDescent="0.35">
      <c r="A29" s="30" t="s">
        <v>100</v>
      </c>
      <c r="B29" s="20" t="s">
        <v>101</v>
      </c>
      <c r="C29" s="30" t="s">
        <v>102</v>
      </c>
      <c r="D29" s="20" t="s">
        <v>62</v>
      </c>
      <c r="E29" s="20" t="s">
        <v>99</v>
      </c>
      <c r="F29" s="21">
        <v>11.04</v>
      </c>
      <c r="G29" s="21">
        <v>7602</v>
      </c>
      <c r="H29" s="21">
        <v>8879.14</v>
      </c>
      <c r="I29" s="19">
        <f t="shared" si="0"/>
        <v>98025.705599999987</v>
      </c>
      <c r="J29" s="32">
        <v>0</v>
      </c>
      <c r="K29" s="15">
        <f t="shared" si="1"/>
        <v>0</v>
      </c>
      <c r="L29" s="19">
        <f t="shared" si="5"/>
        <v>0</v>
      </c>
      <c r="M29" s="32">
        <f t="shared" si="2"/>
        <v>0</v>
      </c>
      <c r="N29" s="15">
        <f t="shared" si="3"/>
        <v>0</v>
      </c>
      <c r="O29" s="19">
        <f t="shared" si="4"/>
        <v>0</v>
      </c>
    </row>
    <row r="30" spans="1:15" ht="25" x14ac:dyDescent="0.35">
      <c r="A30" s="30" t="s">
        <v>103</v>
      </c>
      <c r="B30" s="20" t="s">
        <v>104</v>
      </c>
      <c r="C30" s="30" t="s">
        <v>105</v>
      </c>
      <c r="D30" s="20" t="s">
        <v>62</v>
      </c>
      <c r="E30" s="20" t="s">
        <v>99</v>
      </c>
      <c r="F30" s="21">
        <v>68.680000000000007</v>
      </c>
      <c r="G30" s="21">
        <v>5859.33</v>
      </c>
      <c r="H30" s="21">
        <v>6843.7</v>
      </c>
      <c r="I30" s="19">
        <f t="shared" si="0"/>
        <v>470025.31600000005</v>
      </c>
      <c r="J30" s="32">
        <v>0</v>
      </c>
      <c r="K30" s="15">
        <f t="shared" si="1"/>
        <v>0</v>
      </c>
      <c r="L30" s="19">
        <f t="shared" si="5"/>
        <v>0</v>
      </c>
      <c r="M30" s="32">
        <f t="shared" si="2"/>
        <v>0</v>
      </c>
      <c r="N30" s="15">
        <f t="shared" si="3"/>
        <v>0</v>
      </c>
      <c r="O30" s="19">
        <f t="shared" si="4"/>
        <v>0</v>
      </c>
    </row>
    <row r="31" spans="1:15" ht="62.5" x14ac:dyDescent="0.35">
      <c r="A31" s="30" t="s">
        <v>106</v>
      </c>
      <c r="B31" s="20" t="s">
        <v>107</v>
      </c>
      <c r="C31" s="30" t="s">
        <v>108</v>
      </c>
      <c r="D31" s="20" t="s">
        <v>58</v>
      </c>
      <c r="E31" s="20" t="s">
        <v>41</v>
      </c>
      <c r="F31" s="21">
        <v>314</v>
      </c>
      <c r="G31" s="21">
        <v>38.56</v>
      </c>
      <c r="H31" s="21">
        <v>50.12</v>
      </c>
      <c r="I31" s="19">
        <f t="shared" si="0"/>
        <v>15737.679999999998</v>
      </c>
      <c r="J31" s="32">
        <v>0</v>
      </c>
      <c r="K31" s="15">
        <f t="shared" si="1"/>
        <v>0</v>
      </c>
      <c r="L31" s="19">
        <f t="shared" si="5"/>
        <v>0</v>
      </c>
      <c r="M31" s="32">
        <f t="shared" si="2"/>
        <v>0</v>
      </c>
      <c r="N31" s="15">
        <f t="shared" si="3"/>
        <v>0</v>
      </c>
      <c r="O31" s="19">
        <f t="shared" si="4"/>
        <v>0</v>
      </c>
    </row>
    <row r="32" spans="1:15" ht="25" x14ac:dyDescent="0.35">
      <c r="A32" s="30" t="s">
        <v>109</v>
      </c>
      <c r="B32" s="20" t="s">
        <v>110</v>
      </c>
      <c r="C32" s="30" t="s">
        <v>111</v>
      </c>
      <c r="D32" s="20" t="s">
        <v>53</v>
      </c>
      <c r="E32" s="20" t="s">
        <v>112</v>
      </c>
      <c r="F32" s="21">
        <v>16</v>
      </c>
      <c r="G32" s="21">
        <v>901.24</v>
      </c>
      <c r="H32" s="21">
        <v>1171.3399999999999</v>
      </c>
      <c r="I32" s="19">
        <f t="shared" si="0"/>
        <v>18741.439999999999</v>
      </c>
      <c r="J32" s="32">
        <v>0</v>
      </c>
      <c r="K32" s="15">
        <f t="shared" si="1"/>
        <v>0</v>
      </c>
      <c r="L32" s="19">
        <f t="shared" si="5"/>
        <v>0</v>
      </c>
      <c r="M32" s="32">
        <f t="shared" si="2"/>
        <v>0</v>
      </c>
      <c r="N32" s="15">
        <f t="shared" si="3"/>
        <v>0</v>
      </c>
      <c r="O32" s="19">
        <f t="shared" si="4"/>
        <v>0</v>
      </c>
    </row>
    <row r="33" spans="1:15" ht="15.65" customHeight="1" x14ac:dyDescent="0.35">
      <c r="A33" s="29" t="s">
        <v>31</v>
      </c>
      <c r="B33" s="360" t="s">
        <v>113</v>
      </c>
      <c r="C33" s="361"/>
      <c r="D33" s="361"/>
      <c r="E33" s="361"/>
      <c r="F33" s="361"/>
      <c r="G33" s="361"/>
      <c r="H33" s="362"/>
      <c r="I33" s="24">
        <f>I34+I35+I36+I37</f>
        <v>141969.08000000002</v>
      </c>
      <c r="J33" s="33"/>
      <c r="K33" s="26"/>
      <c r="L33" s="24">
        <f>L34+L35+L36+L37</f>
        <v>0</v>
      </c>
      <c r="M33" s="33"/>
      <c r="N33" s="26"/>
      <c r="O33" s="24">
        <f>O34+O35+O36+O37</f>
        <v>0</v>
      </c>
    </row>
    <row r="34" spans="1:15" ht="25" x14ac:dyDescent="0.35">
      <c r="A34" s="30" t="s">
        <v>114</v>
      </c>
      <c r="B34" s="20" t="s">
        <v>115</v>
      </c>
      <c r="C34" s="30" t="s">
        <v>116</v>
      </c>
      <c r="D34" s="20" t="s">
        <v>53</v>
      </c>
      <c r="E34" s="20" t="s">
        <v>54</v>
      </c>
      <c r="F34" s="21">
        <v>690</v>
      </c>
      <c r="G34" s="21">
        <v>43.6</v>
      </c>
      <c r="H34" s="21">
        <v>56.67</v>
      </c>
      <c r="I34" s="19">
        <f t="shared" si="0"/>
        <v>39102.300000000003</v>
      </c>
      <c r="J34" s="32">
        <v>0</v>
      </c>
      <c r="K34" s="15">
        <f t="shared" si="1"/>
        <v>0</v>
      </c>
      <c r="L34" s="19">
        <f t="shared" si="5"/>
        <v>0</v>
      </c>
      <c r="M34" s="32">
        <f t="shared" si="2"/>
        <v>0</v>
      </c>
      <c r="N34" s="15">
        <f t="shared" si="3"/>
        <v>0</v>
      </c>
      <c r="O34" s="19">
        <f t="shared" si="4"/>
        <v>0</v>
      </c>
    </row>
    <row r="35" spans="1:15" x14ac:dyDescent="0.35">
      <c r="A35" s="30" t="s">
        <v>117</v>
      </c>
      <c r="B35" s="20" t="s">
        <v>118</v>
      </c>
      <c r="C35" s="30" t="s">
        <v>119</v>
      </c>
      <c r="D35" s="20" t="s">
        <v>62</v>
      </c>
      <c r="E35" s="20" t="s">
        <v>120</v>
      </c>
      <c r="F35" s="21">
        <v>3450</v>
      </c>
      <c r="G35" s="21">
        <v>20.43</v>
      </c>
      <c r="H35" s="21">
        <v>26.55</v>
      </c>
      <c r="I35" s="19">
        <f t="shared" si="0"/>
        <v>91597.5</v>
      </c>
      <c r="J35" s="32">
        <v>0</v>
      </c>
      <c r="K35" s="15">
        <f t="shared" si="1"/>
        <v>0</v>
      </c>
      <c r="L35" s="19">
        <f t="shared" si="5"/>
        <v>0</v>
      </c>
      <c r="M35" s="32">
        <f t="shared" si="2"/>
        <v>0</v>
      </c>
      <c r="N35" s="15">
        <f t="shared" si="3"/>
        <v>0</v>
      </c>
      <c r="O35" s="19">
        <f t="shared" si="4"/>
        <v>0</v>
      </c>
    </row>
    <row r="36" spans="1:15" ht="25" x14ac:dyDescent="0.35">
      <c r="A36" s="30" t="s">
        <v>121</v>
      </c>
      <c r="B36" s="20" t="s">
        <v>122</v>
      </c>
      <c r="C36" s="30" t="s">
        <v>123</v>
      </c>
      <c r="D36" s="20" t="s">
        <v>53</v>
      </c>
      <c r="E36" s="20" t="s">
        <v>54</v>
      </c>
      <c r="F36" s="21">
        <v>6</v>
      </c>
      <c r="G36" s="21">
        <v>800</v>
      </c>
      <c r="H36" s="21">
        <v>1039.76</v>
      </c>
      <c r="I36" s="19">
        <f t="shared" si="0"/>
        <v>6238.5599999999995</v>
      </c>
      <c r="J36" s="32">
        <v>0</v>
      </c>
      <c r="K36" s="15">
        <f t="shared" si="1"/>
        <v>0</v>
      </c>
      <c r="L36" s="19">
        <f t="shared" si="5"/>
        <v>0</v>
      </c>
      <c r="M36" s="32">
        <f t="shared" si="2"/>
        <v>0</v>
      </c>
      <c r="N36" s="15">
        <f t="shared" si="3"/>
        <v>0</v>
      </c>
      <c r="O36" s="19">
        <f t="shared" si="4"/>
        <v>0</v>
      </c>
    </row>
    <row r="37" spans="1:15" ht="25" x14ac:dyDescent="0.35">
      <c r="A37" s="30" t="s">
        <v>124</v>
      </c>
      <c r="B37" s="20" t="s">
        <v>125</v>
      </c>
      <c r="C37" s="30" t="s">
        <v>126</v>
      </c>
      <c r="D37" s="20" t="s">
        <v>53</v>
      </c>
      <c r="E37" s="20" t="s">
        <v>40</v>
      </c>
      <c r="F37" s="21">
        <v>4</v>
      </c>
      <c r="G37" s="21">
        <v>967.67</v>
      </c>
      <c r="H37" s="21">
        <v>1257.68</v>
      </c>
      <c r="I37" s="19">
        <f t="shared" si="0"/>
        <v>5030.72</v>
      </c>
      <c r="J37" s="32">
        <v>0</v>
      </c>
      <c r="K37" s="15">
        <f t="shared" si="1"/>
        <v>0</v>
      </c>
      <c r="L37" s="19">
        <f t="shared" si="5"/>
        <v>0</v>
      </c>
      <c r="M37" s="32">
        <f t="shared" si="2"/>
        <v>0</v>
      </c>
      <c r="N37" s="15">
        <f t="shared" si="3"/>
        <v>0</v>
      </c>
      <c r="O37" s="19">
        <f t="shared" si="4"/>
        <v>0</v>
      </c>
    </row>
    <row r="38" spans="1:15" ht="15.65" customHeight="1" x14ac:dyDescent="0.35">
      <c r="A38" s="29" t="s">
        <v>36</v>
      </c>
      <c r="B38" s="360" t="s">
        <v>127</v>
      </c>
      <c r="C38" s="361"/>
      <c r="D38" s="361"/>
      <c r="E38" s="361"/>
      <c r="F38" s="361"/>
      <c r="G38" s="361"/>
      <c r="H38" s="362"/>
      <c r="I38" s="24">
        <f>I39+I40+I41+I42+I43+I44+I45+I46+I47</f>
        <v>527718.96</v>
      </c>
      <c r="J38" s="33"/>
      <c r="K38" s="26"/>
      <c r="L38" s="24">
        <f>L39+L40+L41+L42+L43+L44+L45+L46+L47</f>
        <v>0</v>
      </c>
      <c r="M38" s="33"/>
      <c r="N38" s="26"/>
      <c r="O38" s="24">
        <f>O39+O40+O41+O42+O43+O44+O45+O46+O47</f>
        <v>0</v>
      </c>
    </row>
    <row r="39" spans="1:15" ht="50" x14ac:dyDescent="0.35">
      <c r="A39" s="30" t="s">
        <v>128</v>
      </c>
      <c r="B39" s="20" t="s">
        <v>129</v>
      </c>
      <c r="C39" s="30" t="s">
        <v>130</v>
      </c>
      <c r="D39" s="20" t="s">
        <v>53</v>
      </c>
      <c r="E39" s="20" t="s">
        <v>112</v>
      </c>
      <c r="F39" s="21">
        <v>60</v>
      </c>
      <c r="G39" s="21">
        <v>2631.42</v>
      </c>
      <c r="H39" s="21">
        <v>3420.06</v>
      </c>
      <c r="I39" s="19">
        <f t="shared" si="0"/>
        <v>205203.6</v>
      </c>
      <c r="J39" s="32">
        <v>0</v>
      </c>
      <c r="K39" s="15">
        <f t="shared" si="1"/>
        <v>0</v>
      </c>
      <c r="L39" s="19">
        <f t="shared" si="5"/>
        <v>0</v>
      </c>
      <c r="M39" s="32">
        <f t="shared" si="2"/>
        <v>0</v>
      </c>
      <c r="N39" s="15">
        <f t="shared" si="3"/>
        <v>0</v>
      </c>
      <c r="O39" s="19">
        <f t="shared" si="4"/>
        <v>0</v>
      </c>
    </row>
    <row r="40" spans="1:15" ht="25" x14ac:dyDescent="0.35">
      <c r="A40" s="30" t="s">
        <v>131</v>
      </c>
      <c r="B40" s="20" t="s">
        <v>132</v>
      </c>
      <c r="C40" s="30" t="s">
        <v>133</v>
      </c>
      <c r="D40" s="20" t="s">
        <v>58</v>
      </c>
      <c r="E40" s="20" t="s">
        <v>68</v>
      </c>
      <c r="F40" s="21">
        <v>92</v>
      </c>
      <c r="G40" s="21">
        <v>61.43</v>
      </c>
      <c r="H40" s="21">
        <v>79.84</v>
      </c>
      <c r="I40" s="19">
        <f t="shared" si="0"/>
        <v>7345.2800000000007</v>
      </c>
      <c r="J40" s="32">
        <v>0</v>
      </c>
      <c r="K40" s="15">
        <f t="shared" si="1"/>
        <v>0</v>
      </c>
      <c r="L40" s="19">
        <f t="shared" si="5"/>
        <v>0</v>
      </c>
      <c r="M40" s="32">
        <f t="shared" si="2"/>
        <v>0</v>
      </c>
      <c r="N40" s="15">
        <f t="shared" si="3"/>
        <v>0</v>
      </c>
      <c r="O40" s="19">
        <f t="shared" si="4"/>
        <v>0</v>
      </c>
    </row>
    <row r="41" spans="1:15" ht="37.5" x14ac:dyDescent="0.35">
      <c r="A41" s="30" t="s">
        <v>134</v>
      </c>
      <c r="B41" s="20" t="s">
        <v>135</v>
      </c>
      <c r="C41" s="30" t="s">
        <v>136</v>
      </c>
      <c r="D41" s="20" t="s">
        <v>58</v>
      </c>
      <c r="E41" s="20" t="s">
        <v>41</v>
      </c>
      <c r="F41" s="21">
        <v>2300</v>
      </c>
      <c r="G41" s="21">
        <v>12.23</v>
      </c>
      <c r="H41" s="21">
        <v>15.9</v>
      </c>
      <c r="I41" s="19">
        <f t="shared" si="0"/>
        <v>36570</v>
      </c>
      <c r="J41" s="32">
        <v>0</v>
      </c>
      <c r="K41" s="15">
        <f t="shared" si="1"/>
        <v>0</v>
      </c>
      <c r="L41" s="19">
        <f t="shared" si="5"/>
        <v>0</v>
      </c>
      <c r="M41" s="32">
        <f t="shared" si="2"/>
        <v>0</v>
      </c>
      <c r="N41" s="15">
        <f t="shared" si="3"/>
        <v>0</v>
      </c>
      <c r="O41" s="19">
        <f t="shared" si="4"/>
        <v>0</v>
      </c>
    </row>
    <row r="42" spans="1:15" ht="37.5" x14ac:dyDescent="0.35">
      <c r="A42" s="30" t="s">
        <v>137</v>
      </c>
      <c r="B42" s="20" t="s">
        <v>138</v>
      </c>
      <c r="C42" s="30" t="s">
        <v>139</v>
      </c>
      <c r="D42" s="20" t="s">
        <v>58</v>
      </c>
      <c r="E42" s="20" t="s">
        <v>41</v>
      </c>
      <c r="F42" s="21">
        <v>6900</v>
      </c>
      <c r="G42" s="21">
        <v>22.29</v>
      </c>
      <c r="H42" s="21">
        <v>28.97</v>
      </c>
      <c r="I42" s="19">
        <f t="shared" si="0"/>
        <v>199893</v>
      </c>
      <c r="J42" s="32">
        <v>0</v>
      </c>
      <c r="K42" s="15">
        <f t="shared" si="1"/>
        <v>0</v>
      </c>
      <c r="L42" s="19">
        <f t="shared" si="5"/>
        <v>0</v>
      </c>
      <c r="M42" s="32">
        <f t="shared" si="2"/>
        <v>0</v>
      </c>
      <c r="N42" s="15">
        <f t="shared" si="3"/>
        <v>0</v>
      </c>
      <c r="O42" s="19">
        <f t="shared" si="4"/>
        <v>0</v>
      </c>
    </row>
    <row r="43" spans="1:15" ht="37.5" x14ac:dyDescent="0.35">
      <c r="A43" s="30" t="s">
        <v>140</v>
      </c>
      <c r="B43" s="20" t="s">
        <v>141</v>
      </c>
      <c r="C43" s="30" t="s">
        <v>142</v>
      </c>
      <c r="D43" s="20" t="s">
        <v>58</v>
      </c>
      <c r="E43" s="20" t="s">
        <v>112</v>
      </c>
      <c r="F43" s="21">
        <v>60</v>
      </c>
      <c r="G43" s="21">
        <v>129.55000000000001</v>
      </c>
      <c r="H43" s="21">
        <v>168.38</v>
      </c>
      <c r="I43" s="19">
        <f t="shared" si="0"/>
        <v>10102.799999999999</v>
      </c>
      <c r="J43" s="32">
        <v>0</v>
      </c>
      <c r="K43" s="15">
        <f t="shared" si="1"/>
        <v>0</v>
      </c>
      <c r="L43" s="19">
        <f t="shared" si="5"/>
        <v>0</v>
      </c>
      <c r="M43" s="32">
        <f t="shared" si="2"/>
        <v>0</v>
      </c>
      <c r="N43" s="15">
        <f t="shared" si="3"/>
        <v>0</v>
      </c>
      <c r="O43" s="19">
        <f t="shared" si="4"/>
        <v>0</v>
      </c>
    </row>
    <row r="44" spans="1:15" ht="25" x14ac:dyDescent="0.35">
      <c r="A44" s="30" t="s">
        <v>143</v>
      </c>
      <c r="B44" s="20" t="s">
        <v>144</v>
      </c>
      <c r="C44" s="30" t="s">
        <v>145</v>
      </c>
      <c r="D44" s="20" t="s">
        <v>58</v>
      </c>
      <c r="E44" s="20" t="s">
        <v>112</v>
      </c>
      <c r="F44" s="21">
        <v>60</v>
      </c>
      <c r="G44" s="21">
        <v>528.13</v>
      </c>
      <c r="H44" s="21">
        <v>686.41</v>
      </c>
      <c r="I44" s="19">
        <f t="shared" si="0"/>
        <v>41184.6</v>
      </c>
      <c r="J44" s="32">
        <v>0</v>
      </c>
      <c r="K44" s="15">
        <f t="shared" si="1"/>
        <v>0</v>
      </c>
      <c r="L44" s="19">
        <f t="shared" si="5"/>
        <v>0</v>
      </c>
      <c r="M44" s="32">
        <f t="shared" si="2"/>
        <v>0</v>
      </c>
      <c r="N44" s="15">
        <f t="shared" si="3"/>
        <v>0</v>
      </c>
      <c r="O44" s="19">
        <f t="shared" si="4"/>
        <v>0</v>
      </c>
    </row>
    <row r="45" spans="1:15" ht="25" x14ac:dyDescent="0.35">
      <c r="A45" s="30" t="s">
        <v>146</v>
      </c>
      <c r="B45" s="20" t="s">
        <v>147</v>
      </c>
      <c r="C45" s="30" t="s">
        <v>148</v>
      </c>
      <c r="D45" s="20" t="s">
        <v>58</v>
      </c>
      <c r="E45" s="20" t="s">
        <v>112</v>
      </c>
      <c r="F45" s="21">
        <v>60</v>
      </c>
      <c r="G45" s="21">
        <v>37.659999999999997</v>
      </c>
      <c r="H45" s="21">
        <v>48.95</v>
      </c>
      <c r="I45" s="19">
        <f t="shared" si="0"/>
        <v>2937</v>
      </c>
      <c r="J45" s="32">
        <v>0</v>
      </c>
      <c r="K45" s="15">
        <f t="shared" si="1"/>
        <v>0</v>
      </c>
      <c r="L45" s="19">
        <f t="shared" si="5"/>
        <v>0</v>
      </c>
      <c r="M45" s="32">
        <f t="shared" si="2"/>
        <v>0</v>
      </c>
      <c r="N45" s="15">
        <f t="shared" si="3"/>
        <v>0</v>
      </c>
      <c r="O45" s="19">
        <f t="shared" si="4"/>
        <v>0</v>
      </c>
    </row>
    <row r="46" spans="1:15" ht="50" x14ac:dyDescent="0.35">
      <c r="A46" s="30" t="s">
        <v>149</v>
      </c>
      <c r="B46" s="20" t="s">
        <v>150</v>
      </c>
      <c r="C46" s="30" t="s">
        <v>151</v>
      </c>
      <c r="D46" s="20" t="s">
        <v>58</v>
      </c>
      <c r="E46" s="20" t="s">
        <v>112</v>
      </c>
      <c r="F46" s="21">
        <v>2</v>
      </c>
      <c r="G46" s="21">
        <v>9176.98</v>
      </c>
      <c r="H46" s="21">
        <v>11927.32</v>
      </c>
      <c r="I46" s="19">
        <f t="shared" si="0"/>
        <v>23854.639999999999</v>
      </c>
      <c r="J46" s="32">
        <v>0</v>
      </c>
      <c r="K46" s="15">
        <f t="shared" si="1"/>
        <v>0</v>
      </c>
      <c r="L46" s="19">
        <f t="shared" si="5"/>
        <v>0</v>
      </c>
      <c r="M46" s="32">
        <f t="shared" si="2"/>
        <v>0</v>
      </c>
      <c r="N46" s="15">
        <f t="shared" si="3"/>
        <v>0</v>
      </c>
      <c r="O46" s="19">
        <f t="shared" si="4"/>
        <v>0</v>
      </c>
    </row>
    <row r="47" spans="1:15" ht="25" x14ac:dyDescent="0.35">
      <c r="A47" s="30" t="s">
        <v>152</v>
      </c>
      <c r="B47" s="20" t="s">
        <v>153</v>
      </c>
      <c r="C47" s="30" t="s">
        <v>154</v>
      </c>
      <c r="D47" s="20" t="s">
        <v>58</v>
      </c>
      <c r="E47" s="20" t="s">
        <v>112</v>
      </c>
      <c r="F47" s="21">
        <v>2</v>
      </c>
      <c r="G47" s="21">
        <v>241.61</v>
      </c>
      <c r="H47" s="21">
        <v>314.02</v>
      </c>
      <c r="I47" s="19">
        <f t="shared" si="0"/>
        <v>628.04</v>
      </c>
      <c r="J47" s="32">
        <v>0</v>
      </c>
      <c r="K47" s="15">
        <f t="shared" si="1"/>
        <v>0</v>
      </c>
      <c r="L47" s="19">
        <f t="shared" si="5"/>
        <v>0</v>
      </c>
      <c r="M47" s="32">
        <f t="shared" si="2"/>
        <v>0</v>
      </c>
      <c r="N47" s="15">
        <f t="shared" si="3"/>
        <v>0</v>
      </c>
      <c r="O47" s="19">
        <f t="shared" si="4"/>
        <v>0</v>
      </c>
    </row>
    <row r="48" spans="1:15" ht="15.65" customHeight="1" x14ac:dyDescent="0.35">
      <c r="A48" s="29" t="s">
        <v>37</v>
      </c>
      <c r="B48" s="360" t="s">
        <v>155</v>
      </c>
      <c r="C48" s="361"/>
      <c r="D48" s="361"/>
      <c r="E48" s="361"/>
      <c r="F48" s="361"/>
      <c r="G48" s="361"/>
      <c r="H48" s="362"/>
      <c r="I48" s="24">
        <f>I49+I50+I51+I52+I53+I54</f>
        <v>142938.79999999999</v>
      </c>
      <c r="J48" s="33"/>
      <c r="K48" s="26"/>
      <c r="L48" s="24">
        <f>L49+L50+L51+L52+L53+L54</f>
        <v>0</v>
      </c>
      <c r="M48" s="33"/>
      <c r="N48" s="26"/>
      <c r="O48" s="24">
        <f>O49+O50+O51+O52+O53+O54</f>
        <v>0</v>
      </c>
    </row>
    <row r="49" spans="1:17" x14ac:dyDescent="0.35">
      <c r="A49" s="30" t="s">
        <v>156</v>
      </c>
      <c r="B49" s="20" t="s">
        <v>157</v>
      </c>
      <c r="C49" s="30" t="s">
        <v>158</v>
      </c>
      <c r="D49" s="20" t="s">
        <v>58</v>
      </c>
      <c r="E49" s="20" t="s">
        <v>41</v>
      </c>
      <c r="F49" s="21">
        <v>80</v>
      </c>
      <c r="G49" s="21">
        <v>4.0999999999999996</v>
      </c>
      <c r="H49" s="21">
        <v>5.33</v>
      </c>
      <c r="I49" s="19">
        <f t="shared" si="0"/>
        <v>426.4</v>
      </c>
      <c r="J49" s="32">
        <v>0</v>
      </c>
      <c r="K49" s="15">
        <f t="shared" si="1"/>
        <v>0</v>
      </c>
      <c r="L49" s="19">
        <f t="shared" si="5"/>
        <v>0</v>
      </c>
      <c r="M49" s="32">
        <f t="shared" si="2"/>
        <v>0</v>
      </c>
      <c r="N49" s="15">
        <f t="shared" si="3"/>
        <v>0</v>
      </c>
      <c r="O49" s="19">
        <f t="shared" si="4"/>
        <v>0</v>
      </c>
    </row>
    <row r="50" spans="1:17" x14ac:dyDescent="0.35">
      <c r="A50" s="30" t="s">
        <v>159</v>
      </c>
      <c r="B50" s="20" t="s">
        <v>160</v>
      </c>
      <c r="C50" s="30" t="s">
        <v>161</v>
      </c>
      <c r="D50" s="20" t="s">
        <v>58</v>
      </c>
      <c r="E50" s="20" t="s">
        <v>68</v>
      </c>
      <c r="F50" s="21">
        <v>400</v>
      </c>
      <c r="G50" s="21">
        <v>11.02</v>
      </c>
      <c r="H50" s="21">
        <v>14.32</v>
      </c>
      <c r="I50" s="19">
        <f t="shared" si="0"/>
        <v>5728</v>
      </c>
      <c r="J50" s="32">
        <v>0</v>
      </c>
      <c r="K50" s="15">
        <f t="shared" si="1"/>
        <v>0</v>
      </c>
      <c r="L50" s="19">
        <f t="shared" si="5"/>
        <v>0</v>
      </c>
      <c r="M50" s="32">
        <f t="shared" si="2"/>
        <v>0</v>
      </c>
      <c r="N50" s="15">
        <f t="shared" si="3"/>
        <v>0</v>
      </c>
      <c r="O50" s="19">
        <f t="shared" si="4"/>
        <v>0</v>
      </c>
    </row>
    <row r="51" spans="1:17" ht="50" x14ac:dyDescent="0.35">
      <c r="A51" s="30" t="s">
        <v>162</v>
      </c>
      <c r="B51" s="20" t="s">
        <v>163</v>
      </c>
      <c r="C51" s="30" t="s">
        <v>164</v>
      </c>
      <c r="D51" s="20" t="s">
        <v>53</v>
      </c>
      <c r="E51" s="20" t="s">
        <v>68</v>
      </c>
      <c r="F51" s="21">
        <v>16</v>
      </c>
      <c r="G51" s="21">
        <v>205.21</v>
      </c>
      <c r="H51" s="21">
        <v>266.70999999999998</v>
      </c>
      <c r="I51" s="19">
        <f t="shared" si="0"/>
        <v>4267.3599999999997</v>
      </c>
      <c r="J51" s="32">
        <v>0</v>
      </c>
      <c r="K51" s="15">
        <f t="shared" si="1"/>
        <v>0</v>
      </c>
      <c r="L51" s="19">
        <f t="shared" si="5"/>
        <v>0</v>
      </c>
      <c r="M51" s="32">
        <f t="shared" si="2"/>
        <v>0</v>
      </c>
      <c r="N51" s="15">
        <f t="shared" si="3"/>
        <v>0</v>
      </c>
      <c r="O51" s="19">
        <f t="shared" si="4"/>
        <v>0</v>
      </c>
    </row>
    <row r="52" spans="1:17" ht="50" x14ac:dyDescent="0.35">
      <c r="A52" s="30" t="s">
        <v>165</v>
      </c>
      <c r="B52" s="20" t="s">
        <v>166</v>
      </c>
      <c r="C52" s="30" t="s">
        <v>167</v>
      </c>
      <c r="D52" s="20" t="s">
        <v>58</v>
      </c>
      <c r="E52" s="20" t="s">
        <v>41</v>
      </c>
      <c r="F52" s="21">
        <v>80</v>
      </c>
      <c r="G52" s="21">
        <v>506.82</v>
      </c>
      <c r="H52" s="21">
        <v>658.71</v>
      </c>
      <c r="I52" s="19">
        <f t="shared" si="0"/>
        <v>52696.800000000003</v>
      </c>
      <c r="J52" s="32">
        <v>0</v>
      </c>
      <c r="K52" s="15">
        <f t="shared" si="1"/>
        <v>0</v>
      </c>
      <c r="L52" s="19">
        <f t="shared" si="5"/>
        <v>0</v>
      </c>
      <c r="M52" s="32">
        <f t="shared" si="2"/>
        <v>0</v>
      </c>
      <c r="N52" s="15">
        <f t="shared" si="3"/>
        <v>0</v>
      </c>
      <c r="O52" s="19">
        <f t="shared" si="4"/>
        <v>0</v>
      </c>
    </row>
    <row r="53" spans="1:17" ht="37.5" x14ac:dyDescent="0.35">
      <c r="A53" s="30" t="s">
        <v>168</v>
      </c>
      <c r="B53" s="20" t="s">
        <v>169</v>
      </c>
      <c r="C53" s="30" t="s">
        <v>170</v>
      </c>
      <c r="D53" s="20" t="s">
        <v>58</v>
      </c>
      <c r="E53" s="20" t="s">
        <v>112</v>
      </c>
      <c r="F53" s="21">
        <v>10</v>
      </c>
      <c r="G53" s="21">
        <v>5781.92</v>
      </c>
      <c r="H53" s="21">
        <v>7514.76</v>
      </c>
      <c r="I53" s="19">
        <f t="shared" si="0"/>
        <v>75147.600000000006</v>
      </c>
      <c r="J53" s="32">
        <v>0</v>
      </c>
      <c r="K53" s="15">
        <f t="shared" si="1"/>
        <v>0</v>
      </c>
      <c r="L53" s="19">
        <f t="shared" si="5"/>
        <v>0</v>
      </c>
      <c r="M53" s="32">
        <f t="shared" si="2"/>
        <v>0</v>
      </c>
      <c r="N53" s="15">
        <f t="shared" si="3"/>
        <v>0</v>
      </c>
      <c r="O53" s="19">
        <f t="shared" si="4"/>
        <v>0</v>
      </c>
    </row>
    <row r="54" spans="1:17" ht="62.5" x14ac:dyDescent="0.35">
      <c r="A54" s="30" t="s">
        <v>171</v>
      </c>
      <c r="B54" s="20" t="s">
        <v>172</v>
      </c>
      <c r="C54" s="30" t="s">
        <v>173</v>
      </c>
      <c r="D54" s="20" t="s">
        <v>58</v>
      </c>
      <c r="E54" s="20" t="s">
        <v>68</v>
      </c>
      <c r="F54" s="21">
        <v>224</v>
      </c>
      <c r="G54" s="21">
        <v>16.05</v>
      </c>
      <c r="H54" s="21">
        <v>20.86</v>
      </c>
      <c r="I54" s="19">
        <f t="shared" si="0"/>
        <v>4672.6399999999994</v>
      </c>
      <c r="J54" s="32">
        <v>0</v>
      </c>
      <c r="K54" s="15">
        <f t="shared" si="1"/>
        <v>0</v>
      </c>
      <c r="L54" s="19">
        <f t="shared" si="5"/>
        <v>0</v>
      </c>
      <c r="M54" s="32">
        <f t="shared" si="2"/>
        <v>0</v>
      </c>
      <c r="N54" s="15">
        <f t="shared" si="3"/>
        <v>0</v>
      </c>
      <c r="O54" s="19">
        <f t="shared" si="4"/>
        <v>0</v>
      </c>
    </row>
    <row r="55" spans="1:17" x14ac:dyDescent="0.35">
      <c r="A55" s="29" t="s">
        <v>174</v>
      </c>
      <c r="B55" s="360" t="s">
        <v>175</v>
      </c>
      <c r="C55" s="361"/>
      <c r="D55" s="361"/>
      <c r="E55" s="361"/>
      <c r="F55" s="361"/>
      <c r="G55" s="361"/>
      <c r="H55" s="362"/>
      <c r="I55" s="24">
        <f>I56+I58+I69+I73+I80</f>
        <v>485238.63620000001</v>
      </c>
      <c r="J55" s="33"/>
      <c r="K55" s="26"/>
      <c r="L55" s="24">
        <f>L56+L58+L69+L73+L80</f>
        <v>173778.45996383997</v>
      </c>
      <c r="M55" s="33"/>
      <c r="N55" s="26"/>
      <c r="O55" s="24">
        <f>O56+O58+O69+O73+O80</f>
        <v>173778.45996383997</v>
      </c>
    </row>
    <row r="56" spans="1:17" ht="15.65" customHeight="1" x14ac:dyDescent="0.35">
      <c r="A56" s="29" t="s">
        <v>32</v>
      </c>
      <c r="B56" s="360" t="s">
        <v>69</v>
      </c>
      <c r="C56" s="361"/>
      <c r="D56" s="361"/>
      <c r="E56" s="361"/>
      <c r="F56" s="361"/>
      <c r="G56" s="361"/>
      <c r="H56" s="362"/>
      <c r="I56" s="23">
        <f>I57</f>
        <v>0</v>
      </c>
      <c r="J56" s="34"/>
      <c r="K56" s="27"/>
      <c r="L56" s="23">
        <f>L57</f>
        <v>0</v>
      </c>
      <c r="M56" s="34"/>
      <c r="N56" s="27"/>
      <c r="O56" s="23">
        <f>O57</f>
        <v>0</v>
      </c>
    </row>
    <row r="57" spans="1:17" ht="37.5" x14ac:dyDescent="0.35">
      <c r="A57" s="30" t="s">
        <v>176</v>
      </c>
      <c r="B57" s="20" t="s">
        <v>51</v>
      </c>
      <c r="C57" s="30" t="s">
        <v>52</v>
      </c>
      <c r="D57" s="20" t="s">
        <v>53</v>
      </c>
      <c r="E57" s="20" t="s">
        <v>54</v>
      </c>
      <c r="F57" s="21">
        <v>0</v>
      </c>
      <c r="G57" s="21">
        <v>0.33</v>
      </c>
      <c r="H57" s="21">
        <v>0.43</v>
      </c>
      <c r="I57" s="19">
        <f t="shared" ref="I57:I87" si="6">H57*F57</f>
        <v>0</v>
      </c>
      <c r="J57" s="32">
        <v>0</v>
      </c>
      <c r="K57" s="15">
        <v>0</v>
      </c>
      <c r="L57" s="19">
        <f t="shared" ref="L57:L64" si="7">J57*H57</f>
        <v>0</v>
      </c>
      <c r="M57" s="32">
        <v>0</v>
      </c>
      <c r="N57" s="15">
        <v>0</v>
      </c>
      <c r="O57" s="19">
        <f>M57*H57</f>
        <v>0</v>
      </c>
    </row>
    <row r="58" spans="1:17" x14ac:dyDescent="0.35">
      <c r="A58" s="29" t="s">
        <v>33</v>
      </c>
      <c r="B58" s="359" t="s">
        <v>69</v>
      </c>
      <c r="C58" s="359"/>
      <c r="D58" s="359"/>
      <c r="E58" s="359"/>
      <c r="F58" s="359"/>
      <c r="G58" s="359"/>
      <c r="H58" s="359"/>
      <c r="I58" s="24">
        <f>I59+I60+I61+I62+I63+I64+I65+I66+I67+I68</f>
        <v>130876.3806</v>
      </c>
      <c r="J58" s="33"/>
      <c r="K58" s="26"/>
      <c r="L58" s="24">
        <f>L59+L60+L61+L62+L63+L64+L65+L66+L67+L68</f>
        <v>112318.74516383999</v>
      </c>
      <c r="M58" s="33"/>
      <c r="N58" s="26"/>
      <c r="O58" s="24">
        <f>O59+O60+O61+O62+O63+O64+O65+O66+O67+O68</f>
        <v>112318.74516383999</v>
      </c>
      <c r="Q58" s="31"/>
    </row>
    <row r="59" spans="1:17" x14ac:dyDescent="0.35">
      <c r="A59" s="30" t="s">
        <v>177</v>
      </c>
      <c r="B59" s="20" t="s">
        <v>71</v>
      </c>
      <c r="C59" s="30" t="s">
        <v>72</v>
      </c>
      <c r="D59" s="20" t="s">
        <v>62</v>
      </c>
      <c r="E59" s="20" t="s">
        <v>73</v>
      </c>
      <c r="F59" s="21">
        <v>255</v>
      </c>
      <c r="G59" s="21">
        <v>19.05</v>
      </c>
      <c r="H59" s="21">
        <v>24.76</v>
      </c>
      <c r="I59" s="19">
        <f t="shared" si="6"/>
        <v>6313.8</v>
      </c>
      <c r="J59" s="32">
        <v>218.88</v>
      </c>
      <c r="K59" s="15">
        <f t="shared" ref="K59:K87" si="8">J59/F59</f>
        <v>0.85835294117647054</v>
      </c>
      <c r="L59" s="19">
        <f t="shared" si="7"/>
        <v>5419.4688000000006</v>
      </c>
      <c r="M59" s="32">
        <f t="shared" ref="M59:M68" si="9">J59</f>
        <v>218.88</v>
      </c>
      <c r="N59" s="15">
        <f t="shared" ref="N59:N68" si="10">M59/F59</f>
        <v>0.85835294117647054</v>
      </c>
      <c r="O59" s="19">
        <f t="shared" ref="O59:O68" si="11">M59*H59</f>
        <v>5419.4688000000006</v>
      </c>
    </row>
    <row r="60" spans="1:17" x14ac:dyDescent="0.35">
      <c r="A60" s="30" t="s">
        <v>178</v>
      </c>
      <c r="B60" s="20" t="s">
        <v>75</v>
      </c>
      <c r="C60" s="30" t="s">
        <v>76</v>
      </c>
      <c r="D60" s="20" t="s">
        <v>62</v>
      </c>
      <c r="E60" s="20" t="s">
        <v>77</v>
      </c>
      <c r="F60" s="21">
        <v>1275</v>
      </c>
      <c r="G60" s="21">
        <v>0.33</v>
      </c>
      <c r="H60" s="21">
        <v>0.43</v>
      </c>
      <c r="I60" s="19">
        <f t="shared" si="6"/>
        <v>548.25</v>
      </c>
      <c r="J60" s="32">
        <v>1094.4000000000001</v>
      </c>
      <c r="K60" s="15">
        <f t="shared" si="8"/>
        <v>0.85835294117647065</v>
      </c>
      <c r="L60" s="19">
        <f t="shared" si="7"/>
        <v>470.59200000000004</v>
      </c>
      <c r="M60" s="32">
        <f t="shared" si="9"/>
        <v>1094.4000000000001</v>
      </c>
      <c r="N60" s="15">
        <f t="shared" si="10"/>
        <v>0.85835294117647065</v>
      </c>
      <c r="O60" s="19">
        <f t="shared" si="11"/>
        <v>470.59200000000004</v>
      </c>
    </row>
    <row r="61" spans="1:17" x14ac:dyDescent="0.35">
      <c r="A61" s="30" t="s">
        <v>179</v>
      </c>
      <c r="B61" s="20" t="s">
        <v>180</v>
      </c>
      <c r="C61" s="30" t="s">
        <v>80</v>
      </c>
      <c r="D61" s="20" t="s">
        <v>62</v>
      </c>
      <c r="E61" s="20" t="s">
        <v>77</v>
      </c>
      <c r="F61" s="21">
        <v>1275</v>
      </c>
      <c r="G61" s="21">
        <v>0.23</v>
      </c>
      <c r="H61" s="21">
        <v>0.3</v>
      </c>
      <c r="I61" s="19">
        <f t="shared" si="6"/>
        <v>382.5</v>
      </c>
      <c r="J61" s="32">
        <v>1094.4000000000001</v>
      </c>
      <c r="K61" s="15">
        <f t="shared" si="8"/>
        <v>0.85835294117647065</v>
      </c>
      <c r="L61" s="19">
        <f t="shared" si="7"/>
        <v>328.32</v>
      </c>
      <c r="M61" s="32">
        <f t="shared" si="9"/>
        <v>1094.4000000000001</v>
      </c>
      <c r="N61" s="15">
        <f t="shared" si="10"/>
        <v>0.85835294117647065</v>
      </c>
      <c r="O61" s="19">
        <f t="shared" si="11"/>
        <v>328.32</v>
      </c>
    </row>
    <row r="62" spans="1:17" ht="25" x14ac:dyDescent="0.35">
      <c r="A62" s="30" t="s">
        <v>181</v>
      </c>
      <c r="B62" s="20" t="s">
        <v>83</v>
      </c>
      <c r="C62" s="30" t="s">
        <v>182</v>
      </c>
      <c r="D62" s="20" t="s">
        <v>58</v>
      </c>
      <c r="E62" s="20" t="s">
        <v>85</v>
      </c>
      <c r="F62" s="21">
        <v>91.8</v>
      </c>
      <c r="G62" s="21">
        <v>169.02</v>
      </c>
      <c r="H62" s="21">
        <v>197.42</v>
      </c>
      <c r="I62" s="19">
        <f t="shared" si="6"/>
        <v>18123.155999999999</v>
      </c>
      <c r="J62" s="32">
        <v>78.796800000000005</v>
      </c>
      <c r="K62" s="15">
        <f t="shared" si="8"/>
        <v>0.85835294117647065</v>
      </c>
      <c r="L62" s="19">
        <f t="shared" si="7"/>
        <v>15556.064256</v>
      </c>
      <c r="M62" s="32">
        <f t="shared" si="9"/>
        <v>78.796800000000005</v>
      </c>
      <c r="N62" s="15">
        <f t="shared" si="10"/>
        <v>0.85835294117647065</v>
      </c>
      <c r="O62" s="19">
        <f t="shared" si="11"/>
        <v>15556.064256</v>
      </c>
    </row>
    <row r="63" spans="1:17" x14ac:dyDescent="0.35">
      <c r="A63" s="30" t="s">
        <v>183</v>
      </c>
      <c r="B63" s="20" t="s">
        <v>87</v>
      </c>
      <c r="C63" s="30" t="s">
        <v>88</v>
      </c>
      <c r="D63" s="20" t="s">
        <v>58</v>
      </c>
      <c r="E63" s="20" t="s">
        <v>85</v>
      </c>
      <c r="F63" s="21">
        <v>89.12</v>
      </c>
      <c r="G63" s="21">
        <v>142.47999999999999</v>
      </c>
      <c r="H63" s="21">
        <v>185.18</v>
      </c>
      <c r="I63" s="19">
        <f t="shared" si="6"/>
        <v>16503.241600000001</v>
      </c>
      <c r="J63" s="32">
        <v>76.498559999999998</v>
      </c>
      <c r="K63" s="15">
        <f t="shared" si="8"/>
        <v>0.85837701974865344</v>
      </c>
      <c r="L63" s="19">
        <f t="shared" si="7"/>
        <v>14166.0033408</v>
      </c>
      <c r="M63" s="32">
        <f t="shared" si="9"/>
        <v>76.498559999999998</v>
      </c>
      <c r="N63" s="15">
        <f t="shared" si="10"/>
        <v>0.85837701974865344</v>
      </c>
      <c r="O63" s="19">
        <f t="shared" si="11"/>
        <v>14166.0033408</v>
      </c>
    </row>
    <row r="64" spans="1:17" x14ac:dyDescent="0.35">
      <c r="A64" s="30" t="s">
        <v>184</v>
      </c>
      <c r="B64" s="20" t="s">
        <v>90</v>
      </c>
      <c r="C64" s="30" t="s">
        <v>91</v>
      </c>
      <c r="D64" s="20" t="s">
        <v>58</v>
      </c>
      <c r="E64" s="20" t="s">
        <v>92</v>
      </c>
      <c r="F64" s="21">
        <v>4759.26</v>
      </c>
      <c r="G64" s="21">
        <v>0.94</v>
      </c>
      <c r="H64" s="21">
        <v>1.22</v>
      </c>
      <c r="I64" s="19">
        <f t="shared" si="6"/>
        <v>5806.2972</v>
      </c>
      <c r="J64" s="32">
        <v>4085.1215999999999</v>
      </c>
      <c r="K64" s="15">
        <f t="shared" si="8"/>
        <v>0.85835226484789651</v>
      </c>
      <c r="L64" s="19">
        <f t="shared" si="7"/>
        <v>4983.848352</v>
      </c>
      <c r="M64" s="32">
        <f t="shared" si="9"/>
        <v>4085.1215999999999</v>
      </c>
      <c r="N64" s="15">
        <f t="shared" si="10"/>
        <v>0.85835226484789651</v>
      </c>
      <c r="O64" s="19">
        <f t="shared" si="11"/>
        <v>4983.848352</v>
      </c>
    </row>
    <row r="65" spans="1:15" x14ac:dyDescent="0.35">
      <c r="A65" s="30" t="s">
        <v>185</v>
      </c>
      <c r="B65" s="20" t="s">
        <v>94</v>
      </c>
      <c r="C65" s="30" t="s">
        <v>95</v>
      </c>
      <c r="D65" s="20" t="s">
        <v>58</v>
      </c>
      <c r="E65" s="20" t="s">
        <v>92</v>
      </c>
      <c r="F65" s="21">
        <v>1083.75</v>
      </c>
      <c r="G65" s="21">
        <v>0.83</v>
      </c>
      <c r="H65" s="21">
        <v>1.08</v>
      </c>
      <c r="I65" s="19">
        <f t="shared" si="6"/>
        <v>1170.45</v>
      </c>
      <c r="J65" s="32">
        <v>930.24</v>
      </c>
      <c r="K65" s="15">
        <f t="shared" si="8"/>
        <v>0.85835294117647065</v>
      </c>
      <c r="L65" s="19">
        <f t="shared" ref="L65:L87" si="12">J65*H65</f>
        <v>1004.6592000000001</v>
      </c>
      <c r="M65" s="32">
        <f t="shared" si="9"/>
        <v>930.24</v>
      </c>
      <c r="N65" s="15">
        <f t="shared" si="10"/>
        <v>0.85835294117647065</v>
      </c>
      <c r="O65" s="19">
        <f t="shared" si="11"/>
        <v>1004.6592000000001</v>
      </c>
    </row>
    <row r="66" spans="1:15" ht="25" x14ac:dyDescent="0.35">
      <c r="A66" s="30" t="s">
        <v>186</v>
      </c>
      <c r="B66" s="20" t="s">
        <v>97</v>
      </c>
      <c r="C66" s="30" t="s">
        <v>98</v>
      </c>
      <c r="D66" s="20" t="s">
        <v>62</v>
      </c>
      <c r="E66" s="20" t="s">
        <v>99</v>
      </c>
      <c r="F66" s="21">
        <v>0.64</v>
      </c>
      <c r="G66" s="21">
        <v>4403.33</v>
      </c>
      <c r="H66" s="21">
        <v>5143.09</v>
      </c>
      <c r="I66" s="19">
        <f t="shared" si="6"/>
        <v>3291.5776000000001</v>
      </c>
      <c r="J66" s="32">
        <v>0.54720000000000002</v>
      </c>
      <c r="K66" s="15">
        <f t="shared" si="8"/>
        <v>0.85499999999999998</v>
      </c>
      <c r="L66" s="19">
        <f t="shared" si="12"/>
        <v>2814.2988480000004</v>
      </c>
      <c r="M66" s="32">
        <f t="shared" si="9"/>
        <v>0.54720000000000002</v>
      </c>
      <c r="N66" s="15">
        <f t="shared" si="10"/>
        <v>0.85499999999999998</v>
      </c>
      <c r="O66" s="19">
        <f t="shared" si="11"/>
        <v>2814.2988480000004</v>
      </c>
    </row>
    <row r="67" spans="1:15" x14ac:dyDescent="0.35">
      <c r="A67" s="30" t="s">
        <v>187</v>
      </c>
      <c r="B67" s="20" t="s">
        <v>101</v>
      </c>
      <c r="C67" s="30" t="s">
        <v>102</v>
      </c>
      <c r="D67" s="20" t="s">
        <v>62</v>
      </c>
      <c r="E67" s="20" t="s">
        <v>99</v>
      </c>
      <c r="F67" s="21">
        <v>1.53</v>
      </c>
      <c r="G67" s="21">
        <v>7602</v>
      </c>
      <c r="H67" s="21">
        <v>8879.14</v>
      </c>
      <c r="I67" s="19">
        <f t="shared" si="6"/>
        <v>13585.084199999999</v>
      </c>
      <c r="J67" s="32">
        <v>1.31328</v>
      </c>
      <c r="K67" s="15">
        <f t="shared" si="8"/>
        <v>0.85835294117647054</v>
      </c>
      <c r="L67" s="19">
        <f t="shared" si="12"/>
        <v>11660.796979199999</v>
      </c>
      <c r="M67" s="32">
        <f t="shared" si="9"/>
        <v>1.31328</v>
      </c>
      <c r="N67" s="15">
        <f t="shared" si="10"/>
        <v>0.85835294117647054</v>
      </c>
      <c r="O67" s="19">
        <f t="shared" si="11"/>
        <v>11660.796979199999</v>
      </c>
    </row>
    <row r="68" spans="1:15" ht="25" x14ac:dyDescent="0.35">
      <c r="A68" s="30" t="s">
        <v>188</v>
      </c>
      <c r="B68" s="20" t="s">
        <v>104</v>
      </c>
      <c r="C68" s="30" t="s">
        <v>105</v>
      </c>
      <c r="D68" s="20" t="s">
        <v>62</v>
      </c>
      <c r="E68" s="20" t="s">
        <v>99</v>
      </c>
      <c r="F68" s="21">
        <v>9.52</v>
      </c>
      <c r="G68" s="21">
        <v>5859.33</v>
      </c>
      <c r="H68" s="21">
        <v>6843.7</v>
      </c>
      <c r="I68" s="19">
        <f t="shared" si="6"/>
        <v>65152.023999999998</v>
      </c>
      <c r="J68" s="32">
        <v>8.1702431999999998</v>
      </c>
      <c r="K68" s="15">
        <f t="shared" si="8"/>
        <v>0.85821882352941181</v>
      </c>
      <c r="L68" s="19">
        <f t="shared" si="12"/>
        <v>55914.693387839994</v>
      </c>
      <c r="M68" s="32">
        <f t="shared" si="9"/>
        <v>8.1702431999999998</v>
      </c>
      <c r="N68" s="15">
        <f t="shared" si="10"/>
        <v>0.85821882352941181</v>
      </c>
      <c r="O68" s="19">
        <f t="shared" si="11"/>
        <v>55914.693387839994</v>
      </c>
    </row>
    <row r="69" spans="1:15" x14ac:dyDescent="0.35">
      <c r="A69" s="29" t="s">
        <v>34</v>
      </c>
      <c r="B69" s="360" t="s">
        <v>189</v>
      </c>
      <c r="C69" s="361"/>
      <c r="D69" s="361"/>
      <c r="E69" s="361"/>
      <c r="F69" s="361"/>
      <c r="G69" s="361"/>
      <c r="H69" s="362"/>
      <c r="I69" s="24">
        <f>I70+I71+I72</f>
        <v>117706.50599999999</v>
      </c>
      <c r="J69" s="33"/>
      <c r="K69" s="26"/>
      <c r="L69" s="24">
        <f>L70+L71+L72</f>
        <v>49859.074799999995</v>
      </c>
      <c r="M69" s="33"/>
      <c r="N69" s="26"/>
      <c r="O69" s="24">
        <f>O70+O71+O72</f>
        <v>49859.074799999995</v>
      </c>
    </row>
    <row r="70" spans="1:15" ht="62.5" x14ac:dyDescent="0.35">
      <c r="A70" s="30" t="s">
        <v>190</v>
      </c>
      <c r="B70" s="20" t="s">
        <v>107</v>
      </c>
      <c r="C70" s="30" t="s">
        <v>108</v>
      </c>
      <c r="D70" s="20" t="s">
        <v>58</v>
      </c>
      <c r="E70" s="20" t="s">
        <v>41</v>
      </c>
      <c r="F70" s="21">
        <v>1273.8</v>
      </c>
      <c r="G70" s="21">
        <v>38.56</v>
      </c>
      <c r="H70" s="21">
        <v>50.12</v>
      </c>
      <c r="I70" s="19">
        <f t="shared" si="6"/>
        <v>63842.855999999992</v>
      </c>
      <c r="J70" s="32">
        <v>472.95</v>
      </c>
      <c r="K70" s="15">
        <f t="shared" si="8"/>
        <v>0.37129062647197364</v>
      </c>
      <c r="L70" s="19">
        <f>J70*H70</f>
        <v>23704.253999999997</v>
      </c>
      <c r="M70" s="32">
        <f>J70</f>
        <v>472.95</v>
      </c>
      <c r="N70" s="15">
        <f>M70/F70</f>
        <v>0.37129062647197364</v>
      </c>
      <c r="O70" s="19">
        <f>M70*H70</f>
        <v>23704.253999999997</v>
      </c>
    </row>
    <row r="71" spans="1:15" ht="37.5" x14ac:dyDescent="0.35">
      <c r="A71" s="30" t="s">
        <v>191</v>
      </c>
      <c r="B71" s="20" t="s">
        <v>192</v>
      </c>
      <c r="C71" s="30" t="s">
        <v>193</v>
      </c>
      <c r="D71" s="20" t="s">
        <v>58</v>
      </c>
      <c r="E71" s="20" t="s">
        <v>54</v>
      </c>
      <c r="F71" s="21">
        <v>255</v>
      </c>
      <c r="G71" s="21">
        <v>81.16</v>
      </c>
      <c r="H71" s="21">
        <v>105.48</v>
      </c>
      <c r="I71" s="19">
        <f t="shared" si="6"/>
        <v>26897.4</v>
      </c>
      <c r="J71" s="32">
        <v>247.95999999999998</v>
      </c>
      <c r="K71" s="15">
        <f t="shared" si="8"/>
        <v>0.97239215686274505</v>
      </c>
      <c r="L71" s="19">
        <f t="shared" si="12"/>
        <v>26154.820799999998</v>
      </c>
      <c r="M71" s="32">
        <f>J71</f>
        <v>247.95999999999998</v>
      </c>
      <c r="N71" s="15">
        <f>M71/F71</f>
        <v>0.97239215686274505</v>
      </c>
      <c r="O71" s="19">
        <f>M71*H71</f>
        <v>26154.820799999998</v>
      </c>
    </row>
    <row r="72" spans="1:15" ht="25" x14ac:dyDescent="0.35">
      <c r="A72" s="30" t="s">
        <v>194</v>
      </c>
      <c r="B72" s="20" t="s">
        <v>195</v>
      </c>
      <c r="C72" s="30" t="s">
        <v>196</v>
      </c>
      <c r="D72" s="20" t="s">
        <v>58</v>
      </c>
      <c r="E72" s="20" t="s">
        <v>112</v>
      </c>
      <c r="F72" s="21">
        <v>425</v>
      </c>
      <c r="G72" s="21">
        <v>54.32</v>
      </c>
      <c r="H72" s="21">
        <v>63.45</v>
      </c>
      <c r="I72" s="19">
        <f t="shared" si="6"/>
        <v>26966.25</v>
      </c>
      <c r="J72" s="32">
        <v>0</v>
      </c>
      <c r="K72" s="15">
        <f t="shared" si="8"/>
        <v>0</v>
      </c>
      <c r="L72" s="19">
        <f t="shared" si="12"/>
        <v>0</v>
      </c>
      <c r="M72" s="32">
        <f>J72</f>
        <v>0</v>
      </c>
      <c r="N72" s="15">
        <f>M72/F72</f>
        <v>0</v>
      </c>
      <c r="O72" s="19">
        <f>M72*H72</f>
        <v>0</v>
      </c>
    </row>
    <row r="73" spans="1:15" x14ac:dyDescent="0.35">
      <c r="A73" s="29" t="s">
        <v>38</v>
      </c>
      <c r="B73" s="360" t="s">
        <v>197</v>
      </c>
      <c r="C73" s="361"/>
      <c r="D73" s="361"/>
      <c r="E73" s="361"/>
      <c r="F73" s="361"/>
      <c r="G73" s="361"/>
      <c r="H73" s="362"/>
      <c r="I73" s="24">
        <f>I74+I75+I76+I77+I78+I79</f>
        <v>49421.1296</v>
      </c>
      <c r="J73" s="33"/>
      <c r="K73" s="26"/>
      <c r="L73" s="24">
        <f>L74+L75+L76+L77+L78+L79</f>
        <v>0</v>
      </c>
      <c r="M73" s="33"/>
      <c r="N73" s="26"/>
      <c r="O73" s="24">
        <f>O74+O75+O76+O77+O78+O79</f>
        <v>0</v>
      </c>
    </row>
    <row r="74" spans="1:15" ht="33" customHeight="1" x14ac:dyDescent="0.35">
      <c r="A74" s="30" t="s">
        <v>198</v>
      </c>
      <c r="B74" s="20" t="s">
        <v>199</v>
      </c>
      <c r="C74" s="30" t="s">
        <v>200</v>
      </c>
      <c r="D74" s="20" t="s">
        <v>58</v>
      </c>
      <c r="E74" s="20" t="s">
        <v>112</v>
      </c>
      <c r="F74" s="21">
        <v>10</v>
      </c>
      <c r="G74" s="21">
        <v>219.52</v>
      </c>
      <c r="H74" s="21">
        <v>285.31</v>
      </c>
      <c r="I74" s="19">
        <f t="shared" si="6"/>
        <v>2853.1</v>
      </c>
      <c r="J74" s="32">
        <v>0</v>
      </c>
      <c r="K74" s="15">
        <f t="shared" si="8"/>
        <v>0</v>
      </c>
      <c r="L74" s="19">
        <f t="shared" si="12"/>
        <v>0</v>
      </c>
      <c r="M74" s="32">
        <f t="shared" ref="M74:M79" si="13">J74</f>
        <v>0</v>
      </c>
      <c r="N74" s="15">
        <f t="shared" ref="N74:N79" si="14">M74/F74</f>
        <v>0</v>
      </c>
      <c r="O74" s="19">
        <f t="shared" ref="O74:O79" si="15">M74*H74</f>
        <v>0</v>
      </c>
    </row>
    <row r="75" spans="1:15" ht="37.5" x14ac:dyDescent="0.35">
      <c r="A75" s="30" t="s">
        <v>201</v>
      </c>
      <c r="B75" s="20" t="s">
        <v>202</v>
      </c>
      <c r="C75" s="30" t="s">
        <v>203</v>
      </c>
      <c r="D75" s="20" t="s">
        <v>58</v>
      </c>
      <c r="E75" s="20" t="s">
        <v>41</v>
      </c>
      <c r="F75" s="21">
        <v>60</v>
      </c>
      <c r="G75" s="21">
        <v>52.88</v>
      </c>
      <c r="H75" s="21">
        <v>68.73</v>
      </c>
      <c r="I75" s="19">
        <f t="shared" si="6"/>
        <v>4123.8</v>
      </c>
      <c r="J75" s="32">
        <v>0</v>
      </c>
      <c r="K75" s="15">
        <f t="shared" si="8"/>
        <v>0</v>
      </c>
      <c r="L75" s="19">
        <f t="shared" si="12"/>
        <v>0</v>
      </c>
      <c r="M75" s="32">
        <f t="shared" si="13"/>
        <v>0</v>
      </c>
      <c r="N75" s="15">
        <f t="shared" si="14"/>
        <v>0</v>
      </c>
      <c r="O75" s="19">
        <f t="shared" si="15"/>
        <v>0</v>
      </c>
    </row>
    <row r="76" spans="1:15" ht="25" x14ac:dyDescent="0.35">
      <c r="A76" s="30" t="s">
        <v>204</v>
      </c>
      <c r="B76" s="20" t="s">
        <v>205</v>
      </c>
      <c r="C76" s="30" t="s">
        <v>206</v>
      </c>
      <c r="D76" s="20" t="s">
        <v>53</v>
      </c>
      <c r="E76" s="20" t="s">
        <v>54</v>
      </c>
      <c r="F76" s="21">
        <v>11.6</v>
      </c>
      <c r="G76" s="21">
        <v>151.79</v>
      </c>
      <c r="H76" s="21">
        <v>177.29</v>
      </c>
      <c r="I76" s="19">
        <f t="shared" si="6"/>
        <v>2056.5639999999999</v>
      </c>
      <c r="J76" s="32">
        <v>0</v>
      </c>
      <c r="K76" s="15">
        <f t="shared" si="8"/>
        <v>0</v>
      </c>
      <c r="L76" s="19">
        <f t="shared" si="12"/>
        <v>0</v>
      </c>
      <c r="M76" s="32">
        <f t="shared" si="13"/>
        <v>0</v>
      </c>
      <c r="N76" s="15">
        <f t="shared" si="14"/>
        <v>0</v>
      </c>
      <c r="O76" s="19">
        <f t="shared" si="15"/>
        <v>0</v>
      </c>
    </row>
    <row r="77" spans="1:15" x14ac:dyDescent="0.35">
      <c r="A77" s="30" t="s">
        <v>207</v>
      </c>
      <c r="B77" s="20" t="s">
        <v>208</v>
      </c>
      <c r="C77" s="30" t="s">
        <v>209</v>
      </c>
      <c r="D77" s="20" t="s">
        <v>210</v>
      </c>
      <c r="E77" s="20" t="s">
        <v>54</v>
      </c>
      <c r="F77" s="21">
        <v>2533.7399999999998</v>
      </c>
      <c r="G77" s="21">
        <v>3.26</v>
      </c>
      <c r="H77" s="21">
        <v>4.24</v>
      </c>
      <c r="I77" s="19">
        <f t="shared" si="6"/>
        <v>10743.0576</v>
      </c>
      <c r="J77" s="32">
        <v>0</v>
      </c>
      <c r="K77" s="15">
        <f t="shared" si="8"/>
        <v>0</v>
      </c>
      <c r="L77" s="19">
        <f t="shared" si="12"/>
        <v>0</v>
      </c>
      <c r="M77" s="32">
        <f t="shared" si="13"/>
        <v>0</v>
      </c>
      <c r="N77" s="15">
        <f t="shared" si="14"/>
        <v>0</v>
      </c>
      <c r="O77" s="19">
        <f t="shared" si="15"/>
        <v>0</v>
      </c>
    </row>
    <row r="78" spans="1:15" ht="25" x14ac:dyDescent="0.35">
      <c r="A78" s="30" t="s">
        <v>211</v>
      </c>
      <c r="B78" s="20" t="s">
        <v>132</v>
      </c>
      <c r="C78" s="30" t="s">
        <v>133</v>
      </c>
      <c r="D78" s="20" t="s">
        <v>58</v>
      </c>
      <c r="E78" s="20" t="s">
        <v>68</v>
      </c>
      <c r="F78" s="21">
        <v>55.2</v>
      </c>
      <c r="G78" s="21">
        <v>61.43</v>
      </c>
      <c r="H78" s="21">
        <v>79.84</v>
      </c>
      <c r="I78" s="19">
        <f t="shared" si="6"/>
        <v>4407.1680000000006</v>
      </c>
      <c r="J78" s="32">
        <v>0</v>
      </c>
      <c r="K78" s="15">
        <f t="shared" si="8"/>
        <v>0</v>
      </c>
      <c r="L78" s="19">
        <f t="shared" si="12"/>
        <v>0</v>
      </c>
      <c r="M78" s="32">
        <f t="shared" si="13"/>
        <v>0</v>
      </c>
      <c r="N78" s="15">
        <f t="shared" si="14"/>
        <v>0</v>
      </c>
      <c r="O78" s="19">
        <f t="shared" si="15"/>
        <v>0</v>
      </c>
    </row>
    <row r="79" spans="1:15" ht="50" x14ac:dyDescent="0.35">
      <c r="A79" s="30" t="s">
        <v>212</v>
      </c>
      <c r="B79" s="20" t="s">
        <v>213</v>
      </c>
      <c r="C79" s="30" t="s">
        <v>214</v>
      </c>
      <c r="D79" s="20" t="s">
        <v>58</v>
      </c>
      <c r="E79" s="20" t="s">
        <v>41</v>
      </c>
      <c r="F79" s="21">
        <v>46</v>
      </c>
      <c r="G79" s="21">
        <v>422.13</v>
      </c>
      <c r="H79" s="21">
        <v>548.64</v>
      </c>
      <c r="I79" s="19">
        <f t="shared" si="6"/>
        <v>25237.439999999999</v>
      </c>
      <c r="J79" s="32">
        <v>0</v>
      </c>
      <c r="K79" s="15">
        <f t="shared" si="8"/>
        <v>0</v>
      </c>
      <c r="L79" s="19">
        <f t="shared" si="12"/>
        <v>0</v>
      </c>
      <c r="M79" s="32">
        <f t="shared" si="13"/>
        <v>0</v>
      </c>
      <c r="N79" s="15">
        <f t="shared" si="14"/>
        <v>0</v>
      </c>
      <c r="O79" s="19">
        <f t="shared" si="15"/>
        <v>0</v>
      </c>
    </row>
    <row r="80" spans="1:15" x14ac:dyDescent="0.35">
      <c r="A80" s="29" t="s">
        <v>39</v>
      </c>
      <c r="B80" s="360" t="s">
        <v>127</v>
      </c>
      <c r="C80" s="361"/>
      <c r="D80" s="361"/>
      <c r="E80" s="361"/>
      <c r="F80" s="361"/>
      <c r="G80" s="361"/>
      <c r="H80" s="362"/>
      <c r="I80" s="24">
        <f>I81+I82+I83+I84+I85+I86+I87</f>
        <v>187234.62</v>
      </c>
      <c r="J80" s="33"/>
      <c r="K80" s="26"/>
      <c r="L80" s="24">
        <f>L81+L82+L83+L84+L85+L86+L87</f>
        <v>11600.64</v>
      </c>
      <c r="M80" s="33"/>
      <c r="N80" s="26"/>
      <c r="O80" s="24">
        <f>O81+O82+O83+O84+O85+O86+O87</f>
        <v>11600.64</v>
      </c>
    </row>
    <row r="81" spans="1:17" ht="37.5" x14ac:dyDescent="0.35">
      <c r="A81" s="30" t="s">
        <v>215</v>
      </c>
      <c r="B81" s="20" t="s">
        <v>216</v>
      </c>
      <c r="C81" s="30" t="s">
        <v>217</v>
      </c>
      <c r="D81" s="20" t="s">
        <v>58</v>
      </c>
      <c r="E81" s="20" t="s">
        <v>112</v>
      </c>
      <c r="F81" s="21">
        <v>15</v>
      </c>
      <c r="G81" s="21">
        <v>3719.44</v>
      </c>
      <c r="H81" s="21">
        <v>4834.16</v>
      </c>
      <c r="I81" s="19">
        <f t="shared" si="6"/>
        <v>72512.399999999994</v>
      </c>
      <c r="J81" s="32">
        <v>0</v>
      </c>
      <c r="K81" s="15">
        <f t="shared" si="8"/>
        <v>0</v>
      </c>
      <c r="L81" s="19">
        <f t="shared" si="12"/>
        <v>0</v>
      </c>
      <c r="M81" s="32">
        <f t="shared" ref="M81:M87" si="16">J81</f>
        <v>0</v>
      </c>
      <c r="N81" s="15">
        <f t="shared" ref="N81:N87" si="17">M81/F81</f>
        <v>0</v>
      </c>
      <c r="O81" s="19">
        <f t="shared" ref="O81:O87" si="18">M81*H81</f>
        <v>0</v>
      </c>
    </row>
    <row r="82" spans="1:17" ht="25" x14ac:dyDescent="0.35">
      <c r="A82" s="30" t="s">
        <v>218</v>
      </c>
      <c r="B82" s="20" t="s">
        <v>219</v>
      </c>
      <c r="C82" s="30" t="s">
        <v>220</v>
      </c>
      <c r="D82" s="20" t="s">
        <v>58</v>
      </c>
      <c r="E82" s="20" t="s">
        <v>112</v>
      </c>
      <c r="F82" s="21">
        <v>17</v>
      </c>
      <c r="G82" s="21">
        <v>789.65</v>
      </c>
      <c r="H82" s="21">
        <v>1026.31</v>
      </c>
      <c r="I82" s="19">
        <f t="shared" si="6"/>
        <v>17447.27</v>
      </c>
      <c r="J82" s="32">
        <v>0</v>
      </c>
      <c r="K82" s="15">
        <f t="shared" si="8"/>
        <v>0</v>
      </c>
      <c r="L82" s="19">
        <f t="shared" si="12"/>
        <v>0</v>
      </c>
      <c r="M82" s="32">
        <f t="shared" si="16"/>
        <v>0</v>
      </c>
      <c r="N82" s="15">
        <f t="shared" si="17"/>
        <v>0</v>
      </c>
      <c r="O82" s="19">
        <f t="shared" si="18"/>
        <v>0</v>
      </c>
    </row>
    <row r="83" spans="1:17" ht="25" x14ac:dyDescent="0.35">
      <c r="A83" s="30" t="s">
        <v>221</v>
      </c>
      <c r="B83" s="20" t="s">
        <v>132</v>
      </c>
      <c r="C83" s="30" t="s">
        <v>133</v>
      </c>
      <c r="D83" s="20" t="s">
        <v>58</v>
      </c>
      <c r="E83" s="20" t="s">
        <v>68</v>
      </c>
      <c r="F83" s="21">
        <v>34</v>
      </c>
      <c r="G83" s="21">
        <v>61.43</v>
      </c>
      <c r="H83" s="21">
        <v>79.84</v>
      </c>
      <c r="I83" s="19">
        <f t="shared" si="6"/>
        <v>2714.56</v>
      </c>
      <c r="J83" s="32">
        <v>0</v>
      </c>
      <c r="K83" s="15">
        <f t="shared" si="8"/>
        <v>0</v>
      </c>
      <c r="L83" s="19">
        <f t="shared" si="12"/>
        <v>0</v>
      </c>
      <c r="M83" s="32">
        <f t="shared" si="16"/>
        <v>0</v>
      </c>
      <c r="N83" s="15">
        <f t="shared" si="17"/>
        <v>0</v>
      </c>
      <c r="O83" s="19">
        <f t="shared" si="18"/>
        <v>0</v>
      </c>
    </row>
    <row r="84" spans="1:17" ht="37.5" x14ac:dyDescent="0.35">
      <c r="A84" s="30" t="s">
        <v>222</v>
      </c>
      <c r="B84" s="20" t="s">
        <v>135</v>
      </c>
      <c r="C84" s="30" t="s">
        <v>136</v>
      </c>
      <c r="D84" s="20" t="s">
        <v>58</v>
      </c>
      <c r="E84" s="20" t="s">
        <v>41</v>
      </c>
      <c r="F84" s="21">
        <v>850</v>
      </c>
      <c r="G84" s="21">
        <v>12.23</v>
      </c>
      <c r="H84" s="21">
        <v>15.9</v>
      </c>
      <c r="I84" s="19">
        <f t="shared" si="6"/>
        <v>13515</v>
      </c>
      <c r="J84" s="32">
        <v>729.59999999999991</v>
      </c>
      <c r="K84" s="15">
        <f t="shared" si="8"/>
        <v>0.85835294117647043</v>
      </c>
      <c r="L84" s="19">
        <f t="shared" si="12"/>
        <v>11600.64</v>
      </c>
      <c r="M84" s="32">
        <f t="shared" si="16"/>
        <v>729.59999999999991</v>
      </c>
      <c r="N84" s="15">
        <f t="shared" si="17"/>
        <v>0.85835294117647043</v>
      </c>
      <c r="O84" s="19">
        <f t="shared" si="18"/>
        <v>11600.64</v>
      </c>
    </row>
    <row r="85" spans="1:17" ht="37.5" x14ac:dyDescent="0.35">
      <c r="A85" s="30" t="s">
        <v>223</v>
      </c>
      <c r="B85" s="20" t="s">
        <v>138</v>
      </c>
      <c r="C85" s="30" t="s">
        <v>139</v>
      </c>
      <c r="D85" s="20" t="s">
        <v>58</v>
      </c>
      <c r="E85" s="20" t="s">
        <v>41</v>
      </c>
      <c r="F85" s="21">
        <v>2550</v>
      </c>
      <c r="G85" s="21">
        <v>22.29</v>
      </c>
      <c r="H85" s="21">
        <v>28.97</v>
      </c>
      <c r="I85" s="19">
        <f t="shared" si="6"/>
        <v>73873.5</v>
      </c>
      <c r="J85" s="32">
        <v>0</v>
      </c>
      <c r="K85" s="15">
        <f t="shared" si="8"/>
        <v>0</v>
      </c>
      <c r="L85" s="19">
        <f t="shared" si="12"/>
        <v>0</v>
      </c>
      <c r="M85" s="32">
        <f t="shared" si="16"/>
        <v>0</v>
      </c>
      <c r="N85" s="15">
        <f t="shared" si="17"/>
        <v>0</v>
      </c>
      <c r="O85" s="19">
        <f t="shared" si="18"/>
        <v>0</v>
      </c>
    </row>
    <row r="86" spans="1:17" ht="37.5" x14ac:dyDescent="0.35">
      <c r="A86" s="30" t="s">
        <v>224</v>
      </c>
      <c r="B86" s="20" t="s">
        <v>141</v>
      </c>
      <c r="C86" s="30" t="s">
        <v>142</v>
      </c>
      <c r="D86" s="20" t="s">
        <v>58</v>
      </c>
      <c r="E86" s="20" t="s">
        <v>112</v>
      </c>
      <c r="F86" s="21">
        <v>33</v>
      </c>
      <c r="G86" s="21">
        <v>129.55000000000001</v>
      </c>
      <c r="H86" s="21">
        <v>168.38</v>
      </c>
      <c r="I86" s="19">
        <f t="shared" si="6"/>
        <v>5556.54</v>
      </c>
      <c r="J86" s="32">
        <v>0</v>
      </c>
      <c r="K86" s="15">
        <f t="shared" si="8"/>
        <v>0</v>
      </c>
      <c r="L86" s="19">
        <f t="shared" si="12"/>
        <v>0</v>
      </c>
      <c r="M86" s="32">
        <f t="shared" si="16"/>
        <v>0</v>
      </c>
      <c r="N86" s="15">
        <f t="shared" si="17"/>
        <v>0</v>
      </c>
      <c r="O86" s="19">
        <f t="shared" si="18"/>
        <v>0</v>
      </c>
    </row>
    <row r="87" spans="1:17" ht="25" x14ac:dyDescent="0.35">
      <c r="A87" s="30" t="s">
        <v>225</v>
      </c>
      <c r="B87" s="20" t="s">
        <v>147</v>
      </c>
      <c r="C87" s="30" t="s">
        <v>148</v>
      </c>
      <c r="D87" s="20" t="s">
        <v>58</v>
      </c>
      <c r="E87" s="20" t="s">
        <v>112</v>
      </c>
      <c r="F87" s="21">
        <v>33</v>
      </c>
      <c r="G87" s="21">
        <v>37.659999999999997</v>
      </c>
      <c r="H87" s="21">
        <v>48.95</v>
      </c>
      <c r="I87" s="19">
        <f t="shared" si="6"/>
        <v>1615.3500000000001</v>
      </c>
      <c r="J87" s="32">
        <v>0</v>
      </c>
      <c r="K87" s="15">
        <f t="shared" si="8"/>
        <v>0</v>
      </c>
      <c r="L87" s="19">
        <f t="shared" si="12"/>
        <v>0</v>
      </c>
      <c r="M87" s="32">
        <f t="shared" si="16"/>
        <v>0</v>
      </c>
      <c r="N87" s="15">
        <f t="shared" si="17"/>
        <v>0</v>
      </c>
      <c r="O87" s="19">
        <f t="shared" si="18"/>
        <v>0</v>
      </c>
    </row>
    <row r="88" spans="1:17" x14ac:dyDescent="0.35">
      <c r="A88" s="363" t="s">
        <v>16</v>
      </c>
      <c r="B88" s="363"/>
      <c r="C88" s="363"/>
      <c r="D88" s="363"/>
      <c r="E88" s="363"/>
      <c r="F88" s="363"/>
      <c r="G88" s="363"/>
      <c r="H88" s="363"/>
      <c r="I88" s="11">
        <f>I13+I55</f>
        <v>2616444.9081999999</v>
      </c>
      <c r="J88" s="11"/>
      <c r="K88" s="11"/>
      <c r="L88" s="11">
        <f>L13+L55</f>
        <v>234217.55026383995</v>
      </c>
      <c r="M88" s="11"/>
      <c r="N88" s="11"/>
      <c r="O88" s="11">
        <f>O13+O55</f>
        <v>234217.55026383995</v>
      </c>
      <c r="Q88" s="14"/>
    </row>
    <row r="89" spans="1:17" ht="8.25" customHeight="1" x14ac:dyDescent="0.35">
      <c r="A89" s="12"/>
      <c r="B89" s="12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7" x14ac:dyDescent="0.35">
      <c r="A90" s="348" t="s">
        <v>24</v>
      </c>
      <c r="B90" s="349"/>
      <c r="C90" s="349"/>
      <c r="D90" s="349"/>
      <c r="E90" s="349"/>
      <c r="F90" s="349"/>
      <c r="G90" s="349"/>
      <c r="H90" s="350"/>
      <c r="I90" s="351" t="s">
        <v>597</v>
      </c>
      <c r="J90" s="352"/>
      <c r="K90" s="352"/>
      <c r="L90" s="352"/>
      <c r="M90" s="352"/>
      <c r="N90" s="352"/>
      <c r="O90" s="353"/>
    </row>
    <row r="91" spans="1:17" ht="15" customHeight="1" x14ac:dyDescent="0.35">
      <c r="A91" s="364" t="s">
        <v>8</v>
      </c>
      <c r="B91" s="364"/>
      <c r="C91" s="364"/>
      <c r="D91" s="364"/>
      <c r="E91" s="364"/>
      <c r="F91" s="364"/>
      <c r="G91" s="364"/>
      <c r="H91" s="364"/>
      <c r="I91" s="364" t="s">
        <v>9</v>
      </c>
      <c r="J91" s="364"/>
      <c r="K91" s="364"/>
      <c r="L91" s="364"/>
      <c r="M91" s="364"/>
      <c r="N91" s="364"/>
      <c r="O91" s="364"/>
    </row>
    <row r="92" spans="1:17" x14ac:dyDescent="0.35">
      <c r="A92" s="365"/>
      <c r="B92" s="365"/>
      <c r="C92" s="365"/>
      <c r="D92" s="365"/>
      <c r="E92" s="365"/>
      <c r="F92" s="365"/>
      <c r="G92" s="365"/>
      <c r="H92" s="365"/>
      <c r="I92" s="365"/>
      <c r="J92" s="365"/>
      <c r="K92" s="365"/>
      <c r="L92" s="365"/>
      <c r="M92" s="365"/>
      <c r="N92" s="365"/>
      <c r="O92" s="365"/>
    </row>
    <row r="93" spans="1:17" ht="11.5" customHeight="1" x14ac:dyDescent="0.35">
      <c r="A93" s="365"/>
      <c r="B93" s="365"/>
      <c r="C93" s="365"/>
      <c r="D93" s="365"/>
      <c r="E93" s="365"/>
      <c r="F93" s="365"/>
      <c r="G93" s="365"/>
      <c r="H93" s="365"/>
      <c r="I93" s="365"/>
      <c r="J93" s="365"/>
      <c r="K93" s="365"/>
      <c r="L93" s="365"/>
      <c r="M93" s="365"/>
      <c r="N93" s="365"/>
      <c r="O93" s="365"/>
    </row>
    <row r="94" spans="1:17" ht="6.65" customHeight="1" x14ac:dyDescent="0.35">
      <c r="A94" s="365"/>
      <c r="B94" s="365"/>
      <c r="C94" s="365"/>
      <c r="D94" s="365"/>
      <c r="E94" s="365"/>
      <c r="F94" s="365"/>
      <c r="G94" s="365"/>
      <c r="H94" s="365"/>
      <c r="I94" s="365"/>
      <c r="J94" s="365"/>
      <c r="K94" s="365"/>
      <c r="L94" s="365"/>
      <c r="M94" s="365"/>
      <c r="N94" s="365"/>
      <c r="O94" s="365"/>
    </row>
    <row r="95" spans="1:17" ht="12" customHeight="1" x14ac:dyDescent="0.35">
      <c r="A95" s="365"/>
      <c r="B95" s="365"/>
      <c r="C95" s="365"/>
      <c r="D95" s="365"/>
      <c r="E95" s="365"/>
      <c r="F95" s="365"/>
      <c r="G95" s="365"/>
      <c r="H95" s="365"/>
      <c r="I95" s="365"/>
      <c r="J95" s="365"/>
      <c r="K95" s="365"/>
      <c r="L95" s="365"/>
      <c r="M95" s="365"/>
      <c r="N95" s="365"/>
      <c r="O95" s="365"/>
    </row>
    <row r="96" spans="1:17" ht="9.65" customHeight="1" x14ac:dyDescent="0.35">
      <c r="A96" s="365"/>
      <c r="B96" s="365"/>
      <c r="C96" s="365"/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65"/>
      <c r="O96" s="365"/>
    </row>
    <row r="97" spans="1:15" ht="7.15" customHeight="1" x14ac:dyDescent="0.35">
      <c r="A97" s="365"/>
      <c r="B97" s="365"/>
      <c r="C97" s="365"/>
      <c r="D97" s="365"/>
      <c r="E97" s="365"/>
      <c r="F97" s="365"/>
      <c r="G97" s="365"/>
      <c r="H97" s="365"/>
      <c r="I97" s="365"/>
      <c r="J97" s="365"/>
      <c r="K97" s="365"/>
      <c r="L97" s="365"/>
      <c r="M97" s="365"/>
      <c r="N97" s="365"/>
      <c r="O97" s="365"/>
    </row>
    <row r="98" spans="1:15" ht="15" customHeight="1" x14ac:dyDescent="0.35">
      <c r="A98" s="364" t="s">
        <v>10</v>
      </c>
      <c r="B98" s="364"/>
      <c r="C98" s="364"/>
      <c r="D98" s="364"/>
      <c r="E98" s="364"/>
      <c r="F98" s="364"/>
      <c r="G98" s="364"/>
      <c r="H98" s="364"/>
      <c r="I98" s="364" t="s">
        <v>11</v>
      </c>
      <c r="J98" s="364"/>
      <c r="K98" s="364"/>
      <c r="L98" s="364"/>
      <c r="M98" s="364"/>
      <c r="N98" s="364"/>
      <c r="O98" s="364"/>
    </row>
    <row r="99" spans="1:15" x14ac:dyDescent="0.35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</sheetData>
  <mergeCells count="52">
    <mergeCell ref="B80:H80"/>
    <mergeCell ref="I9:I12"/>
    <mergeCell ref="G4:H4"/>
    <mergeCell ref="G5:H5"/>
    <mergeCell ref="A4:D4"/>
    <mergeCell ref="A5:D5"/>
    <mergeCell ref="B20:H20"/>
    <mergeCell ref="B58:H58"/>
    <mergeCell ref="B13:H13"/>
    <mergeCell ref="B14:H14"/>
    <mergeCell ref="B33:H33"/>
    <mergeCell ref="B38:H38"/>
    <mergeCell ref="B48:H48"/>
    <mergeCell ref="B55:H55"/>
    <mergeCell ref="E4:F4"/>
    <mergeCell ref="A8:O8"/>
    <mergeCell ref="I91:O91"/>
    <mergeCell ref="A91:H91"/>
    <mergeCell ref="I98:O98"/>
    <mergeCell ref="I92:O97"/>
    <mergeCell ref="A92:H97"/>
    <mergeCell ref="A98:H98"/>
    <mergeCell ref="J9:L10"/>
    <mergeCell ref="M9:O10"/>
    <mergeCell ref="A90:H90"/>
    <mergeCell ref="I90:O90"/>
    <mergeCell ref="A9:A11"/>
    <mergeCell ref="C9:C11"/>
    <mergeCell ref="E9:E11"/>
    <mergeCell ref="F9:F11"/>
    <mergeCell ref="B9:B11"/>
    <mergeCell ref="D9:D11"/>
    <mergeCell ref="G9:H10"/>
    <mergeCell ref="B18:H18"/>
    <mergeCell ref="B56:H56"/>
    <mergeCell ref="A88:H88"/>
    <mergeCell ref="B69:H69"/>
    <mergeCell ref="B73:H73"/>
    <mergeCell ref="E2:O2"/>
    <mergeCell ref="E3:O3"/>
    <mergeCell ref="E1:O1"/>
    <mergeCell ref="A1:D2"/>
    <mergeCell ref="A3:D3"/>
    <mergeCell ref="A6:C6"/>
    <mergeCell ref="E6:F6"/>
    <mergeCell ref="N4:O4"/>
    <mergeCell ref="J4:L4"/>
    <mergeCell ref="J5:L5"/>
    <mergeCell ref="J6:L6"/>
    <mergeCell ref="N5:O5"/>
    <mergeCell ref="N6:O6"/>
    <mergeCell ref="E5:F5"/>
  </mergeCells>
  <phoneticPr fontId="18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54" orientation="landscape" r:id="rId1"/>
  <rowBreaks count="1" manualBreakCount="1">
    <brk id="6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0"/>
  <sheetViews>
    <sheetView tabSelected="1" view="pageBreakPreview" topLeftCell="C2" zoomScaleNormal="80" zoomScaleSheetLayoutView="100" workbookViewId="0">
      <selection activeCell="A8" sqref="A8:O8"/>
    </sheetView>
  </sheetViews>
  <sheetFormatPr defaultRowHeight="14.5" x14ac:dyDescent="0.35"/>
  <cols>
    <col min="1" max="1" width="5.81640625" style="1" customWidth="1"/>
    <col min="2" max="2" width="8.7265625" style="1" customWidth="1"/>
    <col min="3" max="3" width="55.81640625" customWidth="1"/>
    <col min="4" max="4" width="11.81640625" customWidth="1"/>
    <col min="5" max="5" width="8.26953125" customWidth="1"/>
    <col min="6" max="7" width="14.453125" customWidth="1"/>
    <col min="8" max="8" width="13.7265625" customWidth="1"/>
    <col min="9" max="9" width="19.26953125" customWidth="1"/>
    <col min="10" max="10" width="11.453125" customWidth="1"/>
    <col min="11" max="11" width="9.81640625" customWidth="1"/>
    <col min="12" max="12" width="17.26953125" customWidth="1"/>
    <col min="13" max="13" width="13" customWidth="1"/>
    <col min="14" max="14" width="10.54296875" customWidth="1"/>
    <col min="15" max="15" width="20.26953125" customWidth="1"/>
    <col min="17" max="17" width="14.26953125" bestFit="1" customWidth="1"/>
    <col min="21" max="21" width="11.26953125" customWidth="1"/>
  </cols>
  <sheetData>
    <row r="1" spans="1:15" ht="33.65" customHeight="1" x14ac:dyDescent="0.35">
      <c r="A1" s="338"/>
      <c r="B1" s="339"/>
      <c r="C1" s="339"/>
      <c r="D1" s="340"/>
      <c r="E1" s="335" t="s">
        <v>226</v>
      </c>
      <c r="F1" s="336"/>
      <c r="G1" s="336"/>
      <c r="H1" s="336"/>
      <c r="I1" s="336"/>
      <c r="J1" s="336"/>
      <c r="K1" s="336"/>
      <c r="L1" s="336"/>
      <c r="M1" s="336"/>
      <c r="N1" s="336"/>
      <c r="O1" s="337"/>
    </row>
    <row r="2" spans="1:15" ht="41.5" customHeight="1" x14ac:dyDescent="0.35">
      <c r="A2" s="341"/>
      <c r="B2" s="342"/>
      <c r="C2" s="342"/>
      <c r="D2" s="343"/>
      <c r="E2" s="334" t="s">
        <v>227</v>
      </c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15" ht="39.75" customHeight="1" x14ac:dyDescent="0.35">
      <c r="A3" s="344" t="s">
        <v>229</v>
      </c>
      <c r="B3" s="345"/>
      <c r="C3" s="345"/>
      <c r="D3" s="346"/>
      <c r="E3" s="334" t="s">
        <v>27</v>
      </c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 ht="46.15" customHeight="1" x14ac:dyDescent="0.35">
      <c r="A4" s="373" t="s">
        <v>12</v>
      </c>
      <c r="B4" s="374"/>
      <c r="C4" s="374"/>
      <c r="D4" s="375"/>
      <c r="E4" s="326" t="s">
        <v>42</v>
      </c>
      <c r="F4" s="326"/>
      <c r="G4" s="369" t="s">
        <v>20</v>
      </c>
      <c r="H4" s="370"/>
      <c r="I4" s="35" t="s">
        <v>21</v>
      </c>
      <c r="J4" s="326" t="s">
        <v>22</v>
      </c>
      <c r="K4" s="326"/>
      <c r="L4" s="326"/>
      <c r="M4" s="35" t="s">
        <v>13</v>
      </c>
      <c r="N4" s="328" t="s">
        <v>23</v>
      </c>
      <c r="O4" s="328"/>
    </row>
    <row r="5" spans="1:15" ht="28.9" customHeight="1" x14ac:dyDescent="0.35">
      <c r="A5" s="371">
        <v>44918</v>
      </c>
      <c r="B5" s="376"/>
      <c r="C5" s="376"/>
      <c r="D5" s="372"/>
      <c r="E5" s="333" t="s">
        <v>228</v>
      </c>
      <c r="F5" s="333"/>
      <c r="G5" s="371" t="s">
        <v>599</v>
      </c>
      <c r="H5" s="372"/>
      <c r="I5" s="37"/>
      <c r="J5" s="329">
        <f>I91</f>
        <v>2616444.9081999999</v>
      </c>
      <c r="K5" s="329"/>
      <c r="L5" s="329"/>
      <c r="M5" s="5">
        <f>N5/J5</f>
        <v>7.5263056858010227E-2</v>
      </c>
      <c r="N5" s="331">
        <f>L91</f>
        <v>196921.64189170796</v>
      </c>
      <c r="O5" s="331"/>
    </row>
    <row r="6" spans="1:15" ht="30.75" customHeight="1" x14ac:dyDescent="0.35">
      <c r="A6" s="326" t="s">
        <v>25</v>
      </c>
      <c r="B6" s="326"/>
      <c r="C6" s="326"/>
      <c r="D6" s="35"/>
      <c r="E6" s="327" t="s">
        <v>231</v>
      </c>
      <c r="F6" s="327"/>
      <c r="G6" s="36"/>
      <c r="H6" s="8"/>
      <c r="I6" s="35" t="s">
        <v>6</v>
      </c>
      <c r="J6" s="330">
        <f>J5</f>
        <v>2616444.9081999999</v>
      </c>
      <c r="K6" s="330"/>
      <c r="L6" s="330"/>
      <c r="M6" s="6">
        <f>M5</f>
        <v>7.5263056858010227E-2</v>
      </c>
      <c r="N6" s="332">
        <f>J6*M6</f>
        <v>196921.64189170796</v>
      </c>
      <c r="O6" s="332"/>
    </row>
    <row r="7" spans="1:15" ht="9" customHeight="1" x14ac:dyDescent="0.35">
      <c r="A7" s="12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ht="21" customHeight="1" x14ac:dyDescent="0.35">
      <c r="A8" s="380" t="s">
        <v>614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</row>
    <row r="9" spans="1:15" ht="15" customHeight="1" x14ac:dyDescent="0.35">
      <c r="A9" s="354" t="s">
        <v>0</v>
      </c>
      <c r="B9" s="354" t="s">
        <v>43</v>
      </c>
      <c r="C9" s="354" t="s">
        <v>1</v>
      </c>
      <c r="D9" s="354" t="s">
        <v>44</v>
      </c>
      <c r="E9" s="354" t="s">
        <v>2</v>
      </c>
      <c r="F9" s="347" t="s">
        <v>19</v>
      </c>
      <c r="G9" s="355" t="s">
        <v>18</v>
      </c>
      <c r="H9" s="356"/>
      <c r="I9" s="366" t="s">
        <v>17</v>
      </c>
      <c r="J9" s="347" t="s">
        <v>14</v>
      </c>
      <c r="K9" s="347"/>
      <c r="L9" s="347"/>
      <c r="M9" s="347" t="s">
        <v>15</v>
      </c>
      <c r="N9" s="347"/>
      <c r="O9" s="347"/>
    </row>
    <row r="10" spans="1:15" ht="34.5" customHeight="1" x14ac:dyDescent="0.35">
      <c r="A10" s="354"/>
      <c r="B10" s="354"/>
      <c r="C10" s="354"/>
      <c r="D10" s="354"/>
      <c r="E10" s="354"/>
      <c r="F10" s="347"/>
      <c r="G10" s="357"/>
      <c r="H10" s="358"/>
      <c r="I10" s="367"/>
      <c r="J10" s="347"/>
      <c r="K10" s="347"/>
      <c r="L10" s="347"/>
      <c r="M10" s="347"/>
      <c r="N10" s="347"/>
      <c r="O10" s="347"/>
    </row>
    <row r="11" spans="1:15" x14ac:dyDescent="0.35">
      <c r="A11" s="354"/>
      <c r="B11" s="354"/>
      <c r="C11" s="354"/>
      <c r="D11" s="354"/>
      <c r="E11" s="354"/>
      <c r="F11" s="347"/>
      <c r="G11" s="38" t="s">
        <v>45</v>
      </c>
      <c r="H11" s="38" t="s">
        <v>46</v>
      </c>
      <c r="I11" s="367"/>
      <c r="J11" s="9" t="s">
        <v>3</v>
      </c>
      <c r="K11" s="9" t="s">
        <v>4</v>
      </c>
      <c r="L11" s="9" t="s">
        <v>7</v>
      </c>
      <c r="M11" s="9" t="s">
        <v>3</v>
      </c>
      <c r="N11" s="9" t="s">
        <v>4</v>
      </c>
      <c r="O11" s="9" t="s">
        <v>7</v>
      </c>
    </row>
    <row r="12" spans="1:15" x14ac:dyDescent="0.35">
      <c r="A12" s="39">
        <v>1</v>
      </c>
      <c r="B12" s="39"/>
      <c r="C12" s="18" t="s">
        <v>35</v>
      </c>
      <c r="D12" s="18"/>
      <c r="E12" s="39"/>
      <c r="F12" s="38"/>
      <c r="G12" s="38"/>
      <c r="H12" s="38"/>
      <c r="I12" s="368"/>
      <c r="J12" s="9"/>
      <c r="K12" s="9"/>
      <c r="L12" s="9"/>
      <c r="M12" s="9"/>
      <c r="N12" s="9"/>
      <c r="O12" s="9"/>
    </row>
    <row r="13" spans="1:15" x14ac:dyDescent="0.35">
      <c r="A13" s="145" t="s">
        <v>47</v>
      </c>
      <c r="B13" s="386" t="s">
        <v>48</v>
      </c>
      <c r="C13" s="387"/>
      <c r="D13" s="387"/>
      <c r="E13" s="387"/>
      <c r="F13" s="387"/>
      <c r="G13" s="387"/>
      <c r="H13" s="388"/>
      <c r="I13" s="24">
        <f>I14+I19+I21+I34+I39+I49</f>
        <v>2131206.2719999999</v>
      </c>
      <c r="J13" s="28"/>
      <c r="K13" s="15"/>
      <c r="L13" s="24">
        <f>L14+L19+L21+L34+L39+L49</f>
        <v>16657.471202400011</v>
      </c>
      <c r="M13" s="10"/>
      <c r="N13" s="15"/>
      <c r="O13" s="24">
        <f>O14+O19+O21+O34+O39+O49</f>
        <v>77096.561502400014</v>
      </c>
    </row>
    <row r="14" spans="1:15" x14ac:dyDescent="0.35">
      <c r="A14" s="145" t="s">
        <v>28</v>
      </c>
      <c r="B14" s="389" t="s">
        <v>49</v>
      </c>
      <c r="C14" s="390"/>
      <c r="D14" s="390"/>
      <c r="E14" s="390"/>
      <c r="F14" s="390"/>
      <c r="G14" s="390"/>
      <c r="H14" s="391"/>
      <c r="I14" s="24">
        <f>I15+I16+I17</f>
        <v>72429.532199999987</v>
      </c>
      <c r="J14" s="25"/>
      <c r="K14" s="26"/>
      <c r="L14" s="24">
        <f>L15+L16+L17+L18</f>
        <v>16657.471202400011</v>
      </c>
      <c r="M14" s="25"/>
      <c r="N14" s="26"/>
      <c r="O14" s="24">
        <f>O15+O16+O17+O18</f>
        <v>77096.561502400014</v>
      </c>
    </row>
    <row r="15" spans="1:15" ht="37.5" x14ac:dyDescent="0.35">
      <c r="A15" s="30" t="s">
        <v>50</v>
      </c>
      <c r="B15" s="20" t="s">
        <v>51</v>
      </c>
      <c r="C15" s="30" t="s">
        <v>52</v>
      </c>
      <c r="D15" s="20" t="s">
        <v>53</v>
      </c>
      <c r="E15" s="20" t="s">
        <v>54</v>
      </c>
      <c r="F15" s="21">
        <v>20700</v>
      </c>
      <c r="G15" s="21">
        <v>0.33</v>
      </c>
      <c r="H15" s="21">
        <v>0.43</v>
      </c>
      <c r="I15" s="19">
        <f>H15*F15</f>
        <v>8901</v>
      </c>
      <c r="J15" s="32"/>
      <c r="K15" s="15">
        <f>J15/F15</f>
        <v>0</v>
      </c>
      <c r="L15" s="19">
        <f>J15*H15</f>
        <v>0</v>
      </c>
      <c r="M15" s="32">
        <f>J15+'1ª MEDIÇÃO'!M15</f>
        <v>19500.21</v>
      </c>
      <c r="N15" s="15">
        <f>M15/F15</f>
        <v>0.9420391304347826</v>
      </c>
      <c r="O15" s="19">
        <f>M15*H15</f>
        <v>8385.0902999999998</v>
      </c>
    </row>
    <row r="16" spans="1:15" ht="37.5" x14ac:dyDescent="0.35">
      <c r="A16" s="30" t="s">
        <v>55</v>
      </c>
      <c r="B16" s="20" t="s">
        <v>56</v>
      </c>
      <c r="C16" s="30" t="s">
        <v>57</v>
      </c>
      <c r="D16" s="20" t="s">
        <v>58</v>
      </c>
      <c r="E16" s="20" t="s">
        <v>54</v>
      </c>
      <c r="F16" s="21">
        <v>15075</v>
      </c>
      <c r="G16" s="21">
        <v>0.31</v>
      </c>
      <c r="H16" s="21">
        <v>0.4</v>
      </c>
      <c r="I16" s="19">
        <f t="shared" ref="I16:I55" si="0">H16*F16</f>
        <v>6030</v>
      </c>
      <c r="J16" s="32"/>
      <c r="K16" s="15">
        <f t="shared" ref="K16:K55" si="1">J16/F16</f>
        <v>0</v>
      </c>
      <c r="L16" s="19">
        <f>J16*H16</f>
        <v>0</v>
      </c>
      <c r="M16" s="32">
        <f>J16+'1ª MEDIÇÃO'!M16</f>
        <v>10200</v>
      </c>
      <c r="N16" s="15">
        <f t="shared" ref="N16:N55" si="2">M16/F16</f>
        <v>0.6766169154228856</v>
      </c>
      <c r="O16" s="19">
        <f t="shared" ref="O16:O55" si="3">M16*H16</f>
        <v>4080</v>
      </c>
    </row>
    <row r="17" spans="1:24" x14ac:dyDescent="0.35">
      <c r="A17" s="452" t="s">
        <v>59</v>
      </c>
      <c r="B17" s="453" t="s">
        <v>60</v>
      </c>
      <c r="C17" s="452" t="s">
        <v>61</v>
      </c>
      <c r="D17" s="453" t="s">
        <v>62</v>
      </c>
      <c r="E17" s="453" t="s">
        <v>63</v>
      </c>
      <c r="F17" s="454">
        <v>2037.51</v>
      </c>
      <c r="G17" s="454">
        <v>21.71</v>
      </c>
      <c r="H17" s="454">
        <v>28.22</v>
      </c>
      <c r="I17" s="455">
        <f t="shared" si="0"/>
        <v>57498.532199999994</v>
      </c>
      <c r="J17" s="456">
        <f>-1700</f>
        <v>-1700</v>
      </c>
      <c r="K17" s="457">
        <f t="shared" si="1"/>
        <v>-0.83435173324302703</v>
      </c>
      <c r="L17" s="455">
        <f t="shared" ref="L17:L55" si="4">J17*H17</f>
        <v>-47974</v>
      </c>
      <c r="M17" s="456">
        <f>J17+'1ª MEDIÇÃO'!M17</f>
        <v>0</v>
      </c>
      <c r="N17" s="457">
        <f t="shared" si="2"/>
        <v>0</v>
      </c>
      <c r="O17" s="455">
        <f t="shared" si="3"/>
        <v>0</v>
      </c>
    </row>
    <row r="18" spans="1:24" ht="28" x14ac:dyDescent="0.35">
      <c r="A18" s="445" t="s">
        <v>609</v>
      </c>
      <c r="B18" s="446">
        <v>2379</v>
      </c>
      <c r="C18" s="447" t="s">
        <v>610</v>
      </c>
      <c r="D18" s="446" t="s">
        <v>612</v>
      </c>
      <c r="E18" s="446" t="s">
        <v>63</v>
      </c>
      <c r="F18" s="448">
        <v>2037.51</v>
      </c>
      <c r="G18" s="448">
        <v>29.251760000000001</v>
      </c>
      <c r="H18" s="448">
        <f>G18*1.2997</f>
        <v>38.018512472000005</v>
      </c>
      <c r="I18" s="449"/>
      <c r="J18" s="450">
        <v>1700</v>
      </c>
      <c r="K18" s="451">
        <f>J18/F18</f>
        <v>0.83435173324302703</v>
      </c>
      <c r="L18" s="449">
        <f>J18*H18</f>
        <v>64631.471202400011</v>
      </c>
      <c r="M18" s="450">
        <f>J18+'2ª MEDIÇÃO'!M19</f>
        <v>1700</v>
      </c>
      <c r="N18" s="451">
        <f t="shared" si="2"/>
        <v>0.83435173324302703</v>
      </c>
      <c r="O18" s="449">
        <f t="shared" si="3"/>
        <v>64631.471202400011</v>
      </c>
      <c r="Q18" s="381" t="s">
        <v>611</v>
      </c>
      <c r="R18" s="382"/>
      <c r="T18" s="383">
        <f>J6</f>
        <v>2616444.9081999999</v>
      </c>
      <c r="U18" s="382"/>
    </row>
    <row r="19" spans="1:24" x14ac:dyDescent="0.35">
      <c r="A19" s="145" t="s">
        <v>29</v>
      </c>
      <c r="B19" s="359" t="s">
        <v>64</v>
      </c>
      <c r="C19" s="359"/>
      <c r="D19" s="359"/>
      <c r="E19" s="359"/>
      <c r="F19" s="359"/>
      <c r="G19" s="359"/>
      <c r="H19" s="359"/>
      <c r="I19" s="24">
        <f>I20</f>
        <v>251639.57179999995</v>
      </c>
      <c r="J19" s="33"/>
      <c r="K19" s="26"/>
      <c r="L19" s="24">
        <f>L20</f>
        <v>0</v>
      </c>
      <c r="M19" s="33"/>
      <c r="N19" s="26"/>
      <c r="O19" s="24">
        <f>O20</f>
        <v>0</v>
      </c>
      <c r="T19" s="382"/>
      <c r="U19" s="382"/>
      <c r="V19" s="384">
        <f>T18/T20</f>
        <v>0.94984282418551369</v>
      </c>
      <c r="W19" s="384"/>
    </row>
    <row r="20" spans="1:24" ht="50" x14ac:dyDescent="0.35">
      <c r="A20" s="30" t="s">
        <v>65</v>
      </c>
      <c r="B20" s="20" t="s">
        <v>66</v>
      </c>
      <c r="C20" s="30" t="s">
        <v>67</v>
      </c>
      <c r="D20" s="20" t="s">
        <v>53</v>
      </c>
      <c r="E20" s="20" t="s">
        <v>68</v>
      </c>
      <c r="F20" s="21">
        <v>7260.23</v>
      </c>
      <c r="G20" s="21">
        <v>26.67</v>
      </c>
      <c r="H20" s="21">
        <v>34.659999999999997</v>
      </c>
      <c r="I20" s="19">
        <f t="shared" si="0"/>
        <v>251639.57179999995</v>
      </c>
      <c r="J20" s="32"/>
      <c r="K20" s="15">
        <f t="shared" si="1"/>
        <v>0</v>
      </c>
      <c r="L20" s="19">
        <f t="shared" si="4"/>
        <v>0</v>
      </c>
      <c r="M20" s="32">
        <f>J20+'1ª MEDIÇÃO'!M19</f>
        <v>0</v>
      </c>
      <c r="N20" s="15">
        <f t="shared" si="2"/>
        <v>0</v>
      </c>
      <c r="O20" s="19">
        <f t="shared" si="3"/>
        <v>0</v>
      </c>
      <c r="T20" s="385">
        <v>2754608.28</v>
      </c>
      <c r="U20" s="382"/>
      <c r="V20" s="384"/>
      <c r="W20" s="384"/>
      <c r="X20">
        <f>1.2997</f>
        <v>1.2997000000000001</v>
      </c>
    </row>
    <row r="21" spans="1:24" x14ac:dyDescent="0.35">
      <c r="A21" s="145" t="s">
        <v>30</v>
      </c>
      <c r="B21" s="359" t="s">
        <v>69</v>
      </c>
      <c r="C21" s="359"/>
      <c r="D21" s="359"/>
      <c r="E21" s="359"/>
      <c r="F21" s="359"/>
      <c r="G21" s="359"/>
      <c r="H21" s="359"/>
      <c r="I21" s="24">
        <f>I22+I23+I24+I25+I26+I27+I28+I29+I30+I31+I32+I33</f>
        <v>994510.32799999998</v>
      </c>
      <c r="J21" s="33"/>
      <c r="K21" s="26"/>
      <c r="L21" s="24">
        <f>L22+L23+L24+L25+L26+L27+L28+L29+L30+L31+L32+L33</f>
        <v>0</v>
      </c>
      <c r="M21" s="33"/>
      <c r="N21" s="26"/>
      <c r="O21" s="24">
        <f>O22+O23+O24+O25+O26+O27+O28+O29+O30+O31+O32+O33</f>
        <v>0</v>
      </c>
    </row>
    <row r="22" spans="1:24" x14ac:dyDescent="0.35">
      <c r="A22" s="30" t="s">
        <v>70</v>
      </c>
      <c r="B22" s="20" t="s">
        <v>71</v>
      </c>
      <c r="C22" s="30" t="s">
        <v>72</v>
      </c>
      <c r="D22" s="20" t="s">
        <v>62</v>
      </c>
      <c r="E22" s="20" t="s">
        <v>73</v>
      </c>
      <c r="F22" s="21">
        <v>1840</v>
      </c>
      <c r="G22" s="21">
        <v>19.05</v>
      </c>
      <c r="H22" s="21">
        <v>24.76</v>
      </c>
      <c r="I22" s="19">
        <f t="shared" si="0"/>
        <v>45558.400000000001</v>
      </c>
      <c r="J22" s="32"/>
      <c r="K22" s="15">
        <f t="shared" si="1"/>
        <v>0</v>
      </c>
      <c r="L22" s="19">
        <f t="shared" si="4"/>
        <v>0</v>
      </c>
      <c r="M22" s="32">
        <f>J22+'1ª MEDIÇÃO'!M21</f>
        <v>0</v>
      </c>
      <c r="N22" s="15">
        <f t="shared" si="2"/>
        <v>0</v>
      </c>
      <c r="O22" s="19">
        <f t="shared" si="3"/>
        <v>0</v>
      </c>
    </row>
    <row r="23" spans="1:24" x14ac:dyDescent="0.35">
      <c r="A23" s="30" t="s">
        <v>74</v>
      </c>
      <c r="B23" s="20" t="s">
        <v>75</v>
      </c>
      <c r="C23" s="30" t="s">
        <v>76</v>
      </c>
      <c r="D23" s="20" t="s">
        <v>62</v>
      </c>
      <c r="E23" s="20" t="s">
        <v>77</v>
      </c>
      <c r="F23" s="21">
        <v>9200</v>
      </c>
      <c r="G23" s="21">
        <v>0.33</v>
      </c>
      <c r="H23" s="21">
        <v>0.43</v>
      </c>
      <c r="I23" s="19">
        <f t="shared" si="0"/>
        <v>3956</v>
      </c>
      <c r="J23" s="32"/>
      <c r="K23" s="15">
        <f t="shared" si="1"/>
        <v>0</v>
      </c>
      <c r="L23" s="19">
        <f t="shared" si="4"/>
        <v>0</v>
      </c>
      <c r="M23" s="32">
        <f>J23+'1ª MEDIÇÃO'!M22</f>
        <v>0</v>
      </c>
      <c r="N23" s="15">
        <f t="shared" si="2"/>
        <v>0</v>
      </c>
      <c r="O23" s="19">
        <f t="shared" si="3"/>
        <v>0</v>
      </c>
      <c r="V23" s="385">
        <f>V19*X20</f>
        <v>1.2345107185939121</v>
      </c>
      <c r="W23" s="385"/>
      <c r="X23" s="385"/>
    </row>
    <row r="24" spans="1:24" x14ac:dyDescent="0.35">
      <c r="A24" s="30" t="s">
        <v>78</v>
      </c>
      <c r="B24" s="20" t="s">
        <v>79</v>
      </c>
      <c r="C24" s="30" t="s">
        <v>80</v>
      </c>
      <c r="D24" s="20" t="s">
        <v>81</v>
      </c>
      <c r="E24" s="20" t="s">
        <v>54</v>
      </c>
      <c r="F24" s="21">
        <v>9200</v>
      </c>
      <c r="G24" s="21">
        <v>0.32</v>
      </c>
      <c r="H24" s="21">
        <v>0.42</v>
      </c>
      <c r="I24" s="19">
        <f t="shared" si="0"/>
        <v>3864</v>
      </c>
      <c r="J24" s="32"/>
      <c r="K24" s="15">
        <f t="shared" si="1"/>
        <v>0</v>
      </c>
      <c r="L24" s="19">
        <f t="shared" si="4"/>
        <v>0</v>
      </c>
      <c r="M24" s="32">
        <f>J24+'1ª MEDIÇÃO'!M23</f>
        <v>0</v>
      </c>
      <c r="N24" s="15">
        <f t="shared" si="2"/>
        <v>0</v>
      </c>
      <c r="O24" s="19">
        <f t="shared" si="3"/>
        <v>0</v>
      </c>
      <c r="V24" s="385"/>
      <c r="W24" s="385"/>
      <c r="X24" s="385"/>
    </row>
    <row r="25" spans="1:24" ht="25" x14ac:dyDescent="0.35">
      <c r="A25" s="30" t="s">
        <v>82</v>
      </c>
      <c r="B25" s="20" t="s">
        <v>83</v>
      </c>
      <c r="C25" s="30" t="s">
        <v>84</v>
      </c>
      <c r="D25" s="20" t="s">
        <v>58</v>
      </c>
      <c r="E25" s="20" t="s">
        <v>85</v>
      </c>
      <c r="F25" s="21">
        <v>662.4</v>
      </c>
      <c r="G25" s="21">
        <v>169.02</v>
      </c>
      <c r="H25" s="21">
        <v>219.68</v>
      </c>
      <c r="I25" s="19">
        <f t="shared" si="0"/>
        <v>145516.03200000001</v>
      </c>
      <c r="J25" s="32"/>
      <c r="K25" s="15">
        <f t="shared" si="1"/>
        <v>0</v>
      </c>
      <c r="L25" s="19">
        <f t="shared" si="4"/>
        <v>0</v>
      </c>
      <c r="M25" s="32">
        <f>J25+'1ª MEDIÇÃO'!M24</f>
        <v>0</v>
      </c>
      <c r="N25" s="15">
        <f t="shared" si="2"/>
        <v>0</v>
      </c>
      <c r="O25" s="19">
        <f t="shared" si="3"/>
        <v>0</v>
      </c>
      <c r="S25" s="324">
        <f>30*V19</f>
        <v>28.495284725565412</v>
      </c>
      <c r="V25" s="385"/>
      <c r="W25" s="385"/>
      <c r="X25" s="385"/>
    </row>
    <row r="26" spans="1:24" x14ac:dyDescent="0.35">
      <c r="A26" s="30" t="s">
        <v>86</v>
      </c>
      <c r="B26" s="20" t="s">
        <v>87</v>
      </c>
      <c r="C26" s="30" t="s">
        <v>88</v>
      </c>
      <c r="D26" s="20" t="s">
        <v>58</v>
      </c>
      <c r="E26" s="20" t="s">
        <v>85</v>
      </c>
      <c r="F26" s="21">
        <v>643.08000000000004</v>
      </c>
      <c r="G26" s="21">
        <v>142.47999999999999</v>
      </c>
      <c r="H26" s="21">
        <v>185.18</v>
      </c>
      <c r="I26" s="19">
        <f t="shared" si="0"/>
        <v>119085.55440000001</v>
      </c>
      <c r="J26" s="32"/>
      <c r="K26" s="15">
        <f t="shared" si="1"/>
        <v>0</v>
      </c>
      <c r="L26" s="19">
        <f t="shared" si="4"/>
        <v>0</v>
      </c>
      <c r="M26" s="32">
        <f>J26+'1ª MEDIÇÃO'!M25</f>
        <v>0</v>
      </c>
      <c r="N26" s="15">
        <f t="shared" si="2"/>
        <v>0</v>
      </c>
      <c r="O26" s="19">
        <f t="shared" si="3"/>
        <v>0</v>
      </c>
      <c r="U26">
        <f>S25*1.2997</f>
        <v>37.035321557817369</v>
      </c>
    </row>
    <row r="27" spans="1:24" x14ac:dyDescent="0.35">
      <c r="A27" s="30" t="s">
        <v>89</v>
      </c>
      <c r="B27" s="20" t="s">
        <v>90</v>
      </c>
      <c r="C27" s="30" t="s">
        <v>91</v>
      </c>
      <c r="D27" s="20" t="s">
        <v>58</v>
      </c>
      <c r="E27" s="20" t="s">
        <v>92</v>
      </c>
      <c r="F27" s="21">
        <v>34341.300000000003</v>
      </c>
      <c r="G27" s="21">
        <v>0.94</v>
      </c>
      <c r="H27" s="21">
        <v>1.22</v>
      </c>
      <c r="I27" s="19">
        <f t="shared" si="0"/>
        <v>41896.386000000006</v>
      </c>
      <c r="J27" s="32"/>
      <c r="K27" s="15">
        <f t="shared" si="1"/>
        <v>0</v>
      </c>
      <c r="L27" s="19">
        <f t="shared" si="4"/>
        <v>0</v>
      </c>
      <c r="M27" s="32">
        <f>J27+'1ª MEDIÇÃO'!M26</f>
        <v>0</v>
      </c>
      <c r="N27" s="15">
        <f t="shared" si="2"/>
        <v>0</v>
      </c>
      <c r="O27" s="19">
        <f t="shared" si="3"/>
        <v>0</v>
      </c>
    </row>
    <row r="28" spans="1:24" x14ac:dyDescent="0.35">
      <c r="A28" s="30" t="s">
        <v>93</v>
      </c>
      <c r="B28" s="20" t="s">
        <v>94</v>
      </c>
      <c r="C28" s="30" t="s">
        <v>95</v>
      </c>
      <c r="D28" s="20" t="s">
        <v>58</v>
      </c>
      <c r="E28" s="20" t="s">
        <v>92</v>
      </c>
      <c r="F28" s="21">
        <v>7820</v>
      </c>
      <c r="G28" s="21">
        <v>0.83</v>
      </c>
      <c r="H28" s="21">
        <v>1.08</v>
      </c>
      <c r="I28" s="19">
        <f t="shared" si="0"/>
        <v>8445.6</v>
      </c>
      <c r="J28" s="32"/>
      <c r="K28" s="15">
        <f t="shared" si="1"/>
        <v>0</v>
      </c>
      <c r="L28" s="19">
        <f t="shared" si="4"/>
        <v>0</v>
      </c>
      <c r="M28" s="32">
        <f>J28+'1ª MEDIÇÃO'!M27</f>
        <v>0</v>
      </c>
      <c r="N28" s="15">
        <f t="shared" si="2"/>
        <v>0</v>
      </c>
      <c r="O28" s="19">
        <f t="shared" si="3"/>
        <v>0</v>
      </c>
    </row>
    <row r="29" spans="1:24" ht="25" x14ac:dyDescent="0.35">
      <c r="A29" s="30" t="s">
        <v>96</v>
      </c>
      <c r="B29" s="20" t="s">
        <v>97</v>
      </c>
      <c r="C29" s="30" t="s">
        <v>98</v>
      </c>
      <c r="D29" s="20" t="s">
        <v>62</v>
      </c>
      <c r="E29" s="20" t="s">
        <v>99</v>
      </c>
      <c r="F29" s="21">
        <v>4.5999999999999996</v>
      </c>
      <c r="G29" s="21">
        <v>4403.33</v>
      </c>
      <c r="H29" s="21">
        <v>5143.09</v>
      </c>
      <c r="I29" s="19">
        <f t="shared" si="0"/>
        <v>23658.214</v>
      </c>
      <c r="J29" s="32"/>
      <c r="K29" s="15">
        <f t="shared" si="1"/>
        <v>0</v>
      </c>
      <c r="L29" s="19">
        <f t="shared" si="4"/>
        <v>0</v>
      </c>
      <c r="M29" s="32">
        <f>J29+'1ª MEDIÇÃO'!M28</f>
        <v>0</v>
      </c>
      <c r="N29" s="15">
        <f t="shared" si="2"/>
        <v>0</v>
      </c>
      <c r="O29" s="19">
        <f t="shared" si="3"/>
        <v>0</v>
      </c>
    </row>
    <row r="30" spans="1:24" x14ac:dyDescent="0.35">
      <c r="A30" s="30" t="s">
        <v>100</v>
      </c>
      <c r="B30" s="20" t="s">
        <v>101</v>
      </c>
      <c r="C30" s="30" t="s">
        <v>102</v>
      </c>
      <c r="D30" s="20" t="s">
        <v>62</v>
      </c>
      <c r="E30" s="20" t="s">
        <v>99</v>
      </c>
      <c r="F30" s="21">
        <v>11.04</v>
      </c>
      <c r="G30" s="21">
        <v>7602</v>
      </c>
      <c r="H30" s="21">
        <v>8879.14</v>
      </c>
      <c r="I30" s="19">
        <f t="shared" si="0"/>
        <v>98025.705599999987</v>
      </c>
      <c r="J30" s="32"/>
      <c r="K30" s="15">
        <f t="shared" si="1"/>
        <v>0</v>
      </c>
      <c r="L30" s="19">
        <f t="shared" si="4"/>
        <v>0</v>
      </c>
      <c r="M30" s="32">
        <f>J30+'1ª MEDIÇÃO'!M29</f>
        <v>0</v>
      </c>
      <c r="N30" s="15">
        <f t="shared" si="2"/>
        <v>0</v>
      </c>
      <c r="O30" s="19">
        <f t="shared" si="3"/>
        <v>0</v>
      </c>
    </row>
    <row r="31" spans="1:24" ht="25" x14ac:dyDescent="0.35">
      <c r="A31" s="30" t="s">
        <v>103</v>
      </c>
      <c r="B31" s="20" t="s">
        <v>104</v>
      </c>
      <c r="C31" s="30" t="s">
        <v>105</v>
      </c>
      <c r="D31" s="20" t="s">
        <v>62</v>
      </c>
      <c r="E31" s="20" t="s">
        <v>99</v>
      </c>
      <c r="F31" s="21">
        <v>68.680000000000007</v>
      </c>
      <c r="G31" s="21">
        <v>5859.33</v>
      </c>
      <c r="H31" s="21">
        <v>6843.7</v>
      </c>
      <c r="I31" s="19">
        <f t="shared" si="0"/>
        <v>470025.31600000005</v>
      </c>
      <c r="J31" s="32"/>
      <c r="K31" s="15">
        <f t="shared" si="1"/>
        <v>0</v>
      </c>
      <c r="L31" s="19">
        <f t="shared" si="4"/>
        <v>0</v>
      </c>
      <c r="M31" s="32">
        <f>J31+'1ª MEDIÇÃO'!M30</f>
        <v>0</v>
      </c>
      <c r="N31" s="15">
        <f t="shared" si="2"/>
        <v>0</v>
      </c>
      <c r="O31" s="19">
        <f t="shared" si="3"/>
        <v>0</v>
      </c>
    </row>
    <row r="32" spans="1:24" ht="62.5" x14ac:dyDescent="0.35">
      <c r="A32" s="30" t="s">
        <v>106</v>
      </c>
      <c r="B32" s="20" t="s">
        <v>107</v>
      </c>
      <c r="C32" s="30" t="s">
        <v>108</v>
      </c>
      <c r="D32" s="20" t="s">
        <v>58</v>
      </c>
      <c r="E32" s="20" t="s">
        <v>41</v>
      </c>
      <c r="F32" s="21">
        <v>314</v>
      </c>
      <c r="G32" s="21">
        <v>38.56</v>
      </c>
      <c r="H32" s="21">
        <v>50.12</v>
      </c>
      <c r="I32" s="19">
        <f t="shared" si="0"/>
        <v>15737.679999999998</v>
      </c>
      <c r="J32" s="32"/>
      <c r="K32" s="15">
        <f t="shared" si="1"/>
        <v>0</v>
      </c>
      <c r="L32" s="19">
        <f t="shared" si="4"/>
        <v>0</v>
      </c>
      <c r="M32" s="32">
        <f>J32+'1ª MEDIÇÃO'!M31</f>
        <v>0</v>
      </c>
      <c r="N32" s="15">
        <f t="shared" si="2"/>
        <v>0</v>
      </c>
      <c r="O32" s="19">
        <f t="shared" si="3"/>
        <v>0</v>
      </c>
    </row>
    <row r="33" spans="1:15" ht="25" x14ac:dyDescent="0.35">
      <c r="A33" s="30" t="s">
        <v>109</v>
      </c>
      <c r="B33" s="20" t="s">
        <v>110</v>
      </c>
      <c r="C33" s="30" t="s">
        <v>111</v>
      </c>
      <c r="D33" s="20" t="s">
        <v>53</v>
      </c>
      <c r="E33" s="20" t="s">
        <v>112</v>
      </c>
      <c r="F33" s="21">
        <v>16</v>
      </c>
      <c r="G33" s="21">
        <v>901.24</v>
      </c>
      <c r="H33" s="21">
        <v>1171.3399999999999</v>
      </c>
      <c r="I33" s="19">
        <f t="shared" si="0"/>
        <v>18741.439999999999</v>
      </c>
      <c r="J33" s="32"/>
      <c r="K33" s="15">
        <f t="shared" si="1"/>
        <v>0</v>
      </c>
      <c r="L33" s="19">
        <f t="shared" si="4"/>
        <v>0</v>
      </c>
      <c r="M33" s="32">
        <f>J33+'1ª MEDIÇÃO'!M32</f>
        <v>0</v>
      </c>
      <c r="N33" s="15">
        <f t="shared" si="2"/>
        <v>0</v>
      </c>
      <c r="O33" s="19">
        <f t="shared" si="3"/>
        <v>0</v>
      </c>
    </row>
    <row r="34" spans="1:15" ht="15.65" customHeight="1" x14ac:dyDescent="0.35">
      <c r="A34" s="145" t="s">
        <v>31</v>
      </c>
      <c r="B34" s="360" t="s">
        <v>113</v>
      </c>
      <c r="C34" s="361"/>
      <c r="D34" s="361"/>
      <c r="E34" s="361"/>
      <c r="F34" s="361"/>
      <c r="G34" s="361"/>
      <c r="H34" s="362"/>
      <c r="I34" s="24">
        <f>I35+I36+I37+I38</f>
        <v>141969.08000000002</v>
      </c>
      <c r="J34" s="33"/>
      <c r="K34" s="26"/>
      <c r="L34" s="24">
        <f>L35+L36+L37+L38</f>
        <v>0</v>
      </c>
      <c r="M34" s="33"/>
      <c r="N34" s="26"/>
      <c r="O34" s="24">
        <f>O35+O36+O37+O38</f>
        <v>0</v>
      </c>
    </row>
    <row r="35" spans="1:15" ht="25" x14ac:dyDescent="0.35">
      <c r="A35" s="30" t="s">
        <v>114</v>
      </c>
      <c r="B35" s="20" t="s">
        <v>115</v>
      </c>
      <c r="C35" s="30" t="s">
        <v>116</v>
      </c>
      <c r="D35" s="20" t="s">
        <v>53</v>
      </c>
      <c r="E35" s="20" t="s">
        <v>54</v>
      </c>
      <c r="F35" s="21">
        <v>690</v>
      </c>
      <c r="G35" s="21">
        <v>43.6</v>
      </c>
      <c r="H35" s="21">
        <v>56.67</v>
      </c>
      <c r="I35" s="19">
        <f t="shared" si="0"/>
        <v>39102.300000000003</v>
      </c>
      <c r="J35" s="32"/>
      <c r="K35" s="15">
        <f t="shared" si="1"/>
        <v>0</v>
      </c>
      <c r="L35" s="19">
        <f t="shared" si="4"/>
        <v>0</v>
      </c>
      <c r="M35" s="32">
        <f>J35+'1ª MEDIÇÃO'!M34</f>
        <v>0</v>
      </c>
      <c r="N35" s="15">
        <f t="shared" si="2"/>
        <v>0</v>
      </c>
      <c r="O35" s="19">
        <f t="shared" si="3"/>
        <v>0</v>
      </c>
    </row>
    <row r="36" spans="1:15" x14ac:dyDescent="0.35">
      <c r="A36" s="30" t="s">
        <v>117</v>
      </c>
      <c r="B36" s="20" t="s">
        <v>118</v>
      </c>
      <c r="C36" s="30" t="s">
        <v>119</v>
      </c>
      <c r="D36" s="20" t="s">
        <v>62</v>
      </c>
      <c r="E36" s="20" t="s">
        <v>120</v>
      </c>
      <c r="F36" s="21">
        <v>3450</v>
      </c>
      <c r="G36" s="21">
        <v>20.43</v>
      </c>
      <c r="H36" s="21">
        <v>26.55</v>
      </c>
      <c r="I36" s="19">
        <f t="shared" si="0"/>
        <v>91597.5</v>
      </c>
      <c r="J36" s="32"/>
      <c r="K36" s="15">
        <f t="shared" si="1"/>
        <v>0</v>
      </c>
      <c r="L36" s="19">
        <f t="shared" si="4"/>
        <v>0</v>
      </c>
      <c r="M36" s="32">
        <f>J36+'1ª MEDIÇÃO'!M35</f>
        <v>0</v>
      </c>
      <c r="N36" s="15">
        <f t="shared" si="2"/>
        <v>0</v>
      </c>
      <c r="O36" s="19">
        <f t="shared" si="3"/>
        <v>0</v>
      </c>
    </row>
    <row r="37" spans="1:15" ht="25" x14ac:dyDescent="0.35">
      <c r="A37" s="30" t="s">
        <v>121</v>
      </c>
      <c r="B37" s="20" t="s">
        <v>122</v>
      </c>
      <c r="C37" s="30" t="s">
        <v>123</v>
      </c>
      <c r="D37" s="20" t="s">
        <v>53</v>
      </c>
      <c r="E37" s="20" t="s">
        <v>54</v>
      </c>
      <c r="F37" s="21">
        <v>6</v>
      </c>
      <c r="G37" s="21">
        <v>800</v>
      </c>
      <c r="H37" s="21">
        <v>1039.76</v>
      </c>
      <c r="I37" s="19">
        <f t="shared" si="0"/>
        <v>6238.5599999999995</v>
      </c>
      <c r="J37" s="32"/>
      <c r="K37" s="15">
        <f t="shared" si="1"/>
        <v>0</v>
      </c>
      <c r="L37" s="19">
        <f t="shared" si="4"/>
        <v>0</v>
      </c>
      <c r="M37" s="32">
        <f>J37+'1ª MEDIÇÃO'!M36</f>
        <v>0</v>
      </c>
      <c r="N37" s="15">
        <f t="shared" si="2"/>
        <v>0</v>
      </c>
      <c r="O37" s="19">
        <f t="shared" si="3"/>
        <v>0</v>
      </c>
    </row>
    <row r="38" spans="1:15" ht="25" x14ac:dyDescent="0.35">
      <c r="A38" s="30" t="s">
        <v>124</v>
      </c>
      <c r="B38" s="20" t="s">
        <v>125</v>
      </c>
      <c r="C38" s="30" t="s">
        <v>126</v>
      </c>
      <c r="D38" s="20" t="s">
        <v>53</v>
      </c>
      <c r="E38" s="20" t="s">
        <v>40</v>
      </c>
      <c r="F38" s="21">
        <v>4</v>
      </c>
      <c r="G38" s="21">
        <v>967.67</v>
      </c>
      <c r="H38" s="21">
        <v>1257.68</v>
      </c>
      <c r="I38" s="19">
        <f t="shared" si="0"/>
        <v>5030.72</v>
      </c>
      <c r="J38" s="32"/>
      <c r="K38" s="15">
        <f t="shared" si="1"/>
        <v>0</v>
      </c>
      <c r="L38" s="19">
        <f t="shared" si="4"/>
        <v>0</v>
      </c>
      <c r="M38" s="32">
        <f>J38+'1ª MEDIÇÃO'!M37</f>
        <v>0</v>
      </c>
      <c r="N38" s="15">
        <f t="shared" si="2"/>
        <v>0</v>
      </c>
      <c r="O38" s="19">
        <f t="shared" si="3"/>
        <v>0</v>
      </c>
    </row>
    <row r="39" spans="1:15" ht="15.65" customHeight="1" x14ac:dyDescent="0.35">
      <c r="A39" s="145" t="s">
        <v>36</v>
      </c>
      <c r="B39" s="360" t="s">
        <v>127</v>
      </c>
      <c r="C39" s="361"/>
      <c r="D39" s="361"/>
      <c r="E39" s="361"/>
      <c r="F39" s="361"/>
      <c r="G39" s="361"/>
      <c r="H39" s="362"/>
      <c r="I39" s="24">
        <f>I40+I41+I42+I43+I44+I45+I46+I47+I48</f>
        <v>527718.96</v>
      </c>
      <c r="J39" s="33"/>
      <c r="K39" s="26"/>
      <c r="L39" s="24">
        <f>L40+L41+L42+L43+L44+L45+L46+L47+L48</f>
        <v>0</v>
      </c>
      <c r="M39" s="33"/>
      <c r="N39" s="26"/>
      <c r="O39" s="24">
        <f>O40+O41+O42+O43+O44+O45+O46+O47+O48</f>
        <v>0</v>
      </c>
    </row>
    <row r="40" spans="1:15" ht="50" x14ac:dyDescent="0.35">
      <c r="A40" s="30" t="s">
        <v>128</v>
      </c>
      <c r="B40" s="20" t="s">
        <v>129</v>
      </c>
      <c r="C40" s="30" t="s">
        <v>130</v>
      </c>
      <c r="D40" s="20" t="s">
        <v>53</v>
      </c>
      <c r="E40" s="20" t="s">
        <v>112</v>
      </c>
      <c r="F40" s="21">
        <v>60</v>
      </c>
      <c r="G40" s="21">
        <v>2631.42</v>
      </c>
      <c r="H40" s="21">
        <v>3420.06</v>
      </c>
      <c r="I40" s="19">
        <f t="shared" si="0"/>
        <v>205203.6</v>
      </c>
      <c r="J40" s="32"/>
      <c r="K40" s="15">
        <f t="shared" si="1"/>
        <v>0</v>
      </c>
      <c r="L40" s="19">
        <f t="shared" si="4"/>
        <v>0</v>
      </c>
      <c r="M40" s="32">
        <f>J40+'1ª MEDIÇÃO'!M39</f>
        <v>0</v>
      </c>
      <c r="N40" s="15">
        <f t="shared" si="2"/>
        <v>0</v>
      </c>
      <c r="O40" s="19">
        <f t="shared" si="3"/>
        <v>0</v>
      </c>
    </row>
    <row r="41" spans="1:15" ht="25" x14ac:dyDescent="0.35">
      <c r="A41" s="30" t="s">
        <v>131</v>
      </c>
      <c r="B41" s="20" t="s">
        <v>132</v>
      </c>
      <c r="C41" s="30" t="s">
        <v>133</v>
      </c>
      <c r="D41" s="20" t="s">
        <v>58</v>
      </c>
      <c r="E41" s="20" t="s">
        <v>68</v>
      </c>
      <c r="F41" s="21">
        <v>92</v>
      </c>
      <c r="G41" s="21">
        <v>61.43</v>
      </c>
      <c r="H41" s="21">
        <v>79.84</v>
      </c>
      <c r="I41" s="19">
        <f t="shared" si="0"/>
        <v>7345.2800000000007</v>
      </c>
      <c r="J41" s="32"/>
      <c r="K41" s="15">
        <f t="shared" si="1"/>
        <v>0</v>
      </c>
      <c r="L41" s="19">
        <f t="shared" si="4"/>
        <v>0</v>
      </c>
      <c r="M41" s="32">
        <f>J41+'1ª MEDIÇÃO'!M40</f>
        <v>0</v>
      </c>
      <c r="N41" s="15">
        <f t="shared" si="2"/>
        <v>0</v>
      </c>
      <c r="O41" s="19">
        <f t="shared" si="3"/>
        <v>0</v>
      </c>
    </row>
    <row r="42" spans="1:15" ht="37.5" x14ac:dyDescent="0.35">
      <c r="A42" s="30" t="s">
        <v>134</v>
      </c>
      <c r="B42" s="20" t="s">
        <v>135</v>
      </c>
      <c r="C42" s="30" t="s">
        <v>136</v>
      </c>
      <c r="D42" s="20" t="s">
        <v>58</v>
      </c>
      <c r="E42" s="20" t="s">
        <v>41</v>
      </c>
      <c r="F42" s="21">
        <v>2300</v>
      </c>
      <c r="G42" s="21">
        <v>12.23</v>
      </c>
      <c r="H42" s="21">
        <v>15.9</v>
      </c>
      <c r="I42" s="19">
        <f t="shared" si="0"/>
        <v>36570</v>
      </c>
      <c r="J42" s="32"/>
      <c r="K42" s="15">
        <f t="shared" si="1"/>
        <v>0</v>
      </c>
      <c r="L42" s="19">
        <f t="shared" si="4"/>
        <v>0</v>
      </c>
      <c r="M42" s="32">
        <f>J42+'1ª MEDIÇÃO'!M41</f>
        <v>0</v>
      </c>
      <c r="N42" s="15">
        <f t="shared" si="2"/>
        <v>0</v>
      </c>
      <c r="O42" s="19">
        <f t="shared" si="3"/>
        <v>0</v>
      </c>
    </row>
    <row r="43" spans="1:15" ht="37.5" x14ac:dyDescent="0.35">
      <c r="A43" s="30" t="s">
        <v>137</v>
      </c>
      <c r="B43" s="20" t="s">
        <v>138</v>
      </c>
      <c r="C43" s="30" t="s">
        <v>139</v>
      </c>
      <c r="D43" s="20" t="s">
        <v>58</v>
      </c>
      <c r="E43" s="20" t="s">
        <v>41</v>
      </c>
      <c r="F43" s="21">
        <v>6900</v>
      </c>
      <c r="G43" s="21">
        <v>22.29</v>
      </c>
      <c r="H43" s="21">
        <v>28.97</v>
      </c>
      <c r="I43" s="19">
        <f t="shared" si="0"/>
        <v>199893</v>
      </c>
      <c r="J43" s="32"/>
      <c r="K43" s="15">
        <f t="shared" si="1"/>
        <v>0</v>
      </c>
      <c r="L43" s="19">
        <f t="shared" si="4"/>
        <v>0</v>
      </c>
      <c r="M43" s="32">
        <f>J43+'1ª MEDIÇÃO'!M42</f>
        <v>0</v>
      </c>
      <c r="N43" s="15">
        <f t="shared" si="2"/>
        <v>0</v>
      </c>
      <c r="O43" s="19">
        <f t="shared" si="3"/>
        <v>0</v>
      </c>
    </row>
    <row r="44" spans="1:15" ht="37.5" x14ac:dyDescent="0.35">
      <c r="A44" s="30" t="s">
        <v>140</v>
      </c>
      <c r="B44" s="20" t="s">
        <v>141</v>
      </c>
      <c r="C44" s="30" t="s">
        <v>142</v>
      </c>
      <c r="D44" s="20" t="s">
        <v>58</v>
      </c>
      <c r="E44" s="20" t="s">
        <v>112</v>
      </c>
      <c r="F44" s="21">
        <v>60</v>
      </c>
      <c r="G44" s="21">
        <v>129.55000000000001</v>
      </c>
      <c r="H44" s="21">
        <v>168.38</v>
      </c>
      <c r="I44" s="19">
        <f t="shared" si="0"/>
        <v>10102.799999999999</v>
      </c>
      <c r="J44" s="32"/>
      <c r="K44" s="15">
        <f t="shared" si="1"/>
        <v>0</v>
      </c>
      <c r="L44" s="19">
        <f t="shared" si="4"/>
        <v>0</v>
      </c>
      <c r="M44" s="32">
        <f>J44+'1ª MEDIÇÃO'!M43</f>
        <v>0</v>
      </c>
      <c r="N44" s="15">
        <f t="shared" si="2"/>
        <v>0</v>
      </c>
      <c r="O44" s="19">
        <f t="shared" si="3"/>
        <v>0</v>
      </c>
    </row>
    <row r="45" spans="1:15" ht="25" x14ac:dyDescent="0.35">
      <c r="A45" s="30" t="s">
        <v>143</v>
      </c>
      <c r="B45" s="20" t="s">
        <v>144</v>
      </c>
      <c r="C45" s="30" t="s">
        <v>145</v>
      </c>
      <c r="D45" s="20" t="s">
        <v>58</v>
      </c>
      <c r="E45" s="20" t="s">
        <v>112</v>
      </c>
      <c r="F45" s="21">
        <v>60</v>
      </c>
      <c r="G45" s="21">
        <v>528.13</v>
      </c>
      <c r="H45" s="21">
        <v>686.41</v>
      </c>
      <c r="I45" s="19">
        <f t="shared" si="0"/>
        <v>41184.6</v>
      </c>
      <c r="J45" s="32"/>
      <c r="K45" s="15">
        <f t="shared" si="1"/>
        <v>0</v>
      </c>
      <c r="L45" s="19">
        <f t="shared" si="4"/>
        <v>0</v>
      </c>
      <c r="M45" s="32">
        <f>J45+'1ª MEDIÇÃO'!M44</f>
        <v>0</v>
      </c>
      <c r="N45" s="15">
        <f t="shared" si="2"/>
        <v>0</v>
      </c>
      <c r="O45" s="19">
        <f t="shared" si="3"/>
        <v>0</v>
      </c>
    </row>
    <row r="46" spans="1:15" ht="25" x14ac:dyDescent="0.35">
      <c r="A46" s="30" t="s">
        <v>146</v>
      </c>
      <c r="B46" s="20" t="s">
        <v>147</v>
      </c>
      <c r="C46" s="30" t="s">
        <v>148</v>
      </c>
      <c r="D46" s="20" t="s">
        <v>58</v>
      </c>
      <c r="E46" s="20" t="s">
        <v>112</v>
      </c>
      <c r="F46" s="21">
        <v>60</v>
      </c>
      <c r="G46" s="21">
        <v>37.659999999999997</v>
      </c>
      <c r="H46" s="21">
        <v>48.95</v>
      </c>
      <c r="I46" s="19">
        <f t="shared" si="0"/>
        <v>2937</v>
      </c>
      <c r="J46" s="32"/>
      <c r="K46" s="15">
        <f t="shared" si="1"/>
        <v>0</v>
      </c>
      <c r="L46" s="19">
        <f t="shared" si="4"/>
        <v>0</v>
      </c>
      <c r="M46" s="32">
        <f>J46+'1ª MEDIÇÃO'!M45</f>
        <v>0</v>
      </c>
      <c r="N46" s="15">
        <f t="shared" si="2"/>
        <v>0</v>
      </c>
      <c r="O46" s="19">
        <f t="shared" si="3"/>
        <v>0</v>
      </c>
    </row>
    <row r="47" spans="1:15" ht="50" x14ac:dyDescent="0.35">
      <c r="A47" s="30" t="s">
        <v>149</v>
      </c>
      <c r="B47" s="20" t="s">
        <v>150</v>
      </c>
      <c r="C47" s="30" t="s">
        <v>151</v>
      </c>
      <c r="D47" s="20" t="s">
        <v>58</v>
      </c>
      <c r="E47" s="20" t="s">
        <v>112</v>
      </c>
      <c r="F47" s="21">
        <v>2</v>
      </c>
      <c r="G47" s="21">
        <v>9176.98</v>
      </c>
      <c r="H47" s="21">
        <v>11927.32</v>
      </c>
      <c r="I47" s="19">
        <f t="shared" si="0"/>
        <v>23854.639999999999</v>
      </c>
      <c r="J47" s="32"/>
      <c r="K47" s="15">
        <f t="shared" si="1"/>
        <v>0</v>
      </c>
      <c r="L47" s="19">
        <f t="shared" si="4"/>
        <v>0</v>
      </c>
      <c r="M47" s="32">
        <f>J47+'1ª MEDIÇÃO'!M46</f>
        <v>0</v>
      </c>
      <c r="N47" s="15">
        <f t="shared" si="2"/>
        <v>0</v>
      </c>
      <c r="O47" s="19">
        <f t="shared" si="3"/>
        <v>0</v>
      </c>
    </row>
    <row r="48" spans="1:15" ht="25" x14ac:dyDescent="0.35">
      <c r="A48" s="30" t="s">
        <v>152</v>
      </c>
      <c r="B48" s="20" t="s">
        <v>153</v>
      </c>
      <c r="C48" s="30" t="s">
        <v>154</v>
      </c>
      <c r="D48" s="20" t="s">
        <v>58</v>
      </c>
      <c r="E48" s="20" t="s">
        <v>112</v>
      </c>
      <c r="F48" s="21">
        <v>2</v>
      </c>
      <c r="G48" s="21">
        <v>241.61</v>
      </c>
      <c r="H48" s="21">
        <v>314.02</v>
      </c>
      <c r="I48" s="19">
        <f t="shared" si="0"/>
        <v>628.04</v>
      </c>
      <c r="J48" s="32"/>
      <c r="K48" s="15">
        <f t="shared" si="1"/>
        <v>0</v>
      </c>
      <c r="L48" s="19">
        <f t="shared" si="4"/>
        <v>0</v>
      </c>
      <c r="M48" s="32">
        <f>J48+'1ª MEDIÇÃO'!M47</f>
        <v>0</v>
      </c>
      <c r="N48" s="15">
        <f t="shared" si="2"/>
        <v>0</v>
      </c>
      <c r="O48" s="19">
        <f t="shared" si="3"/>
        <v>0</v>
      </c>
    </row>
    <row r="49" spans="1:17" ht="15.65" customHeight="1" x14ac:dyDescent="0.35">
      <c r="A49" s="145" t="s">
        <v>37</v>
      </c>
      <c r="B49" s="360" t="s">
        <v>155</v>
      </c>
      <c r="C49" s="361"/>
      <c r="D49" s="361"/>
      <c r="E49" s="361"/>
      <c r="F49" s="361"/>
      <c r="G49" s="361"/>
      <c r="H49" s="362"/>
      <c r="I49" s="24">
        <f>I50+I51+I52+I53+I54+I55</f>
        <v>142938.79999999999</v>
      </c>
      <c r="J49" s="33"/>
      <c r="K49" s="26"/>
      <c r="L49" s="24">
        <f>L50+L51+L52+L53+L54+L55</f>
        <v>0</v>
      </c>
      <c r="M49" s="33"/>
      <c r="N49" s="26"/>
      <c r="O49" s="24">
        <f>O50+O51+O52+O53+O54+O55</f>
        <v>0</v>
      </c>
    </row>
    <row r="50" spans="1:17" x14ac:dyDescent="0.35">
      <c r="A50" s="30" t="s">
        <v>156</v>
      </c>
      <c r="B50" s="20" t="s">
        <v>157</v>
      </c>
      <c r="C50" s="30" t="s">
        <v>158</v>
      </c>
      <c r="D50" s="20" t="s">
        <v>58</v>
      </c>
      <c r="E50" s="20" t="s">
        <v>41</v>
      </c>
      <c r="F50" s="21">
        <v>80</v>
      </c>
      <c r="G50" s="21">
        <v>4.0999999999999996</v>
      </c>
      <c r="H50" s="21">
        <v>5.33</v>
      </c>
      <c r="I50" s="19">
        <f t="shared" si="0"/>
        <v>426.4</v>
      </c>
      <c r="J50" s="32"/>
      <c r="K50" s="15">
        <f t="shared" si="1"/>
        <v>0</v>
      </c>
      <c r="L50" s="19">
        <f t="shared" si="4"/>
        <v>0</v>
      </c>
      <c r="M50" s="32">
        <f>J50+'1ª MEDIÇÃO'!M49</f>
        <v>0</v>
      </c>
      <c r="N50" s="15">
        <f t="shared" si="2"/>
        <v>0</v>
      </c>
      <c r="O50" s="19">
        <f t="shared" si="3"/>
        <v>0</v>
      </c>
    </row>
    <row r="51" spans="1:17" x14ac:dyDescent="0.35">
      <c r="A51" s="30" t="s">
        <v>159</v>
      </c>
      <c r="B51" s="20" t="s">
        <v>160</v>
      </c>
      <c r="C51" s="30" t="s">
        <v>161</v>
      </c>
      <c r="D51" s="20" t="s">
        <v>58</v>
      </c>
      <c r="E51" s="20" t="s">
        <v>68</v>
      </c>
      <c r="F51" s="21">
        <v>400</v>
      </c>
      <c r="G51" s="21">
        <v>11.02</v>
      </c>
      <c r="H51" s="21">
        <v>14.32</v>
      </c>
      <c r="I51" s="19">
        <f t="shared" si="0"/>
        <v>5728</v>
      </c>
      <c r="J51" s="32"/>
      <c r="K51" s="15">
        <f t="shared" si="1"/>
        <v>0</v>
      </c>
      <c r="L51" s="19">
        <f t="shared" si="4"/>
        <v>0</v>
      </c>
      <c r="M51" s="32">
        <f>J51+'1ª MEDIÇÃO'!M50</f>
        <v>0</v>
      </c>
      <c r="N51" s="15">
        <f t="shared" si="2"/>
        <v>0</v>
      </c>
      <c r="O51" s="19">
        <f t="shared" si="3"/>
        <v>0</v>
      </c>
    </row>
    <row r="52" spans="1:17" ht="50" x14ac:dyDescent="0.35">
      <c r="A52" s="30" t="s">
        <v>162</v>
      </c>
      <c r="B52" s="20" t="s">
        <v>163</v>
      </c>
      <c r="C52" s="30" t="s">
        <v>164</v>
      </c>
      <c r="D52" s="20" t="s">
        <v>53</v>
      </c>
      <c r="E52" s="20" t="s">
        <v>68</v>
      </c>
      <c r="F52" s="21">
        <v>16</v>
      </c>
      <c r="G52" s="21">
        <v>205.21</v>
      </c>
      <c r="H52" s="21">
        <v>266.70999999999998</v>
      </c>
      <c r="I52" s="19">
        <f t="shared" si="0"/>
        <v>4267.3599999999997</v>
      </c>
      <c r="J52" s="32"/>
      <c r="K52" s="15">
        <f t="shared" si="1"/>
        <v>0</v>
      </c>
      <c r="L52" s="19">
        <f t="shared" si="4"/>
        <v>0</v>
      </c>
      <c r="M52" s="32">
        <f>J52+'1ª MEDIÇÃO'!M51</f>
        <v>0</v>
      </c>
      <c r="N52" s="15">
        <f t="shared" si="2"/>
        <v>0</v>
      </c>
      <c r="O52" s="19">
        <f t="shared" si="3"/>
        <v>0</v>
      </c>
    </row>
    <row r="53" spans="1:17" ht="50" x14ac:dyDescent="0.35">
      <c r="A53" s="30" t="s">
        <v>165</v>
      </c>
      <c r="B53" s="20" t="s">
        <v>166</v>
      </c>
      <c r="C53" s="30" t="s">
        <v>167</v>
      </c>
      <c r="D53" s="20" t="s">
        <v>58</v>
      </c>
      <c r="E53" s="20" t="s">
        <v>41</v>
      </c>
      <c r="F53" s="21">
        <v>80</v>
      </c>
      <c r="G53" s="21">
        <v>506.82</v>
      </c>
      <c r="H53" s="21">
        <v>658.71</v>
      </c>
      <c r="I53" s="19">
        <f t="shared" si="0"/>
        <v>52696.800000000003</v>
      </c>
      <c r="J53" s="32"/>
      <c r="K53" s="15">
        <f t="shared" si="1"/>
        <v>0</v>
      </c>
      <c r="L53" s="19">
        <f t="shared" si="4"/>
        <v>0</v>
      </c>
      <c r="M53" s="32">
        <f>J53+'1ª MEDIÇÃO'!M52</f>
        <v>0</v>
      </c>
      <c r="N53" s="15">
        <f t="shared" si="2"/>
        <v>0</v>
      </c>
      <c r="O53" s="19">
        <f t="shared" si="3"/>
        <v>0</v>
      </c>
    </row>
    <row r="54" spans="1:17" ht="37.5" x14ac:dyDescent="0.35">
      <c r="A54" s="30" t="s">
        <v>168</v>
      </c>
      <c r="B54" s="20" t="s">
        <v>169</v>
      </c>
      <c r="C54" s="30" t="s">
        <v>170</v>
      </c>
      <c r="D54" s="20" t="s">
        <v>58</v>
      </c>
      <c r="E54" s="20" t="s">
        <v>112</v>
      </c>
      <c r="F54" s="21">
        <v>10</v>
      </c>
      <c r="G54" s="21">
        <v>5781.92</v>
      </c>
      <c r="H54" s="21">
        <v>7514.76</v>
      </c>
      <c r="I54" s="19">
        <f t="shared" si="0"/>
        <v>75147.600000000006</v>
      </c>
      <c r="J54" s="32"/>
      <c r="K54" s="15">
        <f t="shared" si="1"/>
        <v>0</v>
      </c>
      <c r="L54" s="19">
        <f t="shared" si="4"/>
        <v>0</v>
      </c>
      <c r="M54" s="32">
        <f>J54+'1ª MEDIÇÃO'!M53</f>
        <v>0</v>
      </c>
      <c r="N54" s="15">
        <f t="shared" si="2"/>
        <v>0</v>
      </c>
      <c r="O54" s="19">
        <f t="shared" si="3"/>
        <v>0</v>
      </c>
    </row>
    <row r="55" spans="1:17" ht="62.5" x14ac:dyDescent="0.35">
      <c r="A55" s="30" t="s">
        <v>171</v>
      </c>
      <c r="B55" s="20" t="s">
        <v>172</v>
      </c>
      <c r="C55" s="30" t="s">
        <v>173</v>
      </c>
      <c r="D55" s="20" t="s">
        <v>58</v>
      </c>
      <c r="E55" s="20" t="s">
        <v>68</v>
      </c>
      <c r="F55" s="21">
        <v>224</v>
      </c>
      <c r="G55" s="21">
        <v>16.05</v>
      </c>
      <c r="H55" s="21">
        <v>20.86</v>
      </c>
      <c r="I55" s="19">
        <f t="shared" si="0"/>
        <v>4672.6399999999994</v>
      </c>
      <c r="J55" s="32"/>
      <c r="K55" s="15">
        <f t="shared" si="1"/>
        <v>0</v>
      </c>
      <c r="L55" s="19">
        <f t="shared" si="4"/>
        <v>0</v>
      </c>
      <c r="M55" s="32">
        <f>J55+'1ª MEDIÇÃO'!M54</f>
        <v>0</v>
      </c>
      <c r="N55" s="15">
        <f t="shared" si="2"/>
        <v>0</v>
      </c>
      <c r="O55" s="19">
        <f t="shared" si="3"/>
        <v>0</v>
      </c>
    </row>
    <row r="56" spans="1:17" x14ac:dyDescent="0.35">
      <c r="A56" s="145" t="s">
        <v>174</v>
      </c>
      <c r="B56" s="360" t="s">
        <v>175</v>
      </c>
      <c r="C56" s="361"/>
      <c r="D56" s="361"/>
      <c r="E56" s="361"/>
      <c r="F56" s="361"/>
      <c r="G56" s="361"/>
      <c r="H56" s="362"/>
      <c r="I56" s="24">
        <f>I57+I59+I70+I76+I83</f>
        <v>485238.63620000001</v>
      </c>
      <c r="J56" s="33"/>
      <c r="K56" s="26"/>
      <c r="L56" s="24">
        <f>L57+L59+L70+L76+L83</f>
        <v>180264.17068930794</v>
      </c>
      <c r="M56" s="33"/>
      <c r="N56" s="26"/>
      <c r="O56" s="24">
        <f>O57+O59+O70+O76+O83</f>
        <v>354042.63065314793</v>
      </c>
    </row>
    <row r="57" spans="1:17" ht="15.65" customHeight="1" x14ac:dyDescent="0.35">
      <c r="A57" s="145" t="s">
        <v>32</v>
      </c>
      <c r="B57" s="360" t="s">
        <v>69</v>
      </c>
      <c r="C57" s="361"/>
      <c r="D57" s="361"/>
      <c r="E57" s="361"/>
      <c r="F57" s="361"/>
      <c r="G57" s="361"/>
      <c r="H57" s="362"/>
      <c r="I57" s="23">
        <f>I58</f>
        <v>0</v>
      </c>
      <c r="J57" s="34"/>
      <c r="K57" s="27"/>
      <c r="L57" s="23">
        <f>L58</f>
        <v>0</v>
      </c>
      <c r="M57" s="34"/>
      <c r="N57" s="27"/>
      <c r="O57" s="23">
        <f>O58</f>
        <v>0</v>
      </c>
    </row>
    <row r="58" spans="1:17" ht="37.5" x14ac:dyDescent="0.35">
      <c r="A58" s="30" t="s">
        <v>176</v>
      </c>
      <c r="B58" s="20" t="s">
        <v>51</v>
      </c>
      <c r="C58" s="30" t="s">
        <v>52</v>
      </c>
      <c r="D58" s="20" t="s">
        <v>53</v>
      </c>
      <c r="E58" s="20" t="s">
        <v>54</v>
      </c>
      <c r="F58" s="21">
        <v>0</v>
      </c>
      <c r="G58" s="21">
        <v>0.33</v>
      </c>
      <c r="H58" s="21">
        <v>0.43</v>
      </c>
      <c r="I58" s="19">
        <f t="shared" ref="I58:I90" si="5">H58*F58</f>
        <v>0</v>
      </c>
      <c r="J58" s="32"/>
      <c r="K58" s="15">
        <v>0</v>
      </c>
      <c r="L58" s="19">
        <f t="shared" ref="L58:L90" si="6">J58*H58</f>
        <v>0</v>
      </c>
      <c r="M58" s="32">
        <f>J58+'1ª MEDIÇÃO'!M57</f>
        <v>0</v>
      </c>
      <c r="N58" s="15">
        <v>0</v>
      </c>
      <c r="O58" s="19">
        <f>M58*H58</f>
        <v>0</v>
      </c>
    </row>
    <row r="59" spans="1:17" x14ac:dyDescent="0.35">
      <c r="A59" s="145" t="s">
        <v>33</v>
      </c>
      <c r="B59" s="359" t="s">
        <v>69</v>
      </c>
      <c r="C59" s="359"/>
      <c r="D59" s="359"/>
      <c r="E59" s="359"/>
      <c r="F59" s="359"/>
      <c r="G59" s="359"/>
      <c r="H59" s="359"/>
      <c r="I59" s="24">
        <f>I60+I61+I62+I63+I64+I65+I66+I67+I68+I69</f>
        <v>130876.3806</v>
      </c>
      <c r="J59" s="33"/>
      <c r="K59" s="26"/>
      <c r="L59" s="24">
        <f>L60+L61+L62+L63+L64+L65+L66+L67+L68+L69</f>
        <v>-5056.8313640000006</v>
      </c>
      <c r="M59" s="33"/>
      <c r="N59" s="26"/>
      <c r="O59" s="24">
        <f>O60+O61+O62+O63+O64+O65+O66+O67+O68+O69</f>
        <v>107261.91379984</v>
      </c>
      <c r="Q59" s="31"/>
    </row>
    <row r="60" spans="1:17" x14ac:dyDescent="0.35">
      <c r="A60" s="30" t="s">
        <v>177</v>
      </c>
      <c r="B60" s="20" t="s">
        <v>71</v>
      </c>
      <c r="C60" s="30" t="s">
        <v>72</v>
      </c>
      <c r="D60" s="20" t="s">
        <v>62</v>
      </c>
      <c r="E60" s="20" t="s">
        <v>73</v>
      </c>
      <c r="F60" s="21">
        <v>255</v>
      </c>
      <c r="G60" s="21">
        <v>19.05</v>
      </c>
      <c r="H60" s="21">
        <v>24.76</v>
      </c>
      <c r="I60" s="19">
        <f t="shared" si="5"/>
        <v>6313.8</v>
      </c>
      <c r="J60" s="32">
        <f>-218.88+'Table 10'!M96</f>
        <v>-204.23390000000001</v>
      </c>
      <c r="K60" s="15">
        <f t="shared" ref="K60:K90" si="7">J60/F60</f>
        <v>-0.80091725490196075</v>
      </c>
      <c r="L60" s="19">
        <f t="shared" si="6"/>
        <v>-5056.8313640000006</v>
      </c>
      <c r="M60" s="32">
        <f>J60+'1ª MEDIÇÃO'!M59</f>
        <v>14.64609999999999</v>
      </c>
      <c r="N60" s="15">
        <f t="shared" ref="N60:N69" si="8">M60/F60</f>
        <v>5.7435686274509762E-2</v>
      </c>
      <c r="O60" s="19">
        <f t="shared" ref="O60:O69" si="9">M60*H60</f>
        <v>362.63743599999975</v>
      </c>
    </row>
    <row r="61" spans="1:17" x14ac:dyDescent="0.35">
      <c r="A61" s="30" t="s">
        <v>178</v>
      </c>
      <c r="B61" s="20" t="s">
        <v>75</v>
      </c>
      <c r="C61" s="30" t="s">
        <v>76</v>
      </c>
      <c r="D61" s="20" t="s">
        <v>62</v>
      </c>
      <c r="E61" s="20" t="s">
        <v>77</v>
      </c>
      <c r="F61" s="21">
        <v>1275</v>
      </c>
      <c r="G61" s="21">
        <v>0.33</v>
      </c>
      <c r="H61" s="21">
        <v>0.43</v>
      </c>
      <c r="I61" s="19">
        <f t="shared" si="5"/>
        <v>548.25</v>
      </c>
      <c r="J61" s="32"/>
      <c r="K61" s="15">
        <f t="shared" si="7"/>
        <v>0</v>
      </c>
      <c r="L61" s="19">
        <f t="shared" si="6"/>
        <v>0</v>
      </c>
      <c r="M61" s="32">
        <f>J61+'1ª MEDIÇÃO'!M60</f>
        <v>1094.4000000000001</v>
      </c>
      <c r="N61" s="15">
        <f t="shared" si="8"/>
        <v>0.85835294117647065</v>
      </c>
      <c r="O61" s="19">
        <f t="shared" si="9"/>
        <v>470.59200000000004</v>
      </c>
    </row>
    <row r="62" spans="1:17" x14ac:dyDescent="0.35">
      <c r="A62" s="30" t="s">
        <v>179</v>
      </c>
      <c r="B62" s="20" t="s">
        <v>180</v>
      </c>
      <c r="C62" s="30" t="s">
        <v>80</v>
      </c>
      <c r="D62" s="20" t="s">
        <v>62</v>
      </c>
      <c r="E62" s="20" t="s">
        <v>77</v>
      </c>
      <c r="F62" s="21">
        <v>1275</v>
      </c>
      <c r="G62" s="21">
        <v>0.23</v>
      </c>
      <c r="H62" s="21">
        <v>0.3</v>
      </c>
      <c r="I62" s="19">
        <f t="shared" si="5"/>
        <v>382.5</v>
      </c>
      <c r="J62" s="32"/>
      <c r="K62" s="15">
        <f t="shared" si="7"/>
        <v>0</v>
      </c>
      <c r="L62" s="19">
        <f t="shared" si="6"/>
        <v>0</v>
      </c>
      <c r="M62" s="32">
        <f>J62+'1ª MEDIÇÃO'!M61</f>
        <v>1094.4000000000001</v>
      </c>
      <c r="N62" s="15">
        <f t="shared" si="8"/>
        <v>0.85835294117647065</v>
      </c>
      <c r="O62" s="19">
        <f t="shared" si="9"/>
        <v>328.32</v>
      </c>
    </row>
    <row r="63" spans="1:17" ht="25" x14ac:dyDescent="0.35">
      <c r="A63" s="30" t="s">
        <v>181</v>
      </c>
      <c r="B63" s="20" t="s">
        <v>83</v>
      </c>
      <c r="C63" s="30" t="s">
        <v>182</v>
      </c>
      <c r="D63" s="20" t="s">
        <v>58</v>
      </c>
      <c r="E63" s="20" t="s">
        <v>85</v>
      </c>
      <c r="F63" s="21">
        <v>91.8</v>
      </c>
      <c r="G63" s="21">
        <v>169.02</v>
      </c>
      <c r="H63" s="21">
        <v>197.42</v>
      </c>
      <c r="I63" s="19">
        <f t="shared" si="5"/>
        <v>18123.155999999999</v>
      </c>
      <c r="J63" s="32"/>
      <c r="K63" s="15">
        <f t="shared" si="7"/>
        <v>0</v>
      </c>
      <c r="L63" s="19">
        <f t="shared" si="6"/>
        <v>0</v>
      </c>
      <c r="M63" s="32">
        <f>J63+'1ª MEDIÇÃO'!M62</f>
        <v>78.796800000000005</v>
      </c>
      <c r="N63" s="15">
        <f t="shared" si="8"/>
        <v>0.85835294117647065</v>
      </c>
      <c r="O63" s="19">
        <f t="shared" si="9"/>
        <v>15556.064256</v>
      </c>
    </row>
    <row r="64" spans="1:17" x14ac:dyDescent="0.35">
      <c r="A64" s="30" t="s">
        <v>183</v>
      </c>
      <c r="B64" s="20" t="s">
        <v>87</v>
      </c>
      <c r="C64" s="30" t="s">
        <v>88</v>
      </c>
      <c r="D64" s="20" t="s">
        <v>58</v>
      </c>
      <c r="E64" s="20" t="s">
        <v>85</v>
      </c>
      <c r="F64" s="21">
        <v>89.12</v>
      </c>
      <c r="G64" s="21">
        <v>142.47999999999999</v>
      </c>
      <c r="H64" s="21">
        <v>185.18</v>
      </c>
      <c r="I64" s="19">
        <f t="shared" si="5"/>
        <v>16503.241600000001</v>
      </c>
      <c r="J64" s="32"/>
      <c r="K64" s="15">
        <f t="shared" si="7"/>
        <v>0</v>
      </c>
      <c r="L64" s="19">
        <f t="shared" si="6"/>
        <v>0</v>
      </c>
      <c r="M64" s="32">
        <f>J64+'1ª MEDIÇÃO'!M63</f>
        <v>76.498559999999998</v>
      </c>
      <c r="N64" s="15">
        <f t="shared" si="8"/>
        <v>0.85837701974865344</v>
      </c>
      <c r="O64" s="19">
        <f t="shared" si="9"/>
        <v>14166.0033408</v>
      </c>
    </row>
    <row r="65" spans="1:15" x14ac:dyDescent="0.35">
      <c r="A65" s="30" t="s">
        <v>184</v>
      </c>
      <c r="B65" s="20" t="s">
        <v>90</v>
      </c>
      <c r="C65" s="30" t="s">
        <v>91</v>
      </c>
      <c r="D65" s="20" t="s">
        <v>58</v>
      </c>
      <c r="E65" s="20" t="s">
        <v>92</v>
      </c>
      <c r="F65" s="21">
        <v>4759.26</v>
      </c>
      <c r="G65" s="21">
        <v>0.94</v>
      </c>
      <c r="H65" s="21">
        <v>1.22</v>
      </c>
      <c r="I65" s="19">
        <f t="shared" si="5"/>
        <v>5806.2972</v>
      </c>
      <c r="J65" s="32"/>
      <c r="K65" s="15">
        <f t="shared" si="7"/>
        <v>0</v>
      </c>
      <c r="L65" s="19">
        <f t="shared" si="6"/>
        <v>0</v>
      </c>
      <c r="M65" s="32">
        <f>J65+'1ª MEDIÇÃO'!M64</f>
        <v>4085.1215999999999</v>
      </c>
      <c r="N65" s="15">
        <f t="shared" si="8"/>
        <v>0.85835226484789651</v>
      </c>
      <c r="O65" s="19">
        <f t="shared" si="9"/>
        <v>4983.848352</v>
      </c>
    </row>
    <row r="66" spans="1:15" x14ac:dyDescent="0.35">
      <c r="A66" s="30" t="s">
        <v>185</v>
      </c>
      <c r="B66" s="20" t="s">
        <v>94</v>
      </c>
      <c r="C66" s="30" t="s">
        <v>95</v>
      </c>
      <c r="D66" s="20" t="s">
        <v>58</v>
      </c>
      <c r="E66" s="20" t="s">
        <v>92</v>
      </c>
      <c r="F66" s="21">
        <v>1083.75</v>
      </c>
      <c r="G66" s="21">
        <v>0.83</v>
      </c>
      <c r="H66" s="21">
        <v>1.08</v>
      </c>
      <c r="I66" s="19">
        <f t="shared" si="5"/>
        <v>1170.45</v>
      </c>
      <c r="J66" s="32"/>
      <c r="K66" s="15">
        <f t="shared" si="7"/>
        <v>0</v>
      </c>
      <c r="L66" s="19">
        <f t="shared" si="6"/>
        <v>0</v>
      </c>
      <c r="M66" s="32">
        <f>J66+'1ª MEDIÇÃO'!M65</f>
        <v>930.24</v>
      </c>
      <c r="N66" s="15">
        <f t="shared" si="8"/>
        <v>0.85835294117647065</v>
      </c>
      <c r="O66" s="19">
        <f t="shared" si="9"/>
        <v>1004.6592000000001</v>
      </c>
    </row>
    <row r="67" spans="1:15" ht="25" x14ac:dyDescent="0.35">
      <c r="A67" s="30" t="s">
        <v>186</v>
      </c>
      <c r="B67" s="20" t="s">
        <v>97</v>
      </c>
      <c r="C67" s="30" t="s">
        <v>98</v>
      </c>
      <c r="D67" s="20" t="s">
        <v>62</v>
      </c>
      <c r="E67" s="20" t="s">
        <v>99</v>
      </c>
      <c r="F67" s="21">
        <v>0.64</v>
      </c>
      <c r="G67" s="21">
        <v>4403.33</v>
      </c>
      <c r="H67" s="21">
        <v>5143.09</v>
      </c>
      <c r="I67" s="19">
        <f t="shared" si="5"/>
        <v>3291.5776000000001</v>
      </c>
      <c r="J67" s="32"/>
      <c r="K67" s="15">
        <f t="shared" si="7"/>
        <v>0</v>
      </c>
      <c r="L67" s="19">
        <f t="shared" si="6"/>
        <v>0</v>
      </c>
      <c r="M67" s="32">
        <f>J67+'1ª MEDIÇÃO'!M66</f>
        <v>0.54720000000000002</v>
      </c>
      <c r="N67" s="15">
        <f t="shared" si="8"/>
        <v>0.85499999999999998</v>
      </c>
      <c r="O67" s="19">
        <f t="shared" si="9"/>
        <v>2814.2988480000004</v>
      </c>
    </row>
    <row r="68" spans="1:15" x14ac:dyDescent="0.35">
      <c r="A68" s="30" t="s">
        <v>187</v>
      </c>
      <c r="B68" s="20" t="s">
        <v>101</v>
      </c>
      <c r="C68" s="30" t="s">
        <v>102</v>
      </c>
      <c r="D68" s="20" t="s">
        <v>62</v>
      </c>
      <c r="E68" s="20" t="s">
        <v>99</v>
      </c>
      <c r="F68" s="21">
        <v>1.53</v>
      </c>
      <c r="G68" s="21">
        <v>7602</v>
      </c>
      <c r="H68" s="21">
        <v>8879.14</v>
      </c>
      <c r="I68" s="19">
        <f t="shared" si="5"/>
        <v>13585.084199999999</v>
      </c>
      <c r="J68" s="32"/>
      <c r="K68" s="15">
        <f t="shared" si="7"/>
        <v>0</v>
      </c>
      <c r="L68" s="19">
        <f t="shared" si="6"/>
        <v>0</v>
      </c>
      <c r="M68" s="32">
        <f>J68+'1ª MEDIÇÃO'!M67</f>
        <v>1.31328</v>
      </c>
      <c r="N68" s="15">
        <f t="shared" si="8"/>
        <v>0.85835294117647054</v>
      </c>
      <c r="O68" s="19">
        <f t="shared" si="9"/>
        <v>11660.796979199999</v>
      </c>
    </row>
    <row r="69" spans="1:15" ht="25" x14ac:dyDescent="0.35">
      <c r="A69" s="30" t="s">
        <v>188</v>
      </c>
      <c r="B69" s="20" t="s">
        <v>104</v>
      </c>
      <c r="C69" s="30" t="s">
        <v>105</v>
      </c>
      <c r="D69" s="20" t="s">
        <v>62</v>
      </c>
      <c r="E69" s="20" t="s">
        <v>99</v>
      </c>
      <c r="F69" s="21">
        <v>9.52</v>
      </c>
      <c r="G69" s="21">
        <v>5859.33</v>
      </c>
      <c r="H69" s="21">
        <v>6843.7</v>
      </c>
      <c r="I69" s="19">
        <f t="shared" si="5"/>
        <v>65152.023999999998</v>
      </c>
      <c r="J69" s="32"/>
      <c r="K69" s="15">
        <f t="shared" si="7"/>
        <v>0</v>
      </c>
      <c r="L69" s="19">
        <f t="shared" si="6"/>
        <v>0</v>
      </c>
      <c r="M69" s="32">
        <f>J69+'1ª MEDIÇÃO'!M68</f>
        <v>8.1702431999999998</v>
      </c>
      <c r="N69" s="15">
        <f t="shared" si="8"/>
        <v>0.85821882352941181</v>
      </c>
      <c r="O69" s="19">
        <f t="shared" si="9"/>
        <v>55914.693387839994</v>
      </c>
    </row>
    <row r="70" spans="1:15" x14ac:dyDescent="0.35">
      <c r="A70" s="145" t="s">
        <v>34</v>
      </c>
      <c r="B70" s="360" t="s">
        <v>189</v>
      </c>
      <c r="C70" s="361"/>
      <c r="D70" s="361"/>
      <c r="E70" s="361"/>
      <c r="F70" s="361"/>
      <c r="G70" s="361"/>
      <c r="H70" s="362"/>
      <c r="I70" s="24">
        <f>I71+I72+I73</f>
        <v>117706.50599999999</v>
      </c>
      <c r="J70" s="33"/>
      <c r="K70" s="26"/>
      <c r="L70" s="24">
        <f>L71+L72+L73+L74+L75</f>
        <v>21829.052613307933</v>
      </c>
      <c r="M70" s="33"/>
      <c r="N70" s="26"/>
      <c r="O70" s="24">
        <f>O71+O72+O73+O74+O75</f>
        <v>71688.127413307928</v>
      </c>
    </row>
    <row r="71" spans="1:15" ht="62.5" x14ac:dyDescent="0.35">
      <c r="A71" s="30" t="s">
        <v>190</v>
      </c>
      <c r="B71" s="20" t="s">
        <v>107</v>
      </c>
      <c r="C71" s="30" t="s">
        <v>108</v>
      </c>
      <c r="D71" s="20" t="s">
        <v>58</v>
      </c>
      <c r="F71" s="21">
        <v>1273.8</v>
      </c>
      <c r="G71" s="21">
        <v>38.56</v>
      </c>
      <c r="H71" s="21">
        <v>50.12</v>
      </c>
      <c r="I71" s="19">
        <f t="shared" si="5"/>
        <v>63842.855999999992</v>
      </c>
      <c r="J71" s="32">
        <v>-472.95</v>
      </c>
      <c r="K71" s="15">
        <f t="shared" si="7"/>
        <v>-0.37129062647197364</v>
      </c>
      <c r="L71" s="19">
        <f>J71*H71</f>
        <v>-23704.253999999997</v>
      </c>
      <c r="M71" s="32">
        <f>J71+'1ª MEDIÇÃO'!M70</f>
        <v>0</v>
      </c>
      <c r="N71" s="15">
        <f>M71/F71</f>
        <v>0</v>
      </c>
      <c r="O71" s="19">
        <f>M71*H71</f>
        <v>0</v>
      </c>
    </row>
    <row r="72" spans="1:15" ht="37.5" x14ac:dyDescent="0.35">
      <c r="A72" s="30" t="s">
        <v>191</v>
      </c>
      <c r="B72" s="20" t="s">
        <v>192</v>
      </c>
      <c r="C72" s="30" t="s">
        <v>193</v>
      </c>
      <c r="D72" s="20" t="s">
        <v>58</v>
      </c>
      <c r="E72" s="20" t="s">
        <v>54</v>
      </c>
      <c r="F72" s="21">
        <v>255</v>
      </c>
      <c r="G72" s="21">
        <v>81.16</v>
      </c>
      <c r="H72" s="21">
        <v>105.48</v>
      </c>
      <c r="I72" s="19">
        <f t="shared" si="5"/>
        <v>26897.4</v>
      </c>
      <c r="J72" s="32">
        <v>-247.96</v>
      </c>
      <c r="K72" s="15">
        <f t="shared" si="7"/>
        <v>-0.97239215686274516</v>
      </c>
      <c r="L72" s="19">
        <f t="shared" si="6"/>
        <v>-26154.820800000001</v>
      </c>
      <c r="M72" s="32">
        <f>J72+'1ª MEDIÇÃO'!M71</f>
        <v>0</v>
      </c>
      <c r="N72" s="15">
        <f>M72/F72</f>
        <v>0</v>
      </c>
      <c r="O72" s="19">
        <f>M72*H72</f>
        <v>0</v>
      </c>
    </row>
    <row r="73" spans="1:15" ht="25" x14ac:dyDescent="0.35">
      <c r="A73" s="30" t="s">
        <v>194</v>
      </c>
      <c r="B73" s="20" t="s">
        <v>195</v>
      </c>
      <c r="C73" s="30" t="s">
        <v>196</v>
      </c>
      <c r="D73" s="20" t="s">
        <v>58</v>
      </c>
      <c r="E73" s="20" t="s">
        <v>112</v>
      </c>
      <c r="F73" s="21">
        <v>425</v>
      </c>
      <c r="G73" s="21">
        <v>54.32</v>
      </c>
      <c r="H73" s="21">
        <v>63.45</v>
      </c>
      <c r="I73" s="19">
        <f t="shared" si="5"/>
        <v>26966.25</v>
      </c>
      <c r="J73" s="32">
        <v>219</v>
      </c>
      <c r="K73" s="15">
        <f t="shared" si="7"/>
        <v>0.51529411764705879</v>
      </c>
      <c r="L73" s="19">
        <f t="shared" si="6"/>
        <v>13895.550000000001</v>
      </c>
      <c r="M73" s="32">
        <f>J73+'1ª MEDIÇÃO'!M72</f>
        <v>219</v>
      </c>
      <c r="N73" s="15">
        <f>M73/F73</f>
        <v>0.51529411764705879</v>
      </c>
      <c r="O73" s="19">
        <f>M73*H73</f>
        <v>13895.550000000001</v>
      </c>
    </row>
    <row r="74" spans="1:15" ht="37.5" x14ac:dyDescent="0.35">
      <c r="A74" s="30" t="s">
        <v>497</v>
      </c>
      <c r="B74" s="20">
        <v>94990</v>
      </c>
      <c r="C74" s="30" t="s">
        <v>595</v>
      </c>
      <c r="D74" s="20" t="s">
        <v>58</v>
      </c>
      <c r="E74" s="20" t="s">
        <v>68</v>
      </c>
      <c r="F74" s="21">
        <v>15.299999999999999</v>
      </c>
      <c r="G74" s="21">
        <v>696.1</v>
      </c>
      <c r="H74" s="21">
        <f>G74*1.2997*Q98</f>
        <v>859.34291121322224</v>
      </c>
      <c r="I74" s="19">
        <f t="shared" si="5"/>
        <v>13147.9465415623</v>
      </c>
      <c r="J74" s="32">
        <v>15.176399999999997</v>
      </c>
      <c r="K74" s="15">
        <f t="shared" si="7"/>
        <v>0.99192156862745084</v>
      </c>
      <c r="L74" s="19">
        <f t="shared" si="6"/>
        <v>13041.731757736345</v>
      </c>
      <c r="M74" s="32">
        <f>J74+'1ª MEDIÇÃO'!M73</f>
        <v>15.176399999999997</v>
      </c>
      <c r="N74" s="15">
        <f t="shared" ref="N74:N75" si="10">M74/F74</f>
        <v>0.99192156862745084</v>
      </c>
      <c r="O74" s="19">
        <f t="shared" ref="O74:O75" si="11">M74*H74</f>
        <v>13041.731757736345</v>
      </c>
    </row>
    <row r="75" spans="1:15" ht="25" x14ac:dyDescent="0.35">
      <c r="A75" s="30" t="s">
        <v>593</v>
      </c>
      <c r="B75" s="20">
        <v>94264</v>
      </c>
      <c r="C75" s="30" t="s">
        <v>596</v>
      </c>
      <c r="D75" s="20" t="s">
        <v>58</v>
      </c>
      <c r="E75" s="20" t="s">
        <v>41</v>
      </c>
      <c r="F75" s="21">
        <f>F71</f>
        <v>1273.8</v>
      </c>
      <c r="G75" s="21">
        <v>30.48</v>
      </c>
      <c r="H75" s="21">
        <f>G75*1.2997*Q98</f>
        <v>37.627886702742444</v>
      </c>
      <c r="I75" s="19">
        <f t="shared" si="5"/>
        <v>47930.402081953325</v>
      </c>
      <c r="J75" s="32">
        <v>1189.3</v>
      </c>
      <c r="K75" s="15">
        <f t="shared" si="7"/>
        <v>0.93366305542471351</v>
      </c>
      <c r="L75" s="19">
        <f t="shared" si="6"/>
        <v>44750.845655571589</v>
      </c>
      <c r="M75" s="32">
        <f>J75+'1ª MEDIÇÃO'!M74</f>
        <v>1189.3</v>
      </c>
      <c r="N75" s="15">
        <f t="shared" si="10"/>
        <v>0.93366305542471351</v>
      </c>
      <c r="O75" s="19">
        <f t="shared" si="11"/>
        <v>44750.845655571589</v>
      </c>
    </row>
    <row r="76" spans="1:15" x14ac:dyDescent="0.35">
      <c r="A76" s="145" t="s">
        <v>38</v>
      </c>
      <c r="B76" s="360" t="s">
        <v>197</v>
      </c>
      <c r="C76" s="361"/>
      <c r="D76" s="361"/>
      <c r="E76" s="361"/>
      <c r="F76" s="361"/>
      <c r="G76" s="361"/>
      <c r="H76" s="362"/>
      <c r="I76" s="24">
        <f>I77+I78+I79+I80+I81+I82</f>
        <v>49421.1296</v>
      </c>
      <c r="J76" s="33"/>
      <c r="K76" s="26"/>
      <c r="L76" s="24">
        <f>L77+L78+L79+L80+L81+L82</f>
        <v>0</v>
      </c>
      <c r="M76" s="33"/>
      <c r="N76" s="26"/>
      <c r="O76" s="24">
        <f>O77+O78+O79+O80+O81+O82</f>
        <v>0</v>
      </c>
    </row>
    <row r="77" spans="1:15" ht="37.5" x14ac:dyDescent="0.35">
      <c r="A77" s="30" t="s">
        <v>198</v>
      </c>
      <c r="B77" s="20" t="s">
        <v>199</v>
      </c>
      <c r="C77" s="30" t="s">
        <v>200</v>
      </c>
      <c r="D77" s="20" t="s">
        <v>58</v>
      </c>
      <c r="E77" s="20" t="s">
        <v>112</v>
      </c>
      <c r="F77" s="21">
        <v>10</v>
      </c>
      <c r="G77" s="21">
        <v>219.52</v>
      </c>
      <c r="H77" s="21">
        <v>285.31</v>
      </c>
      <c r="I77" s="19">
        <f t="shared" si="5"/>
        <v>2853.1</v>
      </c>
      <c r="J77" s="32"/>
      <c r="K77" s="15">
        <f t="shared" si="7"/>
        <v>0</v>
      </c>
      <c r="L77" s="19">
        <f t="shared" si="6"/>
        <v>0</v>
      </c>
      <c r="M77" s="32">
        <f>J77+'1ª MEDIÇÃO'!M74</f>
        <v>0</v>
      </c>
      <c r="N77" s="15">
        <f t="shared" ref="N77:N82" si="12">M77/F77</f>
        <v>0</v>
      </c>
      <c r="O77" s="19">
        <f t="shared" ref="O77:O82" si="13">M77*H77</f>
        <v>0</v>
      </c>
    </row>
    <row r="78" spans="1:15" ht="37.5" x14ac:dyDescent="0.35">
      <c r="A78" s="30" t="s">
        <v>201</v>
      </c>
      <c r="B78" s="20" t="s">
        <v>202</v>
      </c>
      <c r="C78" s="30" t="s">
        <v>203</v>
      </c>
      <c r="D78" s="20" t="s">
        <v>58</v>
      </c>
      <c r="E78" s="20" t="s">
        <v>41</v>
      </c>
      <c r="F78" s="21">
        <v>60</v>
      </c>
      <c r="G78" s="21">
        <v>52.88</v>
      </c>
      <c r="H78" s="21">
        <v>68.73</v>
      </c>
      <c r="I78" s="19">
        <f t="shared" si="5"/>
        <v>4123.8</v>
      </c>
      <c r="J78" s="32"/>
      <c r="K78" s="15">
        <f t="shared" si="7"/>
        <v>0</v>
      </c>
      <c r="L78" s="19">
        <f t="shared" si="6"/>
        <v>0</v>
      </c>
      <c r="M78" s="32">
        <f>J78+'1ª MEDIÇÃO'!M75</f>
        <v>0</v>
      </c>
      <c r="N78" s="15">
        <f t="shared" si="12"/>
        <v>0</v>
      </c>
      <c r="O78" s="19">
        <f t="shared" si="13"/>
        <v>0</v>
      </c>
    </row>
    <row r="79" spans="1:15" ht="25" x14ac:dyDescent="0.35">
      <c r="A79" s="30" t="s">
        <v>204</v>
      </c>
      <c r="B79" s="20" t="s">
        <v>205</v>
      </c>
      <c r="C79" s="30" t="s">
        <v>206</v>
      </c>
      <c r="D79" s="20" t="s">
        <v>53</v>
      </c>
      <c r="E79" s="20" t="s">
        <v>54</v>
      </c>
      <c r="F79" s="21">
        <v>11.6</v>
      </c>
      <c r="G79" s="21">
        <v>151.79</v>
      </c>
      <c r="H79" s="21">
        <v>177.29</v>
      </c>
      <c r="I79" s="19">
        <f t="shared" si="5"/>
        <v>2056.5639999999999</v>
      </c>
      <c r="J79" s="32"/>
      <c r="K79" s="15">
        <f t="shared" si="7"/>
        <v>0</v>
      </c>
      <c r="L79" s="19">
        <f t="shared" si="6"/>
        <v>0</v>
      </c>
      <c r="M79" s="32">
        <f>J79+'1ª MEDIÇÃO'!M76</f>
        <v>0</v>
      </c>
      <c r="N79" s="15">
        <f t="shared" si="12"/>
        <v>0</v>
      </c>
      <c r="O79" s="19">
        <f t="shared" si="13"/>
        <v>0</v>
      </c>
    </row>
    <row r="80" spans="1:15" x14ac:dyDescent="0.35">
      <c r="A80" s="30" t="s">
        <v>207</v>
      </c>
      <c r="B80" s="20" t="s">
        <v>208</v>
      </c>
      <c r="C80" s="30" t="s">
        <v>209</v>
      </c>
      <c r="D80" s="20" t="s">
        <v>210</v>
      </c>
      <c r="E80" s="20" t="s">
        <v>54</v>
      </c>
      <c r="F80" s="21">
        <v>2533.7399999999998</v>
      </c>
      <c r="G80" s="21">
        <v>3.26</v>
      </c>
      <c r="H80" s="21">
        <v>4.24</v>
      </c>
      <c r="I80" s="19">
        <f t="shared" si="5"/>
        <v>10743.0576</v>
      </c>
      <c r="J80" s="32"/>
      <c r="K80" s="15">
        <f t="shared" si="7"/>
        <v>0</v>
      </c>
      <c r="L80" s="19">
        <f t="shared" si="6"/>
        <v>0</v>
      </c>
      <c r="M80" s="32">
        <f>J80+'1ª MEDIÇÃO'!M77</f>
        <v>0</v>
      </c>
      <c r="N80" s="15">
        <f t="shared" si="12"/>
        <v>0</v>
      </c>
      <c r="O80" s="19">
        <f t="shared" si="13"/>
        <v>0</v>
      </c>
    </row>
    <row r="81" spans="1:19" ht="25" x14ac:dyDescent="0.35">
      <c r="A81" s="30" t="s">
        <v>211</v>
      </c>
      <c r="B81" s="20" t="s">
        <v>132</v>
      </c>
      <c r="C81" s="30" t="s">
        <v>133</v>
      </c>
      <c r="D81" s="20" t="s">
        <v>58</v>
      </c>
      <c r="E81" s="20" t="s">
        <v>68</v>
      </c>
      <c r="F81" s="21">
        <v>55.2</v>
      </c>
      <c r="G81" s="21">
        <v>61.43</v>
      </c>
      <c r="H81" s="21">
        <v>79.84</v>
      </c>
      <c r="I81" s="19">
        <f t="shared" si="5"/>
        <v>4407.1680000000006</v>
      </c>
      <c r="J81" s="32"/>
      <c r="K81" s="15">
        <f t="shared" si="7"/>
        <v>0</v>
      </c>
      <c r="L81" s="19">
        <f t="shared" si="6"/>
        <v>0</v>
      </c>
      <c r="M81" s="32">
        <f>J81+'1ª MEDIÇÃO'!M78</f>
        <v>0</v>
      </c>
      <c r="N81" s="15">
        <f t="shared" si="12"/>
        <v>0</v>
      </c>
      <c r="O81" s="19">
        <f t="shared" si="13"/>
        <v>0</v>
      </c>
    </row>
    <row r="82" spans="1:19" ht="50" x14ac:dyDescent="0.35">
      <c r="A82" s="30" t="s">
        <v>212</v>
      </c>
      <c r="B82" s="20" t="s">
        <v>213</v>
      </c>
      <c r="C82" s="30" t="s">
        <v>214</v>
      </c>
      <c r="D82" s="20" t="s">
        <v>58</v>
      </c>
      <c r="E82" s="20" t="s">
        <v>41</v>
      </c>
      <c r="F82" s="21">
        <v>46</v>
      </c>
      <c r="G82" s="21">
        <v>422.13</v>
      </c>
      <c r="H82" s="21">
        <v>548.64</v>
      </c>
      <c r="I82" s="19">
        <f t="shared" si="5"/>
        <v>25237.439999999999</v>
      </c>
      <c r="J82" s="32"/>
      <c r="K82" s="15">
        <f t="shared" si="7"/>
        <v>0</v>
      </c>
      <c r="L82" s="19">
        <f t="shared" si="6"/>
        <v>0</v>
      </c>
      <c r="M82" s="32">
        <f>J82+'1ª MEDIÇÃO'!M79</f>
        <v>0</v>
      </c>
      <c r="N82" s="15">
        <f t="shared" si="12"/>
        <v>0</v>
      </c>
      <c r="O82" s="19">
        <f t="shared" si="13"/>
        <v>0</v>
      </c>
    </row>
    <row r="83" spans="1:19" x14ac:dyDescent="0.35">
      <c r="A83" s="145" t="s">
        <v>39</v>
      </c>
      <c r="B83" s="360" t="s">
        <v>127</v>
      </c>
      <c r="C83" s="361"/>
      <c r="D83" s="361"/>
      <c r="E83" s="361"/>
      <c r="F83" s="361"/>
      <c r="G83" s="361"/>
      <c r="H83" s="362"/>
      <c r="I83" s="24">
        <f>I84+I85+I86+I87+I88+I89+I90</f>
        <v>187234.62</v>
      </c>
      <c r="J83" s="33"/>
      <c r="K83" s="26"/>
      <c r="L83" s="24">
        <f>L84+L85+L86+L87+L88+L89+L90</f>
        <v>163491.94944</v>
      </c>
      <c r="M83" s="33"/>
      <c r="N83" s="26"/>
      <c r="O83" s="24">
        <f>O84+O85+O86+O87+O88+O89+O90</f>
        <v>175092.58944000001</v>
      </c>
    </row>
    <row r="84" spans="1:19" ht="37.5" x14ac:dyDescent="0.35">
      <c r="A84" s="30" t="s">
        <v>215</v>
      </c>
      <c r="B84" s="20" t="s">
        <v>216</v>
      </c>
      <c r="C84" s="30" t="s">
        <v>217</v>
      </c>
      <c r="D84" s="20" t="s">
        <v>58</v>
      </c>
      <c r="E84" s="20" t="s">
        <v>112</v>
      </c>
      <c r="F84" s="21">
        <v>15</v>
      </c>
      <c r="G84" s="21">
        <v>3719.44</v>
      </c>
      <c r="H84" s="21">
        <v>4834.16</v>
      </c>
      <c r="I84" s="19">
        <f t="shared" si="5"/>
        <v>72512.399999999994</v>
      </c>
      <c r="J84" s="32">
        <v>15</v>
      </c>
      <c r="K84" s="15">
        <f t="shared" si="7"/>
        <v>1</v>
      </c>
      <c r="L84" s="19">
        <f t="shared" si="6"/>
        <v>72512.399999999994</v>
      </c>
      <c r="M84" s="32">
        <f>J84+'1ª MEDIÇÃO'!M81</f>
        <v>15</v>
      </c>
      <c r="N84" s="15">
        <f t="shared" ref="N84:N90" si="14">M84/F84</f>
        <v>1</v>
      </c>
      <c r="O84" s="19">
        <f t="shared" ref="O84:O90" si="15">M84*H84</f>
        <v>72512.399999999994</v>
      </c>
    </row>
    <row r="85" spans="1:19" ht="25" x14ac:dyDescent="0.35">
      <c r="A85" s="30" t="s">
        <v>218</v>
      </c>
      <c r="B85" s="20" t="s">
        <v>219</v>
      </c>
      <c r="C85" s="30" t="s">
        <v>220</v>
      </c>
      <c r="D85" s="20" t="s">
        <v>58</v>
      </c>
      <c r="E85" s="20" t="s">
        <v>112</v>
      </c>
      <c r="F85" s="21">
        <v>17</v>
      </c>
      <c r="G85" s="21">
        <v>789.65</v>
      </c>
      <c r="H85" s="21">
        <v>1026.31</v>
      </c>
      <c r="I85" s="19">
        <f t="shared" si="5"/>
        <v>17447.27</v>
      </c>
      <c r="J85" s="32">
        <v>17</v>
      </c>
      <c r="K85" s="15">
        <f t="shared" si="7"/>
        <v>1</v>
      </c>
      <c r="L85" s="19">
        <f t="shared" si="6"/>
        <v>17447.27</v>
      </c>
      <c r="M85" s="32">
        <f>J85+'1ª MEDIÇÃO'!M82</f>
        <v>17</v>
      </c>
      <c r="N85" s="15">
        <f t="shared" si="14"/>
        <v>1</v>
      </c>
      <c r="O85" s="19">
        <f t="shared" si="15"/>
        <v>17447.27</v>
      </c>
    </row>
    <row r="86" spans="1:19" ht="25" x14ac:dyDescent="0.35">
      <c r="A86" s="30" t="s">
        <v>221</v>
      </c>
      <c r="B86" s="20" t="s">
        <v>132</v>
      </c>
      <c r="C86" s="30" t="s">
        <v>133</v>
      </c>
      <c r="D86" s="20" t="s">
        <v>58</v>
      </c>
      <c r="E86" s="20" t="s">
        <v>68</v>
      </c>
      <c r="F86" s="21">
        <v>34</v>
      </c>
      <c r="G86" s="21">
        <v>61.43</v>
      </c>
      <c r="H86" s="21">
        <v>79.84</v>
      </c>
      <c r="I86" s="19">
        <f t="shared" si="5"/>
        <v>2714.56</v>
      </c>
      <c r="J86" s="32">
        <v>0.89100000000000001</v>
      </c>
      <c r="K86" s="15">
        <f t="shared" si="7"/>
        <v>2.6205882352941176E-2</v>
      </c>
      <c r="L86" s="19">
        <f t="shared" si="6"/>
        <v>71.137439999999998</v>
      </c>
      <c r="M86" s="32">
        <f>J86+'1ª MEDIÇÃO'!M83</f>
        <v>0.89100000000000001</v>
      </c>
      <c r="N86" s="15">
        <f t="shared" si="14"/>
        <v>2.6205882352941176E-2</v>
      </c>
      <c r="O86" s="19">
        <f t="shared" si="15"/>
        <v>71.137439999999998</v>
      </c>
    </row>
    <row r="87" spans="1:19" ht="37.5" x14ac:dyDescent="0.35">
      <c r="A87" s="30" t="s">
        <v>222</v>
      </c>
      <c r="B87" s="20" t="s">
        <v>135</v>
      </c>
      <c r="C87" s="30" t="s">
        <v>136</v>
      </c>
      <c r="D87" s="20" t="s">
        <v>58</v>
      </c>
      <c r="E87" s="20" t="s">
        <v>41</v>
      </c>
      <c r="F87" s="21">
        <v>850</v>
      </c>
      <c r="G87" s="21">
        <v>12.23</v>
      </c>
      <c r="H87" s="21">
        <v>15.9</v>
      </c>
      <c r="I87" s="19">
        <f t="shared" si="5"/>
        <v>13515</v>
      </c>
      <c r="J87" s="32">
        <v>92.200000000000045</v>
      </c>
      <c r="K87" s="15">
        <f t="shared" si="7"/>
        <v>0.10847058823529417</v>
      </c>
      <c r="L87" s="19">
        <f t="shared" si="6"/>
        <v>1465.9800000000007</v>
      </c>
      <c r="M87" s="32">
        <f>J87+'1ª MEDIÇÃO'!M84</f>
        <v>821.8</v>
      </c>
      <c r="N87" s="15">
        <f t="shared" si="14"/>
        <v>0.96682352941176464</v>
      </c>
      <c r="O87" s="19">
        <f t="shared" si="15"/>
        <v>13066.619999999999</v>
      </c>
    </row>
    <row r="88" spans="1:19" ht="37.5" x14ac:dyDescent="0.35">
      <c r="A88" s="30" t="s">
        <v>223</v>
      </c>
      <c r="B88" s="20" t="s">
        <v>138</v>
      </c>
      <c r="C88" s="30" t="s">
        <v>139</v>
      </c>
      <c r="D88" s="20" t="s">
        <v>58</v>
      </c>
      <c r="E88" s="20" t="s">
        <v>41</v>
      </c>
      <c r="F88" s="21">
        <v>2550</v>
      </c>
      <c r="G88" s="21">
        <v>22.29</v>
      </c>
      <c r="H88" s="21">
        <v>28.97</v>
      </c>
      <c r="I88" s="19">
        <f t="shared" si="5"/>
        <v>73873.5</v>
      </c>
      <c r="J88" s="32">
        <v>2237.6</v>
      </c>
      <c r="K88" s="15">
        <f t="shared" si="7"/>
        <v>0.87749019607843137</v>
      </c>
      <c r="L88" s="19">
        <f t="shared" si="6"/>
        <v>64823.271999999997</v>
      </c>
      <c r="M88" s="32">
        <f>J88+'1ª MEDIÇÃO'!M85</f>
        <v>2237.6</v>
      </c>
      <c r="N88" s="15">
        <f t="shared" si="14"/>
        <v>0.87749019607843137</v>
      </c>
      <c r="O88" s="19">
        <f t="shared" si="15"/>
        <v>64823.271999999997</v>
      </c>
    </row>
    <row r="89" spans="1:19" ht="37.5" x14ac:dyDescent="0.35">
      <c r="A89" s="30" t="s">
        <v>224</v>
      </c>
      <c r="B89" s="20" t="s">
        <v>141</v>
      </c>
      <c r="C89" s="30" t="s">
        <v>142</v>
      </c>
      <c r="D89" s="20" t="s">
        <v>58</v>
      </c>
      <c r="E89" s="20" t="s">
        <v>112</v>
      </c>
      <c r="F89" s="21">
        <v>33</v>
      </c>
      <c r="G89" s="21">
        <v>129.55000000000001</v>
      </c>
      <c r="H89" s="21">
        <v>168.38</v>
      </c>
      <c r="I89" s="19">
        <f t="shared" si="5"/>
        <v>5556.54</v>
      </c>
      <c r="J89" s="32">
        <v>33</v>
      </c>
      <c r="K89" s="15">
        <f t="shared" si="7"/>
        <v>1</v>
      </c>
      <c r="L89" s="19">
        <f t="shared" si="6"/>
        <v>5556.54</v>
      </c>
      <c r="M89" s="32">
        <f>J89+'1ª MEDIÇÃO'!M86</f>
        <v>33</v>
      </c>
      <c r="N89" s="15">
        <f t="shared" si="14"/>
        <v>1</v>
      </c>
      <c r="O89" s="19">
        <f t="shared" si="15"/>
        <v>5556.54</v>
      </c>
    </row>
    <row r="90" spans="1:19" ht="25" x14ac:dyDescent="0.35">
      <c r="A90" s="30" t="s">
        <v>225</v>
      </c>
      <c r="B90" s="20" t="s">
        <v>147</v>
      </c>
      <c r="C90" s="30" t="s">
        <v>148</v>
      </c>
      <c r="D90" s="20" t="s">
        <v>58</v>
      </c>
      <c r="E90" s="20" t="s">
        <v>112</v>
      </c>
      <c r="F90" s="21">
        <v>33</v>
      </c>
      <c r="G90" s="21">
        <v>37.659999999999997</v>
      </c>
      <c r="H90" s="21">
        <v>48.95</v>
      </c>
      <c r="I90" s="19">
        <f t="shared" si="5"/>
        <v>1615.3500000000001</v>
      </c>
      <c r="J90" s="32">
        <v>33</v>
      </c>
      <c r="K90" s="15">
        <f t="shared" si="7"/>
        <v>1</v>
      </c>
      <c r="L90" s="19">
        <f t="shared" si="6"/>
        <v>1615.3500000000001</v>
      </c>
      <c r="M90" s="32">
        <f>J90+'1ª MEDIÇÃO'!M87</f>
        <v>33</v>
      </c>
      <c r="N90" s="15">
        <f t="shared" si="14"/>
        <v>1</v>
      </c>
      <c r="O90" s="19">
        <f t="shared" si="15"/>
        <v>1615.3500000000001</v>
      </c>
    </row>
    <row r="91" spans="1:19" x14ac:dyDescent="0.35">
      <c r="A91" s="363" t="s">
        <v>16</v>
      </c>
      <c r="B91" s="363"/>
      <c r="C91" s="363"/>
      <c r="D91" s="363"/>
      <c r="E91" s="363"/>
      <c r="F91" s="363"/>
      <c r="G91" s="363"/>
      <c r="H91" s="363"/>
      <c r="I91" s="11">
        <f>I13+I56</f>
        <v>2616444.9081999999</v>
      </c>
      <c r="J91" s="11"/>
      <c r="K91" s="11"/>
      <c r="L91" s="11">
        <f>L13+L56</f>
        <v>196921.64189170796</v>
      </c>
      <c r="M91" s="11"/>
      <c r="N91" s="11"/>
      <c r="O91" s="11">
        <f>O13+O56</f>
        <v>431139.19215554796</v>
      </c>
      <c r="Q91" s="14"/>
    </row>
    <row r="92" spans="1:19" ht="8.25" customHeight="1" x14ac:dyDescent="0.35">
      <c r="A92" s="12"/>
      <c r="B92" s="12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9" x14ac:dyDescent="0.35">
      <c r="A93" s="348" t="s">
        <v>24</v>
      </c>
      <c r="B93" s="349"/>
      <c r="C93" s="349"/>
      <c r="D93" s="349"/>
      <c r="E93" s="349"/>
      <c r="F93" s="349"/>
      <c r="G93" s="349"/>
      <c r="H93" s="350"/>
      <c r="I93" s="351" t="s">
        <v>613</v>
      </c>
      <c r="J93" s="352"/>
      <c r="K93" s="352"/>
      <c r="L93" s="352"/>
      <c r="M93" s="352"/>
      <c r="N93" s="352"/>
      <c r="O93" s="353"/>
      <c r="Q93" s="31">
        <f>'1ª MEDIÇÃO'!L88+L91</f>
        <v>431139.19215554791</v>
      </c>
      <c r="S93" s="309">
        <f>O91/I91</f>
        <v>0.16478053514688865</v>
      </c>
    </row>
    <row r="94" spans="1:19" ht="15" customHeight="1" x14ac:dyDescent="0.35">
      <c r="A94" s="364" t="s">
        <v>598</v>
      </c>
      <c r="B94" s="364"/>
      <c r="C94" s="364"/>
      <c r="D94" s="364"/>
      <c r="E94" s="364"/>
      <c r="F94" s="364"/>
      <c r="G94" s="364"/>
      <c r="H94" s="364"/>
      <c r="I94" s="364" t="s">
        <v>9</v>
      </c>
      <c r="J94" s="364"/>
      <c r="K94" s="364"/>
      <c r="L94" s="364"/>
      <c r="M94" s="364"/>
      <c r="N94" s="364"/>
      <c r="O94" s="364"/>
    </row>
    <row r="95" spans="1:19" x14ac:dyDescent="0.35">
      <c r="A95" s="365"/>
      <c r="B95" s="365"/>
      <c r="C95" s="365"/>
      <c r="D95" s="365"/>
      <c r="E95" s="365"/>
      <c r="F95" s="365"/>
      <c r="G95" s="365"/>
      <c r="H95" s="365"/>
      <c r="I95" s="365"/>
      <c r="J95" s="365"/>
      <c r="K95" s="365"/>
      <c r="L95" s="365"/>
      <c r="M95" s="365"/>
      <c r="N95" s="365"/>
      <c r="O95" s="365"/>
    </row>
    <row r="96" spans="1:19" ht="11.5" customHeight="1" x14ac:dyDescent="0.35">
      <c r="A96" s="365"/>
      <c r="B96" s="365"/>
      <c r="C96" s="365"/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65"/>
      <c r="O96" s="365"/>
      <c r="Q96" s="308">
        <v>2754608.28</v>
      </c>
    </row>
    <row r="97" spans="1:17" ht="6.65" customHeight="1" x14ac:dyDescent="0.35">
      <c r="A97" s="365"/>
      <c r="B97" s="365"/>
      <c r="C97" s="365"/>
      <c r="D97" s="365"/>
      <c r="E97" s="365"/>
      <c r="F97" s="365"/>
      <c r="G97" s="365"/>
      <c r="H97" s="365"/>
      <c r="I97" s="365"/>
      <c r="J97" s="365"/>
      <c r="K97" s="365"/>
      <c r="L97" s="365"/>
      <c r="M97" s="365"/>
      <c r="N97" s="365"/>
      <c r="O97" s="365"/>
    </row>
    <row r="98" spans="1:17" ht="12" customHeight="1" x14ac:dyDescent="0.35">
      <c r="A98" s="365"/>
      <c r="B98" s="365"/>
      <c r="C98" s="365"/>
      <c r="D98" s="365"/>
      <c r="E98" s="365"/>
      <c r="F98" s="365"/>
      <c r="G98" s="365"/>
      <c r="H98" s="365"/>
      <c r="I98" s="365"/>
      <c r="J98" s="365"/>
      <c r="K98" s="365"/>
      <c r="L98" s="365"/>
      <c r="M98" s="365"/>
      <c r="N98" s="365"/>
      <c r="O98" s="365"/>
      <c r="Q98" s="309">
        <f>I91/Q96</f>
        <v>0.94984282418551369</v>
      </c>
    </row>
    <row r="99" spans="1:17" ht="9.65" customHeight="1" x14ac:dyDescent="0.35">
      <c r="A99" s="365"/>
      <c r="B99" s="365"/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</row>
    <row r="100" spans="1:17" ht="7.15" customHeight="1" x14ac:dyDescent="0.35">
      <c r="A100" s="365"/>
      <c r="B100" s="365"/>
      <c r="C100" s="365"/>
      <c r="D100" s="365"/>
      <c r="E100" s="365"/>
      <c r="F100" s="365"/>
      <c r="G100" s="365"/>
      <c r="H100" s="365"/>
      <c r="I100" s="365"/>
      <c r="J100" s="365"/>
      <c r="K100" s="365"/>
      <c r="L100" s="365"/>
      <c r="M100" s="365"/>
      <c r="N100" s="365"/>
      <c r="O100" s="365"/>
    </row>
    <row r="101" spans="1:17" ht="15" customHeight="1" x14ac:dyDescent="0.35">
      <c r="A101" s="364" t="s">
        <v>10</v>
      </c>
      <c r="B101" s="364"/>
      <c r="C101" s="364"/>
      <c r="D101" s="364"/>
      <c r="E101" s="364"/>
      <c r="F101" s="364"/>
      <c r="G101" s="364"/>
      <c r="H101" s="364"/>
      <c r="I101" s="364" t="s">
        <v>11</v>
      </c>
      <c r="J101" s="364"/>
      <c r="K101" s="364"/>
      <c r="L101" s="364"/>
      <c r="M101" s="364"/>
      <c r="N101" s="364"/>
      <c r="O101" s="364"/>
    </row>
    <row r="102" spans="1:17" x14ac:dyDescent="0.35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8" spans="1:17" x14ac:dyDescent="0.35">
      <c r="L108" s="31">
        <f>'1ª MEDIÇÃO'!O88</f>
        <v>234217.55026383995</v>
      </c>
    </row>
    <row r="109" spans="1:17" x14ac:dyDescent="0.35">
      <c r="L109" s="31">
        <f>L91</f>
        <v>196921.64189170796</v>
      </c>
    </row>
    <row r="110" spans="1:17" x14ac:dyDescent="0.35">
      <c r="L110" s="325">
        <f>L108+L109</f>
        <v>431139.19215554791</v>
      </c>
    </row>
  </sheetData>
  <mergeCells count="57">
    <mergeCell ref="A5:D5"/>
    <mergeCell ref="E5:F5"/>
    <mergeCell ref="G5:H5"/>
    <mergeCell ref="J5:L5"/>
    <mergeCell ref="N5:O5"/>
    <mergeCell ref="A4:D4"/>
    <mergeCell ref="E4:F4"/>
    <mergeCell ref="G4:H4"/>
    <mergeCell ref="J4:L4"/>
    <mergeCell ref="N4:O4"/>
    <mergeCell ref="A1:D2"/>
    <mergeCell ref="E1:O1"/>
    <mergeCell ref="E2:O2"/>
    <mergeCell ref="A3:D3"/>
    <mergeCell ref="E3:O3"/>
    <mergeCell ref="F9:F11"/>
    <mergeCell ref="G9:H10"/>
    <mergeCell ref="I9:I12"/>
    <mergeCell ref="J9:L10"/>
    <mergeCell ref="N6:O6"/>
    <mergeCell ref="A9:A11"/>
    <mergeCell ref="B9:B11"/>
    <mergeCell ref="C9:C11"/>
    <mergeCell ref="D9:D11"/>
    <mergeCell ref="E9:E11"/>
    <mergeCell ref="A6:C6"/>
    <mergeCell ref="E6:F6"/>
    <mergeCell ref="J6:L6"/>
    <mergeCell ref="B70:H70"/>
    <mergeCell ref="M9:O10"/>
    <mergeCell ref="B13:H13"/>
    <mergeCell ref="B14:H14"/>
    <mergeCell ref="B19:H19"/>
    <mergeCell ref="B21:H21"/>
    <mergeCell ref="B34:H34"/>
    <mergeCell ref="B39:H39"/>
    <mergeCell ref="B49:H49"/>
    <mergeCell ref="B56:H56"/>
    <mergeCell ref="B57:H57"/>
    <mergeCell ref="B59:H59"/>
    <mergeCell ref="A8:O8"/>
    <mergeCell ref="A95:H100"/>
    <mergeCell ref="I95:O100"/>
    <mergeCell ref="A101:H101"/>
    <mergeCell ref="I101:O101"/>
    <mergeCell ref="B76:H76"/>
    <mergeCell ref="B83:H83"/>
    <mergeCell ref="A91:H91"/>
    <mergeCell ref="A93:H93"/>
    <mergeCell ref="I93:O93"/>
    <mergeCell ref="A94:H94"/>
    <mergeCell ref="I94:O94"/>
    <mergeCell ref="Q18:R18"/>
    <mergeCell ref="T18:U19"/>
    <mergeCell ref="V19:W20"/>
    <mergeCell ref="T20:U20"/>
    <mergeCell ref="V23:X25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60" fitToHeight="4" orientation="landscape" r:id="rId1"/>
  <rowBreaks count="1" manualBreakCount="1">
    <brk id="63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3"/>
  <sheetViews>
    <sheetView view="pageBreakPreview" topLeftCell="B1" zoomScale="80" zoomScaleNormal="80" zoomScaleSheetLayoutView="80" workbookViewId="0">
      <selection activeCell="O89" sqref="O89"/>
    </sheetView>
  </sheetViews>
  <sheetFormatPr defaultRowHeight="14.5" x14ac:dyDescent="0.35"/>
  <cols>
    <col min="1" max="1" width="5.81640625" style="1" customWidth="1"/>
    <col min="2" max="2" width="8.7265625" style="1" customWidth="1"/>
    <col min="3" max="3" width="55.81640625" customWidth="1"/>
    <col min="4" max="4" width="11.81640625" customWidth="1"/>
    <col min="5" max="5" width="8.26953125" customWidth="1"/>
    <col min="6" max="8" width="14.453125" customWidth="1"/>
    <col min="9" max="9" width="15.7265625" customWidth="1"/>
    <col min="10" max="10" width="14.453125" customWidth="1"/>
    <col min="11" max="11" width="13.7265625" customWidth="1"/>
    <col min="12" max="15" width="19.26953125" customWidth="1"/>
    <col min="16" max="16" width="11.453125" customWidth="1"/>
    <col min="17" max="17" width="9.81640625" customWidth="1"/>
    <col min="18" max="18" width="17.26953125" customWidth="1"/>
    <col min="19" max="19" width="13" customWidth="1"/>
    <col min="20" max="20" width="10.54296875" customWidth="1"/>
    <col min="21" max="21" width="20.26953125" customWidth="1"/>
    <col min="23" max="23" width="14.26953125" bestFit="1" customWidth="1"/>
  </cols>
  <sheetData>
    <row r="1" spans="1:23" ht="33.65" customHeight="1" x14ac:dyDescent="0.35">
      <c r="A1" s="338"/>
      <c r="B1" s="339"/>
      <c r="C1" s="339"/>
      <c r="D1" s="340"/>
      <c r="E1" s="335" t="s">
        <v>226</v>
      </c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7"/>
    </row>
    <row r="2" spans="1:23" ht="41.5" customHeight="1" x14ac:dyDescent="0.35">
      <c r="A2" s="341"/>
      <c r="B2" s="342"/>
      <c r="C2" s="342"/>
      <c r="D2" s="343"/>
      <c r="E2" s="334" t="s">
        <v>227</v>
      </c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</row>
    <row r="3" spans="1:23" ht="39.75" customHeight="1" x14ac:dyDescent="0.35">
      <c r="A3" s="344" t="s">
        <v>229</v>
      </c>
      <c r="B3" s="345"/>
      <c r="C3" s="345"/>
      <c r="D3" s="346"/>
      <c r="E3" s="334" t="s">
        <v>27</v>
      </c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</row>
    <row r="4" spans="1:23" ht="46.15" customHeight="1" x14ac:dyDescent="0.35">
      <c r="A4" s="373" t="s">
        <v>12</v>
      </c>
      <c r="B4" s="374"/>
      <c r="C4" s="374"/>
      <c r="D4" s="375"/>
      <c r="E4" s="326" t="s">
        <v>42</v>
      </c>
      <c r="F4" s="326"/>
      <c r="G4" s="318"/>
      <c r="H4" s="318"/>
      <c r="I4" s="318"/>
      <c r="J4" s="369" t="s">
        <v>20</v>
      </c>
      <c r="K4" s="370"/>
      <c r="L4" s="314" t="s">
        <v>21</v>
      </c>
      <c r="M4" s="319" t="s">
        <v>608</v>
      </c>
      <c r="N4" s="373" t="s">
        <v>607</v>
      </c>
      <c r="O4" s="375"/>
      <c r="P4" s="326" t="s">
        <v>22</v>
      </c>
      <c r="Q4" s="326"/>
      <c r="R4" s="326"/>
      <c r="S4" s="314" t="s">
        <v>13</v>
      </c>
      <c r="T4" s="328" t="s">
        <v>23</v>
      </c>
      <c r="U4" s="328"/>
    </row>
    <row r="5" spans="1:23" ht="28.9" customHeight="1" x14ac:dyDescent="0.35">
      <c r="A5" s="371">
        <v>44918</v>
      </c>
      <c r="B5" s="376"/>
      <c r="C5" s="376"/>
      <c r="D5" s="372"/>
      <c r="E5" s="333" t="s">
        <v>228</v>
      </c>
      <c r="F5" s="333"/>
      <c r="G5" s="320"/>
      <c r="H5" s="320"/>
      <c r="I5" s="320"/>
      <c r="J5" s="371" t="s">
        <v>599</v>
      </c>
      <c r="K5" s="372"/>
      <c r="L5" s="315"/>
      <c r="M5" s="322">
        <f>N5-P5</f>
        <v>-29661.90737648448</v>
      </c>
      <c r="N5" s="393">
        <f>O89</f>
        <v>2586783.0008235155</v>
      </c>
      <c r="O5" s="394"/>
      <c r="P5" s="395">
        <f>L89</f>
        <v>2616444.9081999999</v>
      </c>
      <c r="Q5" s="396"/>
      <c r="R5" s="397"/>
      <c r="S5" s="321">
        <f>T5/P5</f>
        <v>6.8896604749580537E-2</v>
      </c>
      <c r="T5" s="392">
        <f>R89</f>
        <v>180264.17068930794</v>
      </c>
      <c r="U5" s="392"/>
    </row>
    <row r="6" spans="1:23" ht="9" customHeight="1" x14ac:dyDescent="0.35">
      <c r="A6" s="12"/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3" ht="21" customHeight="1" x14ac:dyDescent="0.35">
      <c r="A7" s="380" t="s">
        <v>5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</row>
    <row r="8" spans="1:23" ht="15" customHeight="1" x14ac:dyDescent="0.35">
      <c r="A8" s="354" t="s">
        <v>0</v>
      </c>
      <c r="B8" s="354" t="s">
        <v>43</v>
      </c>
      <c r="C8" s="354" t="s">
        <v>1</v>
      </c>
      <c r="D8" s="354" t="s">
        <v>44</v>
      </c>
      <c r="E8" s="354" t="s">
        <v>2</v>
      </c>
      <c r="F8" s="347" t="s">
        <v>19</v>
      </c>
      <c r="G8" s="347" t="s">
        <v>602</v>
      </c>
      <c r="H8" s="347" t="s">
        <v>601</v>
      </c>
      <c r="I8" s="347" t="s">
        <v>606</v>
      </c>
      <c r="J8" s="355" t="s">
        <v>18</v>
      </c>
      <c r="K8" s="356"/>
      <c r="L8" s="366" t="s">
        <v>17</v>
      </c>
      <c r="M8" s="366" t="s">
        <v>603</v>
      </c>
      <c r="N8" s="366" t="s">
        <v>604</v>
      </c>
      <c r="O8" s="366" t="s">
        <v>605</v>
      </c>
      <c r="P8" s="347" t="s">
        <v>14</v>
      </c>
      <c r="Q8" s="347"/>
      <c r="R8" s="347"/>
      <c r="S8" s="347" t="s">
        <v>15</v>
      </c>
      <c r="T8" s="347"/>
      <c r="U8" s="347"/>
    </row>
    <row r="9" spans="1:23" ht="34.5" customHeight="1" x14ac:dyDescent="0.35">
      <c r="A9" s="354"/>
      <c r="B9" s="354"/>
      <c r="C9" s="354"/>
      <c r="D9" s="354"/>
      <c r="E9" s="354"/>
      <c r="F9" s="347"/>
      <c r="G9" s="347"/>
      <c r="H9" s="347"/>
      <c r="I9" s="347"/>
      <c r="J9" s="357"/>
      <c r="K9" s="358"/>
      <c r="L9" s="367"/>
      <c r="M9" s="367"/>
      <c r="N9" s="367"/>
      <c r="O9" s="367"/>
      <c r="P9" s="347"/>
      <c r="Q9" s="347"/>
      <c r="R9" s="347"/>
      <c r="S9" s="347"/>
      <c r="T9" s="347"/>
      <c r="U9" s="347"/>
    </row>
    <row r="10" spans="1:23" x14ac:dyDescent="0.35">
      <c r="A10" s="354"/>
      <c r="B10" s="354"/>
      <c r="C10" s="354"/>
      <c r="D10" s="354"/>
      <c r="E10" s="354"/>
      <c r="F10" s="347"/>
      <c r="G10" s="347"/>
      <c r="H10" s="347"/>
      <c r="I10" s="347"/>
      <c r="J10" s="316" t="s">
        <v>45</v>
      </c>
      <c r="K10" s="316" t="s">
        <v>46</v>
      </c>
      <c r="L10" s="367"/>
      <c r="M10" s="367"/>
      <c r="N10" s="367"/>
      <c r="O10" s="367"/>
      <c r="P10" s="9" t="s">
        <v>3</v>
      </c>
      <c r="Q10" s="9" t="s">
        <v>4</v>
      </c>
      <c r="R10" s="9" t="s">
        <v>7</v>
      </c>
      <c r="S10" s="9" t="s">
        <v>3</v>
      </c>
      <c r="T10" s="9" t="s">
        <v>4</v>
      </c>
      <c r="U10" s="9" t="s">
        <v>7</v>
      </c>
    </row>
    <row r="11" spans="1:23" x14ac:dyDescent="0.35">
      <c r="A11" s="317">
        <v>1</v>
      </c>
      <c r="B11" s="317"/>
      <c r="C11" s="18" t="s">
        <v>35</v>
      </c>
      <c r="D11" s="18"/>
      <c r="E11" s="317"/>
      <c r="F11" s="316"/>
      <c r="G11" s="316"/>
      <c r="H11" s="316"/>
      <c r="I11" s="316"/>
      <c r="J11" s="316"/>
      <c r="K11" s="316"/>
      <c r="L11" s="368"/>
      <c r="M11" s="368"/>
      <c r="N11" s="368"/>
      <c r="O11" s="368"/>
      <c r="P11" s="9"/>
      <c r="Q11" s="9"/>
      <c r="R11" s="9"/>
      <c r="S11" s="9"/>
      <c r="T11" s="9"/>
      <c r="U11" s="9"/>
      <c r="W11" s="323">
        <f>M5/P5</f>
        <v>-1.1336721550499062E-2</v>
      </c>
    </row>
    <row r="12" spans="1:23" x14ac:dyDescent="0.35">
      <c r="A12" s="145" t="s">
        <v>47</v>
      </c>
      <c r="B12" s="386" t="s">
        <v>48</v>
      </c>
      <c r="C12" s="387"/>
      <c r="D12" s="387"/>
      <c r="E12" s="387"/>
      <c r="F12" s="387"/>
      <c r="G12" s="387"/>
      <c r="H12" s="387"/>
      <c r="I12" s="387"/>
      <c r="J12" s="387"/>
      <c r="K12" s="388"/>
      <c r="L12" s="24">
        <f>L13+L17+L19+L32+L37+L47</f>
        <v>2131206.2719999999</v>
      </c>
      <c r="M12" s="24">
        <f>M13+M17+M19+M32+M37+M47</f>
        <v>0</v>
      </c>
      <c r="N12" s="24">
        <f>N13+N17+N19+N32+N37+N47</f>
        <v>0</v>
      </c>
      <c r="O12" s="24">
        <f>O13+O17+O19+O32+O37+O47</f>
        <v>2131206.2719999999</v>
      </c>
      <c r="P12" s="28"/>
      <c r="Q12" s="15"/>
      <c r="R12" s="24">
        <f>R13+R17+R19+R32+R37+R47</f>
        <v>0</v>
      </c>
      <c r="S12" s="10"/>
      <c r="T12" s="15"/>
      <c r="U12" s="24">
        <f>U13+U17+U19+U32+U37+U47</f>
        <v>60439.090299999996</v>
      </c>
    </row>
    <row r="13" spans="1:23" x14ac:dyDescent="0.35">
      <c r="A13" s="145" t="s">
        <v>28</v>
      </c>
      <c r="B13" s="389" t="s">
        <v>49</v>
      </c>
      <c r="C13" s="390"/>
      <c r="D13" s="390"/>
      <c r="E13" s="390"/>
      <c r="F13" s="390"/>
      <c r="G13" s="390"/>
      <c r="H13" s="390"/>
      <c r="I13" s="390"/>
      <c r="J13" s="390"/>
      <c r="K13" s="391"/>
      <c r="L13" s="24">
        <f>L14+L15+L16</f>
        <v>72429.532199999987</v>
      </c>
      <c r="M13" s="24">
        <f>M14+M15+M16</f>
        <v>0</v>
      </c>
      <c r="N13" s="24">
        <f>N14+N15+N16</f>
        <v>0</v>
      </c>
      <c r="O13" s="24">
        <f>O14+O15+O16</f>
        <v>72429.532199999987</v>
      </c>
      <c r="P13" s="25"/>
      <c r="Q13" s="26"/>
      <c r="R13" s="24">
        <f>R14+R15+R16</f>
        <v>0</v>
      </c>
      <c r="S13" s="25"/>
      <c r="T13" s="26"/>
      <c r="U13" s="24">
        <f>U14+U15+U16</f>
        <v>60439.090299999996</v>
      </c>
    </row>
    <row r="14" spans="1:23" ht="37.5" x14ac:dyDescent="0.35">
      <c r="A14" s="30" t="s">
        <v>50</v>
      </c>
      <c r="B14" s="20" t="s">
        <v>51</v>
      </c>
      <c r="C14" s="30" t="s">
        <v>52</v>
      </c>
      <c r="D14" s="20" t="s">
        <v>53</v>
      </c>
      <c r="E14" s="20" t="s">
        <v>54</v>
      </c>
      <c r="F14" s="21">
        <v>20700</v>
      </c>
      <c r="G14" s="21">
        <f>IF(I14&lt;F14,I14-F14,0)</f>
        <v>0</v>
      </c>
      <c r="H14" s="21">
        <f>IF(F14&lt;I14,I14-F14,0)</f>
        <v>0</v>
      </c>
      <c r="I14" s="21">
        <f>F14</f>
        <v>20700</v>
      </c>
      <c r="J14" s="21">
        <v>0.33</v>
      </c>
      <c r="K14" s="21">
        <v>0.43</v>
      </c>
      <c r="L14" s="19">
        <f>K14*F14</f>
        <v>8901</v>
      </c>
      <c r="M14" s="19">
        <f>G14*K14</f>
        <v>0</v>
      </c>
      <c r="N14" s="19">
        <f>K14*H14</f>
        <v>0</v>
      </c>
      <c r="O14" s="19">
        <f>K14*I14</f>
        <v>8901</v>
      </c>
      <c r="P14" s="32"/>
      <c r="Q14" s="15">
        <f>P14/F14</f>
        <v>0</v>
      </c>
      <c r="R14" s="19">
        <f>P14*K14</f>
        <v>0</v>
      </c>
      <c r="S14" s="32">
        <f>P14+'1ª MEDIÇÃO'!M15</f>
        <v>19500.21</v>
      </c>
      <c r="T14" s="15">
        <f>S14/F14</f>
        <v>0.9420391304347826</v>
      </c>
      <c r="U14" s="19">
        <f>S14*K14</f>
        <v>8385.0902999999998</v>
      </c>
    </row>
    <row r="15" spans="1:23" ht="37.5" x14ac:dyDescent="0.35">
      <c r="A15" s="30" t="s">
        <v>55</v>
      </c>
      <c r="B15" s="20" t="s">
        <v>56</v>
      </c>
      <c r="C15" s="30" t="s">
        <v>57</v>
      </c>
      <c r="D15" s="20" t="s">
        <v>58</v>
      </c>
      <c r="E15" s="20" t="s">
        <v>54</v>
      </c>
      <c r="F15" s="21">
        <v>15075</v>
      </c>
      <c r="G15" s="21">
        <f t="shared" ref="G15:G53" si="0">IF(I15&lt;F15,I15-F15,0)</f>
        <v>0</v>
      </c>
      <c r="H15" s="21">
        <f t="shared" ref="H15:H53" si="1">IF(F15&lt;I15,I15-F15,0)</f>
        <v>0</v>
      </c>
      <c r="I15" s="21">
        <f t="shared" ref="I15:I16" si="2">F15</f>
        <v>15075</v>
      </c>
      <c r="J15" s="21">
        <v>0.31</v>
      </c>
      <c r="K15" s="21">
        <v>0.4</v>
      </c>
      <c r="L15" s="19">
        <f t="shared" ref="L15:L53" si="3">K15*F15</f>
        <v>6030</v>
      </c>
      <c r="M15" s="19">
        <f t="shared" ref="M15:M53" si="4">G15*K15</f>
        <v>0</v>
      </c>
      <c r="N15" s="19">
        <f t="shared" ref="N15:N39" si="5">K15*H15</f>
        <v>0</v>
      </c>
      <c r="O15" s="19">
        <f t="shared" ref="O15:O53" si="6">K15*I15</f>
        <v>6030</v>
      </c>
      <c r="P15" s="32"/>
      <c r="Q15" s="15">
        <f t="shared" ref="Q15:Q53" si="7">P15/F15</f>
        <v>0</v>
      </c>
      <c r="R15" s="19">
        <f>P15*K15</f>
        <v>0</v>
      </c>
      <c r="S15" s="32">
        <f>P15+'1ª MEDIÇÃO'!M16</f>
        <v>10200</v>
      </c>
      <c r="T15" s="15">
        <f t="shared" ref="T15:T53" si="8">S15/F15</f>
        <v>0.6766169154228856</v>
      </c>
      <c r="U15" s="19">
        <f t="shared" ref="U15:U53" si="9">S15*K15</f>
        <v>4080</v>
      </c>
    </row>
    <row r="16" spans="1:23" x14ac:dyDescent="0.35">
      <c r="A16" s="30" t="s">
        <v>59</v>
      </c>
      <c r="B16" s="20" t="s">
        <v>60</v>
      </c>
      <c r="C16" s="30" t="s">
        <v>61</v>
      </c>
      <c r="D16" s="20" t="s">
        <v>62</v>
      </c>
      <c r="E16" s="20" t="s">
        <v>63</v>
      </c>
      <c r="F16" s="21">
        <v>2037.51</v>
      </c>
      <c r="G16" s="21">
        <f t="shared" si="0"/>
        <v>0</v>
      </c>
      <c r="H16" s="21">
        <f t="shared" si="1"/>
        <v>0</v>
      </c>
      <c r="I16" s="21">
        <f t="shared" si="2"/>
        <v>2037.51</v>
      </c>
      <c r="J16" s="21">
        <v>21.71</v>
      </c>
      <c r="K16" s="21">
        <v>28.22</v>
      </c>
      <c r="L16" s="19">
        <f t="shared" si="3"/>
        <v>57498.532199999994</v>
      </c>
      <c r="M16" s="19">
        <f t="shared" si="4"/>
        <v>0</v>
      </c>
      <c r="N16" s="19">
        <f t="shared" si="5"/>
        <v>0</v>
      </c>
      <c r="O16" s="19">
        <f t="shared" si="6"/>
        <v>57498.532199999994</v>
      </c>
      <c r="P16" s="32"/>
      <c r="Q16" s="15">
        <f t="shared" si="7"/>
        <v>0</v>
      </c>
      <c r="R16" s="19">
        <f t="shared" ref="R16:R53" si="10">P16*K16</f>
        <v>0</v>
      </c>
      <c r="S16" s="32">
        <f>P16+'1ª MEDIÇÃO'!M17</f>
        <v>1700</v>
      </c>
      <c r="T16" s="15">
        <f t="shared" si="8"/>
        <v>0.83435173324302703</v>
      </c>
      <c r="U16" s="19">
        <f t="shared" si="9"/>
        <v>47974</v>
      </c>
    </row>
    <row r="17" spans="1:21" x14ac:dyDescent="0.35">
      <c r="A17" s="145" t="s">
        <v>29</v>
      </c>
      <c r="B17" s="359" t="s">
        <v>64</v>
      </c>
      <c r="C17" s="359"/>
      <c r="D17" s="359"/>
      <c r="E17" s="359"/>
      <c r="F17" s="359"/>
      <c r="G17" s="359"/>
      <c r="H17" s="359"/>
      <c r="I17" s="359"/>
      <c r="J17" s="359"/>
      <c r="K17" s="359"/>
      <c r="L17" s="24">
        <f>L18</f>
        <v>251639.57179999995</v>
      </c>
      <c r="M17" s="24">
        <f>M18</f>
        <v>0</v>
      </c>
      <c r="N17" s="24">
        <f>N18</f>
        <v>0</v>
      </c>
      <c r="O17" s="24">
        <f>O18</f>
        <v>251639.57179999995</v>
      </c>
      <c r="P17" s="33"/>
      <c r="Q17" s="26"/>
      <c r="R17" s="24">
        <f>R18</f>
        <v>0</v>
      </c>
      <c r="S17" s="33"/>
      <c r="T17" s="26"/>
      <c r="U17" s="24">
        <f>U18</f>
        <v>0</v>
      </c>
    </row>
    <row r="18" spans="1:21" ht="50" x14ac:dyDescent="0.35">
      <c r="A18" s="30" t="s">
        <v>65</v>
      </c>
      <c r="B18" s="20" t="s">
        <v>66</v>
      </c>
      <c r="C18" s="30" t="s">
        <v>67</v>
      </c>
      <c r="D18" s="20" t="s">
        <v>53</v>
      </c>
      <c r="E18" s="20" t="s">
        <v>68</v>
      </c>
      <c r="F18" s="21">
        <v>7260.23</v>
      </c>
      <c r="G18" s="21">
        <f t="shared" si="0"/>
        <v>0</v>
      </c>
      <c r="H18" s="21">
        <f t="shared" si="1"/>
        <v>0</v>
      </c>
      <c r="I18" s="21">
        <f>F18</f>
        <v>7260.23</v>
      </c>
      <c r="J18" s="21">
        <v>26.67</v>
      </c>
      <c r="K18" s="21">
        <v>34.659999999999997</v>
      </c>
      <c r="L18" s="19">
        <f t="shared" si="3"/>
        <v>251639.57179999995</v>
      </c>
      <c r="M18" s="19">
        <f t="shared" si="4"/>
        <v>0</v>
      </c>
      <c r="N18" s="19">
        <f t="shared" si="5"/>
        <v>0</v>
      </c>
      <c r="O18" s="19">
        <f t="shared" si="6"/>
        <v>251639.57179999995</v>
      </c>
      <c r="P18" s="32"/>
      <c r="Q18" s="15">
        <f t="shared" si="7"/>
        <v>0</v>
      </c>
      <c r="R18" s="19">
        <f t="shared" si="10"/>
        <v>0</v>
      </c>
      <c r="S18" s="32">
        <f>P18+'1ª MEDIÇÃO'!M19</f>
        <v>0</v>
      </c>
      <c r="T18" s="15">
        <f t="shared" si="8"/>
        <v>0</v>
      </c>
      <c r="U18" s="19">
        <f t="shared" si="9"/>
        <v>0</v>
      </c>
    </row>
    <row r="19" spans="1:21" x14ac:dyDescent="0.35">
      <c r="A19" s="145" t="s">
        <v>30</v>
      </c>
      <c r="B19" s="359" t="s">
        <v>69</v>
      </c>
      <c r="C19" s="359"/>
      <c r="D19" s="359"/>
      <c r="E19" s="359"/>
      <c r="F19" s="359"/>
      <c r="G19" s="359"/>
      <c r="H19" s="359"/>
      <c r="I19" s="359"/>
      <c r="J19" s="359"/>
      <c r="K19" s="359"/>
      <c r="L19" s="24">
        <f>L20+L21+L22+L23+L24+L25+L26+L27+L28+L29+L30+L31</f>
        <v>994510.32799999998</v>
      </c>
      <c r="M19" s="24">
        <f>M20+M21+M22+M23+M24+M25+M26+M27+M28+M29+M30+M31</f>
        <v>0</v>
      </c>
      <c r="N19" s="24">
        <f>N20+N21+N22+N23+N24+N25+N26+N27+N28+N29+N30+N31</f>
        <v>0</v>
      </c>
      <c r="O19" s="24">
        <f>O20+O21+O22+O23+O24+O25+O26+O27+O28+O29+O30+O31</f>
        <v>994510.32799999998</v>
      </c>
      <c r="P19" s="33"/>
      <c r="Q19" s="26"/>
      <c r="R19" s="24">
        <f>R20+R21+R22+R23+R24+R25+R26+R27+R28+R29+R30+R31</f>
        <v>0</v>
      </c>
      <c r="S19" s="33"/>
      <c r="T19" s="26"/>
      <c r="U19" s="24">
        <f>U20+U21+U22+U23+U24+U25+U26+U27+U28+U29+U30+U31</f>
        <v>0</v>
      </c>
    </row>
    <row r="20" spans="1:21" x14ac:dyDescent="0.35">
      <c r="A20" s="30" t="s">
        <v>70</v>
      </c>
      <c r="B20" s="20" t="s">
        <v>71</v>
      </c>
      <c r="C20" s="30" t="s">
        <v>72</v>
      </c>
      <c r="D20" s="20" t="s">
        <v>62</v>
      </c>
      <c r="E20" s="20" t="s">
        <v>73</v>
      </c>
      <c r="F20" s="21">
        <v>1840</v>
      </c>
      <c r="G20" s="21">
        <f t="shared" si="0"/>
        <v>0</v>
      </c>
      <c r="H20" s="21">
        <f t="shared" si="1"/>
        <v>0</v>
      </c>
      <c r="I20" s="21">
        <f>F20</f>
        <v>1840</v>
      </c>
      <c r="J20" s="21">
        <v>19.05</v>
      </c>
      <c r="K20" s="21">
        <v>24.76</v>
      </c>
      <c r="L20" s="19">
        <f t="shared" si="3"/>
        <v>45558.400000000001</v>
      </c>
      <c r="M20" s="19">
        <f t="shared" si="4"/>
        <v>0</v>
      </c>
      <c r="N20" s="19">
        <f t="shared" si="5"/>
        <v>0</v>
      </c>
      <c r="O20" s="19">
        <f t="shared" si="6"/>
        <v>45558.400000000001</v>
      </c>
      <c r="P20" s="32"/>
      <c r="Q20" s="15">
        <f t="shared" si="7"/>
        <v>0</v>
      </c>
      <c r="R20" s="19">
        <f t="shared" si="10"/>
        <v>0</v>
      </c>
      <c r="S20" s="32">
        <f>P20+'1ª MEDIÇÃO'!M21</f>
        <v>0</v>
      </c>
      <c r="T20" s="15">
        <f t="shared" si="8"/>
        <v>0</v>
      </c>
      <c r="U20" s="19">
        <f t="shared" si="9"/>
        <v>0</v>
      </c>
    </row>
    <row r="21" spans="1:21" x14ac:dyDescent="0.35">
      <c r="A21" s="30" t="s">
        <v>74</v>
      </c>
      <c r="B21" s="20" t="s">
        <v>75</v>
      </c>
      <c r="C21" s="30" t="s">
        <v>76</v>
      </c>
      <c r="D21" s="20" t="s">
        <v>62</v>
      </c>
      <c r="E21" s="20" t="s">
        <v>77</v>
      </c>
      <c r="F21" s="21">
        <v>9200</v>
      </c>
      <c r="G21" s="21">
        <f t="shared" si="0"/>
        <v>0</v>
      </c>
      <c r="H21" s="21">
        <f t="shared" si="1"/>
        <v>0</v>
      </c>
      <c r="I21" s="21">
        <f t="shared" ref="I21:I31" si="11">F21</f>
        <v>9200</v>
      </c>
      <c r="J21" s="21">
        <v>0.33</v>
      </c>
      <c r="K21" s="21">
        <v>0.43</v>
      </c>
      <c r="L21" s="19">
        <f t="shared" si="3"/>
        <v>3956</v>
      </c>
      <c r="M21" s="19">
        <f t="shared" si="4"/>
        <v>0</v>
      </c>
      <c r="N21" s="19">
        <f t="shared" si="5"/>
        <v>0</v>
      </c>
      <c r="O21" s="19">
        <f t="shared" si="6"/>
        <v>3956</v>
      </c>
      <c r="P21" s="32"/>
      <c r="Q21" s="15">
        <f t="shared" si="7"/>
        <v>0</v>
      </c>
      <c r="R21" s="19">
        <f t="shared" si="10"/>
        <v>0</v>
      </c>
      <c r="S21" s="32">
        <f>P21+'1ª MEDIÇÃO'!M22</f>
        <v>0</v>
      </c>
      <c r="T21" s="15">
        <f t="shared" si="8"/>
        <v>0</v>
      </c>
      <c r="U21" s="19">
        <f t="shared" si="9"/>
        <v>0</v>
      </c>
    </row>
    <row r="22" spans="1:21" x14ac:dyDescent="0.35">
      <c r="A22" s="30" t="s">
        <v>78</v>
      </c>
      <c r="B22" s="20" t="s">
        <v>79</v>
      </c>
      <c r="C22" s="30" t="s">
        <v>80</v>
      </c>
      <c r="D22" s="20" t="s">
        <v>81</v>
      </c>
      <c r="E22" s="20" t="s">
        <v>54</v>
      </c>
      <c r="F22" s="21">
        <v>9200</v>
      </c>
      <c r="G22" s="21">
        <f t="shared" si="0"/>
        <v>0</v>
      </c>
      <c r="H22" s="21">
        <f t="shared" si="1"/>
        <v>0</v>
      </c>
      <c r="I22" s="21">
        <f t="shared" si="11"/>
        <v>9200</v>
      </c>
      <c r="J22" s="21">
        <v>0.32</v>
      </c>
      <c r="K22" s="21">
        <v>0.42</v>
      </c>
      <c r="L22" s="19">
        <f t="shared" si="3"/>
        <v>3864</v>
      </c>
      <c r="M22" s="19">
        <f t="shared" si="4"/>
        <v>0</v>
      </c>
      <c r="N22" s="19">
        <f t="shared" si="5"/>
        <v>0</v>
      </c>
      <c r="O22" s="19">
        <f t="shared" si="6"/>
        <v>3864</v>
      </c>
      <c r="P22" s="32"/>
      <c r="Q22" s="15">
        <f t="shared" si="7"/>
        <v>0</v>
      </c>
      <c r="R22" s="19">
        <f t="shared" si="10"/>
        <v>0</v>
      </c>
      <c r="S22" s="32">
        <f>P22+'1ª MEDIÇÃO'!M23</f>
        <v>0</v>
      </c>
      <c r="T22" s="15">
        <f t="shared" si="8"/>
        <v>0</v>
      </c>
      <c r="U22" s="19">
        <f t="shared" si="9"/>
        <v>0</v>
      </c>
    </row>
    <row r="23" spans="1:21" ht="25" x14ac:dyDescent="0.35">
      <c r="A23" s="30" t="s">
        <v>82</v>
      </c>
      <c r="B23" s="20" t="s">
        <v>83</v>
      </c>
      <c r="C23" s="30" t="s">
        <v>84</v>
      </c>
      <c r="D23" s="20" t="s">
        <v>58</v>
      </c>
      <c r="E23" s="20" t="s">
        <v>85</v>
      </c>
      <c r="F23" s="21">
        <v>662.4</v>
      </c>
      <c r="G23" s="21">
        <f t="shared" si="0"/>
        <v>0</v>
      </c>
      <c r="H23" s="21">
        <f t="shared" si="1"/>
        <v>0</v>
      </c>
      <c r="I23" s="21">
        <f t="shared" si="11"/>
        <v>662.4</v>
      </c>
      <c r="J23" s="21">
        <v>169.02</v>
      </c>
      <c r="K23" s="21">
        <v>219.68</v>
      </c>
      <c r="L23" s="19">
        <f t="shared" si="3"/>
        <v>145516.03200000001</v>
      </c>
      <c r="M23" s="19">
        <f t="shared" si="4"/>
        <v>0</v>
      </c>
      <c r="N23" s="19">
        <f t="shared" si="5"/>
        <v>0</v>
      </c>
      <c r="O23" s="19">
        <f t="shared" si="6"/>
        <v>145516.03200000001</v>
      </c>
      <c r="P23" s="32"/>
      <c r="Q23" s="15">
        <f t="shared" si="7"/>
        <v>0</v>
      </c>
      <c r="R23" s="19">
        <f t="shared" si="10"/>
        <v>0</v>
      </c>
      <c r="S23" s="32">
        <f>P23+'1ª MEDIÇÃO'!M24</f>
        <v>0</v>
      </c>
      <c r="T23" s="15">
        <f t="shared" si="8"/>
        <v>0</v>
      </c>
      <c r="U23" s="19">
        <f t="shared" si="9"/>
        <v>0</v>
      </c>
    </row>
    <row r="24" spans="1:21" x14ac:dyDescent="0.35">
      <c r="A24" s="30" t="s">
        <v>86</v>
      </c>
      <c r="B24" s="20" t="s">
        <v>87</v>
      </c>
      <c r="C24" s="30" t="s">
        <v>88</v>
      </c>
      <c r="D24" s="20" t="s">
        <v>58</v>
      </c>
      <c r="E24" s="20" t="s">
        <v>85</v>
      </c>
      <c r="F24" s="21">
        <v>643.08000000000004</v>
      </c>
      <c r="G24" s="21">
        <f t="shared" si="0"/>
        <v>0</v>
      </c>
      <c r="H24" s="21">
        <f t="shared" si="1"/>
        <v>0</v>
      </c>
      <c r="I24" s="21">
        <f t="shared" si="11"/>
        <v>643.08000000000004</v>
      </c>
      <c r="J24" s="21">
        <v>142.47999999999999</v>
      </c>
      <c r="K24" s="21">
        <v>185.18</v>
      </c>
      <c r="L24" s="19">
        <f t="shared" si="3"/>
        <v>119085.55440000001</v>
      </c>
      <c r="M24" s="19">
        <f t="shared" si="4"/>
        <v>0</v>
      </c>
      <c r="N24" s="19">
        <f t="shared" si="5"/>
        <v>0</v>
      </c>
      <c r="O24" s="19">
        <f t="shared" si="6"/>
        <v>119085.55440000001</v>
      </c>
      <c r="P24" s="32"/>
      <c r="Q24" s="15">
        <f t="shared" si="7"/>
        <v>0</v>
      </c>
      <c r="R24" s="19">
        <f t="shared" si="10"/>
        <v>0</v>
      </c>
      <c r="S24" s="32">
        <f>P24+'1ª MEDIÇÃO'!M25</f>
        <v>0</v>
      </c>
      <c r="T24" s="15">
        <f t="shared" si="8"/>
        <v>0</v>
      </c>
      <c r="U24" s="19">
        <f t="shared" si="9"/>
        <v>0</v>
      </c>
    </row>
    <row r="25" spans="1:21" x14ac:dyDescent="0.35">
      <c r="A25" s="30" t="s">
        <v>89</v>
      </c>
      <c r="B25" s="20" t="s">
        <v>90</v>
      </c>
      <c r="C25" s="30" t="s">
        <v>91</v>
      </c>
      <c r="D25" s="20" t="s">
        <v>58</v>
      </c>
      <c r="E25" s="20" t="s">
        <v>92</v>
      </c>
      <c r="F25" s="21">
        <v>34341.300000000003</v>
      </c>
      <c r="G25" s="21">
        <f t="shared" si="0"/>
        <v>0</v>
      </c>
      <c r="H25" s="21">
        <f t="shared" si="1"/>
        <v>0</v>
      </c>
      <c r="I25" s="21">
        <f t="shared" si="11"/>
        <v>34341.300000000003</v>
      </c>
      <c r="J25" s="21">
        <v>0.94</v>
      </c>
      <c r="K25" s="21">
        <v>1.22</v>
      </c>
      <c r="L25" s="19">
        <f t="shared" si="3"/>
        <v>41896.386000000006</v>
      </c>
      <c r="M25" s="19">
        <f t="shared" si="4"/>
        <v>0</v>
      </c>
      <c r="N25" s="19">
        <f t="shared" si="5"/>
        <v>0</v>
      </c>
      <c r="O25" s="19">
        <f t="shared" si="6"/>
        <v>41896.386000000006</v>
      </c>
      <c r="P25" s="32"/>
      <c r="Q25" s="15">
        <f t="shared" si="7"/>
        <v>0</v>
      </c>
      <c r="R25" s="19">
        <f t="shared" si="10"/>
        <v>0</v>
      </c>
      <c r="S25" s="32">
        <f>P25+'1ª MEDIÇÃO'!M26</f>
        <v>0</v>
      </c>
      <c r="T25" s="15">
        <f t="shared" si="8"/>
        <v>0</v>
      </c>
      <c r="U25" s="19">
        <f t="shared" si="9"/>
        <v>0</v>
      </c>
    </row>
    <row r="26" spans="1:21" x14ac:dyDescent="0.35">
      <c r="A26" s="30" t="s">
        <v>93</v>
      </c>
      <c r="B26" s="20" t="s">
        <v>94</v>
      </c>
      <c r="C26" s="30" t="s">
        <v>95</v>
      </c>
      <c r="D26" s="20" t="s">
        <v>58</v>
      </c>
      <c r="E26" s="20" t="s">
        <v>92</v>
      </c>
      <c r="F26" s="21">
        <v>7820</v>
      </c>
      <c r="G26" s="21">
        <f t="shared" si="0"/>
        <v>0</v>
      </c>
      <c r="H26" s="21">
        <f t="shared" si="1"/>
        <v>0</v>
      </c>
      <c r="I26" s="21">
        <f t="shared" si="11"/>
        <v>7820</v>
      </c>
      <c r="J26" s="21">
        <v>0.83</v>
      </c>
      <c r="K26" s="21">
        <v>1.08</v>
      </c>
      <c r="L26" s="19">
        <f t="shared" si="3"/>
        <v>8445.6</v>
      </c>
      <c r="M26" s="19">
        <f t="shared" si="4"/>
        <v>0</v>
      </c>
      <c r="N26" s="19">
        <f t="shared" si="5"/>
        <v>0</v>
      </c>
      <c r="O26" s="19">
        <f t="shared" si="6"/>
        <v>8445.6</v>
      </c>
      <c r="P26" s="32"/>
      <c r="Q26" s="15">
        <f t="shared" si="7"/>
        <v>0</v>
      </c>
      <c r="R26" s="19">
        <f t="shared" si="10"/>
        <v>0</v>
      </c>
      <c r="S26" s="32">
        <f>P26+'1ª MEDIÇÃO'!M27</f>
        <v>0</v>
      </c>
      <c r="T26" s="15">
        <f t="shared" si="8"/>
        <v>0</v>
      </c>
      <c r="U26" s="19">
        <f t="shared" si="9"/>
        <v>0</v>
      </c>
    </row>
    <row r="27" spans="1:21" ht="25" x14ac:dyDescent="0.35">
      <c r="A27" s="30" t="s">
        <v>96</v>
      </c>
      <c r="B27" s="20" t="s">
        <v>97</v>
      </c>
      <c r="C27" s="30" t="s">
        <v>98</v>
      </c>
      <c r="D27" s="20" t="s">
        <v>62</v>
      </c>
      <c r="E27" s="20" t="s">
        <v>99</v>
      </c>
      <c r="F27" s="21">
        <v>4.5999999999999996</v>
      </c>
      <c r="G27" s="21">
        <f t="shared" si="0"/>
        <v>0</v>
      </c>
      <c r="H27" s="21">
        <f t="shared" si="1"/>
        <v>0</v>
      </c>
      <c r="I27" s="21">
        <f t="shared" si="11"/>
        <v>4.5999999999999996</v>
      </c>
      <c r="J27" s="21">
        <v>4403.33</v>
      </c>
      <c r="K27" s="21">
        <v>5143.09</v>
      </c>
      <c r="L27" s="19">
        <f t="shared" si="3"/>
        <v>23658.214</v>
      </c>
      <c r="M27" s="19">
        <f t="shared" si="4"/>
        <v>0</v>
      </c>
      <c r="N27" s="19">
        <f t="shared" si="5"/>
        <v>0</v>
      </c>
      <c r="O27" s="19">
        <f t="shared" si="6"/>
        <v>23658.214</v>
      </c>
      <c r="P27" s="32"/>
      <c r="Q27" s="15">
        <f t="shared" si="7"/>
        <v>0</v>
      </c>
      <c r="R27" s="19">
        <f t="shared" si="10"/>
        <v>0</v>
      </c>
      <c r="S27" s="32">
        <f>P27+'1ª MEDIÇÃO'!M28</f>
        <v>0</v>
      </c>
      <c r="T27" s="15">
        <f t="shared" si="8"/>
        <v>0</v>
      </c>
      <c r="U27" s="19">
        <f t="shared" si="9"/>
        <v>0</v>
      </c>
    </row>
    <row r="28" spans="1:21" x14ac:dyDescent="0.35">
      <c r="A28" s="30" t="s">
        <v>100</v>
      </c>
      <c r="B28" s="20" t="s">
        <v>101</v>
      </c>
      <c r="C28" s="30" t="s">
        <v>102</v>
      </c>
      <c r="D28" s="20" t="s">
        <v>62</v>
      </c>
      <c r="E28" s="20" t="s">
        <v>99</v>
      </c>
      <c r="F28" s="21">
        <v>11.04</v>
      </c>
      <c r="G28" s="21">
        <f t="shared" si="0"/>
        <v>0</v>
      </c>
      <c r="H28" s="21">
        <f t="shared" si="1"/>
        <v>0</v>
      </c>
      <c r="I28" s="21">
        <f t="shared" si="11"/>
        <v>11.04</v>
      </c>
      <c r="J28" s="21">
        <v>7602</v>
      </c>
      <c r="K28" s="21">
        <v>8879.14</v>
      </c>
      <c r="L28" s="19">
        <f t="shared" si="3"/>
        <v>98025.705599999987</v>
      </c>
      <c r="M28" s="19">
        <f t="shared" si="4"/>
        <v>0</v>
      </c>
      <c r="N28" s="19">
        <f t="shared" si="5"/>
        <v>0</v>
      </c>
      <c r="O28" s="19">
        <f t="shared" si="6"/>
        <v>98025.705599999987</v>
      </c>
      <c r="P28" s="32"/>
      <c r="Q28" s="15">
        <f t="shared" si="7"/>
        <v>0</v>
      </c>
      <c r="R28" s="19">
        <f t="shared" si="10"/>
        <v>0</v>
      </c>
      <c r="S28" s="32">
        <f>P28+'1ª MEDIÇÃO'!M29</f>
        <v>0</v>
      </c>
      <c r="T28" s="15">
        <f t="shared" si="8"/>
        <v>0</v>
      </c>
      <c r="U28" s="19">
        <f t="shared" si="9"/>
        <v>0</v>
      </c>
    </row>
    <row r="29" spans="1:21" ht="25" x14ac:dyDescent="0.35">
      <c r="A29" s="30" t="s">
        <v>103</v>
      </c>
      <c r="B29" s="20" t="s">
        <v>104</v>
      </c>
      <c r="C29" s="30" t="s">
        <v>105</v>
      </c>
      <c r="D29" s="20" t="s">
        <v>62</v>
      </c>
      <c r="E29" s="20" t="s">
        <v>99</v>
      </c>
      <c r="F29" s="21">
        <v>68.680000000000007</v>
      </c>
      <c r="G29" s="21">
        <f t="shared" si="0"/>
        <v>0</v>
      </c>
      <c r="H29" s="21">
        <f t="shared" si="1"/>
        <v>0</v>
      </c>
      <c r="I29" s="21">
        <f t="shared" si="11"/>
        <v>68.680000000000007</v>
      </c>
      <c r="J29" s="21">
        <v>5859.33</v>
      </c>
      <c r="K29" s="21">
        <v>6843.7</v>
      </c>
      <c r="L29" s="19">
        <f t="shared" si="3"/>
        <v>470025.31600000005</v>
      </c>
      <c r="M29" s="19">
        <f t="shared" si="4"/>
        <v>0</v>
      </c>
      <c r="N29" s="19">
        <f t="shared" si="5"/>
        <v>0</v>
      </c>
      <c r="O29" s="19">
        <f t="shared" si="6"/>
        <v>470025.31600000005</v>
      </c>
      <c r="P29" s="32"/>
      <c r="Q29" s="15">
        <f t="shared" si="7"/>
        <v>0</v>
      </c>
      <c r="R29" s="19">
        <f t="shared" si="10"/>
        <v>0</v>
      </c>
      <c r="S29" s="32">
        <f>P29+'1ª MEDIÇÃO'!M30</f>
        <v>0</v>
      </c>
      <c r="T29" s="15">
        <f t="shared" si="8"/>
        <v>0</v>
      </c>
      <c r="U29" s="19">
        <f t="shared" si="9"/>
        <v>0</v>
      </c>
    </row>
    <row r="30" spans="1:21" ht="62.5" x14ac:dyDescent="0.35">
      <c r="A30" s="30" t="s">
        <v>106</v>
      </c>
      <c r="B30" s="20" t="s">
        <v>107</v>
      </c>
      <c r="C30" s="30" t="s">
        <v>108</v>
      </c>
      <c r="D30" s="20" t="s">
        <v>58</v>
      </c>
      <c r="E30" s="20" t="s">
        <v>41</v>
      </c>
      <c r="F30" s="21">
        <v>314</v>
      </c>
      <c r="G30" s="21">
        <f t="shared" si="0"/>
        <v>0</v>
      </c>
      <c r="H30" s="21">
        <f t="shared" si="1"/>
        <v>0</v>
      </c>
      <c r="I30" s="21">
        <f t="shared" si="11"/>
        <v>314</v>
      </c>
      <c r="J30" s="21">
        <v>38.56</v>
      </c>
      <c r="K30" s="21">
        <v>50.12</v>
      </c>
      <c r="L30" s="19">
        <f t="shared" si="3"/>
        <v>15737.679999999998</v>
      </c>
      <c r="M30" s="19">
        <f t="shared" si="4"/>
        <v>0</v>
      </c>
      <c r="N30" s="19">
        <f t="shared" si="5"/>
        <v>0</v>
      </c>
      <c r="O30" s="19">
        <f t="shared" si="6"/>
        <v>15737.679999999998</v>
      </c>
      <c r="P30" s="32"/>
      <c r="Q30" s="15">
        <f t="shared" si="7"/>
        <v>0</v>
      </c>
      <c r="R30" s="19">
        <f t="shared" si="10"/>
        <v>0</v>
      </c>
      <c r="S30" s="32">
        <f>P30+'1ª MEDIÇÃO'!M31</f>
        <v>0</v>
      </c>
      <c r="T30" s="15">
        <f t="shared" si="8"/>
        <v>0</v>
      </c>
      <c r="U30" s="19">
        <f t="shared" si="9"/>
        <v>0</v>
      </c>
    </row>
    <row r="31" spans="1:21" ht="25" x14ac:dyDescent="0.35">
      <c r="A31" s="30" t="s">
        <v>109</v>
      </c>
      <c r="B31" s="20" t="s">
        <v>110</v>
      </c>
      <c r="C31" s="30" t="s">
        <v>111</v>
      </c>
      <c r="D31" s="20" t="s">
        <v>53</v>
      </c>
      <c r="E31" s="20" t="s">
        <v>112</v>
      </c>
      <c r="F31" s="21">
        <v>16</v>
      </c>
      <c r="G31" s="21">
        <f t="shared" si="0"/>
        <v>0</v>
      </c>
      <c r="H31" s="21">
        <f t="shared" si="1"/>
        <v>0</v>
      </c>
      <c r="I31" s="21">
        <f t="shared" si="11"/>
        <v>16</v>
      </c>
      <c r="J31" s="21">
        <v>901.24</v>
      </c>
      <c r="K31" s="21">
        <v>1171.3399999999999</v>
      </c>
      <c r="L31" s="19">
        <f t="shared" si="3"/>
        <v>18741.439999999999</v>
      </c>
      <c r="M31" s="19">
        <f t="shared" si="4"/>
        <v>0</v>
      </c>
      <c r="N31" s="19">
        <f t="shared" si="5"/>
        <v>0</v>
      </c>
      <c r="O31" s="19">
        <f t="shared" si="6"/>
        <v>18741.439999999999</v>
      </c>
      <c r="P31" s="32"/>
      <c r="Q31" s="15">
        <f t="shared" si="7"/>
        <v>0</v>
      </c>
      <c r="R31" s="19">
        <f t="shared" si="10"/>
        <v>0</v>
      </c>
      <c r="S31" s="32">
        <f>P31+'1ª MEDIÇÃO'!M32</f>
        <v>0</v>
      </c>
      <c r="T31" s="15">
        <f t="shared" si="8"/>
        <v>0</v>
      </c>
      <c r="U31" s="19">
        <f t="shared" si="9"/>
        <v>0</v>
      </c>
    </row>
    <row r="32" spans="1:21" ht="15.65" customHeight="1" x14ac:dyDescent="0.35">
      <c r="A32" s="145" t="s">
        <v>31</v>
      </c>
      <c r="B32" s="360" t="s">
        <v>113</v>
      </c>
      <c r="C32" s="361"/>
      <c r="D32" s="361"/>
      <c r="E32" s="361"/>
      <c r="F32" s="361"/>
      <c r="G32" s="361"/>
      <c r="H32" s="361"/>
      <c r="I32" s="361"/>
      <c r="J32" s="361"/>
      <c r="K32" s="362"/>
      <c r="L32" s="24">
        <f>L33+L34+L35+L36</f>
        <v>141969.08000000002</v>
      </c>
      <c r="M32" s="24">
        <f>M33+M34+M35+M36</f>
        <v>0</v>
      </c>
      <c r="N32" s="24">
        <f>N33+N34+N35+N36</f>
        <v>0</v>
      </c>
      <c r="O32" s="24">
        <f>O33+O34+O35+O36</f>
        <v>141969.08000000002</v>
      </c>
      <c r="P32" s="33"/>
      <c r="Q32" s="26"/>
      <c r="R32" s="24">
        <f>R33+R34+R35+R36</f>
        <v>0</v>
      </c>
      <c r="S32" s="33"/>
      <c r="T32" s="26"/>
      <c r="U32" s="24">
        <f>U33+U34+U35+U36</f>
        <v>0</v>
      </c>
    </row>
    <row r="33" spans="1:21" ht="25" x14ac:dyDescent="0.35">
      <c r="A33" s="30" t="s">
        <v>114</v>
      </c>
      <c r="B33" s="20" t="s">
        <v>115</v>
      </c>
      <c r="C33" s="30" t="s">
        <v>116</v>
      </c>
      <c r="D33" s="20" t="s">
        <v>53</v>
      </c>
      <c r="E33" s="20" t="s">
        <v>54</v>
      </c>
      <c r="F33" s="21">
        <v>690</v>
      </c>
      <c r="G33" s="21">
        <f t="shared" si="0"/>
        <v>0</v>
      </c>
      <c r="H33" s="21">
        <f t="shared" si="1"/>
        <v>0</v>
      </c>
      <c r="I33" s="21">
        <f>F33</f>
        <v>690</v>
      </c>
      <c r="J33" s="21">
        <v>43.6</v>
      </c>
      <c r="K33" s="21">
        <v>56.67</v>
      </c>
      <c r="L33" s="19">
        <f t="shared" si="3"/>
        <v>39102.300000000003</v>
      </c>
      <c r="M33" s="19">
        <f t="shared" si="4"/>
        <v>0</v>
      </c>
      <c r="N33" s="19">
        <f t="shared" si="5"/>
        <v>0</v>
      </c>
      <c r="O33" s="19">
        <f t="shared" si="6"/>
        <v>39102.300000000003</v>
      </c>
      <c r="P33" s="32"/>
      <c r="Q33" s="15">
        <f t="shared" si="7"/>
        <v>0</v>
      </c>
      <c r="R33" s="19">
        <f t="shared" si="10"/>
        <v>0</v>
      </c>
      <c r="S33" s="32">
        <f>P33+'1ª MEDIÇÃO'!M34</f>
        <v>0</v>
      </c>
      <c r="T33" s="15">
        <f t="shared" si="8"/>
        <v>0</v>
      </c>
      <c r="U33" s="19">
        <f t="shared" si="9"/>
        <v>0</v>
      </c>
    </row>
    <row r="34" spans="1:21" x14ac:dyDescent="0.35">
      <c r="A34" s="30" t="s">
        <v>117</v>
      </c>
      <c r="B34" s="20" t="s">
        <v>118</v>
      </c>
      <c r="C34" s="30" t="s">
        <v>119</v>
      </c>
      <c r="D34" s="20" t="s">
        <v>62</v>
      </c>
      <c r="E34" s="20" t="s">
        <v>120</v>
      </c>
      <c r="F34" s="21">
        <v>3450</v>
      </c>
      <c r="G34" s="21">
        <f t="shared" si="0"/>
        <v>0</v>
      </c>
      <c r="H34" s="21">
        <f t="shared" si="1"/>
        <v>0</v>
      </c>
      <c r="I34" s="21">
        <f t="shared" ref="I34:I36" si="12">F34</f>
        <v>3450</v>
      </c>
      <c r="J34" s="21">
        <v>20.43</v>
      </c>
      <c r="K34" s="21">
        <v>26.55</v>
      </c>
      <c r="L34" s="19">
        <f t="shared" si="3"/>
        <v>91597.5</v>
      </c>
      <c r="M34" s="19">
        <f t="shared" si="4"/>
        <v>0</v>
      </c>
      <c r="N34" s="19">
        <f t="shared" si="5"/>
        <v>0</v>
      </c>
      <c r="O34" s="19">
        <f t="shared" si="6"/>
        <v>91597.5</v>
      </c>
      <c r="P34" s="32"/>
      <c r="Q34" s="15">
        <f t="shared" si="7"/>
        <v>0</v>
      </c>
      <c r="R34" s="19">
        <f t="shared" si="10"/>
        <v>0</v>
      </c>
      <c r="S34" s="32">
        <f>P34+'1ª MEDIÇÃO'!M35</f>
        <v>0</v>
      </c>
      <c r="T34" s="15">
        <f t="shared" si="8"/>
        <v>0</v>
      </c>
      <c r="U34" s="19">
        <f t="shared" si="9"/>
        <v>0</v>
      </c>
    </row>
    <row r="35" spans="1:21" ht="25" x14ac:dyDescent="0.35">
      <c r="A35" s="30" t="s">
        <v>121</v>
      </c>
      <c r="B35" s="20" t="s">
        <v>122</v>
      </c>
      <c r="C35" s="30" t="s">
        <v>123</v>
      </c>
      <c r="D35" s="20" t="s">
        <v>53</v>
      </c>
      <c r="E35" s="20" t="s">
        <v>54</v>
      </c>
      <c r="F35" s="21">
        <v>6</v>
      </c>
      <c r="G35" s="21">
        <f t="shared" si="0"/>
        <v>0</v>
      </c>
      <c r="H35" s="21">
        <f t="shared" si="1"/>
        <v>0</v>
      </c>
      <c r="I35" s="21">
        <f t="shared" si="12"/>
        <v>6</v>
      </c>
      <c r="J35" s="21">
        <v>800</v>
      </c>
      <c r="K35" s="21">
        <v>1039.76</v>
      </c>
      <c r="L35" s="19">
        <f t="shared" si="3"/>
        <v>6238.5599999999995</v>
      </c>
      <c r="M35" s="19">
        <f t="shared" si="4"/>
        <v>0</v>
      </c>
      <c r="N35" s="19">
        <f t="shared" si="5"/>
        <v>0</v>
      </c>
      <c r="O35" s="19">
        <f t="shared" si="6"/>
        <v>6238.5599999999995</v>
      </c>
      <c r="P35" s="32"/>
      <c r="Q35" s="15">
        <f t="shared" si="7"/>
        <v>0</v>
      </c>
      <c r="R35" s="19">
        <f t="shared" si="10"/>
        <v>0</v>
      </c>
      <c r="S35" s="32">
        <f>P35+'1ª MEDIÇÃO'!M36</f>
        <v>0</v>
      </c>
      <c r="T35" s="15">
        <f t="shared" si="8"/>
        <v>0</v>
      </c>
      <c r="U35" s="19">
        <f t="shared" si="9"/>
        <v>0</v>
      </c>
    </row>
    <row r="36" spans="1:21" ht="25" x14ac:dyDescent="0.35">
      <c r="A36" s="30" t="s">
        <v>124</v>
      </c>
      <c r="B36" s="20" t="s">
        <v>125</v>
      </c>
      <c r="C36" s="30" t="s">
        <v>126</v>
      </c>
      <c r="D36" s="20" t="s">
        <v>53</v>
      </c>
      <c r="E36" s="20" t="s">
        <v>40</v>
      </c>
      <c r="F36" s="21">
        <v>4</v>
      </c>
      <c r="G36" s="21">
        <f t="shared" si="0"/>
        <v>0</v>
      </c>
      <c r="H36" s="21">
        <f t="shared" si="1"/>
        <v>0</v>
      </c>
      <c r="I36" s="21">
        <f t="shared" si="12"/>
        <v>4</v>
      </c>
      <c r="J36" s="21">
        <v>967.67</v>
      </c>
      <c r="K36" s="21">
        <v>1257.68</v>
      </c>
      <c r="L36" s="19">
        <f t="shared" si="3"/>
        <v>5030.72</v>
      </c>
      <c r="M36" s="19">
        <f t="shared" si="4"/>
        <v>0</v>
      </c>
      <c r="N36" s="19">
        <f t="shared" si="5"/>
        <v>0</v>
      </c>
      <c r="O36" s="19">
        <f t="shared" si="6"/>
        <v>5030.72</v>
      </c>
      <c r="P36" s="32"/>
      <c r="Q36" s="15">
        <f t="shared" si="7"/>
        <v>0</v>
      </c>
      <c r="R36" s="19">
        <f t="shared" si="10"/>
        <v>0</v>
      </c>
      <c r="S36" s="32">
        <f>P36+'1ª MEDIÇÃO'!M37</f>
        <v>0</v>
      </c>
      <c r="T36" s="15">
        <f t="shared" si="8"/>
        <v>0</v>
      </c>
      <c r="U36" s="19">
        <f t="shared" si="9"/>
        <v>0</v>
      </c>
    </row>
    <row r="37" spans="1:21" ht="15.65" customHeight="1" x14ac:dyDescent="0.35">
      <c r="A37" s="145" t="s">
        <v>36</v>
      </c>
      <c r="B37" s="360" t="s">
        <v>127</v>
      </c>
      <c r="C37" s="361"/>
      <c r="D37" s="361"/>
      <c r="E37" s="361"/>
      <c r="F37" s="361"/>
      <c r="G37" s="361"/>
      <c r="H37" s="361"/>
      <c r="I37" s="361"/>
      <c r="J37" s="361"/>
      <c r="K37" s="362"/>
      <c r="L37" s="24">
        <f>L38+L39+L40+L41+L42+L43+L44+L45+L46</f>
        <v>527718.96</v>
      </c>
      <c r="M37" s="24">
        <f>M38+M39+M40+M41+M42+M43+M44+M45+M46</f>
        <v>0</v>
      </c>
      <c r="N37" s="24">
        <f>N38+N39+N40+N41+N42+N43+N44+N45+N46</f>
        <v>0</v>
      </c>
      <c r="O37" s="24">
        <f>O38+O39+O40+O41+O42+O43+O44+O45+O46</f>
        <v>527718.96</v>
      </c>
      <c r="P37" s="33"/>
      <c r="Q37" s="26"/>
      <c r="R37" s="24">
        <f>R38+R39+R40+R41+R42+R43+R44+R45+R46</f>
        <v>0</v>
      </c>
      <c r="S37" s="33"/>
      <c r="T37" s="26"/>
      <c r="U37" s="24">
        <f>U38+U39+U40+U41+U42+U43+U44+U45+U46</f>
        <v>0</v>
      </c>
    </row>
    <row r="38" spans="1:21" ht="50" x14ac:dyDescent="0.35">
      <c r="A38" s="30" t="s">
        <v>128</v>
      </c>
      <c r="B38" s="20" t="s">
        <v>129</v>
      </c>
      <c r="C38" s="30" t="s">
        <v>130</v>
      </c>
      <c r="D38" s="20" t="s">
        <v>53</v>
      </c>
      <c r="E38" s="20" t="s">
        <v>112</v>
      </c>
      <c r="F38" s="21">
        <v>60</v>
      </c>
      <c r="G38" s="21">
        <f t="shared" si="0"/>
        <v>0</v>
      </c>
      <c r="H38" s="21">
        <f t="shared" si="1"/>
        <v>0</v>
      </c>
      <c r="I38" s="21">
        <f>F38</f>
        <v>60</v>
      </c>
      <c r="J38" s="21">
        <v>2631.42</v>
      </c>
      <c r="K38" s="21">
        <v>3420.06</v>
      </c>
      <c r="L38" s="19">
        <f t="shared" si="3"/>
        <v>205203.6</v>
      </c>
      <c r="M38" s="19">
        <f t="shared" si="4"/>
        <v>0</v>
      </c>
      <c r="N38" s="19">
        <f t="shared" si="5"/>
        <v>0</v>
      </c>
      <c r="O38" s="19">
        <f t="shared" si="6"/>
        <v>205203.6</v>
      </c>
      <c r="P38" s="32"/>
      <c r="Q38" s="15">
        <f t="shared" si="7"/>
        <v>0</v>
      </c>
      <c r="R38" s="19">
        <f t="shared" si="10"/>
        <v>0</v>
      </c>
      <c r="S38" s="32">
        <f>P38+'1ª MEDIÇÃO'!M39</f>
        <v>0</v>
      </c>
      <c r="T38" s="15">
        <f t="shared" si="8"/>
        <v>0</v>
      </c>
      <c r="U38" s="19">
        <f t="shared" si="9"/>
        <v>0</v>
      </c>
    </row>
    <row r="39" spans="1:21" ht="25" x14ac:dyDescent="0.35">
      <c r="A39" s="30" t="s">
        <v>131</v>
      </c>
      <c r="B39" s="20" t="s">
        <v>132</v>
      </c>
      <c r="C39" s="30" t="s">
        <v>133</v>
      </c>
      <c r="D39" s="20" t="s">
        <v>58</v>
      </c>
      <c r="E39" s="20" t="s">
        <v>68</v>
      </c>
      <c r="F39" s="21">
        <v>92</v>
      </c>
      <c r="G39" s="21">
        <f t="shared" si="0"/>
        <v>0</v>
      </c>
      <c r="H39" s="21">
        <f t="shared" si="1"/>
        <v>0</v>
      </c>
      <c r="I39" s="21">
        <f t="shared" ref="I39:I46" si="13">F39</f>
        <v>92</v>
      </c>
      <c r="J39" s="21">
        <v>61.43</v>
      </c>
      <c r="K39" s="21">
        <v>79.84</v>
      </c>
      <c r="L39" s="19">
        <f t="shared" si="3"/>
        <v>7345.2800000000007</v>
      </c>
      <c r="M39" s="19">
        <f t="shared" si="4"/>
        <v>0</v>
      </c>
      <c r="N39" s="19">
        <f t="shared" si="5"/>
        <v>0</v>
      </c>
      <c r="O39" s="19">
        <f t="shared" si="6"/>
        <v>7345.2800000000007</v>
      </c>
      <c r="P39" s="32"/>
      <c r="Q39" s="15">
        <f t="shared" si="7"/>
        <v>0</v>
      </c>
      <c r="R39" s="19">
        <f t="shared" si="10"/>
        <v>0</v>
      </c>
      <c r="S39" s="32">
        <f>P39+'1ª MEDIÇÃO'!M40</f>
        <v>0</v>
      </c>
      <c r="T39" s="15">
        <f t="shared" si="8"/>
        <v>0</v>
      </c>
      <c r="U39" s="19">
        <f t="shared" si="9"/>
        <v>0</v>
      </c>
    </row>
    <row r="40" spans="1:21" ht="37.5" x14ac:dyDescent="0.35">
      <c r="A40" s="30" t="s">
        <v>134</v>
      </c>
      <c r="B40" s="20" t="s">
        <v>135</v>
      </c>
      <c r="C40" s="30" t="s">
        <v>136</v>
      </c>
      <c r="D40" s="20" t="s">
        <v>58</v>
      </c>
      <c r="E40" s="20" t="s">
        <v>41</v>
      </c>
      <c r="F40" s="21">
        <v>2300</v>
      </c>
      <c r="G40" s="21">
        <f t="shared" si="0"/>
        <v>0</v>
      </c>
      <c r="H40" s="21">
        <f t="shared" si="1"/>
        <v>0</v>
      </c>
      <c r="I40" s="21">
        <f t="shared" si="13"/>
        <v>2300</v>
      </c>
      <c r="J40" s="21">
        <v>12.23</v>
      </c>
      <c r="K40" s="21">
        <v>15.9</v>
      </c>
      <c r="L40" s="19">
        <f t="shared" si="3"/>
        <v>36570</v>
      </c>
      <c r="M40" s="19">
        <f t="shared" si="4"/>
        <v>0</v>
      </c>
      <c r="N40" s="19">
        <f t="shared" ref="N40:N53" si="14">K40*H40</f>
        <v>0</v>
      </c>
      <c r="O40" s="19">
        <f t="shared" si="6"/>
        <v>36570</v>
      </c>
      <c r="P40" s="32"/>
      <c r="Q40" s="15">
        <f t="shared" si="7"/>
        <v>0</v>
      </c>
      <c r="R40" s="19">
        <f t="shared" si="10"/>
        <v>0</v>
      </c>
      <c r="S40" s="32">
        <f>P40+'1ª MEDIÇÃO'!M41</f>
        <v>0</v>
      </c>
      <c r="T40" s="15">
        <f t="shared" si="8"/>
        <v>0</v>
      </c>
      <c r="U40" s="19">
        <f t="shared" si="9"/>
        <v>0</v>
      </c>
    </row>
    <row r="41" spans="1:21" ht="37.5" x14ac:dyDescent="0.35">
      <c r="A41" s="30" t="s">
        <v>137</v>
      </c>
      <c r="B41" s="20" t="s">
        <v>138</v>
      </c>
      <c r="C41" s="30" t="s">
        <v>139</v>
      </c>
      <c r="D41" s="20" t="s">
        <v>58</v>
      </c>
      <c r="E41" s="20" t="s">
        <v>41</v>
      </c>
      <c r="F41" s="21">
        <v>6900</v>
      </c>
      <c r="G41" s="21">
        <f t="shared" si="0"/>
        <v>0</v>
      </c>
      <c r="H41" s="21">
        <f t="shared" si="1"/>
        <v>0</v>
      </c>
      <c r="I41" s="21">
        <f t="shared" si="13"/>
        <v>6900</v>
      </c>
      <c r="J41" s="21">
        <v>22.29</v>
      </c>
      <c r="K41" s="21">
        <v>28.97</v>
      </c>
      <c r="L41" s="19">
        <f t="shared" si="3"/>
        <v>199893</v>
      </c>
      <c r="M41" s="19">
        <f t="shared" si="4"/>
        <v>0</v>
      </c>
      <c r="N41" s="19">
        <f t="shared" si="14"/>
        <v>0</v>
      </c>
      <c r="O41" s="19">
        <f t="shared" si="6"/>
        <v>199893</v>
      </c>
      <c r="P41" s="32"/>
      <c r="Q41" s="15">
        <f t="shared" si="7"/>
        <v>0</v>
      </c>
      <c r="R41" s="19">
        <f t="shared" si="10"/>
        <v>0</v>
      </c>
      <c r="S41" s="32">
        <f>P41+'1ª MEDIÇÃO'!M42</f>
        <v>0</v>
      </c>
      <c r="T41" s="15">
        <f t="shared" si="8"/>
        <v>0</v>
      </c>
      <c r="U41" s="19">
        <f t="shared" si="9"/>
        <v>0</v>
      </c>
    </row>
    <row r="42" spans="1:21" ht="37.5" x14ac:dyDescent="0.35">
      <c r="A42" s="30" t="s">
        <v>140</v>
      </c>
      <c r="B42" s="20" t="s">
        <v>141</v>
      </c>
      <c r="C42" s="30" t="s">
        <v>142</v>
      </c>
      <c r="D42" s="20" t="s">
        <v>58</v>
      </c>
      <c r="E42" s="20" t="s">
        <v>112</v>
      </c>
      <c r="F42" s="21">
        <v>60</v>
      </c>
      <c r="G42" s="21">
        <f t="shared" si="0"/>
        <v>0</v>
      </c>
      <c r="H42" s="21">
        <f t="shared" si="1"/>
        <v>0</v>
      </c>
      <c r="I42" s="21">
        <f t="shared" si="13"/>
        <v>60</v>
      </c>
      <c r="J42" s="21">
        <v>129.55000000000001</v>
      </c>
      <c r="K42" s="21">
        <v>168.38</v>
      </c>
      <c r="L42" s="19">
        <f t="shared" si="3"/>
        <v>10102.799999999999</v>
      </c>
      <c r="M42" s="19">
        <f t="shared" si="4"/>
        <v>0</v>
      </c>
      <c r="N42" s="19">
        <f t="shared" si="14"/>
        <v>0</v>
      </c>
      <c r="O42" s="19">
        <f t="shared" si="6"/>
        <v>10102.799999999999</v>
      </c>
      <c r="P42" s="32"/>
      <c r="Q42" s="15">
        <f t="shared" si="7"/>
        <v>0</v>
      </c>
      <c r="R42" s="19">
        <f t="shared" si="10"/>
        <v>0</v>
      </c>
      <c r="S42" s="32">
        <f>P42+'1ª MEDIÇÃO'!M43</f>
        <v>0</v>
      </c>
      <c r="T42" s="15">
        <f t="shared" si="8"/>
        <v>0</v>
      </c>
      <c r="U42" s="19">
        <f t="shared" si="9"/>
        <v>0</v>
      </c>
    </row>
    <row r="43" spans="1:21" ht="25" x14ac:dyDescent="0.35">
      <c r="A43" s="30" t="s">
        <v>143</v>
      </c>
      <c r="B43" s="20" t="s">
        <v>144</v>
      </c>
      <c r="C43" s="30" t="s">
        <v>145</v>
      </c>
      <c r="D43" s="20" t="s">
        <v>58</v>
      </c>
      <c r="E43" s="20" t="s">
        <v>112</v>
      </c>
      <c r="F43" s="21">
        <v>60</v>
      </c>
      <c r="G43" s="21">
        <f t="shared" si="0"/>
        <v>0</v>
      </c>
      <c r="H43" s="21">
        <f t="shared" si="1"/>
        <v>0</v>
      </c>
      <c r="I43" s="21">
        <f t="shared" si="13"/>
        <v>60</v>
      </c>
      <c r="J43" s="21">
        <v>528.13</v>
      </c>
      <c r="K43" s="21">
        <v>686.41</v>
      </c>
      <c r="L43" s="19">
        <f t="shared" si="3"/>
        <v>41184.6</v>
      </c>
      <c r="M43" s="19">
        <f t="shared" si="4"/>
        <v>0</v>
      </c>
      <c r="N43" s="19">
        <f t="shared" si="14"/>
        <v>0</v>
      </c>
      <c r="O43" s="19">
        <f t="shared" si="6"/>
        <v>41184.6</v>
      </c>
      <c r="P43" s="32"/>
      <c r="Q43" s="15">
        <f t="shared" si="7"/>
        <v>0</v>
      </c>
      <c r="R43" s="19">
        <f t="shared" si="10"/>
        <v>0</v>
      </c>
      <c r="S43" s="32">
        <f>P43+'1ª MEDIÇÃO'!M44</f>
        <v>0</v>
      </c>
      <c r="T43" s="15">
        <f t="shared" si="8"/>
        <v>0</v>
      </c>
      <c r="U43" s="19">
        <f t="shared" si="9"/>
        <v>0</v>
      </c>
    </row>
    <row r="44" spans="1:21" ht="25" x14ac:dyDescent="0.35">
      <c r="A44" s="30" t="s">
        <v>146</v>
      </c>
      <c r="B44" s="20" t="s">
        <v>147</v>
      </c>
      <c r="C44" s="30" t="s">
        <v>148</v>
      </c>
      <c r="D44" s="20" t="s">
        <v>58</v>
      </c>
      <c r="E44" s="20" t="s">
        <v>112</v>
      </c>
      <c r="F44" s="21">
        <v>60</v>
      </c>
      <c r="G44" s="21">
        <f t="shared" si="0"/>
        <v>0</v>
      </c>
      <c r="H44" s="21">
        <f t="shared" si="1"/>
        <v>0</v>
      </c>
      <c r="I44" s="21">
        <f t="shared" si="13"/>
        <v>60</v>
      </c>
      <c r="J44" s="21">
        <v>37.659999999999997</v>
      </c>
      <c r="K44" s="21">
        <v>48.95</v>
      </c>
      <c r="L44" s="19">
        <f t="shared" si="3"/>
        <v>2937</v>
      </c>
      <c r="M44" s="19">
        <f t="shared" si="4"/>
        <v>0</v>
      </c>
      <c r="N44" s="19">
        <f t="shared" si="14"/>
        <v>0</v>
      </c>
      <c r="O44" s="19">
        <f t="shared" si="6"/>
        <v>2937</v>
      </c>
      <c r="P44" s="32"/>
      <c r="Q44" s="15">
        <f t="shared" si="7"/>
        <v>0</v>
      </c>
      <c r="R44" s="19">
        <f t="shared" si="10"/>
        <v>0</v>
      </c>
      <c r="S44" s="32">
        <f>P44+'1ª MEDIÇÃO'!M45</f>
        <v>0</v>
      </c>
      <c r="T44" s="15">
        <f t="shared" si="8"/>
        <v>0</v>
      </c>
      <c r="U44" s="19">
        <f t="shared" si="9"/>
        <v>0</v>
      </c>
    </row>
    <row r="45" spans="1:21" ht="50" x14ac:dyDescent="0.35">
      <c r="A45" s="30" t="s">
        <v>149</v>
      </c>
      <c r="B45" s="20" t="s">
        <v>150</v>
      </c>
      <c r="C45" s="30" t="s">
        <v>151</v>
      </c>
      <c r="D45" s="20" t="s">
        <v>58</v>
      </c>
      <c r="E45" s="20" t="s">
        <v>112</v>
      </c>
      <c r="F45" s="21">
        <v>2</v>
      </c>
      <c r="G45" s="21">
        <f t="shared" si="0"/>
        <v>0</v>
      </c>
      <c r="H45" s="21">
        <f t="shared" si="1"/>
        <v>0</v>
      </c>
      <c r="I45" s="21">
        <f t="shared" si="13"/>
        <v>2</v>
      </c>
      <c r="J45" s="21">
        <v>9176.98</v>
      </c>
      <c r="K45" s="21">
        <v>11927.32</v>
      </c>
      <c r="L45" s="19">
        <f t="shared" si="3"/>
        <v>23854.639999999999</v>
      </c>
      <c r="M45" s="19">
        <f t="shared" si="4"/>
        <v>0</v>
      </c>
      <c r="N45" s="19">
        <f t="shared" si="14"/>
        <v>0</v>
      </c>
      <c r="O45" s="19">
        <f t="shared" si="6"/>
        <v>23854.639999999999</v>
      </c>
      <c r="P45" s="32"/>
      <c r="Q45" s="15">
        <f t="shared" si="7"/>
        <v>0</v>
      </c>
      <c r="R45" s="19">
        <f t="shared" si="10"/>
        <v>0</v>
      </c>
      <c r="S45" s="32">
        <f>P45+'1ª MEDIÇÃO'!M46</f>
        <v>0</v>
      </c>
      <c r="T45" s="15">
        <f t="shared" si="8"/>
        <v>0</v>
      </c>
      <c r="U45" s="19">
        <f t="shared" si="9"/>
        <v>0</v>
      </c>
    </row>
    <row r="46" spans="1:21" ht="25" x14ac:dyDescent="0.35">
      <c r="A46" s="30" t="s">
        <v>152</v>
      </c>
      <c r="B46" s="20" t="s">
        <v>153</v>
      </c>
      <c r="C46" s="30" t="s">
        <v>154</v>
      </c>
      <c r="D46" s="20" t="s">
        <v>58</v>
      </c>
      <c r="E46" s="20" t="s">
        <v>112</v>
      </c>
      <c r="F46" s="21">
        <v>2</v>
      </c>
      <c r="G46" s="21">
        <f t="shared" si="0"/>
        <v>0</v>
      </c>
      <c r="H46" s="21">
        <f t="shared" si="1"/>
        <v>0</v>
      </c>
      <c r="I46" s="21">
        <f t="shared" si="13"/>
        <v>2</v>
      </c>
      <c r="J46" s="21">
        <v>241.61</v>
      </c>
      <c r="K46" s="21">
        <v>314.02</v>
      </c>
      <c r="L46" s="19">
        <f t="shared" si="3"/>
        <v>628.04</v>
      </c>
      <c r="M46" s="19">
        <f t="shared" si="4"/>
        <v>0</v>
      </c>
      <c r="N46" s="19">
        <f t="shared" si="14"/>
        <v>0</v>
      </c>
      <c r="O46" s="19">
        <f t="shared" si="6"/>
        <v>628.04</v>
      </c>
      <c r="P46" s="32"/>
      <c r="Q46" s="15">
        <f t="shared" si="7"/>
        <v>0</v>
      </c>
      <c r="R46" s="19">
        <f t="shared" si="10"/>
        <v>0</v>
      </c>
      <c r="S46" s="32">
        <f>P46+'1ª MEDIÇÃO'!M47</f>
        <v>0</v>
      </c>
      <c r="T46" s="15">
        <f t="shared" si="8"/>
        <v>0</v>
      </c>
      <c r="U46" s="19">
        <f t="shared" si="9"/>
        <v>0</v>
      </c>
    </row>
    <row r="47" spans="1:21" ht="15.65" customHeight="1" x14ac:dyDescent="0.35">
      <c r="A47" s="145" t="s">
        <v>37</v>
      </c>
      <c r="B47" s="360" t="s">
        <v>155</v>
      </c>
      <c r="C47" s="361"/>
      <c r="D47" s="361"/>
      <c r="E47" s="361"/>
      <c r="F47" s="361"/>
      <c r="G47" s="361"/>
      <c r="H47" s="361"/>
      <c r="I47" s="361"/>
      <c r="J47" s="361"/>
      <c r="K47" s="362"/>
      <c r="L47" s="24">
        <f>L48+L49+L50+L51+L52+L53</f>
        <v>142938.79999999999</v>
      </c>
      <c r="M47" s="24">
        <f>M48+M49+M50+M51+M52+M53</f>
        <v>0</v>
      </c>
      <c r="N47" s="24">
        <f>N48+N49+N50+N51+N52+N53</f>
        <v>0</v>
      </c>
      <c r="O47" s="24">
        <f>O48+O49+O50+O51+O52+O53</f>
        <v>142938.79999999999</v>
      </c>
      <c r="P47" s="33"/>
      <c r="Q47" s="26"/>
      <c r="R47" s="24">
        <f>R48+R49+R50+R51+R52+R53</f>
        <v>0</v>
      </c>
      <c r="S47" s="33"/>
      <c r="T47" s="26"/>
      <c r="U47" s="24">
        <f>U48+U49+U50+U51+U52+U53</f>
        <v>0</v>
      </c>
    </row>
    <row r="48" spans="1:21" x14ac:dyDescent="0.35">
      <c r="A48" s="30" t="s">
        <v>156</v>
      </c>
      <c r="B48" s="20" t="s">
        <v>157</v>
      </c>
      <c r="C48" s="30" t="s">
        <v>158</v>
      </c>
      <c r="D48" s="20" t="s">
        <v>58</v>
      </c>
      <c r="E48" s="20" t="s">
        <v>41</v>
      </c>
      <c r="F48" s="21">
        <v>80</v>
      </c>
      <c r="G48" s="21">
        <f t="shared" si="0"/>
        <v>0</v>
      </c>
      <c r="H48" s="21">
        <f t="shared" si="1"/>
        <v>0</v>
      </c>
      <c r="I48" s="21">
        <f>F48</f>
        <v>80</v>
      </c>
      <c r="J48" s="21">
        <v>4.0999999999999996</v>
      </c>
      <c r="K48" s="21">
        <v>5.33</v>
      </c>
      <c r="L48" s="19">
        <f t="shared" si="3"/>
        <v>426.4</v>
      </c>
      <c r="M48" s="19">
        <f t="shared" si="4"/>
        <v>0</v>
      </c>
      <c r="N48" s="19">
        <f t="shared" si="14"/>
        <v>0</v>
      </c>
      <c r="O48" s="19">
        <f t="shared" si="6"/>
        <v>426.4</v>
      </c>
      <c r="P48" s="32"/>
      <c r="Q48" s="15">
        <f t="shared" si="7"/>
        <v>0</v>
      </c>
      <c r="R48" s="19">
        <f t="shared" si="10"/>
        <v>0</v>
      </c>
      <c r="S48" s="32">
        <f>P48+'1ª MEDIÇÃO'!M49</f>
        <v>0</v>
      </c>
      <c r="T48" s="15">
        <f t="shared" si="8"/>
        <v>0</v>
      </c>
      <c r="U48" s="19">
        <f t="shared" si="9"/>
        <v>0</v>
      </c>
    </row>
    <row r="49" spans="1:23" x14ac:dyDescent="0.35">
      <c r="A49" s="30" t="s">
        <v>159</v>
      </c>
      <c r="B49" s="20" t="s">
        <v>160</v>
      </c>
      <c r="C49" s="30" t="s">
        <v>161</v>
      </c>
      <c r="D49" s="20" t="s">
        <v>58</v>
      </c>
      <c r="E49" s="20" t="s">
        <v>68</v>
      </c>
      <c r="F49" s="21">
        <v>400</v>
      </c>
      <c r="G49" s="21">
        <f t="shared" si="0"/>
        <v>0</v>
      </c>
      <c r="H49" s="21">
        <f t="shared" si="1"/>
        <v>0</v>
      </c>
      <c r="I49" s="21">
        <f t="shared" ref="I49:I53" si="15">F49</f>
        <v>400</v>
      </c>
      <c r="J49" s="21">
        <v>11.02</v>
      </c>
      <c r="K49" s="21">
        <v>14.32</v>
      </c>
      <c r="L49" s="19">
        <f t="shared" si="3"/>
        <v>5728</v>
      </c>
      <c r="M49" s="19">
        <f t="shared" si="4"/>
        <v>0</v>
      </c>
      <c r="N49" s="19">
        <f t="shared" si="14"/>
        <v>0</v>
      </c>
      <c r="O49" s="19">
        <f t="shared" si="6"/>
        <v>5728</v>
      </c>
      <c r="P49" s="32"/>
      <c r="Q49" s="15">
        <f t="shared" si="7"/>
        <v>0</v>
      </c>
      <c r="R49" s="19">
        <f t="shared" si="10"/>
        <v>0</v>
      </c>
      <c r="S49" s="32">
        <f>P49+'1ª MEDIÇÃO'!M50</f>
        <v>0</v>
      </c>
      <c r="T49" s="15">
        <f t="shared" si="8"/>
        <v>0</v>
      </c>
      <c r="U49" s="19">
        <f t="shared" si="9"/>
        <v>0</v>
      </c>
    </row>
    <row r="50" spans="1:23" ht="50" x14ac:dyDescent="0.35">
      <c r="A50" s="30" t="s">
        <v>162</v>
      </c>
      <c r="B50" s="20" t="s">
        <v>163</v>
      </c>
      <c r="C50" s="30" t="s">
        <v>164</v>
      </c>
      <c r="D50" s="20" t="s">
        <v>53</v>
      </c>
      <c r="E50" s="20" t="s">
        <v>68</v>
      </c>
      <c r="F50" s="21">
        <v>16</v>
      </c>
      <c r="G50" s="21">
        <f t="shared" si="0"/>
        <v>0</v>
      </c>
      <c r="H50" s="21">
        <f t="shared" si="1"/>
        <v>0</v>
      </c>
      <c r="I50" s="21">
        <f t="shared" si="15"/>
        <v>16</v>
      </c>
      <c r="J50" s="21">
        <v>205.21</v>
      </c>
      <c r="K50" s="21">
        <v>266.70999999999998</v>
      </c>
      <c r="L50" s="19">
        <f t="shared" si="3"/>
        <v>4267.3599999999997</v>
      </c>
      <c r="M50" s="19">
        <f t="shared" si="4"/>
        <v>0</v>
      </c>
      <c r="N50" s="19">
        <f t="shared" si="14"/>
        <v>0</v>
      </c>
      <c r="O50" s="19">
        <f t="shared" si="6"/>
        <v>4267.3599999999997</v>
      </c>
      <c r="P50" s="32"/>
      <c r="Q50" s="15">
        <f t="shared" si="7"/>
        <v>0</v>
      </c>
      <c r="R50" s="19">
        <f t="shared" si="10"/>
        <v>0</v>
      </c>
      <c r="S50" s="32">
        <f>P50+'1ª MEDIÇÃO'!M51</f>
        <v>0</v>
      </c>
      <c r="T50" s="15">
        <f t="shared" si="8"/>
        <v>0</v>
      </c>
      <c r="U50" s="19">
        <f t="shared" si="9"/>
        <v>0</v>
      </c>
    </row>
    <row r="51" spans="1:23" ht="50" x14ac:dyDescent="0.35">
      <c r="A51" s="30" t="s">
        <v>165</v>
      </c>
      <c r="B51" s="20" t="s">
        <v>166</v>
      </c>
      <c r="C51" s="30" t="s">
        <v>167</v>
      </c>
      <c r="D51" s="20" t="s">
        <v>58</v>
      </c>
      <c r="E51" s="20" t="s">
        <v>41</v>
      </c>
      <c r="F51" s="21">
        <v>80</v>
      </c>
      <c r="G51" s="21">
        <f t="shared" si="0"/>
        <v>0</v>
      </c>
      <c r="H51" s="21">
        <f t="shared" si="1"/>
        <v>0</v>
      </c>
      <c r="I51" s="21">
        <f t="shared" si="15"/>
        <v>80</v>
      </c>
      <c r="J51" s="21">
        <v>506.82</v>
      </c>
      <c r="K51" s="21">
        <v>658.71</v>
      </c>
      <c r="L51" s="19">
        <f t="shared" si="3"/>
        <v>52696.800000000003</v>
      </c>
      <c r="M51" s="19">
        <f t="shared" si="4"/>
        <v>0</v>
      </c>
      <c r="N51" s="19">
        <f t="shared" si="14"/>
        <v>0</v>
      </c>
      <c r="O51" s="19">
        <f t="shared" si="6"/>
        <v>52696.800000000003</v>
      </c>
      <c r="P51" s="32"/>
      <c r="Q51" s="15">
        <f t="shared" si="7"/>
        <v>0</v>
      </c>
      <c r="R51" s="19">
        <f t="shared" si="10"/>
        <v>0</v>
      </c>
      <c r="S51" s="32">
        <f>P51+'1ª MEDIÇÃO'!M52</f>
        <v>0</v>
      </c>
      <c r="T51" s="15">
        <f t="shared" si="8"/>
        <v>0</v>
      </c>
      <c r="U51" s="19">
        <f t="shared" si="9"/>
        <v>0</v>
      </c>
    </row>
    <row r="52" spans="1:23" ht="37.5" x14ac:dyDescent="0.35">
      <c r="A52" s="30" t="s">
        <v>168</v>
      </c>
      <c r="B52" s="20" t="s">
        <v>169</v>
      </c>
      <c r="C52" s="30" t="s">
        <v>170</v>
      </c>
      <c r="D52" s="20" t="s">
        <v>58</v>
      </c>
      <c r="E52" s="20" t="s">
        <v>112</v>
      </c>
      <c r="F52" s="21">
        <v>10</v>
      </c>
      <c r="G52" s="21">
        <f t="shared" si="0"/>
        <v>0</v>
      </c>
      <c r="H52" s="21">
        <f t="shared" si="1"/>
        <v>0</v>
      </c>
      <c r="I52" s="21">
        <f t="shared" si="15"/>
        <v>10</v>
      </c>
      <c r="J52" s="21">
        <v>5781.92</v>
      </c>
      <c r="K52" s="21">
        <v>7514.76</v>
      </c>
      <c r="L52" s="19">
        <f t="shared" si="3"/>
        <v>75147.600000000006</v>
      </c>
      <c r="M52" s="19">
        <f t="shared" si="4"/>
        <v>0</v>
      </c>
      <c r="N52" s="19">
        <f t="shared" si="14"/>
        <v>0</v>
      </c>
      <c r="O52" s="19">
        <f t="shared" si="6"/>
        <v>75147.600000000006</v>
      </c>
      <c r="P52" s="32"/>
      <c r="Q52" s="15">
        <f t="shared" si="7"/>
        <v>0</v>
      </c>
      <c r="R52" s="19">
        <f t="shared" si="10"/>
        <v>0</v>
      </c>
      <c r="S52" s="32">
        <f>P52+'1ª MEDIÇÃO'!M53</f>
        <v>0</v>
      </c>
      <c r="T52" s="15">
        <f t="shared" si="8"/>
        <v>0</v>
      </c>
      <c r="U52" s="19">
        <f t="shared" si="9"/>
        <v>0</v>
      </c>
    </row>
    <row r="53" spans="1:23" ht="62.5" x14ac:dyDescent="0.35">
      <c r="A53" s="30" t="s">
        <v>171</v>
      </c>
      <c r="B53" s="20" t="s">
        <v>172</v>
      </c>
      <c r="C53" s="30" t="s">
        <v>173</v>
      </c>
      <c r="D53" s="20" t="s">
        <v>58</v>
      </c>
      <c r="E53" s="20" t="s">
        <v>68</v>
      </c>
      <c r="F53" s="21">
        <v>224</v>
      </c>
      <c r="G53" s="21">
        <f t="shared" si="0"/>
        <v>0</v>
      </c>
      <c r="H53" s="21">
        <f t="shared" si="1"/>
        <v>0</v>
      </c>
      <c r="I53" s="21">
        <f t="shared" si="15"/>
        <v>224</v>
      </c>
      <c r="J53" s="21">
        <v>16.05</v>
      </c>
      <c r="K53" s="21">
        <v>20.86</v>
      </c>
      <c r="L53" s="19">
        <f t="shared" si="3"/>
        <v>4672.6399999999994</v>
      </c>
      <c r="M53" s="19">
        <f t="shared" si="4"/>
        <v>0</v>
      </c>
      <c r="N53" s="19">
        <f t="shared" si="14"/>
        <v>0</v>
      </c>
      <c r="O53" s="19">
        <f t="shared" si="6"/>
        <v>4672.6399999999994</v>
      </c>
      <c r="P53" s="32"/>
      <c r="Q53" s="15">
        <f t="shared" si="7"/>
        <v>0</v>
      </c>
      <c r="R53" s="19">
        <f t="shared" si="10"/>
        <v>0</v>
      </c>
      <c r="S53" s="32">
        <f>P53+'1ª MEDIÇÃO'!M54</f>
        <v>0</v>
      </c>
      <c r="T53" s="15">
        <f t="shared" si="8"/>
        <v>0</v>
      </c>
      <c r="U53" s="19">
        <f t="shared" si="9"/>
        <v>0</v>
      </c>
    </row>
    <row r="54" spans="1:23" x14ac:dyDescent="0.35">
      <c r="A54" s="145" t="s">
        <v>174</v>
      </c>
      <c r="B54" s="360" t="s">
        <v>175</v>
      </c>
      <c r="C54" s="361"/>
      <c r="D54" s="361"/>
      <c r="E54" s="361"/>
      <c r="F54" s="361"/>
      <c r="G54" s="361"/>
      <c r="H54" s="361"/>
      <c r="I54" s="361"/>
      <c r="J54" s="361"/>
      <c r="K54" s="362"/>
      <c r="L54" s="24">
        <f>L55+L57+L68+L74+L81</f>
        <v>485238.63620000001</v>
      </c>
      <c r="M54" s="24">
        <f>M55+M57+M68+M74+M81</f>
        <v>-90740.255999999994</v>
      </c>
      <c r="N54" s="24">
        <f>N55+N57+N68+N74+N81</f>
        <v>61078.348623515623</v>
      </c>
      <c r="O54" s="24">
        <f>O55+O57+O68+O74+O81</f>
        <v>455576.72882351564</v>
      </c>
      <c r="P54" s="33"/>
      <c r="Q54" s="26"/>
      <c r="R54" s="24">
        <f>R55+R57+R68+R74+R81</f>
        <v>180264.17068930794</v>
      </c>
      <c r="S54" s="33"/>
      <c r="T54" s="26"/>
      <c r="U54" s="24">
        <f>U55+U57+U68+U74+U81</f>
        <v>354042.63065314793</v>
      </c>
    </row>
    <row r="55" spans="1:23" ht="15.65" customHeight="1" x14ac:dyDescent="0.35">
      <c r="A55" s="145" t="s">
        <v>32</v>
      </c>
      <c r="B55" s="360" t="s">
        <v>69</v>
      </c>
      <c r="C55" s="361"/>
      <c r="D55" s="361"/>
      <c r="E55" s="361"/>
      <c r="F55" s="361"/>
      <c r="G55" s="361"/>
      <c r="H55" s="361"/>
      <c r="I55" s="361"/>
      <c r="J55" s="361"/>
      <c r="K55" s="362"/>
      <c r="L55" s="23">
        <f>L56</f>
        <v>0</v>
      </c>
      <c r="M55" s="23">
        <f>M56</f>
        <v>0</v>
      </c>
      <c r="N55" s="23">
        <f>N56</f>
        <v>0</v>
      </c>
      <c r="O55" s="23">
        <f>O56</f>
        <v>0</v>
      </c>
      <c r="P55" s="34"/>
      <c r="Q55" s="27"/>
      <c r="R55" s="23">
        <f>R56</f>
        <v>0</v>
      </c>
      <c r="S55" s="34"/>
      <c r="T55" s="27"/>
      <c r="U55" s="23">
        <f>U56</f>
        <v>0</v>
      </c>
    </row>
    <row r="56" spans="1:23" ht="37.5" x14ac:dyDescent="0.35">
      <c r="A56" s="30" t="s">
        <v>176</v>
      </c>
      <c r="B56" s="20" t="s">
        <v>51</v>
      </c>
      <c r="C56" s="30" t="s">
        <v>52</v>
      </c>
      <c r="D56" s="20" t="s">
        <v>53</v>
      </c>
      <c r="E56" s="20" t="s">
        <v>54</v>
      </c>
      <c r="F56" s="21">
        <v>0</v>
      </c>
      <c r="G56" s="21">
        <f t="shared" ref="G56:G88" si="16">IF(I56&lt;F56,I56-F56,0)</f>
        <v>0</v>
      </c>
      <c r="H56" s="21">
        <f t="shared" ref="H56:H88" si="17">IF(F56&lt;I56,I56-F56,0)</f>
        <v>0</v>
      </c>
      <c r="I56" s="21">
        <f>F56</f>
        <v>0</v>
      </c>
      <c r="J56" s="21">
        <v>0.33</v>
      </c>
      <c r="K56" s="21">
        <v>0.43</v>
      </c>
      <c r="L56" s="19">
        <f t="shared" ref="L56:L88" si="18">K56*F56</f>
        <v>0</v>
      </c>
      <c r="M56" s="19">
        <f t="shared" ref="M56:M88" si="19">G56*K56</f>
        <v>0</v>
      </c>
      <c r="N56" s="19">
        <f t="shared" ref="N56:N88" si="20">K56*H56</f>
        <v>0</v>
      </c>
      <c r="O56" s="19">
        <f t="shared" ref="O56:O88" si="21">K56*I56</f>
        <v>0</v>
      </c>
      <c r="P56" s="32"/>
      <c r="Q56" s="15">
        <v>0</v>
      </c>
      <c r="R56" s="19">
        <f t="shared" ref="R56:R88" si="22">P56*K56</f>
        <v>0</v>
      </c>
      <c r="S56" s="32">
        <f>P56+'1ª MEDIÇÃO'!M57</f>
        <v>0</v>
      </c>
      <c r="T56" s="15">
        <v>0</v>
      </c>
      <c r="U56" s="19">
        <f>S56*K56</f>
        <v>0</v>
      </c>
    </row>
    <row r="57" spans="1:23" x14ac:dyDescent="0.35">
      <c r="A57" s="145" t="s">
        <v>33</v>
      </c>
      <c r="B57" s="359" t="s">
        <v>69</v>
      </c>
      <c r="C57" s="359"/>
      <c r="D57" s="359"/>
      <c r="E57" s="359"/>
      <c r="F57" s="359"/>
      <c r="G57" s="359"/>
      <c r="H57" s="359"/>
      <c r="I57" s="359"/>
      <c r="J57" s="359"/>
      <c r="K57" s="359"/>
      <c r="L57" s="24">
        <f>L58+L59+L60+L61+L62+L63+L64+L65+L66+L67</f>
        <v>130876.3806</v>
      </c>
      <c r="M57" s="24">
        <f>M58+M59+M60+M61+M62+M63+M64+M65+M66+M67</f>
        <v>0</v>
      </c>
      <c r="N57" s="24">
        <f>N58+N59+N60+N61+N62+N63+N64+N65+N66+N67</f>
        <v>0</v>
      </c>
      <c r="O57" s="24">
        <f>O58+O59+O60+O61+O62+O63+O64+O65+O66+O67</f>
        <v>130876.3806</v>
      </c>
      <c r="P57" s="33"/>
      <c r="Q57" s="26"/>
      <c r="R57" s="24">
        <f>R58+R59+R60+R61+R62+R63+R64+R65+R66+R67</f>
        <v>-5056.8313640000006</v>
      </c>
      <c r="S57" s="33"/>
      <c r="T57" s="26"/>
      <c r="U57" s="24">
        <f>U58+U59+U60+U61+U62+U63+U64+U65+U66+U67</f>
        <v>107261.91379984</v>
      </c>
      <c r="W57" s="31"/>
    </row>
    <row r="58" spans="1:23" x14ac:dyDescent="0.35">
      <c r="A58" s="30" t="s">
        <v>177</v>
      </c>
      <c r="B58" s="20" t="s">
        <v>71</v>
      </c>
      <c r="C58" s="30" t="s">
        <v>72</v>
      </c>
      <c r="D58" s="20" t="s">
        <v>62</v>
      </c>
      <c r="E58" s="20" t="s">
        <v>73</v>
      </c>
      <c r="F58" s="21">
        <v>255</v>
      </c>
      <c r="G58" s="21">
        <f t="shared" si="16"/>
        <v>0</v>
      </c>
      <c r="H58" s="21">
        <f t="shared" si="17"/>
        <v>0</v>
      </c>
      <c r="I58" s="21">
        <f>F58</f>
        <v>255</v>
      </c>
      <c r="J58" s="21">
        <v>19.05</v>
      </c>
      <c r="K58" s="21">
        <v>24.76</v>
      </c>
      <c r="L58" s="19">
        <f t="shared" si="18"/>
        <v>6313.8</v>
      </c>
      <c r="M58" s="19">
        <f t="shared" si="19"/>
        <v>0</v>
      </c>
      <c r="N58" s="19">
        <f t="shared" si="20"/>
        <v>0</v>
      </c>
      <c r="O58" s="19">
        <f t="shared" si="21"/>
        <v>6313.8</v>
      </c>
      <c r="P58" s="32">
        <f>-218.88+'Table 10'!M96</f>
        <v>-204.23390000000001</v>
      </c>
      <c r="Q58" s="15">
        <f t="shared" ref="Q58:Q88" si="23">P58/F58</f>
        <v>-0.80091725490196075</v>
      </c>
      <c r="R58" s="19">
        <f t="shared" si="22"/>
        <v>-5056.8313640000006</v>
      </c>
      <c r="S58" s="32">
        <f>P58+'1ª MEDIÇÃO'!M59</f>
        <v>14.64609999999999</v>
      </c>
      <c r="T58" s="15">
        <f t="shared" ref="T58:T67" si="24">S58/F58</f>
        <v>5.7435686274509762E-2</v>
      </c>
      <c r="U58" s="19">
        <f t="shared" ref="U58:U67" si="25">S58*K58</f>
        <v>362.63743599999975</v>
      </c>
    </row>
    <row r="59" spans="1:23" x14ac:dyDescent="0.35">
      <c r="A59" s="30" t="s">
        <v>178</v>
      </c>
      <c r="B59" s="20" t="s">
        <v>75</v>
      </c>
      <c r="C59" s="30" t="s">
        <v>76</v>
      </c>
      <c r="D59" s="20" t="s">
        <v>62</v>
      </c>
      <c r="E59" s="20" t="s">
        <v>77</v>
      </c>
      <c r="F59" s="21">
        <v>1275</v>
      </c>
      <c r="G59" s="21">
        <f t="shared" si="16"/>
        <v>0</v>
      </c>
      <c r="H59" s="21">
        <f t="shared" si="17"/>
        <v>0</v>
      </c>
      <c r="I59" s="21">
        <f t="shared" ref="I59:I67" si="26">F59</f>
        <v>1275</v>
      </c>
      <c r="J59" s="21">
        <v>0.33</v>
      </c>
      <c r="K59" s="21">
        <v>0.43</v>
      </c>
      <c r="L59" s="19">
        <f t="shared" si="18"/>
        <v>548.25</v>
      </c>
      <c r="M59" s="19">
        <f t="shared" si="19"/>
        <v>0</v>
      </c>
      <c r="N59" s="19">
        <f t="shared" si="20"/>
        <v>0</v>
      </c>
      <c r="O59" s="19">
        <f t="shared" si="21"/>
        <v>548.25</v>
      </c>
      <c r="P59" s="32"/>
      <c r="Q59" s="15">
        <f t="shared" si="23"/>
        <v>0</v>
      </c>
      <c r="R59" s="19">
        <f t="shared" si="22"/>
        <v>0</v>
      </c>
      <c r="S59" s="32">
        <f>P59+'1ª MEDIÇÃO'!M60</f>
        <v>1094.4000000000001</v>
      </c>
      <c r="T59" s="15">
        <f t="shared" si="24"/>
        <v>0.85835294117647065</v>
      </c>
      <c r="U59" s="19">
        <f t="shared" si="25"/>
        <v>470.59200000000004</v>
      </c>
    </row>
    <row r="60" spans="1:23" x14ac:dyDescent="0.35">
      <c r="A60" s="30" t="s">
        <v>179</v>
      </c>
      <c r="B60" s="20" t="s">
        <v>180</v>
      </c>
      <c r="C60" s="30" t="s">
        <v>80</v>
      </c>
      <c r="D60" s="20" t="s">
        <v>62</v>
      </c>
      <c r="E60" s="20" t="s">
        <v>77</v>
      </c>
      <c r="F60" s="21">
        <v>1275</v>
      </c>
      <c r="G60" s="21">
        <f t="shared" si="16"/>
        <v>0</v>
      </c>
      <c r="H60" s="21">
        <f t="shared" si="17"/>
        <v>0</v>
      </c>
      <c r="I60" s="21">
        <f t="shared" si="26"/>
        <v>1275</v>
      </c>
      <c r="J60" s="21">
        <v>0.23</v>
      </c>
      <c r="K60" s="21">
        <v>0.3</v>
      </c>
      <c r="L60" s="19">
        <f t="shared" si="18"/>
        <v>382.5</v>
      </c>
      <c r="M60" s="19">
        <f t="shared" si="19"/>
        <v>0</v>
      </c>
      <c r="N60" s="19">
        <f t="shared" si="20"/>
        <v>0</v>
      </c>
      <c r="O60" s="19">
        <f t="shared" si="21"/>
        <v>382.5</v>
      </c>
      <c r="P60" s="32"/>
      <c r="Q60" s="15">
        <f t="shared" si="23"/>
        <v>0</v>
      </c>
      <c r="R60" s="19">
        <f t="shared" si="22"/>
        <v>0</v>
      </c>
      <c r="S60" s="32">
        <f>P60+'1ª MEDIÇÃO'!M61</f>
        <v>1094.4000000000001</v>
      </c>
      <c r="T60" s="15">
        <f t="shared" si="24"/>
        <v>0.85835294117647065</v>
      </c>
      <c r="U60" s="19">
        <f t="shared" si="25"/>
        <v>328.32</v>
      </c>
    </row>
    <row r="61" spans="1:23" ht="25" x14ac:dyDescent="0.35">
      <c r="A61" s="30" t="s">
        <v>181</v>
      </c>
      <c r="B61" s="20" t="s">
        <v>83</v>
      </c>
      <c r="C61" s="30" t="s">
        <v>182</v>
      </c>
      <c r="D61" s="20" t="s">
        <v>58</v>
      </c>
      <c r="E61" s="20" t="s">
        <v>85</v>
      </c>
      <c r="F61" s="21">
        <v>91.8</v>
      </c>
      <c r="G61" s="21">
        <f t="shared" si="16"/>
        <v>0</v>
      </c>
      <c r="H61" s="21">
        <f t="shared" si="17"/>
        <v>0</v>
      </c>
      <c r="I61" s="21">
        <f t="shared" si="26"/>
        <v>91.8</v>
      </c>
      <c r="J61" s="21">
        <v>169.02</v>
      </c>
      <c r="K61" s="21">
        <v>197.42</v>
      </c>
      <c r="L61" s="19">
        <f t="shared" si="18"/>
        <v>18123.155999999999</v>
      </c>
      <c r="M61" s="19">
        <f t="shared" si="19"/>
        <v>0</v>
      </c>
      <c r="N61" s="19">
        <f t="shared" si="20"/>
        <v>0</v>
      </c>
      <c r="O61" s="19">
        <f t="shared" si="21"/>
        <v>18123.155999999999</v>
      </c>
      <c r="P61" s="32"/>
      <c r="Q61" s="15">
        <f t="shared" si="23"/>
        <v>0</v>
      </c>
      <c r="R61" s="19">
        <f t="shared" si="22"/>
        <v>0</v>
      </c>
      <c r="S61" s="32">
        <f>P61+'1ª MEDIÇÃO'!M62</f>
        <v>78.796800000000005</v>
      </c>
      <c r="T61" s="15">
        <f t="shared" si="24"/>
        <v>0.85835294117647065</v>
      </c>
      <c r="U61" s="19">
        <f t="shared" si="25"/>
        <v>15556.064256</v>
      </c>
    </row>
    <row r="62" spans="1:23" x14ac:dyDescent="0.35">
      <c r="A62" s="30" t="s">
        <v>183</v>
      </c>
      <c r="B62" s="20" t="s">
        <v>87</v>
      </c>
      <c r="C62" s="30" t="s">
        <v>88</v>
      </c>
      <c r="D62" s="20" t="s">
        <v>58</v>
      </c>
      <c r="E62" s="20" t="s">
        <v>85</v>
      </c>
      <c r="F62" s="21">
        <v>89.12</v>
      </c>
      <c r="G62" s="21">
        <f t="shared" si="16"/>
        <v>0</v>
      </c>
      <c r="H62" s="21">
        <f t="shared" si="17"/>
        <v>0</v>
      </c>
      <c r="I62" s="21">
        <f t="shared" si="26"/>
        <v>89.12</v>
      </c>
      <c r="J62" s="21">
        <v>142.47999999999999</v>
      </c>
      <c r="K62" s="21">
        <v>185.18</v>
      </c>
      <c r="L62" s="19">
        <f t="shared" si="18"/>
        <v>16503.241600000001</v>
      </c>
      <c r="M62" s="19">
        <f t="shared" si="19"/>
        <v>0</v>
      </c>
      <c r="N62" s="19">
        <f t="shared" si="20"/>
        <v>0</v>
      </c>
      <c r="O62" s="19">
        <f t="shared" si="21"/>
        <v>16503.241600000001</v>
      </c>
      <c r="P62" s="32"/>
      <c r="Q62" s="15">
        <f t="shared" si="23"/>
        <v>0</v>
      </c>
      <c r="R62" s="19">
        <f t="shared" si="22"/>
        <v>0</v>
      </c>
      <c r="S62" s="32">
        <f>P62+'1ª MEDIÇÃO'!M63</f>
        <v>76.498559999999998</v>
      </c>
      <c r="T62" s="15">
        <f t="shared" si="24"/>
        <v>0.85837701974865344</v>
      </c>
      <c r="U62" s="19">
        <f t="shared" si="25"/>
        <v>14166.0033408</v>
      </c>
    </row>
    <row r="63" spans="1:23" x14ac:dyDescent="0.35">
      <c r="A63" s="30" t="s">
        <v>184</v>
      </c>
      <c r="B63" s="20" t="s">
        <v>90</v>
      </c>
      <c r="C63" s="30" t="s">
        <v>91</v>
      </c>
      <c r="D63" s="20" t="s">
        <v>58</v>
      </c>
      <c r="E63" s="20" t="s">
        <v>92</v>
      </c>
      <c r="F63" s="21">
        <v>4759.26</v>
      </c>
      <c r="G63" s="21">
        <f t="shared" si="16"/>
        <v>0</v>
      </c>
      <c r="H63" s="21">
        <f t="shared" si="17"/>
        <v>0</v>
      </c>
      <c r="I63" s="21">
        <f t="shared" si="26"/>
        <v>4759.26</v>
      </c>
      <c r="J63" s="21">
        <v>0.94</v>
      </c>
      <c r="K63" s="21">
        <v>1.22</v>
      </c>
      <c r="L63" s="19">
        <f t="shared" si="18"/>
        <v>5806.2972</v>
      </c>
      <c r="M63" s="19">
        <f t="shared" si="19"/>
        <v>0</v>
      </c>
      <c r="N63" s="19">
        <f t="shared" si="20"/>
        <v>0</v>
      </c>
      <c r="O63" s="19">
        <f t="shared" si="21"/>
        <v>5806.2972</v>
      </c>
      <c r="P63" s="32"/>
      <c r="Q63" s="15">
        <f t="shared" si="23"/>
        <v>0</v>
      </c>
      <c r="R63" s="19">
        <f t="shared" si="22"/>
        <v>0</v>
      </c>
      <c r="S63" s="32">
        <f>P63+'1ª MEDIÇÃO'!M64</f>
        <v>4085.1215999999999</v>
      </c>
      <c r="T63" s="15">
        <f t="shared" si="24"/>
        <v>0.85835226484789651</v>
      </c>
      <c r="U63" s="19">
        <f t="shared" si="25"/>
        <v>4983.848352</v>
      </c>
    </row>
    <row r="64" spans="1:23" x14ac:dyDescent="0.35">
      <c r="A64" s="30" t="s">
        <v>185</v>
      </c>
      <c r="B64" s="20" t="s">
        <v>94</v>
      </c>
      <c r="C64" s="30" t="s">
        <v>95</v>
      </c>
      <c r="D64" s="20" t="s">
        <v>58</v>
      </c>
      <c r="E64" s="20" t="s">
        <v>92</v>
      </c>
      <c r="F64" s="21">
        <v>1083.75</v>
      </c>
      <c r="G64" s="21">
        <f t="shared" si="16"/>
        <v>0</v>
      </c>
      <c r="H64" s="21">
        <f t="shared" si="17"/>
        <v>0</v>
      </c>
      <c r="I64" s="21">
        <f t="shared" si="26"/>
        <v>1083.75</v>
      </c>
      <c r="J64" s="21">
        <v>0.83</v>
      </c>
      <c r="K64" s="21">
        <v>1.08</v>
      </c>
      <c r="L64" s="19">
        <f t="shared" si="18"/>
        <v>1170.45</v>
      </c>
      <c r="M64" s="19">
        <f t="shared" si="19"/>
        <v>0</v>
      </c>
      <c r="N64" s="19">
        <f t="shared" si="20"/>
        <v>0</v>
      </c>
      <c r="O64" s="19">
        <f t="shared" si="21"/>
        <v>1170.45</v>
      </c>
      <c r="P64" s="32"/>
      <c r="Q64" s="15">
        <f t="shared" si="23"/>
        <v>0</v>
      </c>
      <c r="R64" s="19">
        <f t="shared" si="22"/>
        <v>0</v>
      </c>
      <c r="S64" s="32">
        <f>P64+'1ª MEDIÇÃO'!M65</f>
        <v>930.24</v>
      </c>
      <c r="T64" s="15">
        <f t="shared" si="24"/>
        <v>0.85835294117647065</v>
      </c>
      <c r="U64" s="19">
        <f t="shared" si="25"/>
        <v>1004.6592000000001</v>
      </c>
    </row>
    <row r="65" spans="1:21" ht="25" x14ac:dyDescent="0.35">
      <c r="A65" s="30" t="s">
        <v>186</v>
      </c>
      <c r="B65" s="20" t="s">
        <v>97</v>
      </c>
      <c r="C65" s="30" t="s">
        <v>98</v>
      </c>
      <c r="D65" s="20" t="s">
        <v>62</v>
      </c>
      <c r="E65" s="20" t="s">
        <v>99</v>
      </c>
      <c r="F65" s="21">
        <v>0.64</v>
      </c>
      <c r="G65" s="21">
        <f t="shared" si="16"/>
        <v>0</v>
      </c>
      <c r="H65" s="21">
        <f t="shared" si="17"/>
        <v>0</v>
      </c>
      <c r="I65" s="21">
        <f t="shared" si="26"/>
        <v>0.64</v>
      </c>
      <c r="J65" s="21">
        <v>4403.33</v>
      </c>
      <c r="K65" s="21">
        <v>5143.09</v>
      </c>
      <c r="L65" s="19">
        <f t="shared" si="18"/>
        <v>3291.5776000000001</v>
      </c>
      <c r="M65" s="19">
        <f t="shared" si="19"/>
        <v>0</v>
      </c>
      <c r="N65" s="19">
        <f t="shared" si="20"/>
        <v>0</v>
      </c>
      <c r="O65" s="19">
        <f t="shared" si="21"/>
        <v>3291.5776000000001</v>
      </c>
      <c r="P65" s="32"/>
      <c r="Q65" s="15">
        <f t="shared" si="23"/>
        <v>0</v>
      </c>
      <c r="R65" s="19">
        <f t="shared" si="22"/>
        <v>0</v>
      </c>
      <c r="S65" s="32">
        <f>P65+'1ª MEDIÇÃO'!M66</f>
        <v>0.54720000000000002</v>
      </c>
      <c r="T65" s="15">
        <f t="shared" si="24"/>
        <v>0.85499999999999998</v>
      </c>
      <c r="U65" s="19">
        <f t="shared" si="25"/>
        <v>2814.2988480000004</v>
      </c>
    </row>
    <row r="66" spans="1:21" x14ac:dyDescent="0.35">
      <c r="A66" s="30" t="s">
        <v>187</v>
      </c>
      <c r="B66" s="20" t="s">
        <v>101</v>
      </c>
      <c r="C66" s="30" t="s">
        <v>102</v>
      </c>
      <c r="D66" s="20" t="s">
        <v>62</v>
      </c>
      <c r="E66" s="20" t="s">
        <v>99</v>
      </c>
      <c r="F66" s="21">
        <v>1.53</v>
      </c>
      <c r="G66" s="21">
        <f t="shared" si="16"/>
        <v>0</v>
      </c>
      <c r="H66" s="21">
        <f t="shared" si="17"/>
        <v>0</v>
      </c>
      <c r="I66" s="21">
        <f t="shared" si="26"/>
        <v>1.53</v>
      </c>
      <c r="J66" s="21">
        <v>7602</v>
      </c>
      <c r="K66" s="21">
        <v>8879.14</v>
      </c>
      <c r="L66" s="19">
        <f t="shared" si="18"/>
        <v>13585.084199999999</v>
      </c>
      <c r="M66" s="19">
        <f t="shared" si="19"/>
        <v>0</v>
      </c>
      <c r="N66" s="19">
        <f t="shared" si="20"/>
        <v>0</v>
      </c>
      <c r="O66" s="19">
        <f t="shared" si="21"/>
        <v>13585.084199999999</v>
      </c>
      <c r="P66" s="32"/>
      <c r="Q66" s="15">
        <f t="shared" si="23"/>
        <v>0</v>
      </c>
      <c r="R66" s="19">
        <f t="shared" si="22"/>
        <v>0</v>
      </c>
      <c r="S66" s="32">
        <f>P66+'1ª MEDIÇÃO'!M67</f>
        <v>1.31328</v>
      </c>
      <c r="T66" s="15">
        <f t="shared" si="24"/>
        <v>0.85835294117647054</v>
      </c>
      <c r="U66" s="19">
        <f t="shared" si="25"/>
        <v>11660.796979199999</v>
      </c>
    </row>
    <row r="67" spans="1:21" ht="25" x14ac:dyDescent="0.35">
      <c r="A67" s="30" t="s">
        <v>188</v>
      </c>
      <c r="B67" s="20" t="s">
        <v>104</v>
      </c>
      <c r="C67" s="30" t="s">
        <v>105</v>
      </c>
      <c r="D67" s="20" t="s">
        <v>62</v>
      </c>
      <c r="E67" s="20" t="s">
        <v>99</v>
      </c>
      <c r="F67" s="21">
        <v>9.52</v>
      </c>
      <c r="G67" s="21">
        <f t="shared" si="16"/>
        <v>0</v>
      </c>
      <c r="H67" s="21">
        <f t="shared" si="17"/>
        <v>0</v>
      </c>
      <c r="I67" s="21">
        <f t="shared" si="26"/>
        <v>9.52</v>
      </c>
      <c r="J67" s="21">
        <v>5859.33</v>
      </c>
      <c r="K67" s="21">
        <v>6843.7</v>
      </c>
      <c r="L67" s="19">
        <f t="shared" si="18"/>
        <v>65152.023999999998</v>
      </c>
      <c r="M67" s="19">
        <f t="shared" si="19"/>
        <v>0</v>
      </c>
      <c r="N67" s="19">
        <f t="shared" si="20"/>
        <v>0</v>
      </c>
      <c r="O67" s="19">
        <f t="shared" si="21"/>
        <v>65152.023999999998</v>
      </c>
      <c r="P67" s="32"/>
      <c r="Q67" s="15">
        <f t="shared" si="23"/>
        <v>0</v>
      </c>
      <c r="R67" s="19">
        <f t="shared" si="22"/>
        <v>0</v>
      </c>
      <c r="S67" s="32">
        <f>P67+'1ª MEDIÇÃO'!M68</f>
        <v>8.1702431999999998</v>
      </c>
      <c r="T67" s="15">
        <f t="shared" si="24"/>
        <v>0.85821882352941181</v>
      </c>
      <c r="U67" s="19">
        <f t="shared" si="25"/>
        <v>55914.693387839994</v>
      </c>
    </row>
    <row r="68" spans="1:21" x14ac:dyDescent="0.35">
      <c r="A68" s="145" t="s">
        <v>34</v>
      </c>
      <c r="B68" s="360" t="s">
        <v>189</v>
      </c>
      <c r="C68" s="361"/>
      <c r="D68" s="361"/>
      <c r="E68" s="361"/>
      <c r="F68" s="361"/>
      <c r="G68" s="361"/>
      <c r="H68" s="361"/>
      <c r="I68" s="361"/>
      <c r="J68" s="361"/>
      <c r="K68" s="362"/>
      <c r="L68" s="24">
        <f>L69+L70+L71</f>
        <v>117706.50599999999</v>
      </c>
      <c r="M68" s="24">
        <f>M69+M70+M71+M72+M73</f>
        <v>-90740.255999999994</v>
      </c>
      <c r="N68" s="24">
        <f>N69+N70+N71+N72+N73</f>
        <v>61078.348623515623</v>
      </c>
      <c r="O68" s="24">
        <f>O69+O70+O71+O72+O73</f>
        <v>88044.598623515631</v>
      </c>
      <c r="P68" s="33"/>
      <c r="Q68" s="26"/>
      <c r="R68" s="24">
        <f>R69+R70+R71+R72+R73</f>
        <v>21829.052613307933</v>
      </c>
      <c r="S68" s="33"/>
      <c r="T68" s="26"/>
      <c r="U68" s="24">
        <f>U69+U70+U71+U72+U73</f>
        <v>71688.127413307928</v>
      </c>
    </row>
    <row r="69" spans="1:21" ht="62.5" x14ac:dyDescent="0.35">
      <c r="A69" s="30" t="s">
        <v>190</v>
      </c>
      <c r="B69" s="20" t="s">
        <v>107</v>
      </c>
      <c r="C69" s="30" t="s">
        <v>108</v>
      </c>
      <c r="D69" s="20" t="s">
        <v>58</v>
      </c>
      <c r="F69" s="21">
        <v>1273.8</v>
      </c>
      <c r="G69" s="21">
        <f t="shared" si="16"/>
        <v>-1273.8</v>
      </c>
      <c r="H69" s="21">
        <f t="shared" si="17"/>
        <v>0</v>
      </c>
      <c r="I69" s="21">
        <f>S69</f>
        <v>0</v>
      </c>
      <c r="J69" s="21">
        <v>38.56</v>
      </c>
      <c r="K69" s="21">
        <v>50.12</v>
      </c>
      <c r="L69" s="19">
        <f t="shared" si="18"/>
        <v>63842.855999999992</v>
      </c>
      <c r="M69" s="19">
        <f t="shared" si="19"/>
        <v>-63842.855999999992</v>
      </c>
      <c r="N69" s="19">
        <f t="shared" si="20"/>
        <v>0</v>
      </c>
      <c r="O69" s="19">
        <f t="shared" si="21"/>
        <v>0</v>
      </c>
      <c r="P69" s="32">
        <v>-472.95</v>
      </c>
      <c r="Q69" s="15">
        <f t="shared" si="23"/>
        <v>-0.37129062647197364</v>
      </c>
      <c r="R69" s="19">
        <f>P69*K69</f>
        <v>-23704.253999999997</v>
      </c>
      <c r="S69" s="32">
        <f>P69+'1ª MEDIÇÃO'!M70</f>
        <v>0</v>
      </c>
      <c r="T69" s="15">
        <f>S69/F69</f>
        <v>0</v>
      </c>
      <c r="U69" s="19">
        <f>S69*K69</f>
        <v>0</v>
      </c>
    </row>
    <row r="70" spans="1:21" ht="37.5" x14ac:dyDescent="0.35">
      <c r="A70" s="30" t="s">
        <v>191</v>
      </c>
      <c r="B70" s="20" t="s">
        <v>192</v>
      </c>
      <c r="C70" s="30" t="s">
        <v>193</v>
      </c>
      <c r="D70" s="20" t="s">
        <v>58</v>
      </c>
      <c r="E70" s="20" t="s">
        <v>54</v>
      </c>
      <c r="F70" s="21">
        <v>255</v>
      </c>
      <c r="G70" s="21">
        <f t="shared" si="16"/>
        <v>-255</v>
      </c>
      <c r="H70" s="21">
        <f t="shared" si="17"/>
        <v>0</v>
      </c>
      <c r="I70" s="21">
        <f t="shared" ref="I70" si="27">S70</f>
        <v>0</v>
      </c>
      <c r="J70" s="21">
        <v>81.16</v>
      </c>
      <c r="K70" s="21">
        <v>105.48</v>
      </c>
      <c r="L70" s="19">
        <f t="shared" si="18"/>
        <v>26897.4</v>
      </c>
      <c r="M70" s="19">
        <f t="shared" si="19"/>
        <v>-26897.4</v>
      </c>
      <c r="N70" s="19">
        <f t="shared" si="20"/>
        <v>0</v>
      </c>
      <c r="O70" s="19">
        <f t="shared" si="21"/>
        <v>0</v>
      </c>
      <c r="P70" s="32">
        <v>-247.96</v>
      </c>
      <c r="Q70" s="15">
        <f t="shared" si="23"/>
        <v>-0.97239215686274516</v>
      </c>
      <c r="R70" s="19">
        <f t="shared" si="22"/>
        <v>-26154.820800000001</v>
      </c>
      <c r="S70" s="32">
        <f>P70+'1ª MEDIÇÃO'!M71</f>
        <v>0</v>
      </c>
      <c r="T70" s="15">
        <f>S70/F70</f>
        <v>0</v>
      </c>
      <c r="U70" s="19">
        <f>S70*K70</f>
        <v>0</v>
      </c>
    </row>
    <row r="71" spans="1:21" ht="25" x14ac:dyDescent="0.35">
      <c r="A71" s="30" t="s">
        <v>194</v>
      </c>
      <c r="B71" s="20" t="s">
        <v>195</v>
      </c>
      <c r="C71" s="30" t="s">
        <v>196</v>
      </c>
      <c r="D71" s="20" t="s">
        <v>58</v>
      </c>
      <c r="E71" s="20" t="s">
        <v>112</v>
      </c>
      <c r="F71" s="21">
        <v>425</v>
      </c>
      <c r="G71" s="21">
        <f t="shared" si="16"/>
        <v>0</v>
      </c>
      <c r="H71" s="21">
        <f t="shared" si="17"/>
        <v>0</v>
      </c>
      <c r="I71" s="21">
        <f>F71</f>
        <v>425</v>
      </c>
      <c r="J71" s="21">
        <v>54.32</v>
      </c>
      <c r="K71" s="21">
        <v>63.45</v>
      </c>
      <c r="L71" s="19">
        <f t="shared" si="18"/>
        <v>26966.25</v>
      </c>
      <c r="M71" s="19">
        <f t="shared" si="19"/>
        <v>0</v>
      </c>
      <c r="N71" s="19">
        <f t="shared" si="20"/>
        <v>0</v>
      </c>
      <c r="O71" s="19">
        <f t="shared" si="21"/>
        <v>26966.25</v>
      </c>
      <c r="P71" s="32">
        <v>219</v>
      </c>
      <c r="Q71" s="15">
        <f t="shared" si="23"/>
        <v>0.51529411764705879</v>
      </c>
      <c r="R71" s="19">
        <f t="shared" si="22"/>
        <v>13895.550000000001</v>
      </c>
      <c r="S71" s="32">
        <f>P71+'1ª MEDIÇÃO'!M72</f>
        <v>219</v>
      </c>
      <c r="T71" s="15">
        <f>S71/F71</f>
        <v>0.51529411764705879</v>
      </c>
      <c r="U71" s="19">
        <f>S71*K71</f>
        <v>13895.550000000001</v>
      </c>
    </row>
    <row r="72" spans="1:21" ht="37.5" x14ac:dyDescent="0.35">
      <c r="A72" s="30" t="s">
        <v>497</v>
      </c>
      <c r="B72" s="20">
        <v>94990</v>
      </c>
      <c r="C72" s="30" t="s">
        <v>595</v>
      </c>
      <c r="D72" s="20" t="s">
        <v>58</v>
      </c>
      <c r="E72" s="20" t="s">
        <v>68</v>
      </c>
      <c r="F72" s="21"/>
      <c r="G72" s="21">
        <f t="shared" si="16"/>
        <v>0</v>
      </c>
      <c r="H72" s="21">
        <f t="shared" si="17"/>
        <v>15.299999999999999</v>
      </c>
      <c r="I72" s="21">
        <v>15.299999999999999</v>
      </c>
      <c r="J72" s="21">
        <v>696.1</v>
      </c>
      <c r="K72" s="21">
        <f>J72*1.2997*W96</f>
        <v>859.34291121322224</v>
      </c>
      <c r="L72" s="19">
        <f t="shared" si="18"/>
        <v>0</v>
      </c>
      <c r="M72" s="19">
        <f t="shared" si="19"/>
        <v>0</v>
      </c>
      <c r="N72" s="19">
        <f t="shared" si="20"/>
        <v>13147.9465415623</v>
      </c>
      <c r="O72" s="19">
        <f t="shared" si="21"/>
        <v>13147.9465415623</v>
      </c>
      <c r="P72" s="32">
        <v>15.176399999999997</v>
      </c>
      <c r="Q72" s="15" t="e">
        <f t="shared" si="23"/>
        <v>#DIV/0!</v>
      </c>
      <c r="R72" s="19">
        <f t="shared" si="22"/>
        <v>13041.731757736345</v>
      </c>
      <c r="S72" s="32">
        <f>P72+'1ª MEDIÇÃO'!M73</f>
        <v>15.176399999999997</v>
      </c>
      <c r="T72" s="15" t="e">
        <f t="shared" ref="T72:T73" si="28">S72/F72</f>
        <v>#DIV/0!</v>
      </c>
      <c r="U72" s="19">
        <f t="shared" ref="U72:U73" si="29">S72*K72</f>
        <v>13041.731757736345</v>
      </c>
    </row>
    <row r="73" spans="1:21" ht="25" x14ac:dyDescent="0.35">
      <c r="A73" s="30" t="s">
        <v>593</v>
      </c>
      <c r="B73" s="20">
        <v>94264</v>
      </c>
      <c r="C73" s="30" t="s">
        <v>596</v>
      </c>
      <c r="D73" s="20" t="s">
        <v>58</v>
      </c>
      <c r="E73" s="20" t="s">
        <v>41</v>
      </c>
      <c r="F73" s="21"/>
      <c r="G73" s="21">
        <f t="shared" si="16"/>
        <v>0</v>
      </c>
      <c r="H73" s="21">
        <f t="shared" si="17"/>
        <v>1273.8</v>
      </c>
      <c r="I73" s="21">
        <v>1273.8</v>
      </c>
      <c r="J73" s="21">
        <v>30.48</v>
      </c>
      <c r="K73" s="21">
        <f>J73*1.2997*W96</f>
        <v>37.627886702742444</v>
      </c>
      <c r="L73" s="19">
        <f t="shared" si="18"/>
        <v>0</v>
      </c>
      <c r="M73" s="19">
        <f t="shared" si="19"/>
        <v>0</v>
      </c>
      <c r="N73" s="19">
        <f t="shared" si="20"/>
        <v>47930.402081953325</v>
      </c>
      <c r="O73" s="19">
        <f t="shared" si="21"/>
        <v>47930.402081953325</v>
      </c>
      <c r="P73" s="32">
        <v>1189.3</v>
      </c>
      <c r="Q73" s="15" t="e">
        <f t="shared" si="23"/>
        <v>#DIV/0!</v>
      </c>
      <c r="R73" s="19">
        <f t="shared" si="22"/>
        <v>44750.845655571589</v>
      </c>
      <c r="S73" s="32">
        <f>P73+'1ª MEDIÇÃO'!M74</f>
        <v>1189.3</v>
      </c>
      <c r="T73" s="15" t="e">
        <f t="shared" si="28"/>
        <v>#DIV/0!</v>
      </c>
      <c r="U73" s="19">
        <f t="shared" si="29"/>
        <v>44750.845655571589</v>
      </c>
    </row>
    <row r="74" spans="1:21" x14ac:dyDescent="0.35">
      <c r="A74" s="145" t="s">
        <v>38</v>
      </c>
      <c r="B74" s="360" t="s">
        <v>197</v>
      </c>
      <c r="C74" s="361"/>
      <c r="D74" s="361"/>
      <c r="E74" s="361"/>
      <c r="F74" s="361"/>
      <c r="G74" s="361"/>
      <c r="H74" s="361"/>
      <c r="I74" s="361"/>
      <c r="J74" s="361"/>
      <c r="K74" s="362"/>
      <c r="L74" s="24">
        <f>L75+L76+L77+L78+L79+L80</f>
        <v>49421.1296</v>
      </c>
      <c r="M74" s="24">
        <f>M75+M76+M77+M78+M79+M80</f>
        <v>0</v>
      </c>
      <c r="N74" s="24">
        <f>N75+N76+N77+N78+N79+N80</f>
        <v>0</v>
      </c>
      <c r="O74" s="24">
        <f>O75+O76+O77+O78+O79+O80</f>
        <v>49421.1296</v>
      </c>
      <c r="P74" s="33"/>
      <c r="Q74" s="26"/>
      <c r="R74" s="24">
        <f>R75+R76+R77+R78+R79+R80</f>
        <v>0</v>
      </c>
      <c r="S74" s="33"/>
      <c r="T74" s="26"/>
      <c r="U74" s="24">
        <f>U75+U76+U77+U78+U79+U80</f>
        <v>0</v>
      </c>
    </row>
    <row r="75" spans="1:21" ht="33" customHeight="1" x14ac:dyDescent="0.35">
      <c r="A75" s="30" t="s">
        <v>198</v>
      </c>
      <c r="B75" s="20" t="s">
        <v>199</v>
      </c>
      <c r="C75" s="30" t="s">
        <v>200</v>
      </c>
      <c r="D75" s="20" t="s">
        <v>58</v>
      </c>
      <c r="E75" s="20" t="s">
        <v>112</v>
      </c>
      <c r="F75" s="21">
        <v>10</v>
      </c>
      <c r="G75" s="21">
        <f t="shared" si="16"/>
        <v>0</v>
      </c>
      <c r="H75" s="21">
        <f t="shared" si="17"/>
        <v>0</v>
      </c>
      <c r="I75" s="21">
        <f>F75</f>
        <v>10</v>
      </c>
      <c r="J75" s="21">
        <v>219.52</v>
      </c>
      <c r="K75" s="21">
        <v>285.31</v>
      </c>
      <c r="L75" s="19">
        <f t="shared" si="18"/>
        <v>2853.1</v>
      </c>
      <c r="M75" s="19">
        <f t="shared" si="19"/>
        <v>0</v>
      </c>
      <c r="N75" s="19">
        <f t="shared" si="20"/>
        <v>0</v>
      </c>
      <c r="O75" s="19">
        <f t="shared" si="21"/>
        <v>2853.1</v>
      </c>
      <c r="P75" s="32"/>
      <c r="Q75" s="15">
        <f t="shared" si="23"/>
        <v>0</v>
      </c>
      <c r="R75" s="19">
        <f t="shared" si="22"/>
        <v>0</v>
      </c>
      <c r="S75" s="32">
        <f>P75+'1ª MEDIÇÃO'!M74</f>
        <v>0</v>
      </c>
      <c r="T75" s="15">
        <f t="shared" ref="T75:T80" si="30">S75/F75</f>
        <v>0</v>
      </c>
      <c r="U75" s="19">
        <f t="shared" ref="U75:U80" si="31">S75*K75</f>
        <v>0</v>
      </c>
    </row>
    <row r="76" spans="1:21" ht="37.5" x14ac:dyDescent="0.35">
      <c r="A76" s="30" t="s">
        <v>201</v>
      </c>
      <c r="B76" s="20" t="s">
        <v>202</v>
      </c>
      <c r="C76" s="30" t="s">
        <v>203</v>
      </c>
      <c r="D76" s="20" t="s">
        <v>58</v>
      </c>
      <c r="E76" s="20" t="s">
        <v>41</v>
      </c>
      <c r="F76" s="21">
        <v>60</v>
      </c>
      <c r="G76" s="21">
        <f t="shared" si="16"/>
        <v>0</v>
      </c>
      <c r="H76" s="21">
        <f t="shared" si="17"/>
        <v>0</v>
      </c>
      <c r="I76" s="21">
        <f t="shared" ref="I76:I80" si="32">F76</f>
        <v>60</v>
      </c>
      <c r="J76" s="21">
        <v>52.88</v>
      </c>
      <c r="K76" s="21">
        <v>68.73</v>
      </c>
      <c r="L76" s="19">
        <f t="shared" si="18"/>
        <v>4123.8</v>
      </c>
      <c r="M76" s="19">
        <f t="shared" si="19"/>
        <v>0</v>
      </c>
      <c r="N76" s="19">
        <f t="shared" si="20"/>
        <v>0</v>
      </c>
      <c r="O76" s="19">
        <f t="shared" si="21"/>
        <v>4123.8</v>
      </c>
      <c r="P76" s="32"/>
      <c r="Q76" s="15">
        <f t="shared" si="23"/>
        <v>0</v>
      </c>
      <c r="R76" s="19">
        <f t="shared" si="22"/>
        <v>0</v>
      </c>
      <c r="S76" s="32">
        <f>P76+'1ª MEDIÇÃO'!M75</f>
        <v>0</v>
      </c>
      <c r="T76" s="15">
        <f t="shared" si="30"/>
        <v>0</v>
      </c>
      <c r="U76" s="19">
        <f t="shared" si="31"/>
        <v>0</v>
      </c>
    </row>
    <row r="77" spans="1:21" ht="25" x14ac:dyDescent="0.35">
      <c r="A77" s="30" t="s">
        <v>204</v>
      </c>
      <c r="B77" s="20" t="s">
        <v>205</v>
      </c>
      <c r="C77" s="30" t="s">
        <v>206</v>
      </c>
      <c r="D77" s="20" t="s">
        <v>53</v>
      </c>
      <c r="E77" s="20" t="s">
        <v>54</v>
      </c>
      <c r="F77" s="21">
        <v>11.6</v>
      </c>
      <c r="G77" s="21">
        <f t="shared" si="16"/>
        <v>0</v>
      </c>
      <c r="H77" s="21">
        <f t="shared" si="17"/>
        <v>0</v>
      </c>
      <c r="I77" s="21">
        <f t="shared" si="32"/>
        <v>11.6</v>
      </c>
      <c r="J77" s="21">
        <v>151.79</v>
      </c>
      <c r="K77" s="21">
        <v>177.29</v>
      </c>
      <c r="L77" s="19">
        <f t="shared" si="18"/>
        <v>2056.5639999999999</v>
      </c>
      <c r="M77" s="19">
        <f t="shared" si="19"/>
        <v>0</v>
      </c>
      <c r="N77" s="19">
        <f t="shared" si="20"/>
        <v>0</v>
      </c>
      <c r="O77" s="19">
        <f t="shared" si="21"/>
        <v>2056.5639999999999</v>
      </c>
      <c r="P77" s="32"/>
      <c r="Q77" s="15">
        <f t="shared" si="23"/>
        <v>0</v>
      </c>
      <c r="R77" s="19">
        <f t="shared" si="22"/>
        <v>0</v>
      </c>
      <c r="S77" s="32">
        <f>P77+'1ª MEDIÇÃO'!M76</f>
        <v>0</v>
      </c>
      <c r="T77" s="15">
        <f t="shared" si="30"/>
        <v>0</v>
      </c>
      <c r="U77" s="19">
        <f t="shared" si="31"/>
        <v>0</v>
      </c>
    </row>
    <row r="78" spans="1:21" x14ac:dyDescent="0.35">
      <c r="A78" s="30" t="s">
        <v>207</v>
      </c>
      <c r="B78" s="20" t="s">
        <v>208</v>
      </c>
      <c r="C78" s="30" t="s">
        <v>209</v>
      </c>
      <c r="D78" s="20" t="s">
        <v>210</v>
      </c>
      <c r="E78" s="20" t="s">
        <v>54</v>
      </c>
      <c r="F78" s="21">
        <v>2533.7399999999998</v>
      </c>
      <c r="G78" s="21">
        <f t="shared" si="16"/>
        <v>0</v>
      </c>
      <c r="H78" s="21">
        <f t="shared" si="17"/>
        <v>0</v>
      </c>
      <c r="I78" s="21">
        <f t="shared" si="32"/>
        <v>2533.7399999999998</v>
      </c>
      <c r="J78" s="21">
        <v>3.26</v>
      </c>
      <c r="K78" s="21">
        <v>4.24</v>
      </c>
      <c r="L78" s="19">
        <f t="shared" si="18"/>
        <v>10743.0576</v>
      </c>
      <c r="M78" s="19">
        <f t="shared" si="19"/>
        <v>0</v>
      </c>
      <c r="N78" s="19">
        <f t="shared" si="20"/>
        <v>0</v>
      </c>
      <c r="O78" s="19">
        <f t="shared" si="21"/>
        <v>10743.0576</v>
      </c>
      <c r="P78" s="32"/>
      <c r="Q78" s="15">
        <f t="shared" si="23"/>
        <v>0</v>
      </c>
      <c r="R78" s="19">
        <f t="shared" si="22"/>
        <v>0</v>
      </c>
      <c r="S78" s="32">
        <f>P78+'1ª MEDIÇÃO'!M77</f>
        <v>0</v>
      </c>
      <c r="T78" s="15">
        <f t="shared" si="30"/>
        <v>0</v>
      </c>
      <c r="U78" s="19">
        <f t="shared" si="31"/>
        <v>0</v>
      </c>
    </row>
    <row r="79" spans="1:21" ht="25" x14ac:dyDescent="0.35">
      <c r="A79" s="30" t="s">
        <v>211</v>
      </c>
      <c r="B79" s="20" t="s">
        <v>132</v>
      </c>
      <c r="C79" s="30" t="s">
        <v>133</v>
      </c>
      <c r="D79" s="20" t="s">
        <v>58</v>
      </c>
      <c r="E79" s="20" t="s">
        <v>68</v>
      </c>
      <c r="F79" s="21">
        <v>55.2</v>
      </c>
      <c r="G79" s="21">
        <f t="shared" si="16"/>
        <v>0</v>
      </c>
      <c r="H79" s="21">
        <f t="shared" si="17"/>
        <v>0</v>
      </c>
      <c r="I79" s="21">
        <f t="shared" si="32"/>
        <v>55.2</v>
      </c>
      <c r="J79" s="21">
        <v>61.43</v>
      </c>
      <c r="K79" s="21">
        <v>79.84</v>
      </c>
      <c r="L79" s="19">
        <f t="shared" si="18"/>
        <v>4407.1680000000006</v>
      </c>
      <c r="M79" s="19">
        <f t="shared" si="19"/>
        <v>0</v>
      </c>
      <c r="N79" s="19">
        <f t="shared" si="20"/>
        <v>0</v>
      </c>
      <c r="O79" s="19">
        <f t="shared" si="21"/>
        <v>4407.1680000000006</v>
      </c>
      <c r="P79" s="32"/>
      <c r="Q79" s="15">
        <f t="shared" si="23"/>
        <v>0</v>
      </c>
      <c r="R79" s="19">
        <f t="shared" si="22"/>
        <v>0</v>
      </c>
      <c r="S79" s="32">
        <f>P79+'1ª MEDIÇÃO'!M78</f>
        <v>0</v>
      </c>
      <c r="T79" s="15">
        <f t="shared" si="30"/>
        <v>0</v>
      </c>
      <c r="U79" s="19">
        <f t="shared" si="31"/>
        <v>0</v>
      </c>
    </row>
    <row r="80" spans="1:21" ht="50" x14ac:dyDescent="0.35">
      <c r="A80" s="30" t="s">
        <v>212</v>
      </c>
      <c r="B80" s="20" t="s">
        <v>213</v>
      </c>
      <c r="C80" s="30" t="s">
        <v>214</v>
      </c>
      <c r="D80" s="20" t="s">
        <v>58</v>
      </c>
      <c r="E80" s="20" t="s">
        <v>41</v>
      </c>
      <c r="F80" s="21">
        <v>46</v>
      </c>
      <c r="G80" s="21">
        <f t="shared" si="16"/>
        <v>0</v>
      </c>
      <c r="H80" s="21">
        <f t="shared" si="17"/>
        <v>0</v>
      </c>
      <c r="I80" s="21">
        <f t="shared" si="32"/>
        <v>46</v>
      </c>
      <c r="J80" s="21">
        <v>422.13</v>
      </c>
      <c r="K80" s="21">
        <v>548.64</v>
      </c>
      <c r="L80" s="19">
        <f t="shared" si="18"/>
        <v>25237.439999999999</v>
      </c>
      <c r="M80" s="19">
        <f t="shared" si="19"/>
        <v>0</v>
      </c>
      <c r="N80" s="19">
        <f t="shared" si="20"/>
        <v>0</v>
      </c>
      <c r="O80" s="19">
        <f t="shared" si="21"/>
        <v>25237.439999999999</v>
      </c>
      <c r="P80" s="32"/>
      <c r="Q80" s="15">
        <f t="shared" si="23"/>
        <v>0</v>
      </c>
      <c r="R80" s="19">
        <f t="shared" si="22"/>
        <v>0</v>
      </c>
      <c r="S80" s="32">
        <f>P80+'1ª MEDIÇÃO'!M79</f>
        <v>0</v>
      </c>
      <c r="T80" s="15">
        <f t="shared" si="30"/>
        <v>0</v>
      </c>
      <c r="U80" s="19">
        <f t="shared" si="31"/>
        <v>0</v>
      </c>
    </row>
    <row r="81" spans="1:25" x14ac:dyDescent="0.35">
      <c r="A81" s="145" t="s">
        <v>39</v>
      </c>
      <c r="B81" s="360" t="s">
        <v>127</v>
      </c>
      <c r="C81" s="361"/>
      <c r="D81" s="361"/>
      <c r="E81" s="361"/>
      <c r="F81" s="361"/>
      <c r="G81" s="361"/>
      <c r="H81" s="361"/>
      <c r="I81" s="361"/>
      <c r="J81" s="361"/>
      <c r="K81" s="362"/>
      <c r="L81" s="24">
        <f>L82+L83+L84+L85+L86+L87+L88</f>
        <v>187234.62</v>
      </c>
      <c r="M81" s="24">
        <f>M82+M83+M84+M85+M86+M87+M88</f>
        <v>0</v>
      </c>
      <c r="N81" s="24">
        <f>N82+N83+N84+N85+N86+N87+N88</f>
        <v>0</v>
      </c>
      <c r="O81" s="24">
        <f>O82+O83+O84+O85+O86+O87+O88</f>
        <v>187234.62</v>
      </c>
      <c r="P81" s="33"/>
      <c r="Q81" s="26"/>
      <c r="R81" s="24">
        <f>R82+R83+R84+R85+R86+R87+R88</f>
        <v>163491.94944</v>
      </c>
      <c r="S81" s="33"/>
      <c r="T81" s="26"/>
      <c r="U81" s="24">
        <f>U82+U83+U84+U85+U86+U87+U88</f>
        <v>175092.58944000001</v>
      </c>
    </row>
    <row r="82" spans="1:25" ht="37.5" x14ac:dyDescent="0.35">
      <c r="A82" s="30" t="s">
        <v>215</v>
      </c>
      <c r="B82" s="20" t="s">
        <v>216</v>
      </c>
      <c r="C82" s="30" t="s">
        <v>217</v>
      </c>
      <c r="D82" s="20" t="s">
        <v>58</v>
      </c>
      <c r="E82" s="20" t="s">
        <v>112</v>
      </c>
      <c r="F82" s="21">
        <v>15</v>
      </c>
      <c r="G82" s="21">
        <f t="shared" si="16"/>
        <v>0</v>
      </c>
      <c r="H82" s="21">
        <f t="shared" si="17"/>
        <v>0</v>
      </c>
      <c r="I82" s="21">
        <f>F82</f>
        <v>15</v>
      </c>
      <c r="J82" s="21">
        <v>3719.44</v>
      </c>
      <c r="K82" s="21">
        <v>4834.16</v>
      </c>
      <c r="L82" s="19">
        <f t="shared" si="18"/>
        <v>72512.399999999994</v>
      </c>
      <c r="M82" s="19">
        <f t="shared" si="19"/>
        <v>0</v>
      </c>
      <c r="N82" s="19">
        <f t="shared" si="20"/>
        <v>0</v>
      </c>
      <c r="O82" s="19">
        <f t="shared" si="21"/>
        <v>72512.399999999994</v>
      </c>
      <c r="P82" s="32">
        <v>15</v>
      </c>
      <c r="Q82" s="15">
        <f t="shared" si="23"/>
        <v>1</v>
      </c>
      <c r="R82" s="19">
        <f t="shared" si="22"/>
        <v>72512.399999999994</v>
      </c>
      <c r="S82" s="32">
        <f>P82+'1ª MEDIÇÃO'!M81</f>
        <v>15</v>
      </c>
      <c r="T82" s="15">
        <f t="shared" ref="T82:T88" si="33">S82/F82</f>
        <v>1</v>
      </c>
      <c r="U82" s="19">
        <f t="shared" ref="U82:U88" si="34">S82*K82</f>
        <v>72512.399999999994</v>
      </c>
    </row>
    <row r="83" spans="1:25" ht="25" x14ac:dyDescent="0.35">
      <c r="A83" s="30" t="s">
        <v>218</v>
      </c>
      <c r="B83" s="20" t="s">
        <v>219</v>
      </c>
      <c r="C83" s="30" t="s">
        <v>220</v>
      </c>
      <c r="D83" s="20" t="s">
        <v>58</v>
      </c>
      <c r="E83" s="20" t="s">
        <v>112</v>
      </c>
      <c r="F83" s="21">
        <v>17</v>
      </c>
      <c r="G83" s="21">
        <f t="shared" si="16"/>
        <v>0</v>
      </c>
      <c r="H83" s="21">
        <f t="shared" si="17"/>
        <v>0</v>
      </c>
      <c r="I83" s="21">
        <f t="shared" ref="I83:I88" si="35">F83</f>
        <v>17</v>
      </c>
      <c r="J83" s="21">
        <v>789.65</v>
      </c>
      <c r="K83" s="21">
        <v>1026.31</v>
      </c>
      <c r="L83" s="19">
        <f t="shared" si="18"/>
        <v>17447.27</v>
      </c>
      <c r="M83" s="19">
        <f t="shared" si="19"/>
        <v>0</v>
      </c>
      <c r="N83" s="19">
        <f t="shared" si="20"/>
        <v>0</v>
      </c>
      <c r="O83" s="19">
        <f t="shared" si="21"/>
        <v>17447.27</v>
      </c>
      <c r="P83" s="32">
        <v>17</v>
      </c>
      <c r="Q83" s="15">
        <f t="shared" si="23"/>
        <v>1</v>
      </c>
      <c r="R83" s="19">
        <f t="shared" si="22"/>
        <v>17447.27</v>
      </c>
      <c r="S83" s="32">
        <f>P83+'1ª MEDIÇÃO'!M82</f>
        <v>17</v>
      </c>
      <c r="T83" s="15">
        <f t="shared" si="33"/>
        <v>1</v>
      </c>
      <c r="U83" s="19">
        <f t="shared" si="34"/>
        <v>17447.27</v>
      </c>
    </row>
    <row r="84" spans="1:25" ht="25" x14ac:dyDescent="0.35">
      <c r="A84" s="30" t="s">
        <v>221</v>
      </c>
      <c r="B84" s="20" t="s">
        <v>132</v>
      </c>
      <c r="C84" s="30" t="s">
        <v>133</v>
      </c>
      <c r="D84" s="20" t="s">
        <v>58</v>
      </c>
      <c r="E84" s="20" t="s">
        <v>68</v>
      </c>
      <c r="F84" s="21">
        <v>34</v>
      </c>
      <c r="G84" s="21">
        <f t="shared" si="16"/>
        <v>0</v>
      </c>
      <c r="H84" s="21">
        <f t="shared" si="17"/>
        <v>0</v>
      </c>
      <c r="I84" s="21">
        <f t="shared" si="35"/>
        <v>34</v>
      </c>
      <c r="J84" s="21">
        <v>61.43</v>
      </c>
      <c r="K84" s="21">
        <v>79.84</v>
      </c>
      <c r="L84" s="19">
        <f t="shared" si="18"/>
        <v>2714.56</v>
      </c>
      <c r="M84" s="19">
        <f t="shared" si="19"/>
        <v>0</v>
      </c>
      <c r="N84" s="19">
        <f t="shared" si="20"/>
        <v>0</v>
      </c>
      <c r="O84" s="19">
        <f t="shared" si="21"/>
        <v>2714.56</v>
      </c>
      <c r="P84" s="32">
        <v>0.89100000000000001</v>
      </c>
      <c r="Q84" s="15">
        <f t="shared" si="23"/>
        <v>2.6205882352941176E-2</v>
      </c>
      <c r="R84" s="19">
        <f t="shared" si="22"/>
        <v>71.137439999999998</v>
      </c>
      <c r="S84" s="32">
        <f>P84+'1ª MEDIÇÃO'!M83</f>
        <v>0.89100000000000001</v>
      </c>
      <c r="T84" s="15">
        <f t="shared" si="33"/>
        <v>2.6205882352941176E-2</v>
      </c>
      <c r="U84" s="19">
        <f t="shared" si="34"/>
        <v>71.137439999999998</v>
      </c>
    </row>
    <row r="85" spans="1:25" ht="37.5" x14ac:dyDescent="0.35">
      <c r="A85" s="30" t="s">
        <v>222</v>
      </c>
      <c r="B85" s="20" t="s">
        <v>135</v>
      </c>
      <c r="C85" s="30" t="s">
        <v>136</v>
      </c>
      <c r="D85" s="20" t="s">
        <v>58</v>
      </c>
      <c r="E85" s="20" t="s">
        <v>41</v>
      </c>
      <c r="F85" s="21">
        <v>850</v>
      </c>
      <c r="G85" s="21">
        <f t="shared" si="16"/>
        <v>0</v>
      </c>
      <c r="H85" s="21">
        <f t="shared" si="17"/>
        <v>0</v>
      </c>
      <c r="I85" s="21">
        <f t="shared" si="35"/>
        <v>850</v>
      </c>
      <c r="J85" s="21">
        <v>12.23</v>
      </c>
      <c r="K85" s="21">
        <v>15.9</v>
      </c>
      <c r="L85" s="19">
        <f t="shared" si="18"/>
        <v>13515</v>
      </c>
      <c r="M85" s="19">
        <f t="shared" si="19"/>
        <v>0</v>
      </c>
      <c r="N85" s="19">
        <f t="shared" si="20"/>
        <v>0</v>
      </c>
      <c r="O85" s="19">
        <f t="shared" si="21"/>
        <v>13515</v>
      </c>
      <c r="P85" s="32">
        <v>92.200000000000045</v>
      </c>
      <c r="Q85" s="15">
        <f t="shared" si="23"/>
        <v>0.10847058823529417</v>
      </c>
      <c r="R85" s="19">
        <f t="shared" si="22"/>
        <v>1465.9800000000007</v>
      </c>
      <c r="S85" s="32">
        <f>P85+'1ª MEDIÇÃO'!M84</f>
        <v>821.8</v>
      </c>
      <c r="T85" s="15">
        <f t="shared" si="33"/>
        <v>0.96682352941176464</v>
      </c>
      <c r="U85" s="19">
        <f t="shared" si="34"/>
        <v>13066.619999999999</v>
      </c>
    </row>
    <row r="86" spans="1:25" ht="37.5" x14ac:dyDescent="0.35">
      <c r="A86" s="30" t="s">
        <v>223</v>
      </c>
      <c r="B86" s="20" t="s">
        <v>138</v>
      </c>
      <c r="C86" s="30" t="s">
        <v>139</v>
      </c>
      <c r="D86" s="20" t="s">
        <v>58</v>
      </c>
      <c r="E86" s="20" t="s">
        <v>41</v>
      </c>
      <c r="F86" s="21">
        <v>2550</v>
      </c>
      <c r="G86" s="21">
        <f t="shared" si="16"/>
        <v>0</v>
      </c>
      <c r="H86" s="21">
        <f t="shared" si="17"/>
        <v>0</v>
      </c>
      <c r="I86" s="21">
        <f t="shared" si="35"/>
        <v>2550</v>
      </c>
      <c r="J86" s="21">
        <v>22.29</v>
      </c>
      <c r="K86" s="21">
        <v>28.97</v>
      </c>
      <c r="L86" s="19">
        <f t="shared" si="18"/>
        <v>73873.5</v>
      </c>
      <c r="M86" s="19">
        <f t="shared" si="19"/>
        <v>0</v>
      </c>
      <c r="N86" s="19">
        <f t="shared" si="20"/>
        <v>0</v>
      </c>
      <c r="O86" s="19">
        <f t="shared" si="21"/>
        <v>73873.5</v>
      </c>
      <c r="P86" s="32">
        <v>2237.6</v>
      </c>
      <c r="Q86" s="15">
        <f t="shared" si="23"/>
        <v>0.87749019607843137</v>
      </c>
      <c r="R86" s="19">
        <f t="shared" si="22"/>
        <v>64823.271999999997</v>
      </c>
      <c r="S86" s="32">
        <f>P86+'1ª MEDIÇÃO'!M85</f>
        <v>2237.6</v>
      </c>
      <c r="T86" s="15">
        <f t="shared" si="33"/>
        <v>0.87749019607843137</v>
      </c>
      <c r="U86" s="19">
        <f t="shared" si="34"/>
        <v>64823.271999999997</v>
      </c>
    </row>
    <row r="87" spans="1:25" ht="37.5" x14ac:dyDescent="0.35">
      <c r="A87" s="30" t="s">
        <v>224</v>
      </c>
      <c r="B87" s="20" t="s">
        <v>141</v>
      </c>
      <c r="C87" s="30" t="s">
        <v>142</v>
      </c>
      <c r="D87" s="20" t="s">
        <v>58</v>
      </c>
      <c r="E87" s="20" t="s">
        <v>112</v>
      </c>
      <c r="F87" s="21">
        <v>33</v>
      </c>
      <c r="G87" s="21">
        <f t="shared" si="16"/>
        <v>0</v>
      </c>
      <c r="H87" s="21">
        <f t="shared" si="17"/>
        <v>0</v>
      </c>
      <c r="I87" s="21">
        <f t="shared" si="35"/>
        <v>33</v>
      </c>
      <c r="J87" s="21">
        <v>129.55000000000001</v>
      </c>
      <c r="K87" s="21">
        <v>168.38</v>
      </c>
      <c r="L87" s="19">
        <f t="shared" si="18"/>
        <v>5556.54</v>
      </c>
      <c r="M87" s="19">
        <f t="shared" si="19"/>
        <v>0</v>
      </c>
      <c r="N87" s="19">
        <f t="shared" si="20"/>
        <v>0</v>
      </c>
      <c r="O87" s="19">
        <f t="shared" si="21"/>
        <v>5556.54</v>
      </c>
      <c r="P87" s="32">
        <v>33</v>
      </c>
      <c r="Q87" s="15">
        <f t="shared" si="23"/>
        <v>1</v>
      </c>
      <c r="R87" s="19">
        <f t="shared" si="22"/>
        <v>5556.54</v>
      </c>
      <c r="S87" s="32">
        <f>P87+'1ª MEDIÇÃO'!M86</f>
        <v>33</v>
      </c>
      <c r="T87" s="15">
        <f t="shared" si="33"/>
        <v>1</v>
      </c>
      <c r="U87" s="19">
        <f t="shared" si="34"/>
        <v>5556.54</v>
      </c>
    </row>
    <row r="88" spans="1:25" ht="25" x14ac:dyDescent="0.35">
      <c r="A88" s="30" t="s">
        <v>225</v>
      </c>
      <c r="B88" s="20" t="s">
        <v>147</v>
      </c>
      <c r="C88" s="30" t="s">
        <v>148</v>
      </c>
      <c r="D88" s="20" t="s">
        <v>58</v>
      </c>
      <c r="E88" s="20" t="s">
        <v>112</v>
      </c>
      <c r="F88" s="21">
        <v>33</v>
      </c>
      <c r="G88" s="21">
        <f t="shared" si="16"/>
        <v>0</v>
      </c>
      <c r="H88" s="21">
        <f t="shared" si="17"/>
        <v>0</v>
      </c>
      <c r="I88" s="21">
        <f t="shared" si="35"/>
        <v>33</v>
      </c>
      <c r="J88" s="21">
        <v>37.659999999999997</v>
      </c>
      <c r="K88" s="21">
        <v>48.95</v>
      </c>
      <c r="L88" s="19">
        <f t="shared" si="18"/>
        <v>1615.3500000000001</v>
      </c>
      <c r="M88" s="19">
        <f t="shared" si="19"/>
        <v>0</v>
      </c>
      <c r="N88" s="19">
        <f t="shared" si="20"/>
        <v>0</v>
      </c>
      <c r="O88" s="19">
        <f t="shared" si="21"/>
        <v>1615.3500000000001</v>
      </c>
      <c r="P88" s="32">
        <v>33</v>
      </c>
      <c r="Q88" s="15">
        <f t="shared" si="23"/>
        <v>1</v>
      </c>
      <c r="R88" s="19">
        <f t="shared" si="22"/>
        <v>1615.3500000000001</v>
      </c>
      <c r="S88" s="32">
        <f>P88+'1ª MEDIÇÃO'!M87</f>
        <v>33</v>
      </c>
      <c r="T88" s="15">
        <f t="shared" si="33"/>
        <v>1</v>
      </c>
      <c r="U88" s="19">
        <f t="shared" si="34"/>
        <v>1615.3500000000001</v>
      </c>
    </row>
    <row r="89" spans="1:25" x14ac:dyDescent="0.35">
      <c r="A89" s="363" t="s">
        <v>16</v>
      </c>
      <c r="B89" s="363"/>
      <c r="C89" s="363"/>
      <c r="D89" s="363"/>
      <c r="E89" s="363"/>
      <c r="F89" s="363"/>
      <c r="G89" s="363"/>
      <c r="H89" s="363"/>
      <c r="I89" s="363"/>
      <c r="J89" s="363"/>
      <c r="K89" s="363"/>
      <c r="L89" s="11">
        <f>L12+L54</f>
        <v>2616444.9081999999</v>
      </c>
      <c r="M89" s="11">
        <f>M12+M54</f>
        <v>-90740.255999999994</v>
      </c>
      <c r="N89" s="11">
        <f>N12+N54</f>
        <v>61078.348623515623</v>
      </c>
      <c r="O89" s="11">
        <f>O12+O54</f>
        <v>2586783.0008235155</v>
      </c>
      <c r="P89" s="11"/>
      <c r="Q89" s="11"/>
      <c r="R89" s="11">
        <f>R12+R54</f>
        <v>180264.17068930794</v>
      </c>
      <c r="S89" s="11"/>
      <c r="T89" s="11"/>
      <c r="U89" s="11">
        <f>U12+U54</f>
        <v>414481.72095314792</v>
      </c>
      <c r="W89" s="14"/>
    </row>
    <row r="90" spans="1:25" ht="8.25" customHeight="1" x14ac:dyDescent="0.35">
      <c r="A90" s="12"/>
      <c r="B90" s="12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5" x14ac:dyDescent="0.35">
      <c r="A91" s="348" t="s">
        <v>24</v>
      </c>
      <c r="B91" s="349"/>
      <c r="C91" s="349"/>
      <c r="D91" s="349"/>
      <c r="E91" s="349"/>
      <c r="F91" s="349"/>
      <c r="G91" s="349"/>
      <c r="H91" s="349"/>
      <c r="I91" s="349"/>
      <c r="J91" s="349"/>
      <c r="K91" s="350"/>
      <c r="L91" s="351" t="s">
        <v>600</v>
      </c>
      <c r="M91" s="352"/>
      <c r="N91" s="352"/>
      <c r="O91" s="352"/>
      <c r="P91" s="352"/>
      <c r="Q91" s="352"/>
      <c r="R91" s="352"/>
      <c r="S91" s="352"/>
      <c r="T91" s="352"/>
      <c r="U91" s="353"/>
      <c r="W91" s="31">
        <f>'1ª MEDIÇÃO'!L88+R89</f>
        <v>414481.72095314786</v>
      </c>
      <c r="Y91" s="309">
        <f>U89/L89</f>
        <v>0.15841408303845897</v>
      </c>
    </row>
    <row r="92" spans="1:25" ht="15" customHeight="1" x14ac:dyDescent="0.35">
      <c r="A92" s="364" t="s">
        <v>598</v>
      </c>
      <c r="B92" s="364"/>
      <c r="C92" s="364"/>
      <c r="D92" s="364"/>
      <c r="E92" s="364"/>
      <c r="F92" s="364"/>
      <c r="G92" s="364"/>
      <c r="H92" s="364"/>
      <c r="I92" s="364"/>
      <c r="J92" s="364"/>
      <c r="K92" s="364"/>
      <c r="L92" s="364" t="s">
        <v>9</v>
      </c>
      <c r="M92" s="364"/>
      <c r="N92" s="364"/>
      <c r="O92" s="364"/>
      <c r="P92" s="364"/>
      <c r="Q92" s="364"/>
      <c r="R92" s="364"/>
      <c r="S92" s="364"/>
      <c r="T92" s="364"/>
      <c r="U92" s="364"/>
    </row>
    <row r="93" spans="1:25" x14ac:dyDescent="0.35">
      <c r="A93" s="365"/>
      <c r="B93" s="365"/>
      <c r="C93" s="365"/>
      <c r="D93" s="365"/>
      <c r="E93" s="365"/>
      <c r="F93" s="365"/>
      <c r="G93" s="365"/>
      <c r="H93" s="365"/>
      <c r="I93" s="365"/>
      <c r="J93" s="365"/>
      <c r="K93" s="365"/>
      <c r="L93" s="365"/>
      <c r="M93" s="365"/>
      <c r="N93" s="365"/>
      <c r="O93" s="365"/>
      <c r="P93" s="365"/>
      <c r="Q93" s="365"/>
      <c r="R93" s="365"/>
      <c r="S93" s="365"/>
      <c r="T93" s="365"/>
      <c r="U93" s="365"/>
    </row>
    <row r="94" spans="1:25" ht="11.5" customHeight="1" x14ac:dyDescent="0.35">
      <c r="A94" s="365"/>
      <c r="B94" s="365"/>
      <c r="C94" s="365"/>
      <c r="D94" s="365"/>
      <c r="E94" s="365"/>
      <c r="F94" s="365"/>
      <c r="G94" s="365"/>
      <c r="H94" s="365"/>
      <c r="I94" s="365"/>
      <c r="J94" s="365"/>
      <c r="K94" s="365"/>
      <c r="L94" s="365"/>
      <c r="M94" s="365"/>
      <c r="N94" s="365"/>
      <c r="O94" s="365"/>
      <c r="P94" s="365"/>
      <c r="Q94" s="365"/>
      <c r="R94" s="365"/>
      <c r="S94" s="365"/>
      <c r="T94" s="365"/>
      <c r="U94" s="365"/>
      <c r="W94" s="308">
        <v>2754608.28</v>
      </c>
    </row>
    <row r="95" spans="1:25" ht="6.65" customHeight="1" x14ac:dyDescent="0.35">
      <c r="A95" s="365"/>
      <c r="B95" s="365"/>
      <c r="C95" s="365"/>
      <c r="D95" s="365"/>
      <c r="E95" s="365"/>
      <c r="F95" s="365"/>
      <c r="G95" s="365"/>
      <c r="H95" s="365"/>
      <c r="I95" s="365"/>
      <c r="J95" s="365"/>
      <c r="K95" s="365"/>
      <c r="L95" s="365"/>
      <c r="M95" s="365"/>
      <c r="N95" s="365"/>
      <c r="O95" s="365"/>
      <c r="P95" s="365"/>
      <c r="Q95" s="365"/>
      <c r="R95" s="365"/>
      <c r="S95" s="365"/>
      <c r="T95" s="365"/>
      <c r="U95" s="365"/>
    </row>
    <row r="96" spans="1:25" ht="12" customHeight="1" x14ac:dyDescent="0.35">
      <c r="A96" s="365"/>
      <c r="B96" s="365"/>
      <c r="C96" s="365"/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65"/>
      <c r="O96" s="365"/>
      <c r="P96" s="365"/>
      <c r="Q96" s="365"/>
      <c r="R96" s="365"/>
      <c r="S96" s="365"/>
      <c r="T96" s="365"/>
      <c r="U96" s="365"/>
      <c r="W96" s="309">
        <f>L89/W94</f>
        <v>0.94984282418551369</v>
      </c>
    </row>
    <row r="97" spans="1:21" ht="9.65" customHeight="1" x14ac:dyDescent="0.35">
      <c r="A97" s="365"/>
      <c r="B97" s="365"/>
      <c r="C97" s="365"/>
      <c r="D97" s="365"/>
      <c r="E97" s="365"/>
      <c r="F97" s="365"/>
      <c r="G97" s="365"/>
      <c r="H97" s="365"/>
      <c r="I97" s="365"/>
      <c r="J97" s="365"/>
      <c r="K97" s="365"/>
      <c r="L97" s="365"/>
      <c r="M97" s="365"/>
      <c r="N97" s="365"/>
      <c r="O97" s="365"/>
      <c r="P97" s="365"/>
      <c r="Q97" s="365"/>
      <c r="R97" s="365"/>
      <c r="S97" s="365"/>
      <c r="T97" s="365"/>
      <c r="U97" s="365"/>
    </row>
    <row r="98" spans="1:21" ht="7.15" customHeight="1" x14ac:dyDescent="0.35">
      <c r="A98" s="365"/>
      <c r="B98" s="365"/>
      <c r="C98" s="365"/>
      <c r="D98" s="365"/>
      <c r="E98" s="365"/>
      <c r="F98" s="365"/>
      <c r="G98" s="365"/>
      <c r="H98" s="365"/>
      <c r="I98" s="365"/>
      <c r="J98" s="365"/>
      <c r="K98" s="365"/>
      <c r="L98" s="365"/>
      <c r="M98" s="365"/>
      <c r="N98" s="365"/>
      <c r="O98" s="365"/>
      <c r="P98" s="365"/>
      <c r="Q98" s="365"/>
      <c r="R98" s="365"/>
      <c r="S98" s="365"/>
      <c r="T98" s="365"/>
      <c r="U98" s="365"/>
    </row>
    <row r="99" spans="1:21" ht="15" customHeight="1" x14ac:dyDescent="0.35">
      <c r="A99" s="364" t="s">
        <v>10</v>
      </c>
      <c r="B99" s="364"/>
      <c r="C99" s="364"/>
      <c r="D99" s="364"/>
      <c r="E99" s="364"/>
      <c r="F99" s="364"/>
      <c r="G99" s="364"/>
      <c r="H99" s="364"/>
      <c r="I99" s="364"/>
      <c r="J99" s="364"/>
      <c r="K99" s="364"/>
      <c r="L99" s="364" t="s">
        <v>11</v>
      </c>
      <c r="M99" s="364"/>
      <c r="N99" s="364"/>
      <c r="O99" s="364"/>
      <c r="P99" s="364"/>
      <c r="Q99" s="364"/>
      <c r="R99" s="364"/>
      <c r="S99" s="364"/>
      <c r="T99" s="364"/>
      <c r="U99" s="364"/>
    </row>
    <row r="100" spans="1:21" x14ac:dyDescent="0.35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3" spans="1:21" x14ac:dyDescent="0.35">
      <c r="N103" s="31">
        <f>L89+N89+M89</f>
        <v>2586783.0008235155</v>
      </c>
    </row>
  </sheetData>
  <mergeCells count="56">
    <mergeCell ref="A1:D2"/>
    <mergeCell ref="E1:U1"/>
    <mergeCell ref="E2:U2"/>
    <mergeCell ref="A3:D3"/>
    <mergeCell ref="E3:U3"/>
    <mergeCell ref="A4:D4"/>
    <mergeCell ref="E4:F4"/>
    <mergeCell ref="J4:K4"/>
    <mergeCell ref="P4:R4"/>
    <mergeCell ref="T4:U4"/>
    <mergeCell ref="N4:O4"/>
    <mergeCell ref="T5:U5"/>
    <mergeCell ref="A7:U7"/>
    <mergeCell ref="A8:A10"/>
    <mergeCell ref="B8:B10"/>
    <mergeCell ref="C8:C10"/>
    <mergeCell ref="D8:D10"/>
    <mergeCell ref="E8:E10"/>
    <mergeCell ref="F8:F10"/>
    <mergeCell ref="J8:K9"/>
    <mergeCell ref="L8:L11"/>
    <mergeCell ref="P8:R9"/>
    <mergeCell ref="N5:O5"/>
    <mergeCell ref="A5:D5"/>
    <mergeCell ref="E5:F5"/>
    <mergeCell ref="J5:K5"/>
    <mergeCell ref="P5:R5"/>
    <mergeCell ref="B68:K68"/>
    <mergeCell ref="S8:U9"/>
    <mergeCell ref="B12:K12"/>
    <mergeCell ref="B13:K13"/>
    <mergeCell ref="B17:K17"/>
    <mergeCell ref="B19:K19"/>
    <mergeCell ref="B32:K32"/>
    <mergeCell ref="O8:O11"/>
    <mergeCell ref="B37:K37"/>
    <mergeCell ref="B47:K47"/>
    <mergeCell ref="B54:K54"/>
    <mergeCell ref="B55:K55"/>
    <mergeCell ref="B57:K57"/>
    <mergeCell ref="A93:K98"/>
    <mergeCell ref="L93:U98"/>
    <mergeCell ref="A99:K99"/>
    <mergeCell ref="L99:U99"/>
    <mergeCell ref="I8:I10"/>
    <mergeCell ref="G8:G10"/>
    <mergeCell ref="H8:H10"/>
    <mergeCell ref="M8:M11"/>
    <mergeCell ref="N8:N11"/>
    <mergeCell ref="B74:K74"/>
    <mergeCell ref="B81:K81"/>
    <mergeCell ref="A89:K89"/>
    <mergeCell ref="A91:K91"/>
    <mergeCell ref="L91:U91"/>
    <mergeCell ref="A92:K92"/>
    <mergeCell ref="L92:U92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42" fitToHeight="0" orientation="landscape" r:id="rId1"/>
  <rowBreaks count="1" manualBreakCount="1">
    <brk id="61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110" zoomScaleNormal="130" zoomScaleSheetLayoutView="110" workbookViewId="0">
      <selection activeCell="M15" sqref="M15"/>
    </sheetView>
  </sheetViews>
  <sheetFormatPr defaultColWidth="9.1796875" defaultRowHeight="13" x14ac:dyDescent="0.35"/>
  <cols>
    <col min="1" max="1" width="5.81640625" style="40" customWidth="1"/>
    <col min="2" max="2" width="30.81640625" style="40" customWidth="1"/>
    <col min="3" max="3" width="25.81640625" style="40" customWidth="1"/>
    <col min="4" max="4" width="3.453125" style="40" customWidth="1"/>
    <col min="5" max="5" width="11.453125" style="40" customWidth="1"/>
    <col min="6" max="6" width="5.7265625" style="40" customWidth="1"/>
    <col min="7" max="7" width="9.1796875" style="40" customWidth="1"/>
    <col min="8" max="8" width="5.7265625" style="40" customWidth="1"/>
    <col min="9" max="9" width="6.453125" style="40" customWidth="1"/>
    <col min="10" max="10" width="5.7265625" style="40" customWidth="1"/>
    <col min="11" max="11" width="9.1796875" style="40" customWidth="1"/>
    <col min="12" max="12" width="10.1796875" style="40" customWidth="1"/>
    <col min="13" max="13" width="11.453125" style="40" customWidth="1"/>
    <col min="14" max="14" width="4.1796875" style="40" customWidth="1"/>
    <col min="15" max="16384" width="9.1796875" style="40"/>
  </cols>
  <sheetData>
    <row r="1" spans="1:14" ht="9.4" customHeight="1" x14ac:dyDescent="0.3">
      <c r="A1" s="419" t="s">
        <v>274</v>
      </c>
      <c r="B1" s="420"/>
      <c r="C1" s="79" t="s">
        <v>273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7"/>
    </row>
    <row r="2" spans="1:14" ht="9" customHeight="1" x14ac:dyDescent="0.3">
      <c r="A2" s="400" t="s">
        <v>272</v>
      </c>
      <c r="B2" s="401"/>
      <c r="C2" s="75" t="s">
        <v>271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3"/>
    </row>
    <row r="3" spans="1:14" ht="9" customHeight="1" x14ac:dyDescent="0.3">
      <c r="A3" s="400" t="s">
        <v>270</v>
      </c>
      <c r="B3" s="401"/>
      <c r="C3" s="75" t="s">
        <v>269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3"/>
    </row>
    <row r="4" spans="1:14" ht="9" customHeight="1" x14ac:dyDescent="0.3">
      <c r="A4" s="400" t="s">
        <v>268</v>
      </c>
      <c r="B4" s="401"/>
      <c r="C4" s="75" t="s">
        <v>267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3"/>
    </row>
    <row r="5" spans="1:14" ht="9" customHeight="1" x14ac:dyDescent="0.3">
      <c r="A5" s="76" t="s">
        <v>266</v>
      </c>
      <c r="B5" s="74"/>
      <c r="C5" s="421" t="s">
        <v>265</v>
      </c>
      <c r="D5" s="421"/>
      <c r="E5" s="421"/>
      <c r="F5" s="74"/>
      <c r="G5" s="74"/>
      <c r="H5" s="74"/>
      <c r="I5" s="74"/>
      <c r="J5" s="74"/>
      <c r="K5" s="74"/>
      <c r="L5" s="74"/>
      <c r="M5" s="74"/>
      <c r="N5" s="73"/>
    </row>
    <row r="6" spans="1:14" ht="9" customHeight="1" x14ac:dyDescent="0.3">
      <c r="A6" s="400" t="s">
        <v>264</v>
      </c>
      <c r="B6" s="401"/>
      <c r="C6" s="75" t="s">
        <v>263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3"/>
    </row>
    <row r="7" spans="1:14" ht="9" customHeight="1" x14ac:dyDescent="0.3">
      <c r="A7" s="402"/>
      <c r="B7" s="403"/>
      <c r="C7" s="75" t="s">
        <v>262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3"/>
    </row>
    <row r="8" spans="1:14" ht="9.4" customHeight="1" x14ac:dyDescent="0.35">
      <c r="A8" s="404" t="s">
        <v>261</v>
      </c>
      <c r="B8" s="404"/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</row>
    <row r="9" spans="1:14" ht="8.65" customHeight="1" x14ac:dyDescent="0.3">
      <c r="A9" s="405"/>
      <c r="B9" s="406"/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7"/>
    </row>
    <row r="10" spans="1:14" ht="9" customHeight="1" x14ac:dyDescent="0.35">
      <c r="A10" s="408" t="s">
        <v>260</v>
      </c>
      <c r="B10" s="410" t="s">
        <v>259</v>
      </c>
      <c r="C10" s="410" t="s">
        <v>258</v>
      </c>
      <c r="D10" s="412" t="s">
        <v>257</v>
      </c>
      <c r="E10" s="414" t="s">
        <v>256</v>
      </c>
      <c r="F10" s="415"/>
      <c r="G10" s="415"/>
      <c r="H10" s="415"/>
      <c r="I10" s="415"/>
      <c r="J10" s="416"/>
      <c r="K10" s="414" t="s">
        <v>255</v>
      </c>
      <c r="L10" s="415"/>
      <c r="M10" s="416"/>
      <c r="N10" s="417" t="s">
        <v>254</v>
      </c>
    </row>
    <row r="11" spans="1:14" ht="9" customHeight="1" x14ac:dyDescent="0.35">
      <c r="A11" s="409"/>
      <c r="B11" s="411"/>
      <c r="C11" s="411"/>
      <c r="D11" s="413"/>
      <c r="E11" s="71" t="s">
        <v>253</v>
      </c>
      <c r="F11" s="71" t="s">
        <v>252</v>
      </c>
      <c r="G11" s="72" t="s">
        <v>251</v>
      </c>
      <c r="H11" s="71" t="s">
        <v>250</v>
      </c>
      <c r="I11" s="71" t="s">
        <v>249</v>
      </c>
      <c r="J11" s="71" t="s">
        <v>248</v>
      </c>
      <c r="K11" s="71" t="s">
        <v>247</v>
      </c>
      <c r="L11" s="71" t="s">
        <v>246</v>
      </c>
      <c r="M11" s="70" t="s">
        <v>245</v>
      </c>
      <c r="N11" s="418"/>
    </row>
    <row r="12" spans="1:14" ht="9" customHeight="1" x14ac:dyDescent="0.3">
      <c r="A12" s="69" t="s">
        <v>244</v>
      </c>
      <c r="B12" s="398" t="s">
        <v>243</v>
      </c>
      <c r="C12" s="399"/>
      <c r="D12" s="69" t="s">
        <v>242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 spans="1:14" ht="18" customHeight="1" x14ac:dyDescent="0.35">
      <c r="A13" s="67" t="s">
        <v>241</v>
      </c>
      <c r="B13" s="66" t="s">
        <v>240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</row>
    <row r="14" spans="1:14" ht="9" customHeight="1" x14ac:dyDescent="0.3">
      <c r="A14" s="63" t="s">
        <v>239</v>
      </c>
      <c r="B14" s="62" t="s">
        <v>238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</row>
    <row r="15" spans="1:14" ht="34.9" customHeight="1" x14ac:dyDescent="0.35">
      <c r="A15" s="112" t="s">
        <v>418</v>
      </c>
      <c r="B15" s="113" t="s">
        <v>419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5">
        <v>20700</v>
      </c>
      <c r="N15" s="116" t="s">
        <v>420</v>
      </c>
    </row>
    <row r="16" spans="1:14" ht="9" customHeight="1" x14ac:dyDescent="0.3">
      <c r="A16" s="117" t="s">
        <v>421</v>
      </c>
      <c r="B16" s="118" t="s">
        <v>422</v>
      </c>
      <c r="C16" s="119"/>
      <c r="D16" s="141">
        <v>1</v>
      </c>
      <c r="E16" s="111">
        <f>'Table 10'!E15</f>
        <v>2166.69</v>
      </c>
      <c r="F16" s="123"/>
      <c r="G16" s="141">
        <f>'Table 10'!G15</f>
        <v>9</v>
      </c>
      <c r="H16" s="123"/>
      <c r="I16" s="123"/>
      <c r="J16" s="123"/>
      <c r="K16" s="141">
        <f>E16*G16</f>
        <v>19500.21</v>
      </c>
      <c r="L16" s="141">
        <f>K16*D16</f>
        <v>19500.21</v>
      </c>
      <c r="M16" s="119"/>
      <c r="N16" s="119"/>
    </row>
    <row r="17" spans="1:14" ht="43.5" customHeight="1" x14ac:dyDescent="0.35">
      <c r="A17" s="112" t="s">
        <v>423</v>
      </c>
      <c r="B17" s="113" t="s">
        <v>424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5">
        <v>15075</v>
      </c>
      <c r="N17" s="116" t="s">
        <v>420</v>
      </c>
    </row>
    <row r="18" spans="1:14" ht="9" customHeight="1" x14ac:dyDescent="0.3">
      <c r="A18" s="117" t="s">
        <v>425</v>
      </c>
      <c r="B18" s="119"/>
      <c r="C18" s="119"/>
      <c r="D18" s="120">
        <v>1</v>
      </c>
      <c r="E18" s="121">
        <v>15075</v>
      </c>
      <c r="F18" s="119"/>
      <c r="G18" s="119"/>
      <c r="H18" s="119"/>
      <c r="I18" s="119"/>
      <c r="J18" s="119"/>
      <c r="K18" s="120">
        <v>15075</v>
      </c>
      <c r="L18" s="120">
        <v>15075</v>
      </c>
      <c r="M18" s="119"/>
      <c r="N18" s="119"/>
    </row>
    <row r="19" spans="1:14" ht="18" customHeight="1" x14ac:dyDescent="0.35">
      <c r="A19" s="122" t="s">
        <v>426</v>
      </c>
      <c r="B19" s="113" t="s">
        <v>427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4">
        <v>2037.51</v>
      </c>
      <c r="N19" s="125" t="s">
        <v>428</v>
      </c>
    </row>
    <row r="20" spans="1:14" ht="17.649999999999999" customHeight="1" x14ac:dyDescent="0.35">
      <c r="A20" s="117" t="s">
        <v>429</v>
      </c>
      <c r="B20" s="123"/>
      <c r="C20" s="126" t="s">
        <v>430</v>
      </c>
      <c r="D20" s="120">
        <v>1</v>
      </c>
      <c r="E20" s="121">
        <v>2037.51</v>
      </c>
      <c r="F20" s="123"/>
      <c r="G20" s="123"/>
      <c r="H20" s="123"/>
      <c r="I20" s="123"/>
      <c r="J20" s="123"/>
      <c r="K20" s="123"/>
      <c r="L20" s="123"/>
      <c r="M20" s="123"/>
      <c r="N20" s="123"/>
    </row>
    <row r="21" spans="1:14" ht="9" customHeight="1" x14ac:dyDescent="0.3">
      <c r="A21" s="127" t="s">
        <v>431</v>
      </c>
      <c r="B21" s="128" t="s">
        <v>432</v>
      </c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14" ht="52.15" customHeight="1" x14ac:dyDescent="0.35">
      <c r="A22" s="112" t="s">
        <v>433</v>
      </c>
      <c r="B22" s="113" t="s">
        <v>434</v>
      </c>
      <c r="C22" s="130" t="s">
        <v>435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31">
        <v>7260.23</v>
      </c>
      <c r="N22" s="116" t="s">
        <v>436</v>
      </c>
    </row>
    <row r="23" spans="1:14" ht="9" customHeight="1" x14ac:dyDescent="0.3">
      <c r="A23" s="117" t="s">
        <v>437</v>
      </c>
      <c r="B23" s="118" t="s">
        <v>438</v>
      </c>
      <c r="C23" s="132" t="s">
        <v>439</v>
      </c>
      <c r="D23" s="120">
        <v>1</v>
      </c>
      <c r="E23" s="133">
        <v>7260.23</v>
      </c>
      <c r="F23" s="119"/>
      <c r="G23" s="119"/>
      <c r="H23" s="119"/>
      <c r="I23" s="119"/>
      <c r="J23" s="119"/>
      <c r="K23" s="119"/>
      <c r="L23" s="134">
        <v>7260.23</v>
      </c>
      <c r="M23" s="119"/>
      <c r="N23" s="119"/>
    </row>
    <row r="24" spans="1:14" ht="9" customHeight="1" x14ac:dyDescent="0.3">
      <c r="A24" s="127" t="s">
        <v>440</v>
      </c>
      <c r="B24" s="128" t="s">
        <v>441</v>
      </c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</row>
    <row r="25" spans="1:14" ht="18" customHeight="1" x14ac:dyDescent="0.35">
      <c r="A25" s="122" t="s">
        <v>442</v>
      </c>
      <c r="B25" s="113" t="s">
        <v>443</v>
      </c>
      <c r="C25" s="135" t="s">
        <v>444</v>
      </c>
      <c r="D25" s="123"/>
      <c r="E25" s="123"/>
      <c r="F25" s="123"/>
      <c r="G25" s="123"/>
      <c r="H25" s="123"/>
      <c r="I25" s="123"/>
      <c r="J25" s="123"/>
      <c r="K25" s="123"/>
      <c r="L25" s="123"/>
      <c r="M25" s="124">
        <v>1840</v>
      </c>
      <c r="N25" s="125" t="s">
        <v>445</v>
      </c>
    </row>
    <row r="26" spans="1:14" ht="9" customHeight="1" x14ac:dyDescent="0.3">
      <c r="A26" s="117" t="s">
        <v>446</v>
      </c>
      <c r="B26" s="118" t="s">
        <v>438</v>
      </c>
      <c r="C26" s="132" t="s">
        <v>447</v>
      </c>
      <c r="D26" s="120">
        <v>1</v>
      </c>
      <c r="E26" s="120">
        <v>2300</v>
      </c>
      <c r="F26" s="119"/>
      <c r="G26" s="136">
        <v>4</v>
      </c>
      <c r="H26" s="119"/>
      <c r="I26" s="137">
        <v>0.2</v>
      </c>
      <c r="J26" s="119"/>
      <c r="K26" s="120">
        <v>1840</v>
      </c>
      <c r="L26" s="120">
        <v>1840</v>
      </c>
      <c r="M26" s="119"/>
      <c r="N26" s="119"/>
    </row>
    <row r="27" spans="1:14" ht="9" customHeight="1" x14ac:dyDescent="0.3">
      <c r="A27" s="122" t="s">
        <v>448</v>
      </c>
      <c r="B27" s="138" t="s">
        <v>449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24">
        <v>9200</v>
      </c>
      <c r="N27" s="125" t="s">
        <v>420</v>
      </c>
    </row>
    <row r="28" spans="1:14" ht="9" customHeight="1" x14ac:dyDescent="0.3">
      <c r="A28" s="117" t="s">
        <v>450</v>
      </c>
      <c r="B28" s="118" t="s">
        <v>438</v>
      </c>
      <c r="C28" s="119"/>
      <c r="D28" s="120">
        <v>1</v>
      </c>
      <c r="E28" s="120">
        <v>2300</v>
      </c>
      <c r="F28" s="119"/>
      <c r="G28" s="136">
        <v>4</v>
      </c>
      <c r="H28" s="119"/>
      <c r="I28" s="119"/>
      <c r="J28" s="119"/>
      <c r="K28" s="120">
        <v>9200</v>
      </c>
      <c r="L28" s="120">
        <v>9200</v>
      </c>
      <c r="M28" s="119"/>
      <c r="N28" s="119"/>
    </row>
    <row r="29" spans="1:14" ht="9" customHeight="1" x14ac:dyDescent="0.3">
      <c r="A29" s="122" t="s">
        <v>451</v>
      </c>
      <c r="B29" s="138" t="s">
        <v>452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24">
        <v>9200</v>
      </c>
      <c r="N29" s="125" t="s">
        <v>420</v>
      </c>
    </row>
    <row r="30" spans="1:14" ht="9" customHeight="1" x14ac:dyDescent="0.3">
      <c r="A30" s="117" t="s">
        <v>453</v>
      </c>
      <c r="B30" s="118" t="s">
        <v>454</v>
      </c>
      <c r="C30" s="119"/>
      <c r="D30" s="120">
        <v>1</v>
      </c>
      <c r="E30" s="120">
        <v>2300</v>
      </c>
      <c r="F30" s="119"/>
      <c r="G30" s="136">
        <v>4</v>
      </c>
      <c r="H30" s="119"/>
      <c r="I30" s="119"/>
      <c r="J30" s="119"/>
      <c r="K30" s="120">
        <v>9200</v>
      </c>
      <c r="L30" s="120">
        <v>9200</v>
      </c>
      <c r="M30" s="119"/>
      <c r="N30" s="119"/>
    </row>
    <row r="31" spans="1:14" ht="20.65" customHeight="1" x14ac:dyDescent="0.35">
      <c r="A31" s="112" t="s">
        <v>455</v>
      </c>
      <c r="B31" s="138" t="s">
        <v>456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39">
        <v>662.4</v>
      </c>
      <c r="N31" s="116" t="s">
        <v>457</v>
      </c>
    </row>
    <row r="32" spans="1:14" ht="18" customHeight="1" x14ac:dyDescent="0.35">
      <c r="A32" s="117" t="s">
        <v>458</v>
      </c>
      <c r="B32" s="118" t="s">
        <v>459</v>
      </c>
      <c r="C32" s="114" t="s">
        <v>460</v>
      </c>
      <c r="D32" s="120">
        <v>1</v>
      </c>
      <c r="E32" s="120">
        <v>2300</v>
      </c>
      <c r="F32" s="123"/>
      <c r="G32" s="136">
        <v>4</v>
      </c>
      <c r="H32" s="123"/>
      <c r="I32" s="133">
        <v>0.03</v>
      </c>
      <c r="J32" s="123"/>
      <c r="K32" s="120">
        <v>276</v>
      </c>
      <c r="L32" s="137">
        <v>662.4</v>
      </c>
      <c r="M32" s="123"/>
      <c r="N32" s="123"/>
    </row>
    <row r="33" spans="1:14" ht="9" customHeight="1" x14ac:dyDescent="0.3">
      <c r="A33" s="122" t="s">
        <v>461</v>
      </c>
      <c r="B33" s="138" t="s">
        <v>462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40">
        <v>643.08000000000004</v>
      </c>
      <c r="N33" s="125" t="s">
        <v>457</v>
      </c>
    </row>
    <row r="34" spans="1:14" ht="18" customHeight="1" x14ac:dyDescent="0.35">
      <c r="A34" s="117" t="s">
        <v>463</v>
      </c>
      <c r="B34" s="118" t="s">
        <v>422</v>
      </c>
      <c r="C34" s="114" t="s">
        <v>464</v>
      </c>
      <c r="D34" s="120">
        <v>1</v>
      </c>
      <c r="E34" s="120">
        <v>2300</v>
      </c>
      <c r="F34" s="123"/>
      <c r="G34" s="136">
        <v>4</v>
      </c>
      <c r="H34" s="123"/>
      <c r="I34" s="133">
        <v>0.03</v>
      </c>
      <c r="J34" s="123"/>
      <c r="K34" s="120">
        <v>276</v>
      </c>
      <c r="L34" s="133">
        <v>643.08000000000004</v>
      </c>
      <c r="M34" s="123"/>
      <c r="N34" s="123"/>
    </row>
  </sheetData>
  <mergeCells count="17">
    <mergeCell ref="A1:B1"/>
    <mergeCell ref="A2:B2"/>
    <mergeCell ref="A3:B3"/>
    <mergeCell ref="A4:B4"/>
    <mergeCell ref="C5:E5"/>
    <mergeCell ref="B12:C12"/>
    <mergeCell ref="A6:B6"/>
    <mergeCell ref="A7:B7"/>
    <mergeCell ref="A8:N8"/>
    <mergeCell ref="A9:N9"/>
    <mergeCell ref="A10:A11"/>
    <mergeCell ref="B10:B11"/>
    <mergeCell ref="C10:C11"/>
    <mergeCell ref="D10:D11"/>
    <mergeCell ref="E10:J10"/>
    <mergeCell ref="K10:M10"/>
    <mergeCell ref="N10:N11"/>
  </mergeCells>
  <pageMargins left="0.7" right="0.7" top="0.75" bottom="0.75" header="0.3" footer="0.3"/>
  <pageSetup paperSize="9" scale="6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view="pageBreakPreview" zoomScale="130" zoomScaleNormal="100" zoomScaleSheetLayoutView="130" workbookViewId="0">
      <selection activeCell="B59" sqref="B59"/>
    </sheetView>
  </sheetViews>
  <sheetFormatPr defaultColWidth="9.1796875" defaultRowHeight="13" x14ac:dyDescent="0.35"/>
  <cols>
    <col min="1" max="1" width="5.81640625" style="40" customWidth="1"/>
    <col min="2" max="2" width="30.81640625" style="40" customWidth="1"/>
    <col min="3" max="3" width="25.81640625" style="40" customWidth="1"/>
    <col min="4" max="4" width="3.453125" style="40" customWidth="1"/>
    <col min="5" max="5" width="11.453125" style="40" customWidth="1"/>
    <col min="6" max="6" width="5.7265625" style="40" customWidth="1"/>
    <col min="7" max="7" width="9.1796875" style="40" customWidth="1"/>
    <col min="8" max="8" width="5.7265625" style="40" customWidth="1"/>
    <col min="9" max="9" width="6.453125" style="40" customWidth="1"/>
    <col min="10" max="10" width="5.7265625" style="40" customWidth="1"/>
    <col min="11" max="11" width="9.1796875" style="40" customWidth="1"/>
    <col min="12" max="12" width="10.1796875" style="40" customWidth="1"/>
    <col min="13" max="13" width="11.453125" style="40" customWidth="1"/>
    <col min="14" max="14" width="4.1796875" style="40" customWidth="1"/>
    <col min="15" max="16384" width="9.1796875" style="40"/>
  </cols>
  <sheetData>
    <row r="1" spans="1:14" ht="9" customHeight="1" x14ac:dyDescent="0.35">
      <c r="A1" s="408" t="s">
        <v>260</v>
      </c>
      <c r="B1" s="410" t="s">
        <v>259</v>
      </c>
      <c r="C1" s="410" t="s">
        <v>258</v>
      </c>
      <c r="D1" s="412" t="s">
        <v>257</v>
      </c>
      <c r="E1" s="414" t="s">
        <v>256</v>
      </c>
      <c r="F1" s="415"/>
      <c r="G1" s="415"/>
      <c r="H1" s="415"/>
      <c r="I1" s="415"/>
      <c r="J1" s="416"/>
      <c r="K1" s="414" t="s">
        <v>255</v>
      </c>
      <c r="L1" s="415"/>
      <c r="M1" s="416"/>
      <c r="N1" s="417" t="s">
        <v>254</v>
      </c>
    </row>
    <row r="2" spans="1:14" ht="9.4" customHeight="1" x14ac:dyDescent="0.35">
      <c r="A2" s="409"/>
      <c r="B2" s="411"/>
      <c r="C2" s="411"/>
      <c r="D2" s="413"/>
      <c r="E2" s="71" t="s">
        <v>253</v>
      </c>
      <c r="F2" s="71" t="s">
        <v>252</v>
      </c>
      <c r="G2" s="72" t="s">
        <v>251</v>
      </c>
      <c r="H2" s="71" t="s">
        <v>250</v>
      </c>
      <c r="I2" s="71" t="s">
        <v>249</v>
      </c>
      <c r="J2" s="71" t="s">
        <v>248</v>
      </c>
      <c r="K2" s="105" t="s">
        <v>247</v>
      </c>
      <c r="L2" s="71" t="s">
        <v>246</v>
      </c>
      <c r="M2" s="70" t="s">
        <v>245</v>
      </c>
      <c r="N2" s="418"/>
    </row>
    <row r="3" spans="1:14" ht="28.9" customHeight="1" x14ac:dyDescent="0.35">
      <c r="A3" s="56" t="s">
        <v>361</v>
      </c>
      <c r="B3" s="51" t="s">
        <v>360</v>
      </c>
      <c r="C3" s="59" t="s">
        <v>359</v>
      </c>
      <c r="D3" s="45"/>
      <c r="E3" s="45"/>
      <c r="F3" s="45"/>
      <c r="G3" s="45"/>
      <c r="H3" s="45"/>
      <c r="I3" s="45"/>
      <c r="J3" s="45"/>
      <c r="K3" s="45"/>
      <c r="L3" s="45"/>
      <c r="M3" s="103">
        <v>34341.300000000003</v>
      </c>
      <c r="N3" s="54" t="s">
        <v>354</v>
      </c>
    </row>
    <row r="4" spans="1:14" ht="9" customHeight="1" x14ac:dyDescent="0.3">
      <c r="A4" s="47" t="s">
        <v>358</v>
      </c>
      <c r="B4" s="46" t="s">
        <v>232</v>
      </c>
      <c r="C4" s="50"/>
      <c r="D4" s="83">
        <v>1</v>
      </c>
      <c r="E4" s="87">
        <v>68.680000000000007</v>
      </c>
      <c r="F4" s="50"/>
      <c r="G4" s="50"/>
      <c r="H4" s="50"/>
      <c r="I4" s="43">
        <v>500</v>
      </c>
      <c r="J4" s="50"/>
      <c r="K4" s="104">
        <v>34341.300000000003</v>
      </c>
      <c r="L4" s="53">
        <v>34341.300000000003</v>
      </c>
      <c r="M4" s="50"/>
      <c r="N4" s="50"/>
    </row>
    <row r="5" spans="1:14" ht="22.15" customHeight="1" x14ac:dyDescent="0.35">
      <c r="A5" s="56" t="s">
        <v>357</v>
      </c>
      <c r="B5" s="51" t="s">
        <v>356</v>
      </c>
      <c r="C5" s="45" t="s">
        <v>355</v>
      </c>
      <c r="D5" s="41"/>
      <c r="E5" s="41"/>
      <c r="F5" s="41"/>
      <c r="G5" s="41"/>
      <c r="H5" s="41"/>
      <c r="I5" s="41"/>
      <c r="J5" s="41"/>
      <c r="K5" s="41"/>
      <c r="L5" s="41"/>
      <c r="M5" s="103">
        <v>7820</v>
      </c>
      <c r="N5" s="54" t="s">
        <v>354</v>
      </c>
    </row>
    <row r="6" spans="1:14" ht="9" customHeight="1" x14ac:dyDescent="0.3">
      <c r="A6" s="47" t="s">
        <v>353</v>
      </c>
      <c r="B6" s="46" t="s">
        <v>352</v>
      </c>
      <c r="C6" s="50"/>
      <c r="D6" s="83">
        <v>1</v>
      </c>
      <c r="E6" s="42">
        <v>11.04</v>
      </c>
      <c r="F6" s="50"/>
      <c r="G6" s="50"/>
      <c r="H6" s="50"/>
      <c r="I6" s="43">
        <v>500</v>
      </c>
      <c r="J6" s="50"/>
      <c r="K6" s="43">
        <v>5520</v>
      </c>
      <c r="L6" s="43">
        <v>5520</v>
      </c>
      <c r="M6" s="50"/>
      <c r="N6" s="50"/>
    </row>
    <row r="7" spans="1:14" ht="9" customHeight="1" x14ac:dyDescent="0.3">
      <c r="A7" s="47" t="s">
        <v>351</v>
      </c>
      <c r="B7" s="46" t="s">
        <v>350</v>
      </c>
      <c r="C7" s="50"/>
      <c r="D7" s="83">
        <v>1</v>
      </c>
      <c r="E7" s="42">
        <v>4.5999999999999996</v>
      </c>
      <c r="F7" s="50"/>
      <c r="G7" s="50"/>
      <c r="H7" s="50"/>
      <c r="I7" s="43">
        <v>500</v>
      </c>
      <c r="J7" s="50"/>
      <c r="K7" s="43">
        <v>2300</v>
      </c>
      <c r="L7" s="43">
        <v>2300</v>
      </c>
      <c r="M7" s="50"/>
      <c r="N7" s="50"/>
    </row>
    <row r="8" spans="1:14" ht="18" customHeight="1" x14ac:dyDescent="0.35">
      <c r="A8" s="52" t="s">
        <v>349</v>
      </c>
      <c r="B8" s="60" t="s">
        <v>348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9">
        <v>4.5999999999999996</v>
      </c>
      <c r="N8" s="48" t="s">
        <v>233</v>
      </c>
    </row>
    <row r="9" spans="1:14" ht="9" customHeight="1" x14ac:dyDescent="0.3">
      <c r="A9" s="47" t="s">
        <v>342</v>
      </c>
      <c r="B9" s="46" t="s">
        <v>232</v>
      </c>
      <c r="C9" s="58" t="s">
        <v>347</v>
      </c>
      <c r="D9" s="83">
        <v>1</v>
      </c>
      <c r="E9" s="99">
        <v>9200</v>
      </c>
      <c r="F9" s="50"/>
      <c r="G9" s="50"/>
      <c r="H9" s="50"/>
      <c r="I9" s="100">
        <v>5.0000000000000001E-4</v>
      </c>
      <c r="J9" s="50"/>
      <c r="K9" s="53">
        <v>4.5999999999999996</v>
      </c>
      <c r="L9" s="53">
        <v>4.5999999999999996</v>
      </c>
      <c r="M9" s="50"/>
      <c r="N9" s="50"/>
    </row>
    <row r="10" spans="1:14" ht="18" customHeight="1" x14ac:dyDescent="0.35">
      <c r="A10" s="52" t="s">
        <v>346</v>
      </c>
      <c r="B10" s="60" t="s">
        <v>345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9">
        <v>11.04</v>
      </c>
      <c r="N10" s="48" t="s">
        <v>233</v>
      </c>
    </row>
    <row r="11" spans="1:14" ht="9" customHeight="1" x14ac:dyDescent="0.3">
      <c r="A11" s="47" t="s">
        <v>342</v>
      </c>
      <c r="B11" s="46" t="s">
        <v>232</v>
      </c>
      <c r="C11" s="58" t="s">
        <v>344</v>
      </c>
      <c r="D11" s="83">
        <v>1</v>
      </c>
      <c r="E11" s="99">
        <v>9200</v>
      </c>
      <c r="F11" s="50"/>
      <c r="G11" s="50"/>
      <c r="H11" s="50"/>
      <c r="I11" s="100">
        <v>1.1999999999999999E-3</v>
      </c>
      <c r="J11" s="50"/>
      <c r="K11" s="99">
        <v>11.04</v>
      </c>
      <c r="L11" s="42">
        <v>11.04</v>
      </c>
      <c r="M11" s="50"/>
      <c r="N11" s="50"/>
    </row>
    <row r="12" spans="1:14" ht="18" customHeight="1" x14ac:dyDescent="0.35">
      <c r="A12" s="102">
        <v>40181</v>
      </c>
      <c r="B12" s="60" t="s">
        <v>343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9">
        <v>68.680000000000007</v>
      </c>
      <c r="N12" s="48" t="s">
        <v>233</v>
      </c>
    </row>
    <row r="13" spans="1:14" ht="9" customHeight="1" x14ac:dyDescent="0.3">
      <c r="A13" s="47" t="s">
        <v>342</v>
      </c>
      <c r="B13" s="46" t="s">
        <v>232</v>
      </c>
      <c r="C13" s="58" t="s">
        <v>341</v>
      </c>
      <c r="D13" s="83">
        <v>1</v>
      </c>
      <c r="E13" s="99">
        <v>643.08000000000004</v>
      </c>
      <c r="F13" s="50"/>
      <c r="G13" s="50"/>
      <c r="H13" s="50"/>
      <c r="I13" s="64">
        <v>4.4999999999999998E-2</v>
      </c>
      <c r="J13" s="50"/>
      <c r="K13" s="101">
        <v>28.938600000000001</v>
      </c>
      <c r="L13" s="100">
        <v>28.938600000000001</v>
      </c>
      <c r="M13" s="50"/>
      <c r="N13" s="50"/>
    </row>
    <row r="14" spans="1:14" ht="9" customHeight="1" x14ac:dyDescent="0.3">
      <c r="A14" s="50"/>
      <c r="B14" s="50"/>
      <c r="C14" s="58" t="s">
        <v>340</v>
      </c>
      <c r="D14" s="83">
        <v>1</v>
      </c>
      <c r="E14" s="99">
        <v>662.4</v>
      </c>
      <c r="F14" s="50"/>
      <c r="G14" s="50"/>
      <c r="H14" s="50"/>
      <c r="I14" s="42">
        <v>0.06</v>
      </c>
      <c r="J14" s="50"/>
      <c r="K14" s="98">
        <v>39.744</v>
      </c>
      <c r="L14" s="64">
        <v>39.744</v>
      </c>
      <c r="M14" s="50"/>
      <c r="N14" s="50"/>
    </row>
    <row r="15" spans="1:14" ht="61.15" customHeight="1" x14ac:dyDescent="0.35">
      <c r="A15" s="97">
        <v>40546</v>
      </c>
      <c r="B15" s="60" t="s">
        <v>339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55">
        <v>314</v>
      </c>
      <c r="N15" s="54" t="s">
        <v>281</v>
      </c>
    </row>
    <row r="16" spans="1:14" ht="9" customHeight="1" x14ac:dyDescent="0.3">
      <c r="A16" s="96" t="s">
        <v>338</v>
      </c>
      <c r="B16" s="88">
        <v>0.33</v>
      </c>
      <c r="C16" s="50"/>
      <c r="D16" s="83">
        <v>2</v>
      </c>
      <c r="E16" s="42">
        <v>3.14</v>
      </c>
      <c r="F16" s="50"/>
      <c r="G16" s="44">
        <v>50</v>
      </c>
      <c r="H16" s="50"/>
      <c r="I16" s="50"/>
      <c r="J16" s="50"/>
      <c r="K16" s="43">
        <v>157</v>
      </c>
      <c r="L16" s="43">
        <v>314</v>
      </c>
      <c r="M16" s="50"/>
      <c r="N16" s="50"/>
    </row>
    <row r="17" spans="1:14" ht="25.9" customHeight="1" x14ac:dyDescent="0.35">
      <c r="A17" s="97">
        <v>40911</v>
      </c>
      <c r="B17" s="60" t="s">
        <v>337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55">
        <v>16</v>
      </c>
      <c r="N17" s="54" t="s">
        <v>287</v>
      </c>
    </row>
    <row r="18" spans="1:14" ht="9" customHeight="1" x14ac:dyDescent="0.3">
      <c r="A18" s="96" t="s">
        <v>336</v>
      </c>
      <c r="B18" s="88">
        <v>17.45</v>
      </c>
      <c r="C18" s="50"/>
      <c r="D18" s="81">
        <v>16</v>
      </c>
      <c r="E18" s="42">
        <v>1</v>
      </c>
      <c r="F18" s="50"/>
      <c r="G18" s="50"/>
      <c r="H18" s="50"/>
      <c r="I18" s="50"/>
      <c r="J18" s="50"/>
      <c r="K18" s="43">
        <v>1</v>
      </c>
      <c r="L18" s="43">
        <v>16</v>
      </c>
      <c r="M18" s="50"/>
      <c r="N18" s="50"/>
    </row>
    <row r="19" spans="1:14" ht="9" customHeight="1" x14ac:dyDescent="0.3">
      <c r="A19" s="63" t="s">
        <v>335</v>
      </c>
      <c r="B19" s="62" t="s">
        <v>334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</row>
    <row r="20" spans="1:14" ht="18" customHeight="1" x14ac:dyDescent="0.35">
      <c r="A20" s="52" t="s">
        <v>333</v>
      </c>
      <c r="B20" s="60" t="s">
        <v>332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9">
        <v>690</v>
      </c>
      <c r="N20" s="48" t="s">
        <v>323</v>
      </c>
    </row>
    <row r="21" spans="1:14" ht="9" customHeight="1" x14ac:dyDescent="0.3">
      <c r="A21" s="47" t="s">
        <v>331</v>
      </c>
      <c r="B21" s="88">
        <v>6.91</v>
      </c>
      <c r="C21" s="95" t="s">
        <v>330</v>
      </c>
      <c r="D21" s="83">
        <v>3</v>
      </c>
      <c r="E21" s="43">
        <v>2300</v>
      </c>
      <c r="F21" s="50"/>
      <c r="G21" s="94">
        <v>0.1</v>
      </c>
      <c r="H21" s="50"/>
      <c r="I21" s="50"/>
      <c r="J21" s="50"/>
      <c r="K21" s="43">
        <v>230</v>
      </c>
      <c r="L21" s="43">
        <v>690</v>
      </c>
      <c r="M21" s="50"/>
      <c r="N21" s="50"/>
    </row>
    <row r="22" spans="1:14" ht="18" customHeight="1" x14ac:dyDescent="0.35">
      <c r="A22" s="52" t="s">
        <v>329</v>
      </c>
      <c r="B22" s="60" t="s">
        <v>328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57">
        <v>3450</v>
      </c>
      <c r="N22" s="48" t="s">
        <v>318</v>
      </c>
    </row>
    <row r="23" spans="1:14" ht="17.649999999999999" customHeight="1" x14ac:dyDescent="0.35">
      <c r="A23" s="47" t="s">
        <v>327</v>
      </c>
      <c r="B23" s="46" t="s">
        <v>234</v>
      </c>
      <c r="C23" s="59" t="s">
        <v>326</v>
      </c>
      <c r="D23" s="83">
        <v>3</v>
      </c>
      <c r="E23" s="43">
        <v>1150</v>
      </c>
      <c r="F23" s="41"/>
      <c r="G23" s="41"/>
      <c r="H23" s="41"/>
      <c r="I23" s="41"/>
      <c r="J23" s="41"/>
      <c r="K23" s="43">
        <v>1150</v>
      </c>
      <c r="L23" s="43">
        <v>3450</v>
      </c>
      <c r="M23" s="41"/>
      <c r="N23" s="41"/>
    </row>
    <row r="24" spans="1:14" ht="78.400000000000006" customHeight="1" x14ac:dyDescent="0.35">
      <c r="A24" s="56" t="s">
        <v>325</v>
      </c>
      <c r="B24" s="60" t="s">
        <v>324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55">
        <v>6</v>
      </c>
      <c r="N24" s="54" t="s">
        <v>323</v>
      </c>
    </row>
    <row r="25" spans="1:14" ht="9" customHeight="1" x14ac:dyDescent="0.3">
      <c r="A25" s="47" t="s">
        <v>322</v>
      </c>
      <c r="B25" s="92" t="s">
        <v>316</v>
      </c>
      <c r="C25" s="50"/>
      <c r="D25" s="81">
        <v>20</v>
      </c>
      <c r="E25" s="93">
        <v>0.3</v>
      </c>
      <c r="F25" s="50"/>
      <c r="G25" s="50"/>
      <c r="H25" s="50"/>
      <c r="I25" s="50"/>
      <c r="J25" s="50"/>
      <c r="K25" s="53">
        <v>0.3</v>
      </c>
      <c r="L25" s="43">
        <v>6</v>
      </c>
      <c r="M25" s="50"/>
      <c r="N25" s="50"/>
    </row>
    <row r="26" spans="1:14" ht="18" customHeight="1" x14ac:dyDescent="0.35">
      <c r="A26" s="52" t="s">
        <v>321</v>
      </c>
      <c r="B26" s="60" t="s">
        <v>320</v>
      </c>
      <c r="C26" s="59" t="s">
        <v>319</v>
      </c>
      <c r="D26" s="41"/>
      <c r="E26" s="41"/>
      <c r="F26" s="41"/>
      <c r="G26" s="41"/>
      <c r="H26" s="41"/>
      <c r="I26" s="41"/>
      <c r="J26" s="41"/>
      <c r="K26" s="41"/>
      <c r="L26" s="41"/>
      <c r="M26" s="49">
        <v>4</v>
      </c>
      <c r="N26" s="48" t="s">
        <v>318</v>
      </c>
    </row>
    <row r="27" spans="1:14" ht="9" customHeight="1" x14ac:dyDescent="0.3">
      <c r="A27" s="47" t="s">
        <v>317</v>
      </c>
      <c r="B27" s="92" t="s">
        <v>316</v>
      </c>
      <c r="C27" s="50"/>
      <c r="D27" s="83">
        <v>4</v>
      </c>
      <c r="E27" s="50"/>
      <c r="F27" s="50"/>
      <c r="G27" s="50"/>
      <c r="H27" s="50"/>
      <c r="I27" s="50"/>
      <c r="J27" s="50"/>
      <c r="K27" s="43">
        <v>1</v>
      </c>
      <c r="L27" s="43">
        <v>4</v>
      </c>
      <c r="M27" s="50"/>
      <c r="N27" s="50"/>
    </row>
    <row r="28" spans="1:14" ht="9" customHeight="1" x14ac:dyDescent="0.3">
      <c r="A28" s="63" t="s">
        <v>315</v>
      </c>
      <c r="B28" s="62" t="s">
        <v>314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1:14" ht="46.15" customHeight="1" x14ac:dyDescent="0.35">
      <c r="A29" s="56" t="s">
        <v>313</v>
      </c>
      <c r="B29" s="60" t="s">
        <v>312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89">
        <v>60</v>
      </c>
      <c r="N29" s="54" t="s">
        <v>287</v>
      </c>
    </row>
    <row r="30" spans="1:14" ht="9" customHeight="1" x14ac:dyDescent="0.3">
      <c r="A30" s="47" t="s">
        <v>311</v>
      </c>
      <c r="B30" s="50"/>
      <c r="C30" s="50"/>
      <c r="D30" s="83">
        <v>1</v>
      </c>
      <c r="E30" s="87">
        <v>60</v>
      </c>
      <c r="F30" s="50"/>
      <c r="G30" s="50"/>
      <c r="H30" s="50"/>
      <c r="I30" s="50"/>
      <c r="J30" s="50"/>
      <c r="K30" s="43">
        <v>60</v>
      </c>
      <c r="L30" s="43">
        <v>60</v>
      </c>
      <c r="M30" s="50"/>
      <c r="N30" s="50"/>
    </row>
    <row r="31" spans="1:14" ht="26.25" customHeight="1" x14ac:dyDescent="0.35">
      <c r="A31" s="56" t="s">
        <v>310</v>
      </c>
      <c r="B31" s="60" t="s">
        <v>309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89">
        <v>92</v>
      </c>
      <c r="N31" s="54" t="s">
        <v>236</v>
      </c>
    </row>
    <row r="32" spans="1:14" ht="9" customHeight="1" x14ac:dyDescent="0.3">
      <c r="A32" s="47" t="s">
        <v>308</v>
      </c>
      <c r="B32" s="50"/>
      <c r="C32" s="50"/>
      <c r="D32" s="83">
        <v>1</v>
      </c>
      <c r="E32" s="90">
        <v>2300</v>
      </c>
      <c r="F32" s="50"/>
      <c r="G32" s="44">
        <v>0.2</v>
      </c>
      <c r="H32" s="50"/>
      <c r="I32" s="53">
        <v>0.2</v>
      </c>
      <c r="J32" s="50"/>
      <c r="K32" s="43">
        <v>92</v>
      </c>
      <c r="L32" s="43">
        <v>92</v>
      </c>
      <c r="M32" s="50"/>
      <c r="N32" s="50"/>
    </row>
    <row r="33" spans="1:14" ht="34.9" customHeight="1" x14ac:dyDescent="0.35">
      <c r="A33" s="56" t="s">
        <v>307</v>
      </c>
      <c r="B33" s="60" t="s">
        <v>306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91">
        <v>2300</v>
      </c>
      <c r="N33" s="54" t="s">
        <v>281</v>
      </c>
    </row>
    <row r="34" spans="1:14" ht="9" customHeight="1" x14ac:dyDescent="0.3">
      <c r="A34" s="47" t="s">
        <v>305</v>
      </c>
      <c r="B34" s="50"/>
      <c r="C34" s="50"/>
      <c r="D34" s="83">
        <v>1</v>
      </c>
      <c r="E34" s="90">
        <v>2300</v>
      </c>
      <c r="F34" s="50"/>
      <c r="G34" s="50"/>
      <c r="H34" s="50"/>
      <c r="I34" s="50"/>
      <c r="J34" s="50"/>
      <c r="K34" s="43">
        <v>2300</v>
      </c>
      <c r="L34" s="43">
        <v>2300</v>
      </c>
      <c r="M34" s="50"/>
      <c r="N34" s="50"/>
    </row>
    <row r="35" spans="1:14" ht="34.9" customHeight="1" x14ac:dyDescent="0.35">
      <c r="A35" s="56" t="s">
        <v>304</v>
      </c>
      <c r="B35" s="60" t="s">
        <v>303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91">
        <v>6900</v>
      </c>
      <c r="N35" s="54" t="s">
        <v>281</v>
      </c>
    </row>
    <row r="36" spans="1:14" ht="9" customHeight="1" x14ac:dyDescent="0.3">
      <c r="A36" s="47" t="s">
        <v>302</v>
      </c>
      <c r="B36" s="50"/>
      <c r="C36" s="50"/>
      <c r="D36" s="83">
        <v>3</v>
      </c>
      <c r="E36" s="90">
        <v>2300</v>
      </c>
      <c r="F36" s="50"/>
      <c r="G36" s="50"/>
      <c r="H36" s="50"/>
      <c r="I36" s="50"/>
      <c r="J36" s="50"/>
      <c r="K36" s="43">
        <v>2300</v>
      </c>
      <c r="L36" s="43">
        <v>6900</v>
      </c>
      <c r="M36" s="50"/>
      <c r="N36" s="50"/>
    </row>
    <row r="37" spans="1:14" ht="18" customHeight="1" x14ac:dyDescent="0.35">
      <c r="A37" s="52" t="s">
        <v>301</v>
      </c>
      <c r="B37" s="60" t="s">
        <v>300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85">
        <v>60</v>
      </c>
      <c r="N37" s="48" t="s">
        <v>287</v>
      </c>
    </row>
    <row r="38" spans="1:14" ht="9" customHeight="1" x14ac:dyDescent="0.3">
      <c r="A38" s="47" t="s">
        <v>299</v>
      </c>
      <c r="B38" s="50"/>
      <c r="C38" s="50"/>
      <c r="D38" s="83">
        <v>1</v>
      </c>
      <c r="E38" s="87">
        <v>60</v>
      </c>
      <c r="F38" s="50"/>
      <c r="G38" s="50"/>
      <c r="H38" s="50"/>
      <c r="I38" s="50"/>
      <c r="J38" s="50"/>
      <c r="K38" s="43">
        <v>60</v>
      </c>
      <c r="L38" s="43">
        <v>60</v>
      </c>
      <c r="M38" s="50"/>
      <c r="N38" s="50"/>
    </row>
    <row r="39" spans="1:14" ht="29.25" customHeight="1" x14ac:dyDescent="0.35">
      <c r="A39" s="52" t="s">
        <v>298</v>
      </c>
      <c r="B39" s="51" t="s">
        <v>297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85">
        <v>60</v>
      </c>
      <c r="N39" s="48" t="s">
        <v>287</v>
      </c>
    </row>
    <row r="40" spans="1:14" ht="9" customHeight="1" x14ac:dyDescent="0.3">
      <c r="A40" s="47" t="s">
        <v>296</v>
      </c>
      <c r="B40" s="50"/>
      <c r="C40" s="50"/>
      <c r="D40" s="83">
        <v>1</v>
      </c>
      <c r="E40" s="87">
        <v>60</v>
      </c>
      <c r="F40" s="50"/>
      <c r="G40" s="50"/>
      <c r="H40" s="50"/>
      <c r="I40" s="50"/>
      <c r="J40" s="50"/>
      <c r="K40" s="43">
        <v>60</v>
      </c>
      <c r="L40" s="43">
        <v>60</v>
      </c>
      <c r="M40" s="50"/>
      <c r="N40" s="50"/>
    </row>
    <row r="41" spans="1:14" ht="27.75" customHeight="1" x14ac:dyDescent="0.35">
      <c r="A41" s="56" t="s">
        <v>295</v>
      </c>
      <c r="B41" s="60" t="s">
        <v>294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89">
        <v>60</v>
      </c>
      <c r="N41" s="54" t="s">
        <v>287</v>
      </c>
    </row>
    <row r="42" spans="1:14" ht="9" customHeight="1" x14ac:dyDescent="0.3">
      <c r="A42" s="47" t="s">
        <v>293</v>
      </c>
      <c r="B42" s="88">
        <v>212.51</v>
      </c>
      <c r="C42" s="50"/>
      <c r="D42" s="83">
        <v>1</v>
      </c>
      <c r="E42" s="87">
        <v>60</v>
      </c>
      <c r="F42" s="50"/>
      <c r="G42" s="50"/>
      <c r="H42" s="50"/>
      <c r="I42" s="50"/>
      <c r="J42" s="50"/>
      <c r="K42" s="43">
        <v>60</v>
      </c>
      <c r="L42" s="43">
        <v>60</v>
      </c>
      <c r="M42" s="50"/>
      <c r="N42" s="50"/>
    </row>
    <row r="43" spans="1:14" ht="34.15" customHeight="1" x14ac:dyDescent="0.35">
      <c r="A43" s="56" t="s">
        <v>292</v>
      </c>
      <c r="B43" s="60" t="s">
        <v>291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89">
        <v>2</v>
      </c>
      <c r="N43" s="54" t="s">
        <v>287</v>
      </c>
    </row>
    <row r="44" spans="1:14" ht="9" customHeight="1" x14ac:dyDescent="0.3">
      <c r="A44" s="47" t="s">
        <v>290</v>
      </c>
      <c r="B44" s="50"/>
      <c r="C44" s="50"/>
      <c r="D44" s="83">
        <v>1</v>
      </c>
      <c r="E44" s="87">
        <v>2</v>
      </c>
      <c r="F44" s="50"/>
      <c r="G44" s="50"/>
      <c r="H44" s="50"/>
      <c r="I44" s="50"/>
      <c r="J44" s="50"/>
      <c r="K44" s="43">
        <v>2</v>
      </c>
      <c r="L44" s="43">
        <v>2</v>
      </c>
      <c r="M44" s="50"/>
      <c r="N44" s="50"/>
    </row>
    <row r="45" spans="1:14" ht="30" customHeight="1" x14ac:dyDescent="0.35">
      <c r="A45" s="52" t="s">
        <v>289</v>
      </c>
      <c r="B45" s="51" t="s">
        <v>288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85">
        <v>2</v>
      </c>
      <c r="N45" s="48" t="s">
        <v>287</v>
      </c>
    </row>
    <row r="46" spans="1:14" ht="9" customHeight="1" x14ac:dyDescent="0.3">
      <c r="A46" s="47" t="s">
        <v>286</v>
      </c>
      <c r="B46" s="88">
        <v>19.34</v>
      </c>
      <c r="C46" s="50"/>
      <c r="D46" s="83">
        <v>1</v>
      </c>
      <c r="E46" s="87">
        <v>2</v>
      </c>
      <c r="F46" s="50"/>
      <c r="G46" s="50"/>
      <c r="H46" s="50"/>
      <c r="I46" s="50"/>
      <c r="J46" s="50"/>
      <c r="K46" s="43">
        <v>2</v>
      </c>
      <c r="L46" s="43">
        <v>2</v>
      </c>
      <c r="M46" s="50"/>
      <c r="N46" s="50"/>
    </row>
    <row r="47" spans="1:14" ht="9" customHeight="1" x14ac:dyDescent="0.3">
      <c r="A47" s="63" t="s">
        <v>285</v>
      </c>
      <c r="B47" s="86" t="s">
        <v>284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4" ht="18" customHeight="1" x14ac:dyDescent="0.35">
      <c r="A48" s="52" t="s">
        <v>283</v>
      </c>
      <c r="B48" s="60" t="s">
        <v>282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85">
        <v>80</v>
      </c>
      <c r="N48" s="48" t="s">
        <v>281</v>
      </c>
    </row>
    <row r="49" spans="1:14" ht="9" customHeight="1" x14ac:dyDescent="0.3">
      <c r="A49" s="47" t="s">
        <v>280</v>
      </c>
      <c r="B49" s="84" t="s">
        <v>279</v>
      </c>
      <c r="C49" s="50"/>
      <c r="D49" s="83">
        <v>5</v>
      </c>
      <c r="E49" s="80">
        <v>8</v>
      </c>
      <c r="F49" s="50"/>
      <c r="G49" s="43">
        <v>2</v>
      </c>
      <c r="H49" s="50"/>
      <c r="I49" s="50"/>
      <c r="J49" s="50"/>
      <c r="K49" s="43">
        <v>16</v>
      </c>
      <c r="L49" s="43">
        <v>80</v>
      </c>
      <c r="M49" s="50"/>
      <c r="N49" s="50"/>
    </row>
    <row r="50" spans="1:14" ht="18" customHeight="1" x14ac:dyDescent="0.35">
      <c r="A50" s="52" t="s">
        <v>278</v>
      </c>
      <c r="B50" s="60" t="s">
        <v>277</v>
      </c>
      <c r="C50" s="59" t="s">
        <v>237</v>
      </c>
      <c r="D50" s="41"/>
      <c r="E50" s="41"/>
      <c r="F50" s="41"/>
      <c r="G50" s="41"/>
      <c r="H50" s="41"/>
      <c r="I50" s="41"/>
      <c r="J50" s="41"/>
      <c r="K50" s="41"/>
      <c r="L50" s="41"/>
      <c r="M50" s="82">
        <v>400</v>
      </c>
      <c r="N50" s="48" t="s">
        <v>235</v>
      </c>
    </row>
    <row r="51" spans="1:14" ht="9" customHeight="1" x14ac:dyDescent="0.3">
      <c r="A51" s="47" t="s">
        <v>276</v>
      </c>
      <c r="B51" s="46" t="s">
        <v>234</v>
      </c>
      <c r="C51" s="58" t="s">
        <v>275</v>
      </c>
      <c r="D51" s="81">
        <v>10</v>
      </c>
      <c r="E51" s="80">
        <v>10</v>
      </c>
      <c r="F51" s="50"/>
      <c r="G51" s="44">
        <v>2</v>
      </c>
      <c r="H51" s="50"/>
      <c r="I51" s="43">
        <v>2</v>
      </c>
      <c r="J51" s="50"/>
      <c r="K51" s="43">
        <v>40</v>
      </c>
      <c r="L51" s="43">
        <v>400</v>
      </c>
      <c r="M51" s="50"/>
      <c r="N51" s="50"/>
    </row>
  </sheetData>
  <mergeCells count="7">
    <mergeCell ref="K1:M1"/>
    <mergeCell ref="N1:N2"/>
    <mergeCell ref="A1:A2"/>
    <mergeCell ref="B1:B2"/>
    <mergeCell ref="C1:C2"/>
    <mergeCell ref="D1:D2"/>
    <mergeCell ref="E1:J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2"/>
  <sheetViews>
    <sheetView view="pageBreakPreview" topLeftCell="A10" zoomScale="120" zoomScaleNormal="115" zoomScaleSheetLayoutView="120" workbookViewId="0">
      <selection activeCell="M14" sqref="M14"/>
    </sheetView>
  </sheetViews>
  <sheetFormatPr defaultColWidth="9.1796875" defaultRowHeight="13" x14ac:dyDescent="0.35"/>
  <cols>
    <col min="1" max="1" width="9.1796875" style="40" customWidth="1"/>
    <col min="2" max="2" width="30.81640625" style="40" customWidth="1"/>
    <col min="3" max="3" width="25.81640625" style="40" customWidth="1"/>
    <col min="4" max="4" width="4.7265625" style="40" customWidth="1"/>
    <col min="5" max="5" width="11.453125" style="40" customWidth="1"/>
    <col min="6" max="6" width="5.7265625" style="40" customWidth="1"/>
    <col min="7" max="7" width="9.1796875" style="40" customWidth="1"/>
    <col min="8" max="8" width="5.7265625" style="40" customWidth="1"/>
    <col min="9" max="9" width="8.1796875" style="40" customWidth="1"/>
    <col min="10" max="10" width="5.7265625" style="40" customWidth="1"/>
    <col min="11" max="11" width="9.1796875" style="40" customWidth="1"/>
    <col min="12" max="12" width="10.1796875" style="40" customWidth="1"/>
    <col min="13" max="13" width="11.453125" style="40" customWidth="1"/>
    <col min="14" max="14" width="4.1796875" style="40" customWidth="1"/>
    <col min="15" max="16384" width="9.1796875" style="40"/>
  </cols>
  <sheetData>
    <row r="1" spans="1:14" ht="29.5" customHeight="1" x14ac:dyDescent="0.35">
      <c r="A1" s="434"/>
      <c r="B1" s="434"/>
      <c r="C1" s="434"/>
      <c r="D1" s="434"/>
      <c r="E1" s="436" t="s">
        <v>226</v>
      </c>
      <c r="F1" s="436"/>
      <c r="G1" s="436"/>
      <c r="H1" s="436"/>
      <c r="I1" s="436"/>
      <c r="J1" s="436"/>
      <c r="K1" s="436"/>
      <c r="L1" s="436"/>
      <c r="M1" s="436"/>
      <c r="N1" s="436"/>
    </row>
    <row r="2" spans="1:14" ht="58.15" customHeight="1" x14ac:dyDescent="0.35">
      <c r="A2" s="434"/>
      <c r="B2" s="434"/>
      <c r="C2" s="434"/>
      <c r="D2" s="434"/>
      <c r="E2" s="435" t="s">
        <v>227</v>
      </c>
      <c r="F2" s="435"/>
      <c r="G2" s="435"/>
      <c r="H2" s="435"/>
      <c r="I2" s="435"/>
      <c r="J2" s="435"/>
      <c r="K2" s="435"/>
      <c r="L2" s="435"/>
      <c r="M2" s="435"/>
      <c r="N2" s="435"/>
    </row>
    <row r="3" spans="1:14" ht="20.5" customHeight="1" x14ac:dyDescent="0.35">
      <c r="A3" s="435" t="s">
        <v>229</v>
      </c>
      <c r="B3" s="435"/>
      <c r="C3" s="435"/>
      <c r="D3" s="435"/>
      <c r="E3" s="436" t="s">
        <v>27</v>
      </c>
      <c r="F3" s="436"/>
      <c r="G3" s="436"/>
      <c r="H3" s="436"/>
      <c r="I3" s="436"/>
      <c r="J3" s="436"/>
      <c r="K3" s="436"/>
      <c r="L3" s="436"/>
      <c r="M3" s="436"/>
      <c r="N3" s="436"/>
    </row>
    <row r="4" spans="1:14" ht="13.9" customHeight="1" x14ac:dyDescent="0.35">
      <c r="A4" s="423" t="s">
        <v>12</v>
      </c>
      <c r="B4" s="423"/>
      <c r="C4" s="423"/>
      <c r="D4" s="423"/>
      <c r="E4" s="423" t="s">
        <v>42</v>
      </c>
      <c r="F4" s="423"/>
      <c r="G4" s="440" t="s">
        <v>20</v>
      </c>
      <c r="H4" s="440"/>
      <c r="I4" s="440"/>
      <c r="J4" s="440"/>
      <c r="K4" s="440"/>
      <c r="L4" s="440"/>
      <c r="M4" s="440"/>
      <c r="N4" s="440"/>
    </row>
    <row r="5" spans="1:14" ht="13.9" customHeight="1" x14ac:dyDescent="0.35">
      <c r="A5" s="437">
        <v>44918</v>
      </c>
      <c r="B5" s="437"/>
      <c r="C5" s="437"/>
      <c r="D5" s="437"/>
      <c r="E5" s="438" t="s">
        <v>228</v>
      </c>
      <c r="F5" s="438"/>
      <c r="G5" s="437" t="s">
        <v>414</v>
      </c>
      <c r="H5" s="437"/>
      <c r="I5" s="437"/>
      <c r="J5" s="437"/>
      <c r="K5" s="437"/>
      <c r="L5" s="437"/>
      <c r="M5" s="437"/>
      <c r="N5" s="437"/>
    </row>
    <row r="6" spans="1:14" ht="17.5" customHeight="1" x14ac:dyDescent="0.35">
      <c r="A6" s="423" t="s">
        <v>25</v>
      </c>
      <c r="B6" s="423"/>
      <c r="C6" s="423"/>
      <c r="D6" s="423"/>
      <c r="E6" s="422" t="s">
        <v>26</v>
      </c>
      <c r="F6" s="422"/>
      <c r="G6" s="422"/>
      <c r="H6" s="422"/>
      <c r="I6" s="422"/>
      <c r="J6" s="422"/>
      <c r="K6" s="422"/>
      <c r="L6" s="422"/>
      <c r="M6" s="422"/>
      <c r="N6" s="422"/>
    </row>
    <row r="7" spans="1:14" x14ac:dyDescent="0.35">
      <c r="A7" s="439"/>
      <c r="B7" s="439"/>
      <c r="C7" s="439"/>
      <c r="D7" s="439"/>
      <c r="E7" s="439"/>
      <c r="F7" s="439"/>
      <c r="G7" s="439"/>
      <c r="H7" s="439"/>
      <c r="I7" s="439"/>
      <c r="J7" s="439"/>
      <c r="K7" s="439"/>
      <c r="L7" s="439"/>
      <c r="M7" s="439"/>
      <c r="N7" s="439"/>
    </row>
    <row r="8" spans="1:14" ht="26.5" customHeight="1" x14ac:dyDescent="0.35">
      <c r="A8" s="424" t="s">
        <v>413</v>
      </c>
      <c r="B8" s="424"/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</row>
    <row r="9" spans="1:14" x14ac:dyDescent="0.35">
      <c r="A9" s="441" t="s">
        <v>0</v>
      </c>
      <c r="B9" s="443" t="s">
        <v>412</v>
      </c>
      <c r="C9" s="443" t="s">
        <v>1</v>
      </c>
      <c r="D9" s="430" t="s">
        <v>411</v>
      </c>
      <c r="E9" s="425" t="s">
        <v>410</v>
      </c>
      <c r="F9" s="426"/>
      <c r="G9" s="426"/>
      <c r="H9" s="426"/>
      <c r="I9" s="426"/>
      <c r="J9" s="427"/>
      <c r="K9" s="425" t="s">
        <v>409</v>
      </c>
      <c r="L9" s="426"/>
      <c r="M9" s="427"/>
      <c r="N9" s="428" t="s">
        <v>2</v>
      </c>
    </row>
    <row r="10" spans="1:14" x14ac:dyDescent="0.35">
      <c r="A10" s="442"/>
      <c r="B10" s="444"/>
      <c r="C10" s="444"/>
      <c r="D10" s="431"/>
      <c r="E10" s="110" t="s">
        <v>408</v>
      </c>
      <c r="F10" s="110" t="s">
        <v>407</v>
      </c>
      <c r="G10" s="110" t="s">
        <v>406</v>
      </c>
      <c r="H10" s="110" t="s">
        <v>405</v>
      </c>
      <c r="I10" s="110" t="s">
        <v>404</v>
      </c>
      <c r="J10" s="110" t="s">
        <v>403</v>
      </c>
      <c r="K10" s="110" t="s">
        <v>402</v>
      </c>
      <c r="L10" s="110" t="s">
        <v>401</v>
      </c>
      <c r="M10" s="109" t="s">
        <v>400</v>
      </c>
      <c r="N10" s="429"/>
    </row>
    <row r="11" spans="1:14" x14ac:dyDescent="0.2">
      <c r="A11" s="108" t="s">
        <v>399</v>
      </c>
      <c r="B11" s="432" t="s">
        <v>398</v>
      </c>
      <c r="C11" s="433"/>
      <c r="D11" s="108"/>
      <c r="E11" s="107"/>
      <c r="F11" s="107"/>
      <c r="G11" s="107"/>
      <c r="H11" s="107"/>
      <c r="I11" s="107"/>
      <c r="J11" s="107"/>
      <c r="K11" s="107"/>
      <c r="L11" s="107"/>
      <c r="M11" s="107"/>
      <c r="N11" s="107"/>
    </row>
    <row r="12" spans="1:14" ht="31.5" x14ac:dyDescent="0.35">
      <c r="A12" s="147" t="s">
        <v>527</v>
      </c>
      <c r="B12" s="148" t="s">
        <v>528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</row>
    <row r="13" spans="1:14" x14ac:dyDescent="0.2">
      <c r="A13" s="150" t="s">
        <v>28</v>
      </c>
      <c r="B13" s="151" t="s">
        <v>49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52.5" x14ac:dyDescent="0.35">
      <c r="A14" s="153" t="s">
        <v>50</v>
      </c>
      <c r="B14" s="146" t="s">
        <v>526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5">
        <f>L15</f>
        <v>19500.21</v>
      </c>
      <c r="N14" s="156" t="s">
        <v>54</v>
      </c>
    </row>
    <row r="15" spans="1:14" x14ac:dyDescent="0.2">
      <c r="A15" s="157" t="s">
        <v>397</v>
      </c>
      <c r="B15" s="158" t="s">
        <v>396</v>
      </c>
      <c r="C15" s="159"/>
      <c r="D15" s="160">
        <v>1</v>
      </c>
      <c r="E15" s="160">
        <f>108*20+6.69</f>
        <v>2166.69</v>
      </c>
      <c r="F15" s="159"/>
      <c r="G15" s="160">
        <v>9</v>
      </c>
      <c r="H15" s="159"/>
      <c r="I15" s="159"/>
      <c r="J15" s="159"/>
      <c r="K15" s="160">
        <f>E15*G15</f>
        <v>19500.21</v>
      </c>
      <c r="L15" s="160">
        <f>K15</f>
        <v>19500.21</v>
      </c>
      <c r="M15" s="159"/>
      <c r="N15" s="159"/>
    </row>
    <row r="16" spans="1:14" ht="63" x14ac:dyDescent="0.35">
      <c r="A16" s="153" t="s">
        <v>55</v>
      </c>
      <c r="B16" s="146" t="s">
        <v>529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5">
        <f>L17</f>
        <v>10200</v>
      </c>
      <c r="N16" s="156" t="s">
        <v>54</v>
      </c>
    </row>
    <row r="17" spans="1:14" x14ac:dyDescent="0.2">
      <c r="A17" s="157" t="s">
        <v>395</v>
      </c>
      <c r="B17" s="159"/>
      <c r="C17" s="159"/>
      <c r="D17" s="160">
        <v>1</v>
      </c>
      <c r="E17" s="160">
        <v>1700</v>
      </c>
      <c r="F17" s="159"/>
      <c r="G17" s="161">
        <v>6</v>
      </c>
      <c r="H17" s="159"/>
      <c r="I17" s="159"/>
      <c r="J17" s="159"/>
      <c r="K17" s="160">
        <f>E17*G17</f>
        <v>10200</v>
      </c>
      <c r="L17" s="160">
        <f>K17</f>
        <v>10200</v>
      </c>
      <c r="M17" s="159"/>
      <c r="N17" s="159"/>
    </row>
    <row r="18" spans="1:14" ht="31.5" x14ac:dyDescent="0.35">
      <c r="A18" s="162" t="s">
        <v>59</v>
      </c>
      <c r="B18" s="146" t="s">
        <v>530</v>
      </c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4">
        <f>E19</f>
        <v>1700</v>
      </c>
      <c r="N18" s="165" t="s">
        <v>63</v>
      </c>
    </row>
    <row r="19" spans="1:14" x14ac:dyDescent="0.35">
      <c r="A19" s="157" t="s">
        <v>394</v>
      </c>
      <c r="B19" s="158" t="s">
        <v>480</v>
      </c>
      <c r="C19" s="166" t="s">
        <v>481</v>
      </c>
      <c r="D19" s="160">
        <v>1</v>
      </c>
      <c r="E19" s="160">
        <v>1700</v>
      </c>
      <c r="F19" s="163"/>
      <c r="G19" s="163"/>
      <c r="H19" s="163"/>
      <c r="I19" s="163"/>
      <c r="J19" s="163"/>
      <c r="K19" s="163"/>
      <c r="L19" s="163"/>
      <c r="M19" s="163"/>
      <c r="N19" s="163"/>
    </row>
    <row r="20" spans="1:14" x14ac:dyDescent="0.2">
      <c r="A20" s="167" t="s">
        <v>29</v>
      </c>
      <c r="B20" s="168" t="s">
        <v>64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</row>
    <row r="21" spans="1:14" ht="94.5" x14ac:dyDescent="0.35">
      <c r="A21" s="170" t="s">
        <v>65</v>
      </c>
      <c r="B21" s="171" t="s">
        <v>531</v>
      </c>
      <c r="C21" s="172" t="s">
        <v>504</v>
      </c>
      <c r="D21" s="173"/>
      <c r="E21" s="173"/>
      <c r="F21" s="173"/>
      <c r="G21" s="173"/>
      <c r="H21" s="173"/>
      <c r="I21" s="173"/>
      <c r="J21" s="173"/>
      <c r="K21" s="173"/>
      <c r="L21" s="173"/>
      <c r="M21" s="174">
        <v>7260.23</v>
      </c>
      <c r="N21" s="175" t="s">
        <v>68</v>
      </c>
    </row>
    <row r="22" spans="1:14" x14ac:dyDescent="0.2">
      <c r="A22" s="176" t="s">
        <v>505</v>
      </c>
      <c r="B22" s="177" t="s">
        <v>389</v>
      </c>
      <c r="C22" s="178" t="s">
        <v>506</v>
      </c>
      <c r="D22" s="179">
        <v>1</v>
      </c>
      <c r="E22" s="180">
        <v>7260.23</v>
      </c>
      <c r="F22" s="181"/>
      <c r="G22" s="181"/>
      <c r="H22" s="181"/>
      <c r="I22" s="181"/>
      <c r="J22" s="181"/>
      <c r="K22" s="181"/>
      <c r="L22" s="182">
        <v>7260.23</v>
      </c>
      <c r="M22" s="181"/>
      <c r="N22" s="181"/>
    </row>
    <row r="23" spans="1:14" x14ac:dyDescent="0.2">
      <c r="A23" s="167" t="s">
        <v>30</v>
      </c>
      <c r="B23" s="168" t="s">
        <v>69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</row>
    <row r="24" spans="1:14" ht="31.5" x14ac:dyDescent="0.35">
      <c r="A24" s="183" t="s">
        <v>70</v>
      </c>
      <c r="B24" s="171" t="s">
        <v>532</v>
      </c>
      <c r="C24" s="184" t="s">
        <v>392</v>
      </c>
      <c r="D24" s="185"/>
      <c r="E24" s="185"/>
      <c r="F24" s="185"/>
      <c r="G24" s="185"/>
      <c r="H24" s="185"/>
      <c r="I24" s="185"/>
      <c r="J24" s="185"/>
      <c r="K24" s="185"/>
      <c r="L24" s="185"/>
      <c r="M24" s="186">
        <v>1840</v>
      </c>
      <c r="N24" s="187" t="s">
        <v>73</v>
      </c>
    </row>
    <row r="25" spans="1:14" x14ac:dyDescent="0.2">
      <c r="A25" s="176" t="s">
        <v>507</v>
      </c>
      <c r="B25" s="177" t="s">
        <v>389</v>
      </c>
      <c r="C25" s="178" t="s">
        <v>508</v>
      </c>
      <c r="D25" s="179">
        <v>1</v>
      </c>
      <c r="E25" s="179">
        <v>2300</v>
      </c>
      <c r="F25" s="181"/>
      <c r="G25" s="188">
        <v>4</v>
      </c>
      <c r="H25" s="181"/>
      <c r="I25" s="189">
        <v>0.2</v>
      </c>
      <c r="J25" s="181"/>
      <c r="K25" s="179">
        <v>1840</v>
      </c>
      <c r="L25" s="179">
        <v>1840</v>
      </c>
      <c r="M25" s="181"/>
      <c r="N25" s="181"/>
    </row>
    <row r="26" spans="1:14" ht="21" x14ac:dyDescent="0.2">
      <c r="A26" s="183" t="s">
        <v>74</v>
      </c>
      <c r="B26" s="190" t="s">
        <v>76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6">
        <v>9200</v>
      </c>
      <c r="N26" s="187" t="s">
        <v>54</v>
      </c>
    </row>
    <row r="27" spans="1:14" x14ac:dyDescent="0.2">
      <c r="A27" s="176" t="s">
        <v>509</v>
      </c>
      <c r="B27" s="177" t="s">
        <v>389</v>
      </c>
      <c r="C27" s="181"/>
      <c r="D27" s="179">
        <v>1</v>
      </c>
      <c r="E27" s="179">
        <v>2300</v>
      </c>
      <c r="F27" s="181"/>
      <c r="G27" s="188">
        <v>4</v>
      </c>
      <c r="H27" s="181"/>
      <c r="I27" s="181"/>
      <c r="J27" s="181"/>
      <c r="K27" s="179">
        <v>9200</v>
      </c>
      <c r="L27" s="179">
        <v>9200</v>
      </c>
      <c r="M27" s="181"/>
      <c r="N27" s="181"/>
    </row>
    <row r="28" spans="1:14" ht="21" x14ac:dyDescent="0.2">
      <c r="A28" s="183" t="s">
        <v>78</v>
      </c>
      <c r="B28" s="190" t="s">
        <v>80</v>
      </c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6">
        <v>9200</v>
      </c>
      <c r="N28" s="187" t="s">
        <v>54</v>
      </c>
    </row>
    <row r="29" spans="1:14" x14ac:dyDescent="0.2">
      <c r="A29" s="176" t="s">
        <v>510</v>
      </c>
      <c r="B29" s="177" t="s">
        <v>387</v>
      </c>
      <c r="C29" s="181"/>
      <c r="D29" s="179">
        <v>1</v>
      </c>
      <c r="E29" s="179">
        <v>2300</v>
      </c>
      <c r="F29" s="181"/>
      <c r="G29" s="188">
        <v>4</v>
      </c>
      <c r="H29" s="181"/>
      <c r="I29" s="181"/>
      <c r="J29" s="181"/>
      <c r="K29" s="179">
        <v>9200</v>
      </c>
      <c r="L29" s="179">
        <v>9200</v>
      </c>
      <c r="M29" s="181"/>
      <c r="N29" s="181"/>
    </row>
    <row r="30" spans="1:14" ht="21" x14ac:dyDescent="0.35">
      <c r="A30" s="170" t="s">
        <v>82</v>
      </c>
      <c r="B30" s="190" t="s">
        <v>84</v>
      </c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91">
        <v>662.4</v>
      </c>
      <c r="N30" s="175" t="s">
        <v>85</v>
      </c>
    </row>
    <row r="31" spans="1:14" ht="20" x14ac:dyDescent="0.35">
      <c r="A31" s="176" t="s">
        <v>511</v>
      </c>
      <c r="B31" s="177" t="s">
        <v>385</v>
      </c>
      <c r="C31" s="173" t="s">
        <v>533</v>
      </c>
      <c r="D31" s="179">
        <v>1</v>
      </c>
      <c r="E31" s="179">
        <v>2300</v>
      </c>
      <c r="F31" s="185"/>
      <c r="G31" s="188">
        <v>4</v>
      </c>
      <c r="H31" s="185"/>
      <c r="I31" s="180">
        <v>0.03</v>
      </c>
      <c r="J31" s="185"/>
      <c r="K31" s="179">
        <v>276</v>
      </c>
      <c r="L31" s="189">
        <v>662.4</v>
      </c>
      <c r="M31" s="185"/>
      <c r="N31" s="185"/>
    </row>
    <row r="32" spans="1:14" x14ac:dyDescent="0.2">
      <c r="A32" s="183" t="s">
        <v>86</v>
      </c>
      <c r="B32" s="190" t="s">
        <v>88</v>
      </c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92">
        <v>643.08000000000004</v>
      </c>
      <c r="N32" s="187" t="s">
        <v>85</v>
      </c>
    </row>
    <row r="33" spans="1:14" ht="20" x14ac:dyDescent="0.35">
      <c r="A33" s="176" t="s">
        <v>512</v>
      </c>
      <c r="B33" s="177" t="s">
        <v>373</v>
      </c>
      <c r="C33" s="173" t="s">
        <v>534</v>
      </c>
      <c r="D33" s="179">
        <v>1</v>
      </c>
      <c r="E33" s="179">
        <v>2300</v>
      </c>
      <c r="F33" s="185"/>
      <c r="G33" s="188">
        <v>4</v>
      </c>
      <c r="H33" s="185"/>
      <c r="I33" s="180">
        <v>0.03</v>
      </c>
      <c r="J33" s="185"/>
      <c r="K33" s="179">
        <v>276</v>
      </c>
      <c r="L33" s="180">
        <v>643.08000000000004</v>
      </c>
      <c r="M33" s="185"/>
      <c r="N33" s="185"/>
    </row>
    <row r="34" spans="1:14" ht="21" x14ac:dyDescent="0.35">
      <c r="A34" s="170" t="s">
        <v>89</v>
      </c>
      <c r="B34" s="190" t="s">
        <v>91</v>
      </c>
      <c r="C34" s="184" t="s">
        <v>383</v>
      </c>
      <c r="D34" s="173"/>
      <c r="E34" s="173"/>
      <c r="F34" s="173"/>
      <c r="G34" s="173"/>
      <c r="H34" s="173"/>
      <c r="I34" s="173"/>
      <c r="J34" s="173"/>
      <c r="K34" s="173"/>
      <c r="L34" s="173"/>
      <c r="M34" s="277">
        <v>34341.300000000003</v>
      </c>
      <c r="N34" s="175" t="s">
        <v>92</v>
      </c>
    </row>
    <row r="35" spans="1:14" x14ac:dyDescent="0.2">
      <c r="A35" s="176" t="s">
        <v>535</v>
      </c>
      <c r="B35" s="177" t="s">
        <v>373</v>
      </c>
      <c r="C35" s="181"/>
      <c r="D35" s="278">
        <v>1</v>
      </c>
      <c r="E35" s="279">
        <v>68.680000000000007</v>
      </c>
      <c r="F35" s="181"/>
      <c r="G35" s="181"/>
      <c r="H35" s="181"/>
      <c r="I35" s="179">
        <v>500</v>
      </c>
      <c r="J35" s="181"/>
      <c r="K35" s="280">
        <v>34341.300000000003</v>
      </c>
      <c r="L35" s="189">
        <v>34341.300000000003</v>
      </c>
      <c r="M35" s="181"/>
      <c r="N35" s="181"/>
    </row>
    <row r="36" spans="1:14" ht="31.5" x14ac:dyDescent="0.35">
      <c r="A36" s="170" t="s">
        <v>93</v>
      </c>
      <c r="B36" s="190" t="s">
        <v>95</v>
      </c>
      <c r="C36" s="173" t="s">
        <v>578</v>
      </c>
      <c r="D36" s="185"/>
      <c r="E36" s="185"/>
      <c r="F36" s="185"/>
      <c r="G36" s="185"/>
      <c r="H36" s="185"/>
      <c r="I36" s="185"/>
      <c r="J36" s="185"/>
      <c r="K36" s="185"/>
      <c r="L36" s="185"/>
      <c r="M36" s="277">
        <v>7820</v>
      </c>
      <c r="N36" s="175" t="s">
        <v>92</v>
      </c>
    </row>
    <row r="37" spans="1:14" x14ac:dyDescent="0.2">
      <c r="A37" s="176" t="s">
        <v>536</v>
      </c>
      <c r="B37" s="177" t="s">
        <v>379</v>
      </c>
      <c r="C37" s="181"/>
      <c r="D37" s="278">
        <v>1</v>
      </c>
      <c r="E37" s="180">
        <v>11.04</v>
      </c>
      <c r="F37" s="181"/>
      <c r="G37" s="181"/>
      <c r="H37" s="181"/>
      <c r="I37" s="179">
        <v>500</v>
      </c>
      <c r="J37" s="181"/>
      <c r="K37" s="179">
        <v>5520</v>
      </c>
      <c r="L37" s="179">
        <v>5520</v>
      </c>
      <c r="M37" s="181"/>
      <c r="N37" s="181"/>
    </row>
    <row r="38" spans="1:14" x14ac:dyDescent="0.2">
      <c r="A38" s="176" t="s">
        <v>537</v>
      </c>
      <c r="B38" s="177" t="s">
        <v>377</v>
      </c>
      <c r="C38" s="181"/>
      <c r="D38" s="278">
        <v>1</v>
      </c>
      <c r="E38" s="180">
        <v>4.5999999999999996</v>
      </c>
      <c r="F38" s="181"/>
      <c r="G38" s="181"/>
      <c r="H38" s="181"/>
      <c r="I38" s="179">
        <v>500</v>
      </c>
      <c r="J38" s="181"/>
      <c r="K38" s="179">
        <v>2300</v>
      </c>
      <c r="L38" s="179">
        <v>2300</v>
      </c>
      <c r="M38" s="181"/>
      <c r="N38" s="181"/>
    </row>
    <row r="39" spans="1:14" ht="31.5" x14ac:dyDescent="0.35">
      <c r="A39" s="183" t="s">
        <v>96</v>
      </c>
      <c r="B39" s="171" t="s">
        <v>564</v>
      </c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92">
        <v>4.5999999999999996</v>
      </c>
      <c r="N39" s="187" t="s">
        <v>85</v>
      </c>
    </row>
    <row r="40" spans="1:14" x14ac:dyDescent="0.2">
      <c r="A40" s="176" t="s">
        <v>538</v>
      </c>
      <c r="B40" s="177" t="s">
        <v>373</v>
      </c>
      <c r="C40" s="178" t="s">
        <v>375</v>
      </c>
      <c r="D40" s="278">
        <v>1</v>
      </c>
      <c r="E40" s="281">
        <v>9200</v>
      </c>
      <c r="F40" s="181"/>
      <c r="G40" s="181"/>
      <c r="H40" s="181"/>
      <c r="I40" s="282">
        <v>5.0000000000000001E-4</v>
      </c>
      <c r="J40" s="181"/>
      <c r="K40" s="189">
        <v>4.5999999999999996</v>
      </c>
      <c r="L40" s="189">
        <v>4.5999999999999996</v>
      </c>
      <c r="M40" s="181"/>
      <c r="N40" s="181"/>
    </row>
    <row r="41" spans="1:14" ht="31.5" x14ac:dyDescent="0.35">
      <c r="A41" s="183" t="s">
        <v>100</v>
      </c>
      <c r="B41" s="171" t="s">
        <v>565</v>
      </c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92">
        <v>11.04</v>
      </c>
      <c r="N41" s="187" t="s">
        <v>85</v>
      </c>
    </row>
    <row r="42" spans="1:14" x14ac:dyDescent="0.2">
      <c r="A42" s="176" t="s">
        <v>538</v>
      </c>
      <c r="B42" s="177" t="s">
        <v>373</v>
      </c>
      <c r="C42" s="178" t="s">
        <v>374</v>
      </c>
      <c r="D42" s="278">
        <v>1</v>
      </c>
      <c r="E42" s="281">
        <v>9200</v>
      </c>
      <c r="F42" s="181"/>
      <c r="G42" s="181"/>
      <c r="H42" s="181"/>
      <c r="I42" s="282">
        <v>1.1999999999999999E-3</v>
      </c>
      <c r="J42" s="181"/>
      <c r="K42" s="281">
        <v>11.04</v>
      </c>
      <c r="L42" s="180">
        <v>11.04</v>
      </c>
      <c r="M42" s="181"/>
      <c r="N42" s="181"/>
    </row>
    <row r="43" spans="1:14" ht="31.5" x14ac:dyDescent="0.35">
      <c r="A43" s="283">
        <v>40181</v>
      </c>
      <c r="B43" s="171" t="s">
        <v>566</v>
      </c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92">
        <v>68.680000000000007</v>
      </c>
      <c r="N43" s="187" t="s">
        <v>85</v>
      </c>
    </row>
    <row r="44" spans="1:14" x14ac:dyDescent="0.2">
      <c r="A44" s="176" t="s">
        <v>538</v>
      </c>
      <c r="B44" s="177" t="s">
        <v>373</v>
      </c>
      <c r="C44" s="178" t="s">
        <v>372</v>
      </c>
      <c r="D44" s="278">
        <v>1</v>
      </c>
      <c r="E44" s="281">
        <v>643.08000000000004</v>
      </c>
      <c r="F44" s="181"/>
      <c r="G44" s="181"/>
      <c r="H44" s="181"/>
      <c r="I44" s="284">
        <v>4.4999999999999998E-2</v>
      </c>
      <c r="J44" s="181"/>
      <c r="K44" s="285">
        <v>28.938600000000001</v>
      </c>
      <c r="L44" s="282">
        <v>28.938600000000001</v>
      </c>
      <c r="M44" s="181"/>
      <c r="N44" s="181"/>
    </row>
    <row r="45" spans="1:14" x14ac:dyDescent="0.2">
      <c r="A45" s="181"/>
      <c r="B45" s="181"/>
      <c r="C45" s="178" t="s">
        <v>371</v>
      </c>
      <c r="D45" s="278">
        <v>1</v>
      </c>
      <c r="E45" s="281">
        <v>662.4</v>
      </c>
      <c r="F45" s="181"/>
      <c r="G45" s="181"/>
      <c r="H45" s="181"/>
      <c r="I45" s="180">
        <v>0.06</v>
      </c>
      <c r="J45" s="181"/>
      <c r="K45" s="286">
        <v>39.744</v>
      </c>
      <c r="L45" s="284">
        <v>39.744</v>
      </c>
      <c r="M45" s="181"/>
      <c r="N45" s="181"/>
    </row>
    <row r="46" spans="1:14" ht="105" x14ac:dyDescent="0.35">
      <c r="A46" s="287">
        <v>40546</v>
      </c>
      <c r="B46" s="171" t="s">
        <v>579</v>
      </c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91">
        <v>314</v>
      </c>
      <c r="N46" s="175" t="s">
        <v>41</v>
      </c>
    </row>
    <row r="47" spans="1:14" x14ac:dyDescent="0.2">
      <c r="A47" s="288" t="s">
        <v>539</v>
      </c>
      <c r="B47" s="289">
        <v>0.33</v>
      </c>
      <c r="C47" s="181"/>
      <c r="D47" s="278">
        <v>2</v>
      </c>
      <c r="E47" s="180">
        <v>3.14</v>
      </c>
      <c r="F47" s="181"/>
      <c r="G47" s="188">
        <v>50</v>
      </c>
      <c r="H47" s="181"/>
      <c r="I47" s="181"/>
      <c r="J47" s="181"/>
      <c r="K47" s="179">
        <v>157</v>
      </c>
      <c r="L47" s="179">
        <v>314</v>
      </c>
      <c r="M47" s="181"/>
      <c r="N47" s="181"/>
    </row>
    <row r="48" spans="1:14" ht="52.5" x14ac:dyDescent="0.35">
      <c r="A48" s="287">
        <v>40911</v>
      </c>
      <c r="B48" s="171" t="s">
        <v>580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91">
        <v>16</v>
      </c>
      <c r="N48" s="175" t="s">
        <v>112</v>
      </c>
    </row>
    <row r="49" spans="1:14" x14ac:dyDescent="0.2">
      <c r="A49" s="288" t="s">
        <v>540</v>
      </c>
      <c r="B49" s="289">
        <v>17.45</v>
      </c>
      <c r="C49" s="181"/>
      <c r="D49" s="290">
        <v>16</v>
      </c>
      <c r="E49" s="180">
        <v>1</v>
      </c>
      <c r="F49" s="181"/>
      <c r="G49" s="181"/>
      <c r="H49" s="181"/>
      <c r="I49" s="181"/>
      <c r="J49" s="181"/>
      <c r="K49" s="179">
        <v>1</v>
      </c>
      <c r="L49" s="179">
        <v>16</v>
      </c>
      <c r="M49" s="181"/>
      <c r="N49" s="181"/>
    </row>
    <row r="50" spans="1:14" x14ac:dyDescent="0.2">
      <c r="A50" s="167" t="s">
        <v>31</v>
      </c>
      <c r="B50" s="168" t="s">
        <v>113</v>
      </c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</row>
    <row r="51" spans="1:14" ht="31.5" x14ac:dyDescent="0.35">
      <c r="A51" s="183" t="s">
        <v>114</v>
      </c>
      <c r="B51" s="171" t="s">
        <v>581</v>
      </c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92">
        <v>690</v>
      </c>
      <c r="N51" s="187" t="s">
        <v>77</v>
      </c>
    </row>
    <row r="52" spans="1:14" x14ac:dyDescent="0.2">
      <c r="A52" s="176" t="s">
        <v>541</v>
      </c>
      <c r="B52" s="289">
        <v>6.91</v>
      </c>
      <c r="C52" s="291" t="s">
        <v>542</v>
      </c>
      <c r="D52" s="278">
        <v>3</v>
      </c>
      <c r="E52" s="179">
        <v>2300</v>
      </c>
      <c r="F52" s="181"/>
      <c r="G52" s="292">
        <v>0.1</v>
      </c>
      <c r="H52" s="181"/>
      <c r="I52" s="181"/>
      <c r="J52" s="181"/>
      <c r="K52" s="179">
        <v>230</v>
      </c>
      <c r="L52" s="179">
        <v>690</v>
      </c>
      <c r="M52" s="181"/>
      <c r="N52" s="181"/>
    </row>
    <row r="53" spans="1:14" ht="31.5" x14ac:dyDescent="0.35">
      <c r="A53" s="183" t="s">
        <v>117</v>
      </c>
      <c r="B53" s="171" t="s">
        <v>582</v>
      </c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6">
        <v>3450</v>
      </c>
      <c r="N53" s="187" t="s">
        <v>366</v>
      </c>
    </row>
    <row r="54" spans="1:14" ht="21" x14ac:dyDescent="0.35">
      <c r="A54" s="176" t="s">
        <v>543</v>
      </c>
      <c r="B54" s="177" t="s">
        <v>389</v>
      </c>
      <c r="C54" s="184" t="s">
        <v>544</v>
      </c>
      <c r="D54" s="278">
        <v>3</v>
      </c>
      <c r="E54" s="179">
        <v>1150</v>
      </c>
      <c r="F54" s="185"/>
      <c r="G54" s="185"/>
      <c r="H54" s="185"/>
      <c r="I54" s="185"/>
      <c r="J54" s="185"/>
      <c r="K54" s="179">
        <v>1150</v>
      </c>
      <c r="L54" s="179">
        <v>3450</v>
      </c>
      <c r="M54" s="185"/>
      <c r="N54" s="185"/>
    </row>
    <row r="55" spans="1:14" ht="136.5" x14ac:dyDescent="0.35">
      <c r="A55" s="170" t="s">
        <v>121</v>
      </c>
      <c r="B55" s="171" t="s">
        <v>583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91">
        <v>6</v>
      </c>
      <c r="N55" s="175" t="s">
        <v>77</v>
      </c>
    </row>
    <row r="56" spans="1:14" x14ac:dyDescent="0.2">
      <c r="A56" s="176" t="s">
        <v>545</v>
      </c>
      <c r="B56" s="293" t="s">
        <v>546</v>
      </c>
      <c r="C56" s="181"/>
      <c r="D56" s="290">
        <v>20</v>
      </c>
      <c r="E56" s="294">
        <v>0.3</v>
      </c>
      <c r="F56" s="181"/>
      <c r="G56" s="181"/>
      <c r="H56" s="181"/>
      <c r="I56" s="181"/>
      <c r="J56" s="181"/>
      <c r="K56" s="189">
        <v>0.3</v>
      </c>
      <c r="L56" s="179">
        <v>6</v>
      </c>
      <c r="M56" s="181"/>
      <c r="N56" s="181"/>
    </row>
    <row r="57" spans="1:14" ht="31.5" x14ac:dyDescent="0.35">
      <c r="A57" s="183" t="s">
        <v>124</v>
      </c>
      <c r="B57" s="171" t="s">
        <v>584</v>
      </c>
      <c r="C57" s="184" t="s">
        <v>547</v>
      </c>
      <c r="D57" s="185"/>
      <c r="E57" s="185"/>
      <c r="F57" s="185"/>
      <c r="G57" s="185"/>
      <c r="H57" s="185"/>
      <c r="I57" s="185"/>
      <c r="J57" s="185"/>
      <c r="K57" s="185"/>
      <c r="L57" s="185"/>
      <c r="M57" s="192">
        <v>4</v>
      </c>
      <c r="N57" s="187" t="s">
        <v>366</v>
      </c>
    </row>
    <row r="58" spans="1:14" x14ac:dyDescent="0.2">
      <c r="A58" s="176" t="s">
        <v>548</v>
      </c>
      <c r="B58" s="293" t="s">
        <v>546</v>
      </c>
      <c r="C58" s="181"/>
      <c r="D58" s="278">
        <v>4</v>
      </c>
      <c r="E58" s="181"/>
      <c r="F58" s="181"/>
      <c r="G58" s="181"/>
      <c r="H58" s="181"/>
      <c r="I58" s="181"/>
      <c r="J58" s="181"/>
      <c r="K58" s="179">
        <v>1</v>
      </c>
      <c r="L58" s="179">
        <v>4</v>
      </c>
      <c r="M58" s="181"/>
      <c r="N58" s="181"/>
    </row>
    <row r="59" spans="1:14" x14ac:dyDescent="0.2">
      <c r="A59" s="167" t="s">
        <v>36</v>
      </c>
      <c r="B59" s="168" t="s">
        <v>127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</row>
    <row r="60" spans="1:14" ht="84" x14ac:dyDescent="0.35">
      <c r="A60" s="170" t="s">
        <v>128</v>
      </c>
      <c r="B60" s="171" t="s">
        <v>585</v>
      </c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295">
        <v>60</v>
      </c>
      <c r="N60" s="175" t="s">
        <v>112</v>
      </c>
    </row>
    <row r="61" spans="1:14" x14ac:dyDescent="0.2">
      <c r="A61" s="176" t="s">
        <v>549</v>
      </c>
      <c r="B61" s="181"/>
      <c r="C61" s="181"/>
      <c r="D61" s="278">
        <v>1</v>
      </c>
      <c r="E61" s="279">
        <v>60</v>
      </c>
      <c r="F61" s="181"/>
      <c r="G61" s="181"/>
      <c r="H61" s="181"/>
      <c r="I61" s="181"/>
      <c r="J61" s="181"/>
      <c r="K61" s="179">
        <v>60</v>
      </c>
      <c r="L61" s="179">
        <v>60</v>
      </c>
      <c r="M61" s="181"/>
      <c r="N61" s="181"/>
    </row>
    <row r="62" spans="1:14" ht="42" x14ac:dyDescent="0.35">
      <c r="A62" s="170" t="s">
        <v>131</v>
      </c>
      <c r="B62" s="171" t="s">
        <v>570</v>
      </c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295">
        <v>92</v>
      </c>
      <c r="N62" s="175" t="s">
        <v>68</v>
      </c>
    </row>
    <row r="63" spans="1:14" x14ac:dyDescent="0.2">
      <c r="A63" s="176" t="s">
        <v>550</v>
      </c>
      <c r="B63" s="181"/>
      <c r="C63" s="181"/>
      <c r="D63" s="278">
        <v>1</v>
      </c>
      <c r="E63" s="296">
        <v>2300</v>
      </c>
      <c r="F63" s="181"/>
      <c r="G63" s="188">
        <v>0.2</v>
      </c>
      <c r="H63" s="181"/>
      <c r="I63" s="189">
        <v>0.2</v>
      </c>
      <c r="J63" s="181"/>
      <c r="K63" s="179">
        <v>92</v>
      </c>
      <c r="L63" s="179">
        <v>92</v>
      </c>
      <c r="M63" s="181"/>
      <c r="N63" s="181"/>
    </row>
    <row r="64" spans="1:14" ht="63" x14ac:dyDescent="0.35">
      <c r="A64" s="170" t="s">
        <v>134</v>
      </c>
      <c r="B64" s="171" t="s">
        <v>574</v>
      </c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297">
        <v>2300</v>
      </c>
      <c r="N64" s="175" t="s">
        <v>41</v>
      </c>
    </row>
    <row r="65" spans="1:14" x14ac:dyDescent="0.2">
      <c r="A65" s="176" t="s">
        <v>551</v>
      </c>
      <c r="B65" s="181"/>
      <c r="C65" s="181"/>
      <c r="D65" s="278">
        <v>1</v>
      </c>
      <c r="E65" s="296">
        <v>2300</v>
      </c>
      <c r="F65" s="181"/>
      <c r="G65" s="181"/>
      <c r="H65" s="181"/>
      <c r="I65" s="181"/>
      <c r="J65" s="181"/>
      <c r="K65" s="179">
        <v>2300</v>
      </c>
      <c r="L65" s="179">
        <v>2300</v>
      </c>
      <c r="M65" s="181"/>
      <c r="N65" s="181"/>
    </row>
    <row r="66" spans="1:14" ht="52.5" x14ac:dyDescent="0.35">
      <c r="A66" s="170" t="s">
        <v>137</v>
      </c>
      <c r="B66" s="171" t="s">
        <v>575</v>
      </c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297">
        <f>L67+L68</f>
        <v>9060</v>
      </c>
      <c r="N66" s="175" t="s">
        <v>41</v>
      </c>
    </row>
    <row r="67" spans="1:14" x14ac:dyDescent="0.35">
      <c r="A67" s="176" t="s">
        <v>513</v>
      </c>
      <c r="B67" s="298" t="s">
        <v>514</v>
      </c>
      <c r="C67" s="298" t="s">
        <v>515</v>
      </c>
      <c r="D67" s="278">
        <v>60</v>
      </c>
      <c r="E67" s="296">
        <v>12</v>
      </c>
      <c r="F67" s="173"/>
      <c r="G67" s="296">
        <v>3</v>
      </c>
      <c r="H67" s="173"/>
      <c r="I67" s="173"/>
      <c r="J67" s="173"/>
      <c r="K67" s="173"/>
      <c r="L67" s="179">
        <v>2160</v>
      </c>
      <c r="M67" s="297"/>
      <c r="N67" s="175"/>
    </row>
    <row r="68" spans="1:14" x14ac:dyDescent="0.2">
      <c r="A68" s="176" t="s">
        <v>516</v>
      </c>
      <c r="B68" s="299" t="s">
        <v>517</v>
      </c>
      <c r="C68" s="298"/>
      <c r="D68" s="278">
        <v>3</v>
      </c>
      <c r="E68" s="296">
        <v>2300</v>
      </c>
      <c r="F68" s="181"/>
      <c r="G68" s="181"/>
      <c r="H68" s="181"/>
      <c r="I68" s="181"/>
      <c r="J68" s="181"/>
      <c r="K68" s="179">
        <v>2300</v>
      </c>
      <c r="L68" s="179">
        <v>6900</v>
      </c>
      <c r="M68" s="181"/>
      <c r="N68" s="181"/>
    </row>
    <row r="69" spans="1:14" ht="31.5" x14ac:dyDescent="0.35">
      <c r="A69" s="183" t="s">
        <v>140</v>
      </c>
      <c r="B69" s="171" t="s">
        <v>576</v>
      </c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300">
        <v>60</v>
      </c>
      <c r="N69" s="187" t="s">
        <v>112</v>
      </c>
    </row>
    <row r="70" spans="1:14" x14ac:dyDescent="0.2">
      <c r="A70" s="176" t="s">
        <v>552</v>
      </c>
      <c r="B70" s="181"/>
      <c r="C70" s="181"/>
      <c r="D70" s="278">
        <v>1</v>
      </c>
      <c r="E70" s="279">
        <v>60</v>
      </c>
      <c r="F70" s="181"/>
      <c r="G70" s="181"/>
      <c r="H70" s="181"/>
      <c r="I70" s="181"/>
      <c r="J70" s="181"/>
      <c r="K70" s="179">
        <v>60</v>
      </c>
      <c r="L70" s="179">
        <v>60</v>
      </c>
      <c r="M70" s="181"/>
      <c r="N70" s="181"/>
    </row>
    <row r="71" spans="1:14" ht="42" x14ac:dyDescent="0.35">
      <c r="A71" s="183" t="s">
        <v>143</v>
      </c>
      <c r="B71" s="190" t="s">
        <v>145</v>
      </c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300">
        <v>60</v>
      </c>
      <c r="N71" s="187" t="s">
        <v>112</v>
      </c>
    </row>
    <row r="72" spans="1:14" x14ac:dyDescent="0.2">
      <c r="A72" s="176" t="s">
        <v>553</v>
      </c>
      <c r="B72" s="181"/>
      <c r="C72" s="181"/>
      <c r="D72" s="278">
        <v>1</v>
      </c>
      <c r="E72" s="279">
        <v>60</v>
      </c>
      <c r="F72" s="181"/>
      <c r="G72" s="181"/>
      <c r="H72" s="181"/>
      <c r="I72" s="181"/>
      <c r="J72" s="181"/>
      <c r="K72" s="179">
        <v>60</v>
      </c>
      <c r="L72" s="179">
        <v>60</v>
      </c>
      <c r="M72" s="181"/>
      <c r="N72" s="181"/>
    </row>
    <row r="73" spans="1:14" ht="52.5" x14ac:dyDescent="0.35">
      <c r="A73" s="170" t="s">
        <v>146</v>
      </c>
      <c r="B73" s="171" t="s">
        <v>577</v>
      </c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295">
        <v>60</v>
      </c>
      <c r="N73" s="175" t="s">
        <v>112</v>
      </c>
    </row>
    <row r="74" spans="1:14" x14ac:dyDescent="0.2">
      <c r="A74" s="176" t="s">
        <v>554</v>
      </c>
      <c r="B74" s="289">
        <v>212.51</v>
      </c>
      <c r="C74" s="181"/>
      <c r="D74" s="278">
        <v>1</v>
      </c>
      <c r="E74" s="279">
        <v>60</v>
      </c>
      <c r="F74" s="181"/>
      <c r="G74" s="181"/>
      <c r="H74" s="181"/>
      <c r="I74" s="181"/>
      <c r="J74" s="181"/>
      <c r="K74" s="179">
        <v>60</v>
      </c>
      <c r="L74" s="179">
        <v>60</v>
      </c>
      <c r="M74" s="181"/>
      <c r="N74" s="181"/>
    </row>
    <row r="75" spans="1:14" ht="73.5" x14ac:dyDescent="0.35">
      <c r="A75" s="170" t="s">
        <v>149</v>
      </c>
      <c r="B75" s="171" t="s">
        <v>586</v>
      </c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295">
        <v>2</v>
      </c>
      <c r="N75" s="175" t="s">
        <v>112</v>
      </c>
    </row>
    <row r="76" spans="1:14" x14ac:dyDescent="0.2">
      <c r="A76" s="176" t="s">
        <v>555</v>
      </c>
      <c r="B76" s="181"/>
      <c r="C76" s="181"/>
      <c r="D76" s="278">
        <v>1</v>
      </c>
      <c r="E76" s="279">
        <v>2</v>
      </c>
      <c r="F76" s="181"/>
      <c r="G76" s="181"/>
      <c r="H76" s="181"/>
      <c r="I76" s="181"/>
      <c r="J76" s="181"/>
      <c r="K76" s="179">
        <v>2</v>
      </c>
      <c r="L76" s="179">
        <v>2</v>
      </c>
      <c r="M76" s="181"/>
      <c r="N76" s="181"/>
    </row>
    <row r="77" spans="1:14" ht="52.5" x14ac:dyDescent="0.35">
      <c r="A77" s="183" t="s">
        <v>152</v>
      </c>
      <c r="B77" s="190" t="s">
        <v>154</v>
      </c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300">
        <v>2</v>
      </c>
      <c r="N77" s="187" t="s">
        <v>112</v>
      </c>
    </row>
    <row r="78" spans="1:14" x14ac:dyDescent="0.2">
      <c r="A78" s="176" t="s">
        <v>556</v>
      </c>
      <c r="B78" s="289">
        <v>19.34</v>
      </c>
      <c r="C78" s="181"/>
      <c r="D78" s="278">
        <v>1</v>
      </c>
      <c r="E78" s="279">
        <v>2</v>
      </c>
      <c r="F78" s="181"/>
      <c r="G78" s="181"/>
      <c r="H78" s="181"/>
      <c r="I78" s="181"/>
      <c r="J78" s="181"/>
      <c r="K78" s="179">
        <v>2</v>
      </c>
      <c r="L78" s="179">
        <v>2</v>
      </c>
      <c r="M78" s="181"/>
      <c r="N78" s="181"/>
    </row>
    <row r="79" spans="1:14" ht="21" x14ac:dyDescent="0.2">
      <c r="A79" s="167" t="s">
        <v>37</v>
      </c>
      <c r="B79" s="301" t="s">
        <v>155</v>
      </c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</row>
    <row r="80" spans="1:14" ht="31.5" x14ac:dyDescent="0.35">
      <c r="A80" s="183" t="s">
        <v>156</v>
      </c>
      <c r="B80" s="171" t="s">
        <v>587</v>
      </c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300">
        <v>80</v>
      </c>
      <c r="N80" s="187" t="s">
        <v>41</v>
      </c>
    </row>
    <row r="81" spans="1:14" x14ac:dyDescent="0.2">
      <c r="A81" s="176" t="s">
        <v>557</v>
      </c>
      <c r="B81" s="302" t="s">
        <v>558</v>
      </c>
      <c r="C81" s="181"/>
      <c r="D81" s="278">
        <v>5</v>
      </c>
      <c r="E81" s="303">
        <v>8</v>
      </c>
      <c r="F81" s="181"/>
      <c r="G81" s="179">
        <v>2</v>
      </c>
      <c r="H81" s="181"/>
      <c r="I81" s="181"/>
      <c r="J81" s="181"/>
      <c r="K81" s="179">
        <v>16</v>
      </c>
      <c r="L81" s="179">
        <v>80</v>
      </c>
      <c r="M81" s="181"/>
      <c r="N81" s="181"/>
    </row>
    <row r="82" spans="1:14" ht="31.5" x14ac:dyDescent="0.35">
      <c r="A82" s="183" t="s">
        <v>159</v>
      </c>
      <c r="B82" s="171" t="s">
        <v>588</v>
      </c>
      <c r="C82" s="184" t="s">
        <v>504</v>
      </c>
      <c r="D82" s="185"/>
      <c r="E82" s="185"/>
      <c r="F82" s="185"/>
      <c r="G82" s="185"/>
      <c r="H82" s="185"/>
      <c r="I82" s="185"/>
      <c r="J82" s="185"/>
      <c r="K82" s="185"/>
      <c r="L82" s="185"/>
      <c r="M82" s="304">
        <v>400</v>
      </c>
      <c r="N82" s="187" t="s">
        <v>73</v>
      </c>
    </row>
    <row r="83" spans="1:14" x14ac:dyDescent="0.2">
      <c r="A83" s="176" t="s">
        <v>559</v>
      </c>
      <c r="B83" s="177" t="s">
        <v>389</v>
      </c>
      <c r="C83" s="178" t="s">
        <v>560</v>
      </c>
      <c r="D83" s="290">
        <v>10</v>
      </c>
      <c r="E83" s="303">
        <v>10</v>
      </c>
      <c r="F83" s="181"/>
      <c r="G83" s="188">
        <v>2</v>
      </c>
      <c r="H83" s="181"/>
      <c r="I83" s="179">
        <v>2</v>
      </c>
      <c r="J83" s="181"/>
      <c r="K83" s="179">
        <v>40</v>
      </c>
      <c r="L83" s="179">
        <v>400</v>
      </c>
      <c r="M83" s="181"/>
      <c r="N83" s="181"/>
    </row>
    <row r="84" spans="1:14" ht="115.5" x14ac:dyDescent="0.35">
      <c r="A84" s="183" t="s">
        <v>162</v>
      </c>
      <c r="B84" s="193" t="s">
        <v>518</v>
      </c>
      <c r="C84" s="184"/>
      <c r="D84" s="185"/>
      <c r="E84" s="185"/>
      <c r="F84" s="185"/>
      <c r="G84" s="185"/>
      <c r="H84" s="185"/>
      <c r="I84" s="185"/>
      <c r="J84" s="185"/>
      <c r="K84" s="185"/>
      <c r="L84" s="185"/>
      <c r="M84" s="304">
        <v>20</v>
      </c>
      <c r="N84" s="187" t="s">
        <v>73</v>
      </c>
    </row>
    <row r="85" spans="1:14" x14ac:dyDescent="0.2">
      <c r="A85" s="176" t="s">
        <v>559</v>
      </c>
      <c r="B85" s="177" t="s">
        <v>519</v>
      </c>
      <c r="C85" s="178"/>
      <c r="D85" s="185">
        <v>5</v>
      </c>
      <c r="E85" s="185">
        <v>8</v>
      </c>
      <c r="F85" s="185"/>
      <c r="G85" s="185">
        <v>2</v>
      </c>
      <c r="H85" s="185"/>
      <c r="I85" s="185">
        <v>0.2</v>
      </c>
      <c r="J85" s="185"/>
      <c r="K85" s="185">
        <v>3.2</v>
      </c>
      <c r="L85" s="185">
        <v>16</v>
      </c>
      <c r="M85" s="181"/>
      <c r="N85" s="181"/>
    </row>
    <row r="86" spans="1:14" ht="105" x14ac:dyDescent="0.35">
      <c r="A86" s="183" t="s">
        <v>165</v>
      </c>
      <c r="B86" s="193" t="s">
        <v>520</v>
      </c>
      <c r="C86" s="184"/>
      <c r="D86" s="185"/>
      <c r="E86" s="185"/>
      <c r="F86" s="185"/>
      <c r="G86" s="185"/>
      <c r="H86" s="185"/>
      <c r="I86" s="185"/>
      <c r="J86" s="185"/>
      <c r="K86" s="185"/>
      <c r="L86" s="185"/>
      <c r="M86" s="304">
        <v>80</v>
      </c>
      <c r="N86" s="187" t="s">
        <v>73</v>
      </c>
    </row>
    <row r="87" spans="1:14" x14ac:dyDescent="0.2">
      <c r="A87" s="176" t="s">
        <v>559</v>
      </c>
      <c r="B87" s="177" t="s">
        <v>521</v>
      </c>
      <c r="C87" s="178"/>
      <c r="D87" s="185">
        <v>5</v>
      </c>
      <c r="E87" s="185">
        <v>2</v>
      </c>
      <c r="F87" s="185"/>
      <c r="G87" s="185">
        <v>2</v>
      </c>
      <c r="H87" s="185"/>
      <c r="I87" s="185"/>
      <c r="J87" s="185"/>
      <c r="K87" s="185">
        <v>16</v>
      </c>
      <c r="L87" s="185">
        <v>80</v>
      </c>
      <c r="M87" s="181"/>
      <c r="N87" s="181"/>
    </row>
    <row r="88" spans="1:14" ht="70" x14ac:dyDescent="0.35">
      <c r="A88" s="183" t="s">
        <v>168</v>
      </c>
      <c r="B88" s="194" t="s">
        <v>522</v>
      </c>
      <c r="C88" s="166"/>
      <c r="D88" s="160"/>
      <c r="E88" s="160"/>
      <c r="F88" s="163"/>
      <c r="G88" s="163"/>
      <c r="H88" s="163"/>
      <c r="I88" s="163"/>
      <c r="J88" s="163"/>
      <c r="K88" s="163"/>
      <c r="L88" s="163"/>
      <c r="M88" s="163">
        <v>10</v>
      </c>
      <c r="N88" s="163"/>
    </row>
    <row r="89" spans="1:14" x14ac:dyDescent="0.35">
      <c r="A89" s="157"/>
      <c r="B89" s="158" t="s">
        <v>523</v>
      </c>
      <c r="C89" s="166"/>
      <c r="D89" s="160">
        <v>5</v>
      </c>
      <c r="E89" s="160">
        <v>2</v>
      </c>
      <c r="F89" s="163"/>
      <c r="G89" s="163"/>
      <c r="H89" s="163"/>
      <c r="I89" s="163"/>
      <c r="J89" s="163"/>
      <c r="K89" s="163">
        <v>2</v>
      </c>
      <c r="L89" s="163">
        <v>10</v>
      </c>
      <c r="M89" s="163"/>
      <c r="N89" s="163"/>
    </row>
    <row r="90" spans="1:14" ht="120" x14ac:dyDescent="0.35">
      <c r="A90" s="183" t="s">
        <v>171</v>
      </c>
      <c r="B90" s="194" t="s">
        <v>524</v>
      </c>
      <c r="C90" s="166" t="s">
        <v>525</v>
      </c>
      <c r="D90" s="160"/>
      <c r="E90" s="160"/>
      <c r="F90" s="163"/>
      <c r="G90" s="163"/>
      <c r="H90" s="163"/>
      <c r="I90" s="163"/>
      <c r="J90" s="163"/>
      <c r="K90" s="163"/>
      <c r="L90" s="163"/>
      <c r="M90" s="163">
        <v>224</v>
      </c>
      <c r="N90" s="163"/>
    </row>
    <row r="91" spans="1:14" ht="31.5" x14ac:dyDescent="0.35">
      <c r="A91" s="195" t="s">
        <v>561</v>
      </c>
      <c r="B91" s="148" t="s">
        <v>562</v>
      </c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</row>
    <row r="92" spans="1:14" x14ac:dyDescent="0.2">
      <c r="A92" s="150" t="s">
        <v>32</v>
      </c>
      <c r="B92" s="151" t="s">
        <v>69</v>
      </c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</row>
    <row r="93" spans="1:14" ht="52.5" x14ac:dyDescent="0.35">
      <c r="A93" s="153" t="s">
        <v>176</v>
      </c>
      <c r="B93" s="146" t="s">
        <v>526</v>
      </c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6" t="s">
        <v>54</v>
      </c>
    </row>
    <row r="94" spans="1:14" x14ac:dyDescent="0.2">
      <c r="A94" s="157" t="s">
        <v>393</v>
      </c>
      <c r="B94" s="158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</row>
    <row r="95" spans="1:14" x14ac:dyDescent="0.2">
      <c r="A95" s="150" t="s">
        <v>33</v>
      </c>
      <c r="B95" s="151" t="s">
        <v>69</v>
      </c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</row>
    <row r="96" spans="1:14" ht="31.5" x14ac:dyDescent="0.35">
      <c r="A96" s="162" t="s">
        <v>177</v>
      </c>
      <c r="B96" s="146" t="s">
        <v>532</v>
      </c>
      <c r="C96" s="196" t="s">
        <v>392</v>
      </c>
      <c r="D96" s="163"/>
      <c r="E96" s="163"/>
      <c r="F96" s="163"/>
      <c r="G96" s="163"/>
      <c r="H96" s="163"/>
      <c r="I96" s="197"/>
      <c r="J96" s="163"/>
      <c r="K96" s="163"/>
      <c r="L96" s="163"/>
      <c r="M96" s="198">
        <f>L97</f>
        <v>14.646099999999999</v>
      </c>
      <c r="N96" s="165" t="s">
        <v>68</v>
      </c>
    </row>
    <row r="97" spans="1:15" x14ac:dyDescent="0.2">
      <c r="A97" s="199" t="s">
        <v>391</v>
      </c>
      <c r="B97" s="200" t="s">
        <v>482</v>
      </c>
      <c r="C97" s="201" t="s">
        <v>483</v>
      </c>
      <c r="D97" s="202">
        <v>1</v>
      </c>
      <c r="E97" s="202">
        <f>E124</f>
        <v>298.89999999999998</v>
      </c>
      <c r="F97" s="203"/>
      <c r="G97" s="202">
        <v>0.35</v>
      </c>
      <c r="H97" s="203"/>
      <c r="I97" s="202">
        <v>0.14000000000000001</v>
      </c>
      <c r="J97" s="203"/>
      <c r="K97" s="202">
        <f>E97*G97*I97</f>
        <v>14.646099999999999</v>
      </c>
      <c r="L97" s="202">
        <f>K97</f>
        <v>14.646099999999999</v>
      </c>
      <c r="M97" s="203"/>
      <c r="N97" s="203"/>
    </row>
    <row r="98" spans="1:15" ht="21" x14ac:dyDescent="0.2">
      <c r="A98" s="162" t="s">
        <v>178</v>
      </c>
      <c r="B98" s="204" t="s">
        <v>76</v>
      </c>
      <c r="C98" s="159"/>
      <c r="D98" s="159"/>
      <c r="E98" s="159"/>
      <c r="F98" s="159"/>
      <c r="G98" s="159"/>
      <c r="H98" s="159"/>
      <c r="I98" s="205"/>
      <c r="J98" s="159"/>
      <c r="K98" s="159"/>
      <c r="L98" s="159"/>
      <c r="M98" s="198">
        <f>L99</f>
        <v>1232.6999999999998</v>
      </c>
      <c r="N98" s="165" t="s">
        <v>54</v>
      </c>
    </row>
    <row r="99" spans="1:15" x14ac:dyDescent="0.2">
      <c r="A99" s="199" t="s">
        <v>390</v>
      </c>
      <c r="B99" s="200" t="s">
        <v>389</v>
      </c>
      <c r="C99" s="203"/>
      <c r="D99" s="202">
        <v>1</v>
      </c>
      <c r="E99" s="202">
        <v>821.8</v>
      </c>
      <c r="F99" s="203"/>
      <c r="G99" s="202">
        <v>1.5</v>
      </c>
      <c r="H99" s="203"/>
      <c r="I99" s="206">
        <v>1</v>
      </c>
      <c r="J99" s="203"/>
      <c r="K99" s="202">
        <f>E99*G99*I99</f>
        <v>1232.6999999999998</v>
      </c>
      <c r="L99" s="202">
        <f>K99</f>
        <v>1232.6999999999998</v>
      </c>
      <c r="M99" s="203"/>
      <c r="N99" s="203"/>
    </row>
    <row r="100" spans="1:15" ht="21.65" customHeight="1" x14ac:dyDescent="0.35">
      <c r="A100" s="162" t="s">
        <v>179</v>
      </c>
      <c r="B100" s="207" t="s">
        <v>563</v>
      </c>
      <c r="C100" s="163"/>
      <c r="D100" s="163"/>
      <c r="E100" s="163"/>
      <c r="F100" s="163"/>
      <c r="G100" s="163"/>
      <c r="H100" s="163"/>
      <c r="I100" s="197"/>
      <c r="J100" s="163"/>
      <c r="K100" s="163"/>
      <c r="L100" s="163"/>
      <c r="M100" s="198">
        <f>L101</f>
        <v>1232.6999999999998</v>
      </c>
      <c r="N100" s="165" t="s">
        <v>54</v>
      </c>
    </row>
    <row r="101" spans="1:15" x14ac:dyDescent="0.2">
      <c r="A101" s="199" t="s">
        <v>388</v>
      </c>
      <c r="B101" s="200" t="s">
        <v>387</v>
      </c>
      <c r="C101" s="203"/>
      <c r="D101" s="202">
        <v>1</v>
      </c>
      <c r="E101" s="202">
        <f>E99</f>
        <v>821.8</v>
      </c>
      <c r="F101" s="203"/>
      <c r="G101" s="202">
        <v>1.5</v>
      </c>
      <c r="H101" s="203"/>
      <c r="I101" s="206">
        <v>1</v>
      </c>
      <c r="J101" s="203"/>
      <c r="K101" s="202">
        <f>E101*G101*I101</f>
        <v>1232.6999999999998</v>
      </c>
      <c r="L101" s="202">
        <f>K101</f>
        <v>1232.6999999999998</v>
      </c>
      <c r="M101" s="203"/>
      <c r="N101" s="203"/>
    </row>
    <row r="102" spans="1:15" ht="22.15" customHeight="1" x14ac:dyDescent="0.35">
      <c r="A102" s="162" t="s">
        <v>181</v>
      </c>
      <c r="B102" s="204" t="s">
        <v>84</v>
      </c>
      <c r="C102" s="163"/>
      <c r="D102" s="163"/>
      <c r="E102" s="163"/>
      <c r="F102" s="163"/>
      <c r="G102" s="163"/>
      <c r="H102" s="163"/>
      <c r="I102" s="197"/>
      <c r="J102" s="163"/>
      <c r="K102" s="163"/>
      <c r="L102" s="163"/>
      <c r="M102" s="208">
        <f>L103</f>
        <v>88.75439999999999</v>
      </c>
      <c r="N102" s="165" t="s">
        <v>85</v>
      </c>
    </row>
    <row r="103" spans="1:15" ht="20" x14ac:dyDescent="0.35">
      <c r="A103" s="199" t="s">
        <v>386</v>
      </c>
      <c r="B103" s="200" t="s">
        <v>385</v>
      </c>
      <c r="C103" s="209" t="s">
        <v>533</v>
      </c>
      <c r="D103" s="202">
        <v>1</v>
      </c>
      <c r="E103" s="202">
        <f>E99</f>
        <v>821.8</v>
      </c>
      <c r="F103" s="210"/>
      <c r="G103" s="202">
        <v>1.5</v>
      </c>
      <c r="H103" s="210"/>
      <c r="I103" s="202">
        <v>0.03</v>
      </c>
      <c r="J103" s="210"/>
      <c r="K103" s="202">
        <f>E103*G103*I103</f>
        <v>36.980999999999995</v>
      </c>
      <c r="L103" s="202">
        <f>K103*2.4</f>
        <v>88.75439999999999</v>
      </c>
      <c r="M103" s="210"/>
      <c r="N103" s="210"/>
    </row>
    <row r="104" spans="1:15" x14ac:dyDescent="0.2">
      <c r="A104" s="162" t="s">
        <v>183</v>
      </c>
      <c r="B104" s="204" t="s">
        <v>88</v>
      </c>
      <c r="C104" s="159"/>
      <c r="D104" s="159"/>
      <c r="E104" s="159"/>
      <c r="F104" s="159"/>
      <c r="G104" s="159"/>
      <c r="H104" s="159"/>
      <c r="I104" s="205"/>
      <c r="J104" s="159"/>
      <c r="K104" s="159"/>
      <c r="L104" s="159"/>
      <c r="M104" s="208">
        <f>L105</f>
        <v>86.165729999999996</v>
      </c>
      <c r="N104" s="165" t="s">
        <v>85</v>
      </c>
    </row>
    <row r="105" spans="1:15" ht="23.5" customHeight="1" x14ac:dyDescent="0.35">
      <c r="A105" s="199" t="s">
        <v>384</v>
      </c>
      <c r="B105" s="200" t="s">
        <v>373</v>
      </c>
      <c r="C105" s="209" t="s">
        <v>534</v>
      </c>
      <c r="D105" s="202">
        <v>1</v>
      </c>
      <c r="E105" s="202">
        <f>E101</f>
        <v>821.8</v>
      </c>
      <c r="F105" s="210"/>
      <c r="G105" s="202">
        <v>1.5</v>
      </c>
      <c r="H105" s="210"/>
      <c r="I105" s="202">
        <v>0.03</v>
      </c>
      <c r="J105" s="210"/>
      <c r="K105" s="202">
        <f>E105*G105*I105</f>
        <v>36.980999999999995</v>
      </c>
      <c r="L105" s="202">
        <f>K105*2.33</f>
        <v>86.165729999999996</v>
      </c>
      <c r="M105" s="210"/>
      <c r="N105" s="210"/>
    </row>
    <row r="106" spans="1:15" ht="21" x14ac:dyDescent="0.35">
      <c r="A106" s="153" t="s">
        <v>184</v>
      </c>
      <c r="B106" s="204" t="s">
        <v>91</v>
      </c>
      <c r="C106" s="196" t="s">
        <v>383</v>
      </c>
      <c r="D106" s="163"/>
      <c r="E106" s="163"/>
      <c r="F106" s="163"/>
      <c r="G106" s="163"/>
      <c r="H106" s="163"/>
      <c r="I106" s="197"/>
      <c r="J106" s="163"/>
      <c r="K106" s="163"/>
      <c r="L106" s="163"/>
      <c r="M106" s="211">
        <f>L107</f>
        <v>4601.360925</v>
      </c>
      <c r="N106" s="156" t="s">
        <v>92</v>
      </c>
    </row>
    <row r="107" spans="1:15" x14ac:dyDescent="0.2">
      <c r="A107" s="199" t="s">
        <v>382</v>
      </c>
      <c r="B107" s="200" t="s">
        <v>373</v>
      </c>
      <c r="C107" s="203"/>
      <c r="D107" s="202">
        <v>1</v>
      </c>
      <c r="E107" s="202">
        <f>M115</f>
        <v>9.2027218499999996</v>
      </c>
      <c r="F107" s="203"/>
      <c r="G107" s="203"/>
      <c r="H107" s="203"/>
      <c r="I107" s="202">
        <v>500</v>
      </c>
      <c r="J107" s="203"/>
      <c r="K107" s="212">
        <f>E107*I107</f>
        <v>4601.360925</v>
      </c>
      <c r="L107" s="213">
        <f>K107</f>
        <v>4601.360925</v>
      </c>
      <c r="M107" s="203"/>
      <c r="N107" s="203"/>
    </row>
    <row r="108" spans="1:15" ht="21" x14ac:dyDescent="0.35">
      <c r="A108" s="153" t="s">
        <v>185</v>
      </c>
      <c r="B108" s="204" t="s">
        <v>95</v>
      </c>
      <c r="C108" s="196" t="s">
        <v>381</v>
      </c>
      <c r="D108" s="154"/>
      <c r="E108" s="154"/>
      <c r="F108" s="154"/>
      <c r="G108" s="154"/>
      <c r="H108" s="154"/>
      <c r="I108" s="161"/>
      <c r="J108" s="154"/>
      <c r="K108" s="154"/>
      <c r="L108" s="154"/>
      <c r="M108" s="211">
        <f>L109+L110</f>
        <v>1047.7949999999996</v>
      </c>
      <c r="N108" s="156" t="s">
        <v>92</v>
      </c>
      <c r="O108" s="106"/>
    </row>
    <row r="109" spans="1:15" x14ac:dyDescent="0.2">
      <c r="A109" s="199" t="s">
        <v>380</v>
      </c>
      <c r="B109" s="200" t="s">
        <v>379</v>
      </c>
      <c r="C109" s="203"/>
      <c r="D109" s="202">
        <v>1</v>
      </c>
      <c r="E109" s="202">
        <f>M113</f>
        <v>1.4792399999999997</v>
      </c>
      <c r="F109" s="203"/>
      <c r="G109" s="203"/>
      <c r="H109" s="203"/>
      <c r="I109" s="202">
        <v>500</v>
      </c>
      <c r="J109" s="203"/>
      <c r="K109" s="212">
        <f>E109*I109</f>
        <v>739.61999999999978</v>
      </c>
      <c r="L109" s="213">
        <f>K109</f>
        <v>739.61999999999978</v>
      </c>
      <c r="M109" s="203"/>
      <c r="N109" s="203"/>
    </row>
    <row r="110" spans="1:15" x14ac:dyDescent="0.2">
      <c r="A110" s="199" t="s">
        <v>378</v>
      </c>
      <c r="B110" s="200" t="s">
        <v>377</v>
      </c>
      <c r="C110" s="203"/>
      <c r="D110" s="202">
        <v>1</v>
      </c>
      <c r="E110" s="202">
        <f>M111</f>
        <v>0.61634999999999995</v>
      </c>
      <c r="F110" s="203"/>
      <c r="G110" s="203"/>
      <c r="H110" s="203"/>
      <c r="I110" s="202">
        <v>500</v>
      </c>
      <c r="J110" s="203"/>
      <c r="K110" s="212">
        <f>E110*I110</f>
        <v>308.17499999999995</v>
      </c>
      <c r="L110" s="213">
        <f>K110</f>
        <v>308.17499999999995</v>
      </c>
      <c r="M110" s="203"/>
      <c r="N110" s="203"/>
    </row>
    <row r="111" spans="1:15" ht="31.5" x14ac:dyDescent="0.35">
      <c r="A111" s="162" t="s">
        <v>186</v>
      </c>
      <c r="B111" s="146" t="s">
        <v>564</v>
      </c>
      <c r="C111" s="163"/>
      <c r="D111" s="160"/>
      <c r="E111" s="163"/>
      <c r="F111" s="163"/>
      <c r="G111" s="163"/>
      <c r="H111" s="163"/>
      <c r="I111" s="197"/>
      <c r="J111" s="163"/>
      <c r="K111" s="163"/>
      <c r="L111" s="163"/>
      <c r="M111" s="208">
        <f>L112</f>
        <v>0.61634999999999995</v>
      </c>
      <c r="N111" s="165" t="s">
        <v>85</v>
      </c>
    </row>
    <row r="112" spans="1:15" x14ac:dyDescent="0.2">
      <c r="A112" s="199" t="s">
        <v>376</v>
      </c>
      <c r="B112" s="200" t="s">
        <v>373</v>
      </c>
      <c r="C112" s="201" t="s">
        <v>375</v>
      </c>
      <c r="D112" s="202">
        <v>1</v>
      </c>
      <c r="E112" s="213">
        <f>M100</f>
        <v>1232.6999999999998</v>
      </c>
      <c r="F112" s="203"/>
      <c r="G112" s="203"/>
      <c r="H112" s="203"/>
      <c r="I112" s="312">
        <v>5.0000000000000001E-4</v>
      </c>
      <c r="J112" s="203"/>
      <c r="K112" s="212">
        <f>E112*I112</f>
        <v>0.61634999999999995</v>
      </c>
      <c r="L112" s="213">
        <f>K112</f>
        <v>0.61634999999999995</v>
      </c>
      <c r="M112" s="203"/>
      <c r="N112" s="203"/>
    </row>
    <row r="113" spans="1:16" ht="31.5" x14ac:dyDescent="0.35">
      <c r="A113" s="162" t="s">
        <v>187</v>
      </c>
      <c r="B113" s="146" t="s">
        <v>565</v>
      </c>
      <c r="C113" s="163"/>
      <c r="D113" s="160"/>
      <c r="E113" s="163"/>
      <c r="F113" s="163"/>
      <c r="G113" s="163"/>
      <c r="H113" s="163"/>
      <c r="I113" s="313"/>
      <c r="J113" s="163"/>
      <c r="K113" s="163"/>
      <c r="L113" s="163"/>
      <c r="M113" s="208">
        <f>L114</f>
        <v>1.4792399999999997</v>
      </c>
      <c r="N113" s="165" t="s">
        <v>85</v>
      </c>
    </row>
    <row r="114" spans="1:16" x14ac:dyDescent="0.2">
      <c r="A114" s="199" t="s">
        <v>501</v>
      </c>
      <c r="B114" s="200" t="s">
        <v>373</v>
      </c>
      <c r="C114" s="201" t="s">
        <v>374</v>
      </c>
      <c r="D114" s="202">
        <v>1</v>
      </c>
      <c r="E114" s="213">
        <f>M98</f>
        <v>1232.6999999999998</v>
      </c>
      <c r="F114" s="203"/>
      <c r="G114" s="203"/>
      <c r="H114" s="203"/>
      <c r="I114" s="312">
        <v>1.1999999999999999E-3</v>
      </c>
      <c r="J114" s="203"/>
      <c r="K114" s="202">
        <f>E114*I114</f>
        <v>1.4792399999999997</v>
      </c>
      <c r="L114" s="202">
        <f>K114</f>
        <v>1.4792399999999997</v>
      </c>
      <c r="M114" s="203"/>
      <c r="N114" s="203"/>
    </row>
    <row r="115" spans="1:16" ht="31.5" x14ac:dyDescent="0.35">
      <c r="A115" s="162" t="s">
        <v>188</v>
      </c>
      <c r="B115" s="146" t="s">
        <v>566</v>
      </c>
      <c r="C115" s="163"/>
      <c r="D115" s="160"/>
      <c r="E115" s="163"/>
      <c r="F115" s="163"/>
      <c r="G115" s="163"/>
      <c r="H115" s="163"/>
      <c r="I115" s="197"/>
      <c r="J115" s="163"/>
      <c r="K115" s="163"/>
      <c r="L115" s="163"/>
      <c r="M115" s="208">
        <f>L116+L117</f>
        <v>9.2027218499999996</v>
      </c>
      <c r="N115" s="165" t="s">
        <v>85</v>
      </c>
    </row>
    <row r="116" spans="1:16" x14ac:dyDescent="0.2">
      <c r="A116" s="199" t="s">
        <v>502</v>
      </c>
      <c r="B116" s="200" t="s">
        <v>373</v>
      </c>
      <c r="C116" s="201" t="s">
        <v>372</v>
      </c>
      <c r="D116" s="202">
        <v>1</v>
      </c>
      <c r="E116" s="202">
        <f>M104</f>
        <v>86.165729999999996</v>
      </c>
      <c r="F116" s="203"/>
      <c r="G116" s="203"/>
      <c r="H116" s="203"/>
      <c r="I116" s="202">
        <v>4.4999999999999998E-2</v>
      </c>
      <c r="J116" s="203"/>
      <c r="K116" s="212">
        <f>E116*I116</f>
        <v>3.8774578499999999</v>
      </c>
      <c r="L116" s="212">
        <f>K116</f>
        <v>3.8774578499999999</v>
      </c>
      <c r="M116" s="203"/>
      <c r="N116" s="203"/>
    </row>
    <row r="117" spans="1:16" x14ac:dyDescent="0.2">
      <c r="A117" s="203"/>
      <c r="B117" s="203"/>
      <c r="C117" s="201" t="s">
        <v>371</v>
      </c>
      <c r="D117" s="202">
        <v>1</v>
      </c>
      <c r="E117" s="202">
        <f>M102</f>
        <v>88.75439999999999</v>
      </c>
      <c r="F117" s="203"/>
      <c r="G117" s="203"/>
      <c r="H117" s="203"/>
      <c r="I117" s="202">
        <v>0.06</v>
      </c>
      <c r="J117" s="203"/>
      <c r="K117" s="212">
        <f>E117*I117</f>
        <v>5.3252639999999989</v>
      </c>
      <c r="L117" s="202">
        <f>K117</f>
        <v>5.3252639999999989</v>
      </c>
      <c r="M117" s="203"/>
      <c r="N117" s="203"/>
    </row>
    <row r="118" spans="1:16" x14ac:dyDescent="0.2">
      <c r="A118" s="150" t="s">
        <v>34</v>
      </c>
      <c r="B118" s="214" t="s">
        <v>189</v>
      </c>
      <c r="C118" s="215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</row>
    <row r="119" spans="1:16" ht="94.5" x14ac:dyDescent="0.35">
      <c r="A119" s="153" t="s">
        <v>190</v>
      </c>
      <c r="B119" s="204" t="s">
        <v>370</v>
      </c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211">
        <f>M120</f>
        <v>0</v>
      </c>
      <c r="N119" s="156" t="s">
        <v>41</v>
      </c>
      <c r="P119" s="106"/>
    </row>
    <row r="120" spans="1:16" x14ac:dyDescent="0.2">
      <c r="A120" s="216" t="s">
        <v>496</v>
      </c>
      <c r="B120" s="217" t="s">
        <v>466</v>
      </c>
      <c r="C120" s="218" t="s">
        <v>499</v>
      </c>
      <c r="D120" s="219"/>
      <c r="E120" s="220"/>
      <c r="F120" s="221"/>
      <c r="G120" s="219"/>
      <c r="H120" s="221"/>
      <c r="I120" s="221"/>
      <c r="J120" s="221"/>
      <c r="K120" s="219"/>
      <c r="L120" s="219"/>
      <c r="M120" s="221"/>
      <c r="N120" s="221"/>
      <c r="P120" s="106"/>
    </row>
    <row r="121" spans="1:16" ht="52.5" x14ac:dyDescent="0.35">
      <c r="A121" s="162" t="s">
        <v>191</v>
      </c>
      <c r="B121" s="204" t="s">
        <v>368</v>
      </c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98">
        <f>L122+L123+L124</f>
        <v>15.176399999999997</v>
      </c>
      <c r="N121" s="165" t="s">
        <v>54</v>
      </c>
    </row>
    <row r="122" spans="1:16" x14ac:dyDescent="0.2">
      <c r="A122" s="199"/>
      <c r="B122" s="200" t="s">
        <v>364</v>
      </c>
      <c r="C122" s="203"/>
      <c r="D122" s="202">
        <v>1</v>
      </c>
      <c r="E122" s="222">
        <v>282.7</v>
      </c>
      <c r="F122" s="203"/>
      <c r="G122" s="202">
        <v>0.35</v>
      </c>
      <c r="H122" s="203"/>
      <c r="I122" s="310">
        <v>0.06</v>
      </c>
      <c r="J122" s="203"/>
      <c r="K122" s="202">
        <f>E122</f>
        <v>282.7</v>
      </c>
      <c r="L122" s="202">
        <f>K122*G122*I122</f>
        <v>5.9366999999999992</v>
      </c>
      <c r="M122" s="203"/>
      <c r="N122" s="203"/>
      <c r="P122" s="311"/>
    </row>
    <row r="123" spans="1:16" x14ac:dyDescent="0.2">
      <c r="A123" s="199"/>
      <c r="B123" s="200" t="s">
        <v>363</v>
      </c>
      <c r="C123" s="203"/>
      <c r="D123" s="202">
        <v>1</v>
      </c>
      <c r="E123" s="222">
        <f>148+16.6</f>
        <v>164.6</v>
      </c>
      <c r="F123" s="203"/>
      <c r="G123" s="202">
        <v>0.3</v>
      </c>
      <c r="H123" s="203"/>
      <c r="I123" s="310">
        <v>0.06</v>
      </c>
      <c r="J123" s="203"/>
      <c r="K123" s="202">
        <f>E123</f>
        <v>164.6</v>
      </c>
      <c r="L123" s="202">
        <f t="shared" ref="L123:L124" si="0">K123*G123*I123</f>
        <v>2.9627999999999997</v>
      </c>
      <c r="M123" s="203"/>
      <c r="N123" s="203"/>
    </row>
    <row r="124" spans="1:16" x14ac:dyDescent="0.2">
      <c r="A124" s="199"/>
      <c r="B124" s="200" t="s">
        <v>362</v>
      </c>
      <c r="C124" s="203"/>
      <c r="D124" s="202">
        <v>1</v>
      </c>
      <c r="E124" s="222">
        <v>298.89999999999998</v>
      </c>
      <c r="F124" s="203"/>
      <c r="G124" s="202">
        <v>0.35</v>
      </c>
      <c r="H124" s="203"/>
      <c r="I124" s="310">
        <v>0.06</v>
      </c>
      <c r="J124" s="203"/>
      <c r="K124" s="202">
        <f>E124</f>
        <v>298.89999999999998</v>
      </c>
      <c r="L124" s="202">
        <f t="shared" si="0"/>
        <v>6.2768999999999986</v>
      </c>
      <c r="M124" s="203"/>
      <c r="N124" s="203"/>
    </row>
    <row r="125" spans="1:16" x14ac:dyDescent="0.2">
      <c r="A125" s="162" t="s">
        <v>194</v>
      </c>
      <c r="B125" s="204" t="s">
        <v>367</v>
      </c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98">
        <f>L126+L127-L128</f>
        <v>219</v>
      </c>
      <c r="N125" s="165" t="s">
        <v>366</v>
      </c>
    </row>
    <row r="126" spans="1:16" x14ac:dyDescent="0.2">
      <c r="A126" s="216"/>
      <c r="B126" s="306" t="s">
        <v>591</v>
      </c>
      <c r="C126" s="306" t="s">
        <v>365</v>
      </c>
      <c r="D126" s="219">
        <v>1</v>
      </c>
      <c r="E126" s="220">
        <v>133</v>
      </c>
      <c r="F126" s="221"/>
      <c r="G126" s="221"/>
      <c r="H126" s="221"/>
      <c r="I126" s="221"/>
      <c r="J126" s="221"/>
      <c r="K126" s="219">
        <f>E126</f>
        <v>133</v>
      </c>
      <c r="L126" s="219"/>
      <c r="M126" s="221"/>
      <c r="N126" s="221"/>
    </row>
    <row r="127" spans="1:16" x14ac:dyDescent="0.2">
      <c r="A127" s="199"/>
      <c r="B127" s="200" t="s">
        <v>589</v>
      </c>
      <c r="C127" s="200" t="s">
        <v>365</v>
      </c>
      <c r="D127" s="202">
        <v>1</v>
      </c>
      <c r="E127" s="222">
        <f>10+12+11+12*2+11+12*10+5+6+4+11+5</f>
        <v>219</v>
      </c>
      <c r="F127" s="203"/>
      <c r="G127" s="203"/>
      <c r="H127" s="203"/>
      <c r="I127" s="203"/>
      <c r="J127" s="203"/>
      <c r="K127" s="202">
        <f>E127</f>
        <v>219</v>
      </c>
      <c r="L127" s="202">
        <f>K127*D127</f>
        <v>219</v>
      </c>
      <c r="M127" s="203"/>
      <c r="N127" s="203"/>
    </row>
    <row r="128" spans="1:16" x14ac:dyDescent="0.2">
      <c r="A128" s="216"/>
      <c r="B128" s="306" t="s">
        <v>592</v>
      </c>
      <c r="C128" s="306" t="s">
        <v>590</v>
      </c>
      <c r="D128" s="219">
        <v>1</v>
      </c>
      <c r="E128" s="220">
        <v>4</v>
      </c>
      <c r="F128" s="221"/>
      <c r="G128" s="221"/>
      <c r="H128" s="221"/>
      <c r="I128" s="221"/>
      <c r="J128" s="221"/>
      <c r="K128" s="219">
        <f>E128</f>
        <v>4</v>
      </c>
      <c r="L128" s="219"/>
      <c r="M128" s="221"/>
      <c r="N128" s="221"/>
    </row>
    <row r="129" spans="1:14" ht="63" x14ac:dyDescent="0.35">
      <c r="A129" s="162" t="s">
        <v>497</v>
      </c>
      <c r="B129" s="204" t="s">
        <v>595</v>
      </c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98">
        <f>L130+L131+L132</f>
        <v>252.93999999999997</v>
      </c>
      <c r="N129" s="165" t="s">
        <v>54</v>
      </c>
    </row>
    <row r="130" spans="1:14" x14ac:dyDescent="0.2">
      <c r="A130" s="199"/>
      <c r="B130" s="200" t="s">
        <v>364</v>
      </c>
      <c r="C130" s="203"/>
      <c r="D130" s="202">
        <v>1</v>
      </c>
      <c r="E130" s="222">
        <v>282.7</v>
      </c>
      <c r="F130" s="203"/>
      <c r="G130" s="202">
        <v>0.35</v>
      </c>
      <c r="H130" s="203"/>
      <c r="I130" s="203"/>
      <c r="J130" s="203"/>
      <c r="K130" s="202">
        <f>E130</f>
        <v>282.7</v>
      </c>
      <c r="L130" s="202">
        <f>K130*G130</f>
        <v>98.944999999999993</v>
      </c>
      <c r="M130" s="203"/>
      <c r="N130" s="203"/>
    </row>
    <row r="131" spans="1:14" x14ac:dyDescent="0.2">
      <c r="A131" s="199"/>
      <c r="B131" s="200" t="s">
        <v>363</v>
      </c>
      <c r="C131" s="203"/>
      <c r="D131" s="202">
        <v>1</v>
      </c>
      <c r="E131" s="222">
        <f>148+16.6</f>
        <v>164.6</v>
      </c>
      <c r="F131" s="203"/>
      <c r="G131" s="202">
        <v>0.3</v>
      </c>
      <c r="H131" s="203"/>
      <c r="I131" s="203"/>
      <c r="J131" s="203"/>
      <c r="K131" s="202">
        <f>E131</f>
        <v>164.6</v>
      </c>
      <c r="L131" s="202">
        <f>K131*G131</f>
        <v>49.379999999999995</v>
      </c>
      <c r="M131" s="203"/>
      <c r="N131" s="203"/>
    </row>
    <row r="132" spans="1:14" x14ac:dyDescent="0.2">
      <c r="A132" s="199"/>
      <c r="B132" s="200" t="s">
        <v>362</v>
      </c>
      <c r="C132" s="203"/>
      <c r="D132" s="202">
        <v>1</v>
      </c>
      <c r="E132" s="222">
        <v>298.89999999999998</v>
      </c>
      <c r="F132" s="203"/>
      <c r="G132" s="202">
        <v>0.35</v>
      </c>
      <c r="H132" s="203"/>
      <c r="I132" s="203"/>
      <c r="J132" s="203"/>
      <c r="K132" s="202">
        <f>E132</f>
        <v>298.89999999999998</v>
      </c>
      <c r="L132" s="202">
        <f>K132*G132</f>
        <v>104.61499999999998</v>
      </c>
      <c r="M132" s="203"/>
      <c r="N132" s="203"/>
    </row>
    <row r="133" spans="1:14" ht="42" x14ac:dyDescent="0.35">
      <c r="A133" s="153" t="s">
        <v>593</v>
      </c>
      <c r="B133" s="305" t="s">
        <v>498</v>
      </c>
      <c r="C133" s="161"/>
      <c r="D133" s="154"/>
      <c r="E133" s="154"/>
      <c r="F133" s="154"/>
      <c r="G133" s="154"/>
      <c r="H133" s="154"/>
      <c r="I133" s="154"/>
      <c r="J133" s="154"/>
      <c r="K133" s="154"/>
      <c r="L133" s="154"/>
      <c r="M133" s="211">
        <f>L138+L136+L134+L135+L137</f>
        <v>1189.3</v>
      </c>
      <c r="N133" s="156" t="s">
        <v>41</v>
      </c>
    </row>
    <row r="134" spans="1:14" x14ac:dyDescent="0.2">
      <c r="A134" s="199"/>
      <c r="B134" s="200" t="s">
        <v>364</v>
      </c>
      <c r="C134" s="210" t="s">
        <v>416</v>
      </c>
      <c r="D134" s="202">
        <v>3</v>
      </c>
      <c r="E134" s="222">
        <v>6</v>
      </c>
      <c r="F134" s="203"/>
      <c r="G134" s="202"/>
      <c r="H134" s="203"/>
      <c r="I134" s="203"/>
      <c r="J134" s="203"/>
      <c r="K134" s="202">
        <f>E134*D134</f>
        <v>18</v>
      </c>
      <c r="L134" s="202">
        <f>K134</f>
        <v>18</v>
      </c>
      <c r="M134" s="203"/>
      <c r="N134" s="203"/>
    </row>
    <row r="135" spans="1:14" x14ac:dyDescent="0.2">
      <c r="A135" s="199"/>
      <c r="B135" s="200"/>
      <c r="C135" s="210" t="s">
        <v>415</v>
      </c>
      <c r="D135" s="202">
        <v>3</v>
      </c>
      <c r="E135" s="222">
        <v>25</v>
      </c>
      <c r="F135" s="203"/>
      <c r="G135" s="202"/>
      <c r="H135" s="203"/>
      <c r="I135" s="203"/>
      <c r="J135" s="203"/>
      <c r="K135" s="202">
        <f>E135*D135</f>
        <v>75</v>
      </c>
      <c r="L135" s="202">
        <f>K135</f>
        <v>75</v>
      </c>
      <c r="M135" s="203"/>
      <c r="N135" s="203"/>
    </row>
    <row r="136" spans="1:14" ht="20" x14ac:dyDescent="0.2">
      <c r="A136" s="199"/>
      <c r="B136" s="200" t="s">
        <v>363</v>
      </c>
      <c r="C136" s="210" t="s">
        <v>417</v>
      </c>
      <c r="D136" s="202">
        <v>1</v>
      </c>
      <c r="E136" s="222">
        <f>10.4*3</f>
        <v>31.200000000000003</v>
      </c>
      <c r="F136" s="203"/>
      <c r="G136" s="202"/>
      <c r="H136" s="203"/>
      <c r="I136" s="203"/>
      <c r="J136" s="203"/>
      <c r="K136" s="202">
        <f>E136</f>
        <v>31.200000000000003</v>
      </c>
      <c r="L136" s="202">
        <f>K136</f>
        <v>31.200000000000003</v>
      </c>
      <c r="M136" s="203"/>
      <c r="N136" s="203"/>
    </row>
    <row r="137" spans="1:14" x14ac:dyDescent="0.2">
      <c r="A137" s="199"/>
      <c r="B137" s="200"/>
      <c r="C137" s="223" t="s">
        <v>369</v>
      </c>
      <c r="D137" s="202">
        <v>1</v>
      </c>
      <c r="E137" s="222">
        <v>16.600000000000001</v>
      </c>
      <c r="F137" s="203"/>
      <c r="G137" s="202"/>
      <c r="H137" s="203"/>
      <c r="I137" s="203"/>
      <c r="J137" s="203"/>
      <c r="K137" s="202">
        <f>E137</f>
        <v>16.600000000000001</v>
      </c>
      <c r="L137" s="202">
        <f>K137</f>
        <v>16.600000000000001</v>
      </c>
      <c r="M137" s="203"/>
      <c r="N137" s="203"/>
    </row>
    <row r="138" spans="1:14" ht="20" x14ac:dyDescent="0.2">
      <c r="A138" s="199"/>
      <c r="B138" s="200" t="s">
        <v>362</v>
      </c>
      <c r="C138" s="223" t="s">
        <v>500</v>
      </c>
      <c r="D138" s="202">
        <v>3</v>
      </c>
      <c r="E138" s="222">
        <f>298.9+50.6</f>
        <v>349.5</v>
      </c>
      <c r="F138" s="203"/>
      <c r="G138" s="202"/>
      <c r="H138" s="203"/>
      <c r="I138" s="203"/>
      <c r="J138" s="203"/>
      <c r="K138" s="202">
        <f>E138*D138</f>
        <v>1048.5</v>
      </c>
      <c r="L138" s="202">
        <f>K138</f>
        <v>1048.5</v>
      </c>
      <c r="M138" s="203"/>
      <c r="N138" s="203"/>
    </row>
    <row r="139" spans="1:14" x14ac:dyDescent="0.2">
      <c r="A139" s="224" t="s">
        <v>38</v>
      </c>
      <c r="B139" s="225" t="s">
        <v>197</v>
      </c>
      <c r="C139" s="226"/>
      <c r="D139" s="226"/>
      <c r="E139" s="226"/>
      <c r="F139" s="226"/>
      <c r="G139" s="226"/>
      <c r="H139" s="226"/>
      <c r="I139" s="226"/>
      <c r="J139" s="226"/>
      <c r="K139" s="226"/>
      <c r="L139" s="226"/>
      <c r="M139" s="226"/>
      <c r="N139" s="226"/>
    </row>
    <row r="140" spans="1:14" ht="73.5" x14ac:dyDescent="0.35">
      <c r="A140" s="227" t="s">
        <v>198</v>
      </c>
      <c r="B140" s="228" t="s">
        <v>567</v>
      </c>
      <c r="C140" s="229"/>
      <c r="D140" s="230"/>
      <c r="E140" s="230"/>
      <c r="F140" s="230"/>
      <c r="G140" s="230"/>
      <c r="H140" s="230"/>
      <c r="I140" s="230"/>
      <c r="J140" s="230"/>
      <c r="K140" s="230"/>
      <c r="L140" s="230"/>
      <c r="M140" s="231">
        <v>10</v>
      </c>
      <c r="N140" s="232" t="s">
        <v>112</v>
      </c>
    </row>
    <row r="141" spans="1:14" x14ac:dyDescent="0.2">
      <c r="A141" s="233" t="s">
        <v>484</v>
      </c>
      <c r="B141" s="234" t="s">
        <v>466</v>
      </c>
      <c r="C141" s="235" t="s">
        <v>485</v>
      </c>
      <c r="D141" s="236">
        <v>1</v>
      </c>
      <c r="E141" s="237">
        <v>10</v>
      </c>
      <c r="F141" s="238"/>
      <c r="G141" s="238"/>
      <c r="H141" s="238"/>
      <c r="I141" s="238"/>
      <c r="J141" s="238"/>
      <c r="K141" s="237">
        <v>10</v>
      </c>
      <c r="L141" s="239">
        <v>10</v>
      </c>
      <c r="M141" s="238"/>
      <c r="N141" s="240"/>
    </row>
    <row r="142" spans="1:14" ht="52.5" x14ac:dyDescent="0.35">
      <c r="A142" s="227" t="s">
        <v>201</v>
      </c>
      <c r="B142" s="228" t="s">
        <v>568</v>
      </c>
      <c r="C142" s="229"/>
      <c r="D142" s="230"/>
      <c r="E142" s="230"/>
      <c r="F142" s="230"/>
      <c r="G142" s="230"/>
      <c r="H142" s="230"/>
      <c r="I142" s="230"/>
      <c r="J142" s="230"/>
      <c r="K142" s="230"/>
      <c r="L142" s="230"/>
      <c r="M142" s="241">
        <v>60</v>
      </c>
      <c r="N142" s="232" t="s">
        <v>41</v>
      </c>
    </row>
    <row r="143" spans="1:14" x14ac:dyDescent="0.2">
      <c r="A143" s="233" t="s">
        <v>486</v>
      </c>
      <c r="B143" s="234" t="s">
        <v>466</v>
      </c>
      <c r="C143" s="235" t="s">
        <v>487</v>
      </c>
      <c r="D143" s="236">
        <v>1</v>
      </c>
      <c r="E143" s="237">
        <v>10</v>
      </c>
      <c r="F143" s="238"/>
      <c r="G143" s="238"/>
      <c r="H143" s="242">
        <v>6</v>
      </c>
      <c r="I143" s="238"/>
      <c r="J143" s="238"/>
      <c r="K143" s="237">
        <v>60</v>
      </c>
      <c r="L143" s="237">
        <v>60</v>
      </c>
      <c r="M143" s="238"/>
      <c r="N143" s="240"/>
    </row>
    <row r="144" spans="1:14" ht="31.5" x14ac:dyDescent="0.35">
      <c r="A144" s="243" t="s">
        <v>204</v>
      </c>
      <c r="B144" s="228" t="s">
        <v>569</v>
      </c>
      <c r="C144" s="244"/>
      <c r="D144" s="245"/>
      <c r="E144" s="245"/>
      <c r="F144" s="245"/>
      <c r="G144" s="245"/>
      <c r="H144" s="245"/>
      <c r="I144" s="245"/>
      <c r="J144" s="245"/>
      <c r="K144" s="245"/>
      <c r="L144" s="245"/>
      <c r="M144" s="246">
        <v>11.6</v>
      </c>
      <c r="N144" s="247" t="s">
        <v>68</v>
      </c>
    </row>
    <row r="145" spans="1:14" x14ac:dyDescent="0.2">
      <c r="A145" s="233" t="s">
        <v>488</v>
      </c>
      <c r="B145" s="234" t="s">
        <v>489</v>
      </c>
      <c r="C145" s="240"/>
      <c r="D145" s="248">
        <v>10</v>
      </c>
      <c r="E145" s="237">
        <v>6</v>
      </c>
      <c r="F145" s="238"/>
      <c r="G145" s="239">
        <v>0.2</v>
      </c>
      <c r="H145" s="238"/>
      <c r="I145" s="239">
        <v>0.2</v>
      </c>
      <c r="J145" s="238"/>
      <c r="K145" s="237">
        <v>0.24</v>
      </c>
      <c r="L145" s="237">
        <v>2.4</v>
      </c>
      <c r="M145" s="238"/>
      <c r="N145" s="240"/>
    </row>
    <row r="146" spans="1:14" x14ac:dyDescent="0.2">
      <c r="A146" s="233" t="s">
        <v>490</v>
      </c>
      <c r="B146" s="234" t="s">
        <v>491</v>
      </c>
      <c r="C146" s="240"/>
      <c r="D146" s="236">
        <v>1</v>
      </c>
      <c r="E146" s="237">
        <v>46</v>
      </c>
      <c r="F146" s="238"/>
      <c r="G146" s="239">
        <v>1</v>
      </c>
      <c r="H146" s="238"/>
      <c r="I146" s="239">
        <v>0.2</v>
      </c>
      <c r="J146" s="238"/>
      <c r="K146" s="237">
        <v>9.1999999999999993</v>
      </c>
      <c r="L146" s="237">
        <v>9.1999999999999993</v>
      </c>
      <c r="M146" s="238"/>
      <c r="N146" s="240"/>
    </row>
    <row r="147" spans="1:14" ht="21" x14ac:dyDescent="0.2">
      <c r="A147" s="243" t="s">
        <v>207</v>
      </c>
      <c r="B147" s="249" t="s">
        <v>209</v>
      </c>
      <c r="C147" s="240"/>
      <c r="D147" s="238"/>
      <c r="E147" s="238"/>
      <c r="F147" s="238"/>
      <c r="G147" s="238"/>
      <c r="H147" s="238"/>
      <c r="I147" s="238"/>
      <c r="J147" s="238"/>
      <c r="K147" s="238"/>
      <c r="L147" s="238"/>
      <c r="M147" s="250">
        <v>2533.7399999999998</v>
      </c>
      <c r="N147" s="247" t="s">
        <v>77</v>
      </c>
    </row>
    <row r="148" spans="1:14" x14ac:dyDescent="0.2">
      <c r="A148" s="233" t="s">
        <v>492</v>
      </c>
      <c r="B148" s="234" t="s">
        <v>466</v>
      </c>
      <c r="C148" s="240"/>
      <c r="D148" s="236">
        <v>1</v>
      </c>
      <c r="E148" s="237">
        <v>1.8</v>
      </c>
      <c r="F148" s="238"/>
      <c r="G148" s="239">
        <v>1407.6310000000001</v>
      </c>
      <c r="H148" s="238"/>
      <c r="I148" s="238"/>
      <c r="J148" s="238"/>
      <c r="K148" s="236">
        <v>2533.7399999999998</v>
      </c>
      <c r="L148" s="251">
        <v>2533.7399999999998</v>
      </c>
      <c r="M148" s="238"/>
      <c r="N148" s="240"/>
    </row>
    <row r="149" spans="1:14" ht="42" x14ac:dyDescent="0.35">
      <c r="A149" s="227" t="s">
        <v>211</v>
      </c>
      <c r="B149" s="228" t="s">
        <v>570</v>
      </c>
      <c r="C149" s="229"/>
      <c r="D149" s="230"/>
      <c r="E149" s="230"/>
      <c r="F149" s="230"/>
      <c r="G149" s="230"/>
      <c r="H149" s="230"/>
      <c r="I149" s="230"/>
      <c r="J149" s="230"/>
      <c r="K149" s="230"/>
      <c r="L149" s="230"/>
      <c r="M149" s="241">
        <v>55.2</v>
      </c>
      <c r="N149" s="232" t="s">
        <v>73</v>
      </c>
    </row>
    <row r="150" spans="1:14" x14ac:dyDescent="0.2">
      <c r="A150" s="233" t="s">
        <v>493</v>
      </c>
      <c r="B150" s="234" t="s">
        <v>466</v>
      </c>
      <c r="C150" s="235" t="s">
        <v>494</v>
      </c>
      <c r="D150" s="239">
        <v>1</v>
      </c>
      <c r="E150" s="237">
        <v>46</v>
      </c>
      <c r="F150" s="238"/>
      <c r="G150" s="239">
        <v>1</v>
      </c>
      <c r="H150" s="238"/>
      <c r="I150" s="239">
        <v>1.2</v>
      </c>
      <c r="J150" s="238"/>
      <c r="K150" s="237">
        <v>55.2</v>
      </c>
      <c r="L150" s="237">
        <v>55.2</v>
      </c>
      <c r="M150" s="238"/>
      <c r="N150" s="240"/>
    </row>
    <row r="151" spans="1:14" ht="84" x14ac:dyDescent="0.35">
      <c r="A151" s="227" t="s">
        <v>212</v>
      </c>
      <c r="B151" s="228" t="s">
        <v>571</v>
      </c>
      <c r="C151" s="229"/>
      <c r="D151" s="230"/>
      <c r="E151" s="230"/>
      <c r="F151" s="230"/>
      <c r="G151" s="230"/>
      <c r="H151" s="230"/>
      <c r="I151" s="230"/>
      <c r="J151" s="230"/>
      <c r="K151" s="230"/>
      <c r="L151" s="230"/>
      <c r="M151" s="241">
        <v>46</v>
      </c>
      <c r="N151" s="232" t="s">
        <v>41</v>
      </c>
    </row>
    <row r="152" spans="1:14" x14ac:dyDescent="0.2">
      <c r="A152" s="233" t="s">
        <v>495</v>
      </c>
      <c r="B152" s="234" t="s">
        <v>466</v>
      </c>
      <c r="C152" s="235" t="s">
        <v>485</v>
      </c>
      <c r="D152" s="239">
        <v>1</v>
      </c>
      <c r="E152" s="237">
        <v>46</v>
      </c>
      <c r="F152" s="238"/>
      <c r="G152" s="238"/>
      <c r="H152" s="238"/>
      <c r="I152" s="238"/>
      <c r="J152" s="238"/>
      <c r="K152" s="237">
        <v>46</v>
      </c>
      <c r="L152" s="237">
        <v>46</v>
      </c>
      <c r="M152" s="238"/>
      <c r="N152" s="240"/>
    </row>
    <row r="153" spans="1:14" x14ac:dyDescent="0.2">
      <c r="A153" s="150" t="s">
        <v>39</v>
      </c>
      <c r="B153" s="151" t="s">
        <v>127</v>
      </c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</row>
    <row r="154" spans="1:14" ht="63" x14ac:dyDescent="0.35">
      <c r="A154" s="252" t="s">
        <v>215</v>
      </c>
      <c r="B154" s="253" t="s">
        <v>572</v>
      </c>
      <c r="C154" s="254"/>
      <c r="D154" s="254"/>
      <c r="E154" s="254"/>
      <c r="F154" s="254"/>
      <c r="G154" s="254"/>
      <c r="H154" s="254"/>
      <c r="I154" s="254"/>
      <c r="J154" s="254"/>
      <c r="K154" s="254"/>
      <c r="L154" s="254"/>
      <c r="M154" s="255">
        <v>15</v>
      </c>
      <c r="N154" s="256" t="s">
        <v>112</v>
      </c>
    </row>
    <row r="155" spans="1:14" x14ac:dyDescent="0.2">
      <c r="A155" s="257" t="s">
        <v>468</v>
      </c>
      <c r="B155" s="258" t="s">
        <v>466</v>
      </c>
      <c r="C155" s="259" t="s">
        <v>594</v>
      </c>
      <c r="D155" s="260">
        <v>1</v>
      </c>
      <c r="E155" s="261">
        <v>15</v>
      </c>
      <c r="F155" s="262"/>
      <c r="G155" s="262"/>
      <c r="H155" s="262"/>
      <c r="I155" s="262"/>
      <c r="J155" s="262"/>
      <c r="K155" s="261">
        <v>15</v>
      </c>
      <c r="L155" s="261">
        <v>15</v>
      </c>
      <c r="M155" s="262"/>
      <c r="N155" s="262"/>
    </row>
    <row r="156" spans="1:14" ht="52.5" x14ac:dyDescent="0.35">
      <c r="A156" s="252" t="s">
        <v>218</v>
      </c>
      <c r="B156" s="253" t="s">
        <v>573</v>
      </c>
      <c r="C156" s="254"/>
      <c r="D156" s="254"/>
      <c r="E156" s="254"/>
      <c r="F156" s="254"/>
      <c r="G156" s="254"/>
      <c r="H156" s="254"/>
      <c r="I156" s="254"/>
      <c r="J156" s="254"/>
      <c r="K156" s="254"/>
      <c r="L156" s="254"/>
      <c r="M156" s="255">
        <v>17</v>
      </c>
      <c r="N156" s="256" t="s">
        <v>112</v>
      </c>
    </row>
    <row r="157" spans="1:14" x14ac:dyDescent="0.2">
      <c r="A157" s="257" t="s">
        <v>469</v>
      </c>
      <c r="B157" s="258" t="s">
        <v>466</v>
      </c>
      <c r="C157" s="259" t="s">
        <v>479</v>
      </c>
      <c r="D157" s="260">
        <v>1</v>
      </c>
      <c r="E157" s="261">
        <v>17</v>
      </c>
      <c r="F157" s="262"/>
      <c r="G157" s="262"/>
      <c r="H157" s="262"/>
      <c r="I157" s="262"/>
      <c r="J157" s="262"/>
      <c r="K157" s="261">
        <v>17</v>
      </c>
      <c r="L157" s="261">
        <v>17</v>
      </c>
      <c r="M157" s="262"/>
      <c r="N157" s="262"/>
    </row>
    <row r="158" spans="1:14" ht="42" x14ac:dyDescent="0.35">
      <c r="A158" s="252" t="s">
        <v>221</v>
      </c>
      <c r="B158" s="253" t="s">
        <v>570</v>
      </c>
      <c r="C158" s="254"/>
      <c r="D158" s="254"/>
      <c r="E158" s="254"/>
      <c r="F158" s="254"/>
      <c r="G158" s="254"/>
      <c r="H158" s="254"/>
      <c r="I158" s="254"/>
      <c r="J158" s="254"/>
      <c r="K158" s="254"/>
      <c r="L158" s="254"/>
      <c r="M158" s="255">
        <f>L159</f>
        <v>0.89100000000000001</v>
      </c>
      <c r="N158" s="256" t="s">
        <v>68</v>
      </c>
    </row>
    <row r="159" spans="1:14" x14ac:dyDescent="0.2">
      <c r="A159" s="257" t="s">
        <v>470</v>
      </c>
      <c r="B159" s="258" t="s">
        <v>466</v>
      </c>
      <c r="C159" s="262" t="s">
        <v>478</v>
      </c>
      <c r="D159" s="260">
        <v>33</v>
      </c>
      <c r="E159" s="261">
        <v>0.3</v>
      </c>
      <c r="F159" s="262"/>
      <c r="G159" s="260">
        <v>0.3</v>
      </c>
      <c r="H159" s="262"/>
      <c r="I159" s="260">
        <v>0.3</v>
      </c>
      <c r="J159" s="262"/>
      <c r="K159" s="260">
        <f>E159*G159*I159</f>
        <v>2.7E-2</v>
      </c>
      <c r="L159" s="260">
        <f>K159*D159</f>
        <v>0.89100000000000001</v>
      </c>
      <c r="M159" s="262"/>
      <c r="N159" s="262"/>
    </row>
    <row r="160" spans="1:14" ht="63" x14ac:dyDescent="0.35">
      <c r="A160" s="252" t="s">
        <v>222</v>
      </c>
      <c r="B160" s="253" t="s">
        <v>574</v>
      </c>
      <c r="C160" s="254"/>
      <c r="D160" s="254"/>
      <c r="E160" s="254"/>
      <c r="F160" s="254"/>
      <c r="G160" s="254"/>
      <c r="H160" s="254"/>
      <c r="I160" s="254"/>
      <c r="J160" s="254"/>
      <c r="K160" s="254"/>
      <c r="L160" s="254"/>
      <c r="M160" s="263">
        <f>L161+L162+L163</f>
        <v>821.8</v>
      </c>
      <c r="N160" s="256" t="s">
        <v>41</v>
      </c>
    </row>
    <row r="161" spans="1:14" x14ac:dyDescent="0.2">
      <c r="A161" s="257" t="s">
        <v>471</v>
      </c>
      <c r="B161" s="258" t="s">
        <v>466</v>
      </c>
      <c r="C161" s="200" t="s">
        <v>364</v>
      </c>
      <c r="D161" s="202">
        <v>1</v>
      </c>
      <c r="E161" s="222">
        <f>282.7+25</f>
        <v>307.7</v>
      </c>
      <c r="F161" s="203"/>
      <c r="G161" s="203"/>
      <c r="H161" s="203"/>
      <c r="I161" s="203"/>
      <c r="J161" s="203"/>
      <c r="K161" s="202">
        <f>E161</f>
        <v>307.7</v>
      </c>
      <c r="L161" s="202">
        <f>K161</f>
        <v>307.7</v>
      </c>
      <c r="M161" s="264"/>
      <c r="N161" s="265"/>
    </row>
    <row r="162" spans="1:14" x14ac:dyDescent="0.2">
      <c r="A162" s="257" t="s">
        <v>474</v>
      </c>
      <c r="B162" s="258" t="s">
        <v>466</v>
      </c>
      <c r="C162" s="200" t="s">
        <v>363</v>
      </c>
      <c r="D162" s="202">
        <v>1</v>
      </c>
      <c r="E162" s="222">
        <f>148+16.6</f>
        <v>164.6</v>
      </c>
      <c r="F162" s="203"/>
      <c r="G162" s="203"/>
      <c r="H162" s="203"/>
      <c r="I162" s="203"/>
      <c r="J162" s="203"/>
      <c r="K162" s="202">
        <f>E162</f>
        <v>164.6</v>
      </c>
      <c r="L162" s="202">
        <f>K162</f>
        <v>164.6</v>
      </c>
      <c r="M162" s="264"/>
      <c r="N162" s="265"/>
    </row>
    <row r="163" spans="1:14" x14ac:dyDescent="0.2">
      <c r="A163" s="257" t="s">
        <v>475</v>
      </c>
      <c r="B163" s="258" t="s">
        <v>466</v>
      </c>
      <c r="C163" s="200" t="s">
        <v>362</v>
      </c>
      <c r="D163" s="202">
        <v>1</v>
      </c>
      <c r="E163" s="222">
        <f>298.9+50.6</f>
        <v>349.5</v>
      </c>
      <c r="F163" s="203"/>
      <c r="G163" s="203"/>
      <c r="H163" s="203"/>
      <c r="I163" s="203"/>
      <c r="J163" s="203"/>
      <c r="K163" s="202">
        <f>E163</f>
        <v>349.5</v>
      </c>
      <c r="L163" s="202">
        <f>K163</f>
        <v>349.5</v>
      </c>
      <c r="M163" s="262"/>
      <c r="N163" s="262"/>
    </row>
    <row r="164" spans="1:14" ht="52.5" x14ac:dyDescent="0.35">
      <c r="A164" s="252" t="s">
        <v>223</v>
      </c>
      <c r="B164" s="266" t="s">
        <v>575</v>
      </c>
      <c r="C164" s="267"/>
      <c r="D164" s="267"/>
      <c r="E164" s="267"/>
      <c r="F164" s="267"/>
      <c r="G164" s="267"/>
      <c r="H164" s="267"/>
      <c r="I164" s="267"/>
      <c r="J164" s="267"/>
      <c r="K164" s="267"/>
      <c r="L164" s="267"/>
      <c r="M164" s="263">
        <f>L165+L166</f>
        <v>2237.6</v>
      </c>
      <c r="N164" s="256" t="s">
        <v>41</v>
      </c>
    </row>
    <row r="165" spans="1:14" x14ac:dyDescent="0.2">
      <c r="A165" s="257" t="s">
        <v>465</v>
      </c>
      <c r="B165" s="258" t="s">
        <v>466</v>
      </c>
      <c r="C165" s="268" t="s">
        <v>476</v>
      </c>
      <c r="D165" s="260">
        <v>2</v>
      </c>
      <c r="E165" s="261">
        <v>821.8</v>
      </c>
      <c r="F165" s="269"/>
      <c r="G165" s="269"/>
      <c r="H165" s="269"/>
      <c r="I165" s="269"/>
      <c r="J165" s="269"/>
      <c r="K165" s="260">
        <f>E165</f>
        <v>821.8</v>
      </c>
      <c r="L165" s="261">
        <f>K165*D165</f>
        <v>1643.6</v>
      </c>
      <c r="M165" s="269"/>
      <c r="N165" s="269"/>
    </row>
    <row r="166" spans="1:14" x14ac:dyDescent="0.2">
      <c r="A166" s="257"/>
      <c r="B166" s="258" t="s">
        <v>467</v>
      </c>
      <c r="C166" s="268" t="s">
        <v>503</v>
      </c>
      <c r="D166" s="260">
        <v>33</v>
      </c>
      <c r="E166" s="261">
        <v>9</v>
      </c>
      <c r="F166" s="269"/>
      <c r="G166" s="260">
        <v>2</v>
      </c>
      <c r="H166" s="269"/>
      <c r="I166" s="269"/>
      <c r="J166" s="269"/>
      <c r="K166" s="260">
        <f>G166*E166</f>
        <v>18</v>
      </c>
      <c r="L166" s="261">
        <f>K166*D166</f>
        <v>594</v>
      </c>
      <c r="M166" s="269"/>
      <c r="N166" s="269"/>
    </row>
    <row r="167" spans="1:14" ht="63" x14ac:dyDescent="0.35">
      <c r="A167" s="270" t="s">
        <v>224</v>
      </c>
      <c r="B167" s="307" t="str">
        <f>'2ª MEDIÇÃO'!C89</f>
        <v>CAIXA ENTERRADA ELÉTRICA RETANGULAR, EM ALVENARIA COM TIJOLOS CERÂMICOS MACIÇOS, FUNDO COM BRITA, DIMENSÕES INTERNAS: 0,3X0,3X0,3 M. AF_12/2020</v>
      </c>
      <c r="C167" s="271"/>
      <c r="D167" s="271"/>
      <c r="E167" s="271"/>
      <c r="F167" s="271"/>
      <c r="G167" s="271"/>
      <c r="H167" s="271"/>
      <c r="I167" s="271"/>
      <c r="J167" s="271"/>
      <c r="K167" s="271"/>
      <c r="L167" s="271"/>
      <c r="M167" s="272">
        <v>33</v>
      </c>
      <c r="N167" s="273" t="s">
        <v>112</v>
      </c>
    </row>
    <row r="168" spans="1:14" x14ac:dyDescent="0.2">
      <c r="A168" s="257" t="s">
        <v>472</v>
      </c>
      <c r="B168" s="258" t="s">
        <v>466</v>
      </c>
      <c r="C168" s="262"/>
      <c r="D168" s="260">
        <v>1</v>
      </c>
      <c r="E168" s="261">
        <f>15+18</f>
        <v>33</v>
      </c>
      <c r="F168" s="262"/>
      <c r="G168" s="262"/>
      <c r="H168" s="262"/>
      <c r="I168" s="262"/>
      <c r="J168" s="262"/>
      <c r="K168" s="260">
        <v>33</v>
      </c>
      <c r="L168" s="260">
        <v>33</v>
      </c>
      <c r="M168" s="262"/>
      <c r="N168" s="262"/>
    </row>
    <row r="169" spans="1:14" ht="52.5" x14ac:dyDescent="0.35">
      <c r="A169" s="252" t="s">
        <v>225</v>
      </c>
      <c r="B169" s="253" t="s">
        <v>577</v>
      </c>
      <c r="C169" s="254"/>
      <c r="D169" s="254"/>
      <c r="E169" s="254"/>
      <c r="F169" s="254"/>
      <c r="G169" s="254"/>
      <c r="H169" s="254"/>
      <c r="I169" s="254"/>
      <c r="J169" s="254"/>
      <c r="K169" s="254"/>
      <c r="L169" s="254"/>
      <c r="M169" s="255">
        <v>33</v>
      </c>
      <c r="N169" s="256" t="s">
        <v>112</v>
      </c>
    </row>
    <row r="170" spans="1:14" x14ac:dyDescent="0.2">
      <c r="A170" s="257" t="s">
        <v>473</v>
      </c>
      <c r="B170" s="258" t="s">
        <v>466</v>
      </c>
      <c r="C170" s="262" t="s">
        <v>477</v>
      </c>
      <c r="D170" s="260">
        <v>1</v>
      </c>
      <c r="E170" s="261">
        <f>15+18</f>
        <v>33</v>
      </c>
      <c r="F170" s="262"/>
      <c r="G170" s="262"/>
      <c r="H170" s="262"/>
      <c r="I170" s="262"/>
      <c r="J170" s="262"/>
      <c r="K170" s="260">
        <v>33</v>
      </c>
      <c r="L170" s="260">
        <v>33</v>
      </c>
      <c r="M170" s="262"/>
      <c r="N170" s="262"/>
    </row>
    <row r="171" spans="1:14" x14ac:dyDescent="0.2">
      <c r="A171" s="274"/>
      <c r="B171" s="275"/>
      <c r="C171" s="276"/>
      <c r="D171" s="276"/>
      <c r="E171" s="276"/>
      <c r="F171" s="276"/>
      <c r="G171" s="276"/>
      <c r="H171" s="276"/>
      <c r="I171" s="276"/>
      <c r="J171" s="276"/>
      <c r="K171" s="276"/>
      <c r="L171" s="276"/>
      <c r="M171" s="276"/>
      <c r="N171" s="276"/>
    </row>
    <row r="172" spans="1:14" x14ac:dyDescent="0.2">
      <c r="A172" s="142"/>
      <c r="B172" s="143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</row>
  </sheetData>
  <mergeCells count="24">
    <mergeCell ref="B11:C11"/>
    <mergeCell ref="A1:D2"/>
    <mergeCell ref="A3:D3"/>
    <mergeCell ref="E3:N3"/>
    <mergeCell ref="A4:D4"/>
    <mergeCell ref="E4:F4"/>
    <mergeCell ref="A5:D5"/>
    <mergeCell ref="E5:F5"/>
    <mergeCell ref="A7:N7"/>
    <mergeCell ref="E2:N2"/>
    <mergeCell ref="E1:N1"/>
    <mergeCell ref="G4:N4"/>
    <mergeCell ref="G5:N5"/>
    <mergeCell ref="A9:A10"/>
    <mergeCell ref="B9:B10"/>
    <mergeCell ref="C9:C10"/>
    <mergeCell ref="G6:N6"/>
    <mergeCell ref="E6:F6"/>
    <mergeCell ref="A6:D6"/>
    <mergeCell ref="A8:N8"/>
    <mergeCell ref="K9:M9"/>
    <mergeCell ref="N9:N10"/>
    <mergeCell ref="D9:D10"/>
    <mergeCell ref="E9:J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9</vt:i4>
      </vt:variant>
    </vt:vector>
  </HeadingPairs>
  <TitlesOfParts>
    <vt:vector size="15" baseType="lpstr">
      <vt:lpstr>1ª MEDIÇÃO</vt:lpstr>
      <vt:lpstr>2ª MEDIÇÃO</vt:lpstr>
      <vt:lpstr>READEQUAÇÃO</vt:lpstr>
      <vt:lpstr>Table 8</vt:lpstr>
      <vt:lpstr>Table 9</vt:lpstr>
      <vt:lpstr>Table 10</vt:lpstr>
      <vt:lpstr>'1ª MEDIÇÃO'!Area_de_impressao</vt:lpstr>
      <vt:lpstr>'2ª MEDIÇÃO'!Area_de_impressao</vt:lpstr>
      <vt:lpstr>READEQUAÇÃO!Area_de_impressao</vt:lpstr>
      <vt:lpstr>'Table 10'!Area_de_impressao</vt:lpstr>
      <vt:lpstr>'Table 9'!Area_de_impressao</vt:lpstr>
      <vt:lpstr>'1ª MEDIÇÃO'!Titulos_de_impressao</vt:lpstr>
      <vt:lpstr>'2ª MEDIÇÃO'!Titulos_de_impressao</vt:lpstr>
      <vt:lpstr>READEQUAÇÃO!Titulos_de_impressao</vt:lpstr>
      <vt:lpstr>'Table 10'!Titulos_de_impressao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Emprotec Engenharia</dc:creator>
  <cp:lastModifiedBy>Raniere</cp:lastModifiedBy>
  <cp:lastPrinted>2023-09-21T14:21:06Z</cp:lastPrinted>
  <dcterms:created xsi:type="dcterms:W3CDTF">2015-01-15T12:30:05Z</dcterms:created>
  <dcterms:modified xsi:type="dcterms:W3CDTF">2023-09-21T14:21:10Z</dcterms:modified>
</cp:coreProperties>
</file>